
<file path=[Content_Types].xml><?xml version="1.0" encoding="utf-8"?>
<Types xmlns="http://schemas.openxmlformats.org/package/2006/content-types">
  <Default Extension="jpeg" ContentType="image/jpeg"/>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3.xml" ContentType="application/vnd.openxmlformats-officedocument.spreadsheetml.comments+xml"/>
  <Override PartName="/xl/drawings/drawing6.xml" ContentType="application/vnd.openxmlformats-officedocument.drawing+xml"/>
  <Override PartName="/xl/comments4.xml" ContentType="application/vnd.openxmlformats-officedocument.spreadsheetml.comments+xml"/>
  <Override PartName="/xl/drawings/drawing7.xml" ContentType="application/vnd.openxmlformats-officedocument.drawing+xml"/>
  <Override PartName="/xl/comments5.xml" ContentType="application/vnd.openxmlformats-officedocument.spreadsheetml.comments+xml"/>
  <Override PartName="/xl/drawings/drawing8.xml" ContentType="application/vnd.openxmlformats-officedocument.drawing+xml"/>
  <Override PartName="/xl/comments6.xml" ContentType="application/vnd.openxmlformats-officedocument.spreadsheetml.comments+xml"/>
  <Override PartName="/xl/drawings/drawing9.xml" ContentType="application/vnd.openxmlformats-officedocument.drawing+xml"/>
  <Override PartName="/xl/comments7.xml" ContentType="application/vnd.openxmlformats-officedocument.spreadsheetml.comments+xml"/>
  <Override PartName="/xl/drawings/drawing10.xml" ContentType="application/vnd.openxmlformats-officedocument.drawing+xml"/>
  <Override PartName="/xl/comments8.xml" ContentType="application/vnd.openxmlformats-officedocument.spreadsheetml.comments+xml"/>
  <Override PartName="/xl/drawings/drawing11.xml" ContentType="application/vnd.openxmlformats-officedocument.drawing+xml"/>
  <Override PartName="/xl/comments9.xml" ContentType="application/vnd.openxmlformats-officedocument.spreadsheetml.comments+xml"/>
  <Override PartName="/xl/drawings/drawing12.xml" ContentType="application/vnd.openxmlformats-officedocument.drawing+xml"/>
  <Override PartName="/xl/comments10.xml" ContentType="application/vnd.openxmlformats-officedocument.spreadsheetml.comments+xml"/>
  <Override PartName="/xl/drawings/drawing13.xml" ContentType="application/vnd.openxmlformats-officedocument.drawing+xml"/>
  <Override PartName="/xl/comments11.xml" ContentType="application/vnd.openxmlformats-officedocument.spreadsheetml.comments+xml"/>
  <Override PartName="/xl/drawings/drawing14.xml" ContentType="application/vnd.openxmlformats-officedocument.drawing+xml"/>
  <Override PartName="/xl/comments12.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drawings/drawing15.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codeName="ThisWorkbook" hidePivotFieldList="1" defaultThemeVersion="166925"/>
  <mc:AlternateContent xmlns:mc="http://schemas.openxmlformats.org/markup-compatibility/2006">
    <mc:Choice Requires="x15">
      <x15ac:absPath xmlns:x15ac="http://schemas.microsoft.com/office/spreadsheetml/2010/11/ac" url="/Users/macos/Desktop/"/>
    </mc:Choice>
  </mc:AlternateContent>
  <xr:revisionPtr revIDLastSave="0" documentId="13_ncr:1_{B13ABB61-3423-184C-9012-1CCE970F81E4}" xr6:coauthVersionLast="47" xr6:coauthVersionMax="47" xr10:uidLastSave="{00000000-0000-0000-0000-000000000000}"/>
  <bookViews>
    <workbookView xWindow="0" yWindow="500" windowWidth="24960" windowHeight="20700" firstSheet="15" activeTab="18" xr2:uid="{4A2B9596-99C8-EC41-9375-B12B621F11D8}"/>
  </bookViews>
  <sheets>
    <sheet name="TH SX Năm 2025" sheetId="2" r:id="rId1"/>
    <sheet name="TH SX 6 tháng đầu năm 2025" sheetId="24" r:id="rId2"/>
    <sheet name="TH Thương hiệu DC2" sheetId="17" r:id="rId3"/>
    <sheet name="TH Thương hiệu DC1" sheetId="6" r:id="rId4"/>
    <sheet name="TH Than 2025" sheetId="3" r:id="rId5"/>
    <sheet name="6 tháng đầu năm Than 2025 " sheetId="25" r:id="rId6"/>
    <sheet name="Form mẫu" sheetId="31" r:id="rId7"/>
    <sheet name="T1.2025" sheetId="1" r:id="rId8"/>
    <sheet name="T2.2025 " sheetId="18" r:id="rId9"/>
    <sheet name="T3.2025 " sheetId="19" r:id="rId10"/>
    <sheet name="T4.2025 " sheetId="21" r:id="rId11"/>
    <sheet name="T5.2025" sheetId="22" r:id="rId12"/>
    <sheet name="T6.2025" sheetId="23" r:id="rId13"/>
    <sheet name="T7.2025" sheetId="30" r:id="rId14"/>
    <sheet name="T8.2025" sheetId="35" r:id="rId15"/>
    <sheet name="T9.2025" sheetId="36" r:id="rId16"/>
    <sheet name="Data tổng hợp I" sheetId="26" r:id="rId17"/>
    <sheet name="Data tổng hợp II" sheetId="27" r:id="rId18"/>
    <sheet name="Data tổng hợp III" sheetId="28" r:id="rId19"/>
    <sheet name="Data tổng hợp IV" sheetId="29" r:id="rId20"/>
    <sheet name="Pivot" sheetId="33" r:id="rId21"/>
    <sheet name="Dashboard" sheetId="34" r:id="rId22"/>
    <sheet name="Phụ lục" sheetId="32" r:id="rId23"/>
  </sheets>
  <externalReferences>
    <externalReference r:id="rId24"/>
    <externalReference r:id="rId25"/>
    <externalReference r:id="rId26"/>
  </externalReferences>
  <definedNames>
    <definedName name="_xlnm._FilterDatabase" localSheetId="18" hidden="1">'Data tổng hợp III'!#REF!</definedName>
    <definedName name="_xlnm._FilterDatabase" localSheetId="1" hidden="1">'TH SX 6 tháng đầu năm 2025'!$A$97:$AL$97</definedName>
    <definedName name="_xlnm._FilterDatabase" localSheetId="0" hidden="1">'TH SX Năm 2025'!$A$81:$AL$81</definedName>
    <definedName name="_xlnm._FilterDatabase" localSheetId="3" hidden="1">'TH Thương hiệu DC1'!$A$6:$AA$71</definedName>
    <definedName name="_xlnm._FilterDatabase" localSheetId="2" hidden="1">'TH Thương hiệu DC2'!$A$6:$Y$128</definedName>
    <definedName name="_xlnm.Print_Area" localSheetId="5">'6 tháng đầu năm Than 2025 '!$A$1:$N$16</definedName>
    <definedName name="_xlnm.Print_Area" localSheetId="7">'T1.2025'!$A$1:$N$238</definedName>
    <definedName name="_xlnm.Print_Area" localSheetId="8">'T2.2025 '!$A$1:$N$135</definedName>
    <definedName name="_xlnm.Print_Area" localSheetId="9">'T3.2025 '!$A$1:$N$259</definedName>
    <definedName name="_xlnm.Print_Area" localSheetId="10">'T4.2025 '!$A$1:$N$347</definedName>
    <definedName name="_xlnm.Print_Area" localSheetId="11">'T5.2025'!$A$1:$N$415</definedName>
    <definedName name="_xlnm.Print_Area" localSheetId="12">'T6.2025'!$A$1:$N$429</definedName>
    <definedName name="_xlnm.Print_Area" localSheetId="15">'T9.2025'!$A$1:$N$438</definedName>
    <definedName name="_xlnm.Print_Area" localSheetId="1">'TH SX 6 tháng đầu năm 2025'!$B$1:$O$551</definedName>
    <definedName name="_xlnm.Print_Area" localSheetId="4">'TH Than 2025'!$A$1:$N$16</definedName>
    <definedName name="Slicer_Dây_chuyền">#N/A</definedName>
    <definedName name="Slicer_Dây_chuyền1">#N/A</definedName>
    <definedName name="Slicer_DC">#N/A</definedName>
    <definedName name="Slicer_DC1">#N/A</definedName>
    <definedName name="Slicer_Kích_thước">#N/A</definedName>
    <definedName name="Slicer_Kích_thước1">#N/A</definedName>
    <definedName name="Slicer_Kích_thước2">#N/A</definedName>
    <definedName name="Slicer_Kích_thước3">#N/A</definedName>
    <definedName name="Slicer_Men">#N/A</definedName>
    <definedName name="Slicer_Nguyên_liệu__vật_tư">#N/A</definedName>
    <definedName name="Slicer_Tên_than">#N/A</definedName>
    <definedName name="Slicer_Tháng">#N/A</definedName>
    <definedName name="Slicer_Tháng1">#N/A</definedName>
    <definedName name="Slicer_Tháng2">#N/A</definedName>
    <definedName name="Slicer_Tháng3">#N/A</definedName>
    <definedName name="Slicer_Thương_hiệu">#N/A</definedName>
    <definedName name="T1_Headers">'T1.2025'!$A$137:$O$137</definedName>
    <definedName name="T2_Headers">'T2.2025 '!$A$61:$P$61</definedName>
    <definedName name="T3_Headers">'T3.2025 '!$A$112:$P$112</definedName>
    <definedName name="T4_Headers">'T4.2025 '!$A$141:$P$141</definedName>
    <definedName name="T5_Headers" localSheetId="6">'Form mẫu'!$A$206:$O$206</definedName>
    <definedName name="T5_Headers">'T5.2025'!$A$196:$P$196</definedName>
    <definedName name="T6_Headers">'T6.2025'!$A$200:$P$200</definedName>
  </definedNames>
  <calcPr calcId="191029"/>
  <pivotCaches>
    <pivotCache cacheId="72" r:id="rId27"/>
    <pivotCache cacheId="81" r:id="rId28"/>
    <pivotCache cacheId="88" r:id="rId29"/>
    <pivotCache cacheId="96" r:id="rId30"/>
  </pivotCaches>
  <extLst>
    <ext xmlns:x14="http://schemas.microsoft.com/office/spreadsheetml/2009/9/main" uri="{BBE1A952-AA13-448e-AADC-164F8A28A991}">
      <x14:slicerCaches>
        <x14:slicerCache r:id="rId31"/>
        <x14:slicerCache r:id="rId32"/>
        <x14:slicerCache r:id="rId33"/>
        <x14:slicerCache r:id="rId34"/>
        <x14:slicerCache r:id="rId35"/>
        <x14:slicerCache r:id="rId36"/>
        <x14:slicerCache r:id="rId37"/>
        <x14:slicerCache r:id="rId38"/>
        <x14:slicerCache r:id="rId39"/>
        <x14:slicerCache r:id="rId40"/>
        <x14:slicerCache r:id="rId41"/>
        <x14:slicerCache r:id="rId42"/>
        <x14:slicerCache r:id="rId43"/>
        <x14:slicerCache r:id="rId44"/>
        <x14:slicerCache r:id="rId45"/>
        <x14:slicerCache r:id="rId4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261" i="28" l="1"/>
  <c r="F260" i="28"/>
  <c r="F259" i="28"/>
  <c r="F258" i="28"/>
  <c r="F257" i="28"/>
  <c r="F256" i="28"/>
  <c r="F255" i="28"/>
  <c r="F254" i="28"/>
  <c r="F253" i="28"/>
  <c r="F252" i="28"/>
  <c r="F251" i="28"/>
  <c r="F250" i="28"/>
  <c r="F249" i="28"/>
  <c r="F248" i="28"/>
  <c r="F247" i="28" l="1"/>
  <c r="A246" i="28"/>
  <c r="A186" i="28"/>
  <c r="A194" i="28"/>
  <c r="A207" i="28"/>
  <c r="A221" i="28"/>
  <c r="A244" i="28"/>
  <c r="A247" i="28"/>
  <c r="A248" i="28"/>
  <c r="A249" i="28"/>
  <c r="A250" i="28"/>
  <c r="A251" i="28"/>
  <c r="A252" i="28"/>
  <c r="A253" i="28"/>
  <c r="A254" i="28"/>
  <c r="A255" i="28"/>
  <c r="A256" i="28"/>
  <c r="A257" i="28"/>
  <c r="A258" i="28"/>
  <c r="A259" i="28"/>
  <c r="A260" i="28"/>
  <c r="A261" i="28"/>
  <c r="A262" i="28"/>
  <c r="A263" i="28"/>
  <c r="A264" i="28"/>
  <c r="A265" i="28"/>
  <c r="A266" i="28"/>
  <c r="A267" i="28"/>
  <c r="A268" i="28"/>
  <c r="A269" i="28"/>
  <c r="A270" i="28"/>
  <c r="A271" i="28"/>
  <c r="A272" i="28"/>
  <c r="A273" i="28"/>
  <c r="A274" i="28"/>
  <c r="A275" i="28"/>
  <c r="A276" i="28"/>
  <c r="A277" i="28"/>
  <c r="A278" i="28"/>
  <c r="A279" i="28"/>
  <c r="A280" i="28"/>
  <c r="A281" i="28"/>
  <c r="A282" i="28"/>
  <c r="A283" i="28"/>
  <c r="F262" i="28"/>
  <c r="F263" i="28"/>
  <c r="F264" i="28"/>
  <c r="F265" i="28"/>
  <c r="F266" i="28"/>
  <c r="F267" i="28"/>
  <c r="F268" i="28"/>
  <c r="F269" i="28"/>
  <c r="F270" i="28"/>
  <c r="F271" i="28"/>
  <c r="F272" i="28"/>
  <c r="F273" i="28"/>
  <c r="F274" i="28"/>
  <c r="F275" i="28"/>
  <c r="F276" i="28"/>
  <c r="F277" i="28"/>
  <c r="F278" i="28"/>
  <c r="F279" i="28"/>
  <c r="F280" i="28"/>
  <c r="F281" i="28"/>
  <c r="F282" i="28"/>
  <c r="F283" i="28"/>
  <c r="H247" i="28"/>
  <c r="J247" i="28" s="1"/>
  <c r="H248" i="28"/>
  <c r="J248" i="28" s="1"/>
  <c r="H249" i="28"/>
  <c r="J249" i="28" s="1"/>
  <c r="H250" i="28"/>
  <c r="J250" i="28" s="1"/>
  <c r="H251" i="28"/>
  <c r="H252" i="28"/>
  <c r="H253" i="28"/>
  <c r="J253" i="28" s="1"/>
  <c r="H254" i="28"/>
  <c r="J254" i="28" s="1"/>
  <c r="H255" i="28"/>
  <c r="K255" i="28" s="1"/>
  <c r="H256" i="28"/>
  <c r="K256" i="28" s="1"/>
  <c r="H257" i="28"/>
  <c r="K257" i="28" s="1"/>
  <c r="H258" i="28"/>
  <c r="J258" i="28" s="1"/>
  <c r="H259" i="28"/>
  <c r="H260" i="28"/>
  <c r="J260" i="28" s="1"/>
  <c r="H261" i="28"/>
  <c r="K261" i="28" s="1"/>
  <c r="H262" i="28"/>
  <c r="J262" i="28" s="1"/>
  <c r="H263" i="28"/>
  <c r="H264" i="28"/>
  <c r="H265" i="28"/>
  <c r="K265" i="28" s="1"/>
  <c r="H266" i="28"/>
  <c r="J266" i="28" s="1"/>
  <c r="H267" i="28"/>
  <c r="J267" i="28" s="1"/>
  <c r="H268" i="28"/>
  <c r="H269" i="28"/>
  <c r="K269" i="28" s="1"/>
  <c r="H270" i="28"/>
  <c r="J270" i="28" s="1"/>
  <c r="H271" i="28"/>
  <c r="H272" i="28"/>
  <c r="H273" i="28"/>
  <c r="K273" i="28" s="1"/>
  <c r="H274" i="28"/>
  <c r="J274" i="28" s="1"/>
  <c r="H275" i="28"/>
  <c r="H276" i="28"/>
  <c r="H277" i="28"/>
  <c r="K277" i="28" s="1"/>
  <c r="H278" i="28"/>
  <c r="J278" i="28" s="1"/>
  <c r="H279" i="28"/>
  <c r="H280" i="28"/>
  <c r="H281" i="28"/>
  <c r="K281" i="28" s="1"/>
  <c r="H282" i="28"/>
  <c r="J282" i="28" s="1"/>
  <c r="H283" i="28"/>
  <c r="J251" i="28"/>
  <c r="J252" i="28"/>
  <c r="J259" i="28"/>
  <c r="J263" i="28"/>
  <c r="J264" i="28"/>
  <c r="J265" i="28"/>
  <c r="J268" i="28"/>
  <c r="J269" i="28"/>
  <c r="J271" i="28"/>
  <c r="J272" i="28"/>
  <c r="J273" i="28"/>
  <c r="J275" i="28"/>
  <c r="J276" i="28"/>
  <c r="J277" i="28"/>
  <c r="J279" i="28"/>
  <c r="J280" i="28"/>
  <c r="J281" i="28"/>
  <c r="J283" i="28"/>
  <c r="K251" i="28"/>
  <c r="K252" i="28"/>
  <c r="K259" i="28"/>
  <c r="K263" i="28"/>
  <c r="K264" i="28"/>
  <c r="K268" i="28"/>
  <c r="K271" i="28"/>
  <c r="K272" i="28"/>
  <c r="K275" i="28"/>
  <c r="K276" i="28"/>
  <c r="K279" i="28"/>
  <c r="K280" i="28"/>
  <c r="K283" i="28"/>
  <c r="L247" i="28"/>
  <c r="L248" i="28"/>
  <c r="L249" i="28"/>
  <c r="L250" i="28"/>
  <c r="L251" i="28"/>
  <c r="L252" i="28"/>
  <c r="L253" i="28"/>
  <c r="L254" i="28"/>
  <c r="L255" i="28"/>
  <c r="L256" i="28"/>
  <c r="L257" i="28"/>
  <c r="L258" i="28"/>
  <c r="L259" i="28"/>
  <c r="L260" i="28"/>
  <c r="L261" i="28"/>
  <c r="L262" i="28"/>
  <c r="L263" i="28"/>
  <c r="L264" i="28"/>
  <c r="L265" i="28"/>
  <c r="L266" i="28"/>
  <c r="L267" i="28"/>
  <c r="L268" i="28"/>
  <c r="L269" i="28"/>
  <c r="L270" i="28"/>
  <c r="L271" i="28"/>
  <c r="L272" i="28"/>
  <c r="L273" i="28"/>
  <c r="L274" i="28"/>
  <c r="L275" i="28"/>
  <c r="L276" i="28"/>
  <c r="L277" i="28"/>
  <c r="L278" i="28"/>
  <c r="L279" i="28"/>
  <c r="L280" i="28"/>
  <c r="L281" i="28"/>
  <c r="L282" i="28"/>
  <c r="L283" i="28"/>
  <c r="A245" i="28"/>
  <c r="H245" i="28"/>
  <c r="H246" i="28"/>
  <c r="J246" i="28" s="1"/>
  <c r="J245" i="28"/>
  <c r="K245" i="28"/>
  <c r="L245" i="28"/>
  <c r="L246" i="28"/>
  <c r="F246" i="28"/>
  <c r="F245" i="28"/>
  <c r="F244" i="28"/>
  <c r="F243" i="28"/>
  <c r="F242" i="28"/>
  <c r="F241" i="28"/>
  <c r="F240" i="28"/>
  <c r="F239" i="28"/>
  <c r="F238" i="28"/>
  <c r="F237" i="28"/>
  <c r="F236" i="28"/>
  <c r="F235" i="28"/>
  <c r="F234" i="28"/>
  <c r="F233" i="28"/>
  <c r="K260" i="28" l="1"/>
  <c r="K258" i="28"/>
  <c r="J257" i="28"/>
  <c r="J256" i="28"/>
  <c r="J255" i="28"/>
  <c r="K254" i="28"/>
  <c r="K253" i="28"/>
  <c r="K250" i="28"/>
  <c r="K249" i="28"/>
  <c r="K248" i="28"/>
  <c r="K267" i="28"/>
  <c r="K247" i="28"/>
  <c r="K282" i="28"/>
  <c r="K278" i="28"/>
  <c r="K274" i="28"/>
  <c r="K270" i="28"/>
  <c r="K266" i="28"/>
  <c r="K262" i="28"/>
  <c r="J261" i="28"/>
  <c r="K246" i="28"/>
  <c r="G70" i="26" l="1"/>
  <c r="L70" i="26"/>
  <c r="M70" i="26"/>
  <c r="P70" i="26"/>
  <c r="Q70" i="26"/>
  <c r="L71" i="26"/>
  <c r="M71" i="26"/>
  <c r="N71" i="26"/>
  <c r="O71" i="26" s="1"/>
  <c r="P71" i="26"/>
  <c r="Q71" i="26"/>
  <c r="G72" i="26"/>
  <c r="H72" i="26"/>
  <c r="I72" i="26"/>
  <c r="J72" i="26"/>
  <c r="L72" i="26"/>
  <c r="M72" i="26"/>
  <c r="N72" i="26"/>
  <c r="O72" i="26" s="1"/>
  <c r="P72" i="26"/>
  <c r="Q72" i="26"/>
  <c r="G73" i="26"/>
  <c r="H73" i="26"/>
  <c r="I73" i="26"/>
  <c r="J73" i="26"/>
  <c r="L73" i="26"/>
  <c r="N73" i="26"/>
  <c r="O73" i="26" s="1"/>
  <c r="P73" i="26"/>
  <c r="Q73" i="26"/>
  <c r="G74" i="26"/>
  <c r="L74" i="26"/>
  <c r="M74" i="26"/>
  <c r="P74" i="26"/>
  <c r="Q74" i="26"/>
  <c r="A50" i="26"/>
  <c r="A59" i="26"/>
  <c r="A66" i="26"/>
  <c r="A71" i="26"/>
  <c r="A72" i="26"/>
  <c r="A73" i="26"/>
  <c r="A74" i="26"/>
  <c r="A75" i="26"/>
  <c r="G75" i="26"/>
  <c r="K75" i="26"/>
  <c r="R72" i="26"/>
  <c r="R73" i="26"/>
  <c r="R74" i="26"/>
  <c r="R75" i="26"/>
  <c r="Q64" i="26"/>
  <c r="Q65" i="26"/>
  <c r="Q66" i="26"/>
  <c r="Q67" i="26"/>
  <c r="Q68" i="26"/>
  <c r="Q69" i="26"/>
  <c r="P64" i="26"/>
  <c r="P65" i="26"/>
  <c r="P66" i="26"/>
  <c r="P67" i="26"/>
  <c r="P68" i="26"/>
  <c r="P69" i="26"/>
  <c r="O65" i="26"/>
  <c r="O69" i="26"/>
  <c r="N64" i="26"/>
  <c r="O64" i="26" s="1"/>
  <c r="N65" i="26"/>
  <c r="N67" i="26"/>
  <c r="O67" i="26" s="1"/>
  <c r="N68" i="26"/>
  <c r="O68" i="26" s="1"/>
  <c r="N69" i="26"/>
  <c r="M64" i="26"/>
  <c r="M66" i="26"/>
  <c r="M67" i="26"/>
  <c r="M68" i="26"/>
  <c r="L64" i="26"/>
  <c r="L65" i="26"/>
  <c r="L66" i="26"/>
  <c r="L67" i="26"/>
  <c r="L68" i="26"/>
  <c r="L69" i="26"/>
  <c r="K67" i="26"/>
  <c r="J64" i="26"/>
  <c r="J65" i="26"/>
  <c r="J68" i="26"/>
  <c r="J69" i="26"/>
  <c r="I64" i="26"/>
  <c r="I65" i="26"/>
  <c r="I68" i="26"/>
  <c r="I69" i="26"/>
  <c r="H64" i="26"/>
  <c r="K64" i="26" s="1"/>
  <c r="H65" i="26"/>
  <c r="K65" i="26" s="1"/>
  <c r="M65" i="26" s="1"/>
  <c r="H68" i="26"/>
  <c r="K68" i="26" s="1"/>
  <c r="H69" i="26"/>
  <c r="K69" i="26" s="1"/>
  <c r="M69" i="26" s="1"/>
  <c r="G64" i="26"/>
  <c r="G65" i="26"/>
  <c r="G66" i="26"/>
  <c r="G68" i="26"/>
  <c r="G69" i="26"/>
  <c r="I70" i="26" l="1"/>
  <c r="K71" i="26"/>
  <c r="J70" i="26"/>
  <c r="K73" i="26"/>
  <c r="K72" i="26"/>
  <c r="N70" i="26"/>
  <c r="O70" i="26" s="1"/>
  <c r="H70" i="26"/>
  <c r="N66" i="26"/>
  <c r="O66" i="26" s="1"/>
  <c r="K70" i="26" l="1"/>
  <c r="M73" i="26"/>
  <c r="J74" i="26"/>
  <c r="H74" i="26"/>
  <c r="I74" i="26"/>
  <c r="N74" i="26"/>
  <c r="O74" i="26" s="1"/>
  <c r="J71" i="26"/>
  <c r="G71" i="26"/>
  <c r="H71" i="26"/>
  <c r="I71" i="26"/>
  <c r="K74" i="26" l="1"/>
  <c r="A67" i="26" l="1"/>
  <c r="A68" i="26"/>
  <c r="A69" i="26"/>
  <c r="A70" i="26"/>
  <c r="R67" i="26"/>
  <c r="R68" i="26"/>
  <c r="R69" i="26"/>
  <c r="R70" i="26"/>
  <c r="R71" i="26"/>
  <c r="O65" i="29" l="1"/>
  <c r="S63" i="29"/>
  <c r="S64" i="29"/>
  <c r="S65" i="29"/>
  <c r="S66" i="29"/>
  <c r="P64" i="29"/>
  <c r="P65" i="29"/>
  <c r="P66" i="29"/>
  <c r="O62" i="29"/>
  <c r="O60" i="29"/>
  <c r="S57" i="29"/>
  <c r="S58" i="29"/>
  <c r="S59" i="29"/>
  <c r="S60" i="29"/>
  <c r="S61" i="29"/>
  <c r="S62" i="29"/>
  <c r="P58" i="29"/>
  <c r="P59" i="29"/>
  <c r="P60" i="29"/>
  <c r="P61" i="29"/>
  <c r="P62" i="29"/>
  <c r="P63" i="29"/>
  <c r="O54" i="29"/>
  <c r="O53" i="29"/>
  <c r="S51" i="29"/>
  <c r="S52" i="29"/>
  <c r="S53" i="29"/>
  <c r="S54" i="29"/>
  <c r="S55" i="29"/>
  <c r="S56" i="29"/>
  <c r="P51" i="29"/>
  <c r="P52" i="29"/>
  <c r="P53" i="29"/>
  <c r="P54" i="29"/>
  <c r="P55" i="29"/>
  <c r="P56" i="29"/>
  <c r="P57" i="29"/>
  <c r="A55" i="29"/>
  <c r="N55" i="29"/>
  <c r="Q55" i="29"/>
  <c r="A52" i="29"/>
  <c r="N52" i="29"/>
  <c r="Q52" i="29"/>
  <c r="A44" i="29"/>
  <c r="A54" i="29"/>
  <c r="A56" i="29"/>
  <c r="A57" i="29"/>
  <c r="A58" i="29"/>
  <c r="A59" i="29"/>
  <c r="A60" i="29"/>
  <c r="A61" i="29"/>
  <c r="A62" i="29"/>
  <c r="A63" i="29"/>
  <c r="A64" i="29"/>
  <c r="A65" i="29"/>
  <c r="A66" i="29"/>
  <c r="A67" i="29"/>
  <c r="A68" i="29"/>
  <c r="A69" i="29"/>
  <c r="A70" i="29"/>
  <c r="A71" i="29"/>
  <c r="A72" i="29"/>
  <c r="A73" i="29"/>
  <c r="A74" i="29"/>
  <c r="A75" i="29"/>
  <c r="A76" i="29"/>
  <c r="A77" i="29"/>
  <c r="A78" i="29"/>
  <c r="A79" i="29"/>
  <c r="A80" i="29"/>
  <c r="N56" i="29"/>
  <c r="N57" i="29"/>
  <c r="N58" i="29"/>
  <c r="N59" i="29"/>
  <c r="N60" i="29"/>
  <c r="N61" i="29"/>
  <c r="N62" i="29"/>
  <c r="N63" i="29"/>
  <c r="N64" i="29"/>
  <c r="N65" i="29"/>
  <c r="N66" i="29"/>
  <c r="N67" i="29"/>
  <c r="N68" i="29"/>
  <c r="N69" i="29"/>
  <c r="N70" i="29"/>
  <c r="N71" i="29"/>
  <c r="N72" i="29"/>
  <c r="N73" i="29"/>
  <c r="N74" i="29"/>
  <c r="N75" i="29"/>
  <c r="N76" i="29"/>
  <c r="N77" i="29"/>
  <c r="N78" i="29"/>
  <c r="N79" i="29"/>
  <c r="N80" i="29"/>
  <c r="Q56" i="29"/>
  <c r="Q57" i="29"/>
  <c r="Q58" i="29"/>
  <c r="Q59" i="29"/>
  <c r="Q60" i="29"/>
  <c r="Q61" i="29"/>
  <c r="Q62" i="29"/>
  <c r="Q63" i="29"/>
  <c r="Q64" i="29"/>
  <c r="Q65" i="29"/>
  <c r="Q66" i="29"/>
  <c r="Q67" i="29"/>
  <c r="Q68" i="29"/>
  <c r="Q69" i="29"/>
  <c r="Q70" i="29"/>
  <c r="Q71" i="29"/>
  <c r="Q72" i="29"/>
  <c r="Q73" i="29"/>
  <c r="Q74" i="29"/>
  <c r="Q75" i="29"/>
  <c r="Q76" i="29"/>
  <c r="Q77" i="29"/>
  <c r="Q78" i="29"/>
  <c r="Q79" i="29"/>
  <c r="Q80" i="29"/>
  <c r="F232" i="28" l="1"/>
  <c r="F231" i="28"/>
  <c r="F230" i="28"/>
  <c r="F229" i="28"/>
  <c r="F228" i="28"/>
  <c r="F227" i="28"/>
  <c r="F226" i="28"/>
  <c r="F225" i="28"/>
  <c r="F224" i="28"/>
  <c r="F223" i="28"/>
  <c r="F222" i="28"/>
  <c r="F221" i="28"/>
  <c r="F220" i="28"/>
  <c r="F219" i="28"/>
  <c r="F218" i="28"/>
  <c r="F217" i="28"/>
  <c r="F216" i="28"/>
  <c r="F215" i="28"/>
  <c r="A222" i="28"/>
  <c r="A223" i="28"/>
  <c r="A224" i="28"/>
  <c r="A225" i="28"/>
  <c r="A226" i="28"/>
  <c r="A227" i="28"/>
  <c r="A228" i="28"/>
  <c r="A229" i="28"/>
  <c r="A230" i="28"/>
  <c r="A231" i="28"/>
  <c r="A232" i="28"/>
  <c r="A233" i="28"/>
  <c r="A234" i="28"/>
  <c r="A235" i="28"/>
  <c r="A236" i="28"/>
  <c r="A237" i="28"/>
  <c r="A238" i="28"/>
  <c r="A239" i="28"/>
  <c r="A240" i="28"/>
  <c r="A241" i="28"/>
  <c r="A242" i="28"/>
  <c r="A243" i="28"/>
  <c r="H222" i="28"/>
  <c r="H223" i="28"/>
  <c r="H224" i="28"/>
  <c r="H225" i="28"/>
  <c r="K225" i="28" s="1"/>
  <c r="H226" i="28"/>
  <c r="K226" i="28" s="1"/>
  <c r="H227" i="28"/>
  <c r="H228" i="28"/>
  <c r="J228" i="28" s="1"/>
  <c r="H229" i="28"/>
  <c r="K229" i="28" s="1"/>
  <c r="H230" i="28"/>
  <c r="J230" i="28" s="1"/>
  <c r="H231" i="28"/>
  <c r="H232" i="28"/>
  <c r="J232" i="28" s="1"/>
  <c r="H233" i="28"/>
  <c r="J233" i="28" s="1"/>
  <c r="H234" i="28"/>
  <c r="J234" i="28" s="1"/>
  <c r="H235" i="28"/>
  <c r="J235" i="28" s="1"/>
  <c r="H236" i="28"/>
  <c r="J236" i="28" s="1"/>
  <c r="H237" i="28"/>
  <c r="J237" i="28" s="1"/>
  <c r="H238" i="28"/>
  <c r="J238" i="28" s="1"/>
  <c r="H239" i="28"/>
  <c r="J239" i="28" s="1"/>
  <c r="H240" i="28"/>
  <c r="J240" i="28" s="1"/>
  <c r="H241" i="28"/>
  <c r="J241" i="28" s="1"/>
  <c r="H242" i="28"/>
  <c r="K242" i="28" s="1"/>
  <c r="H243" i="28"/>
  <c r="J243" i="28" s="1"/>
  <c r="H244" i="28"/>
  <c r="J244" i="28" s="1"/>
  <c r="J222" i="28"/>
  <c r="J223" i="28"/>
  <c r="J224" i="28"/>
  <c r="J231" i="28"/>
  <c r="K222" i="28"/>
  <c r="K223" i="28"/>
  <c r="K224" i="28"/>
  <c r="K231" i="28"/>
  <c r="L222" i="28"/>
  <c r="L223" i="28"/>
  <c r="L224" i="28"/>
  <c r="L225" i="28"/>
  <c r="L226" i="28"/>
  <c r="L227" i="28"/>
  <c r="L228" i="28"/>
  <c r="L229" i="28"/>
  <c r="L230" i="28"/>
  <c r="L231" i="28"/>
  <c r="L232" i="28"/>
  <c r="L233" i="28"/>
  <c r="L234" i="28"/>
  <c r="L235" i="28"/>
  <c r="L236" i="28"/>
  <c r="L237" i="28"/>
  <c r="L238" i="28"/>
  <c r="L239" i="28"/>
  <c r="L240" i="28"/>
  <c r="L241" i="28"/>
  <c r="L242" i="28"/>
  <c r="L243" i="28"/>
  <c r="L244" i="28"/>
  <c r="Q58" i="26"/>
  <c r="Q59" i="26"/>
  <c r="Q60" i="26"/>
  <c r="Q61" i="26"/>
  <c r="Q62" i="26"/>
  <c r="Q63" i="26"/>
  <c r="P58" i="26"/>
  <c r="P59" i="26"/>
  <c r="P60" i="26"/>
  <c r="P61" i="26"/>
  <c r="P62" i="26"/>
  <c r="P63" i="26"/>
  <c r="O61" i="26"/>
  <c r="N59" i="26"/>
  <c r="O59" i="26" s="1"/>
  <c r="N60" i="26"/>
  <c r="O60" i="26" s="1"/>
  <c r="N61" i="26"/>
  <c r="N63" i="26"/>
  <c r="O63" i="26" s="1"/>
  <c r="M58" i="26"/>
  <c r="M59" i="26"/>
  <c r="M60" i="26"/>
  <c r="M62" i="26"/>
  <c r="M63" i="26"/>
  <c r="L58" i="26"/>
  <c r="L59" i="26"/>
  <c r="L60" i="26"/>
  <c r="L61" i="26"/>
  <c r="L62" i="26"/>
  <c r="L63" i="26"/>
  <c r="K59" i="26"/>
  <c r="J60" i="26"/>
  <c r="J61" i="26"/>
  <c r="I60" i="26"/>
  <c r="I61" i="26"/>
  <c r="H60" i="26"/>
  <c r="H61" i="26"/>
  <c r="G58" i="26"/>
  <c r="G60" i="26"/>
  <c r="G61" i="26"/>
  <c r="G62" i="26"/>
  <c r="K239" i="28" l="1"/>
  <c r="K235" i="28"/>
  <c r="K243" i="28"/>
  <c r="K240" i="28"/>
  <c r="K234" i="28"/>
  <c r="J242" i="28"/>
  <c r="K238" i="28"/>
  <c r="K236" i="28"/>
  <c r="K244" i="28"/>
  <c r="K61" i="26"/>
  <c r="M61" i="26" s="1"/>
  <c r="K232" i="28"/>
  <c r="K230" i="28"/>
  <c r="J229" i="28"/>
  <c r="K228" i="28"/>
  <c r="K227" i="28"/>
  <c r="J226" i="28"/>
  <c r="J225" i="28"/>
  <c r="K241" i="28"/>
  <c r="K237" i="28"/>
  <c r="K233" i="28"/>
  <c r="K60" i="26"/>
  <c r="N62" i="26"/>
  <c r="O62" i="26" s="1"/>
  <c r="K63" i="26"/>
  <c r="J62" i="26"/>
  <c r="H62" i="26" l="1"/>
  <c r="I62" i="26"/>
  <c r="I66" i="26"/>
  <c r="J66" i="26"/>
  <c r="H66" i="26"/>
  <c r="H63" i="26"/>
  <c r="J63" i="26"/>
  <c r="I63" i="26"/>
  <c r="G63" i="26"/>
  <c r="K62" i="26"/>
  <c r="K66" i="26" l="1"/>
  <c r="A60" i="26" l="1"/>
  <c r="A61" i="26"/>
  <c r="A62" i="26"/>
  <c r="A63" i="26"/>
  <c r="A64" i="26"/>
  <c r="A65" i="26"/>
  <c r="R60" i="26"/>
  <c r="R61" i="26"/>
  <c r="R62" i="26"/>
  <c r="R63" i="26"/>
  <c r="R64" i="26"/>
  <c r="R65" i="26"/>
  <c r="R66" i="26"/>
  <c r="L203" i="28"/>
  <c r="L204" i="28"/>
  <c r="L205" i="28"/>
  <c r="L206" i="28"/>
  <c r="L207" i="28"/>
  <c r="L208" i="28"/>
  <c r="L209" i="28"/>
  <c r="L210" i="28"/>
  <c r="L211" i="28"/>
  <c r="L212" i="28"/>
  <c r="L213" i="28"/>
  <c r="L214" i="28"/>
  <c r="H203" i="28"/>
  <c r="H204" i="28"/>
  <c r="H205" i="28"/>
  <c r="H206" i="28"/>
  <c r="H207" i="28"/>
  <c r="H208" i="28"/>
  <c r="J208" i="28" s="1"/>
  <c r="H209" i="28"/>
  <c r="J209" i="28" s="1"/>
  <c r="H210" i="28"/>
  <c r="J210" i="28" s="1"/>
  <c r="H211" i="28"/>
  <c r="J211" i="28" s="1"/>
  <c r="H212" i="28"/>
  <c r="J212" i="28" s="1"/>
  <c r="H213" i="28"/>
  <c r="H214" i="28"/>
  <c r="J214" i="28" s="1"/>
  <c r="H215" i="28"/>
  <c r="J215" i="28" s="1"/>
  <c r="H216" i="28"/>
  <c r="J216" i="28" s="1"/>
  <c r="H217" i="28"/>
  <c r="J217" i="28" s="1"/>
  <c r="H218" i="28"/>
  <c r="J218" i="28" s="1"/>
  <c r="H219" i="28"/>
  <c r="J219" i="28" s="1"/>
  <c r="H220" i="28"/>
  <c r="J220" i="28" s="1"/>
  <c r="H221" i="28"/>
  <c r="J221" i="28" s="1"/>
  <c r="F214" i="28"/>
  <c r="F213" i="28"/>
  <c r="F212" i="28"/>
  <c r="F211" i="28"/>
  <c r="F210" i="28"/>
  <c r="F209" i="28"/>
  <c r="F208" i="28"/>
  <c r="F207" i="28"/>
  <c r="F206" i="28"/>
  <c r="F205" i="28"/>
  <c r="F204" i="28"/>
  <c r="F203" i="28"/>
  <c r="F202" i="28"/>
  <c r="F201" i="28"/>
  <c r="A208" i="28"/>
  <c r="A209" i="28"/>
  <c r="A210" i="28"/>
  <c r="A211" i="28"/>
  <c r="A212" i="28"/>
  <c r="A213" i="28"/>
  <c r="A214" i="28"/>
  <c r="A215" i="28"/>
  <c r="A216" i="28"/>
  <c r="A217" i="28"/>
  <c r="A218" i="28"/>
  <c r="A219" i="28"/>
  <c r="A220" i="28"/>
  <c r="J213" i="28"/>
  <c r="K213" i="28"/>
  <c r="L215" i="28"/>
  <c r="L216" i="28"/>
  <c r="L217" i="28"/>
  <c r="L218" i="28"/>
  <c r="L219" i="28"/>
  <c r="L220" i="28"/>
  <c r="L221" i="28"/>
  <c r="K55" i="26"/>
  <c r="J55" i="26" s="1"/>
  <c r="L55" i="26"/>
  <c r="M55" i="26"/>
  <c r="N55" i="26"/>
  <c r="O55" i="26" s="1"/>
  <c r="P55" i="26"/>
  <c r="Q55" i="26"/>
  <c r="G56" i="26"/>
  <c r="H56" i="26"/>
  <c r="I56" i="26"/>
  <c r="J56" i="26"/>
  <c r="L56" i="26"/>
  <c r="M56" i="26"/>
  <c r="N56" i="26"/>
  <c r="O56" i="26" s="1"/>
  <c r="P56" i="26"/>
  <c r="Q56" i="26"/>
  <c r="G57" i="26"/>
  <c r="H57" i="26"/>
  <c r="I57" i="26"/>
  <c r="J57" i="26"/>
  <c r="L57" i="26"/>
  <c r="N57" i="26"/>
  <c r="O57" i="26"/>
  <c r="P57" i="26"/>
  <c r="Q57" i="26"/>
  <c r="G54" i="26"/>
  <c r="L54" i="26"/>
  <c r="M54" i="26"/>
  <c r="P54" i="26"/>
  <c r="Q54" i="26"/>
  <c r="G53" i="26"/>
  <c r="H53" i="26"/>
  <c r="I53" i="26"/>
  <c r="J53" i="26"/>
  <c r="L53" i="26"/>
  <c r="N53" i="26"/>
  <c r="O53" i="26"/>
  <c r="P53" i="26"/>
  <c r="Q53" i="26"/>
  <c r="G52" i="26"/>
  <c r="H52" i="26"/>
  <c r="I52" i="26"/>
  <c r="J52" i="26"/>
  <c r="L52" i="26"/>
  <c r="M52" i="26"/>
  <c r="N52" i="26"/>
  <c r="O52" i="26" s="1"/>
  <c r="P52" i="26"/>
  <c r="Q52" i="26"/>
  <c r="K53" i="26" l="1"/>
  <c r="M53" i="26" s="1"/>
  <c r="G55" i="26"/>
  <c r="I55" i="26"/>
  <c r="H55" i="26"/>
  <c r="K219" i="28"/>
  <c r="K218" i="28"/>
  <c r="K217" i="28"/>
  <c r="K221" i="28"/>
  <c r="K214" i="28"/>
  <c r="K211" i="28"/>
  <c r="K209" i="28"/>
  <c r="K208" i="28"/>
  <c r="K215" i="28"/>
  <c r="K216" i="28"/>
  <c r="K210" i="28"/>
  <c r="K212" i="28"/>
  <c r="K220" i="28"/>
  <c r="K56" i="26"/>
  <c r="K57" i="26"/>
  <c r="N58" i="26" s="1"/>
  <c r="O58" i="26" s="1"/>
  <c r="K52" i="26"/>
  <c r="N54" i="26" l="1"/>
  <c r="O54" i="26" s="1"/>
  <c r="J54" i="26"/>
  <c r="H54" i="26"/>
  <c r="H58" i="26"/>
  <c r="I58" i="26"/>
  <c r="J58" i="26"/>
  <c r="I54" i="26"/>
  <c r="K54" i="26" s="1"/>
  <c r="M57" i="26"/>
  <c r="K58" i="26" l="1"/>
  <c r="F200" i="28"/>
  <c r="F199" i="28"/>
  <c r="F198" i="28"/>
  <c r="F197" i="28"/>
  <c r="F196" i="28"/>
  <c r="F195" i="28"/>
  <c r="F194" i="28"/>
  <c r="F193" i="28"/>
  <c r="F192" i="28"/>
  <c r="F191" i="28"/>
  <c r="F190" i="28"/>
  <c r="F189" i="28"/>
  <c r="F188" i="28"/>
  <c r="F187" i="28"/>
  <c r="F186" i="28"/>
  <c r="F185" i="28"/>
  <c r="F184" i="28"/>
  <c r="F183" i="28"/>
  <c r="A195" i="28"/>
  <c r="A196" i="28"/>
  <c r="A197" i="28"/>
  <c r="A198" i="28"/>
  <c r="A199" i="28"/>
  <c r="A200" i="28"/>
  <c r="A201" i="28"/>
  <c r="A202" i="28"/>
  <c r="A203" i="28"/>
  <c r="A204" i="28"/>
  <c r="A205" i="28"/>
  <c r="A206" i="28"/>
  <c r="H195" i="28"/>
  <c r="J195" i="28" s="1"/>
  <c r="H196" i="28"/>
  <c r="J196" i="28" s="1"/>
  <c r="H197" i="28"/>
  <c r="J197" i="28" s="1"/>
  <c r="H198" i="28"/>
  <c r="J198" i="28" s="1"/>
  <c r="H199" i="28"/>
  <c r="J199" i="28" s="1"/>
  <c r="H200" i="28"/>
  <c r="K200" i="28" s="1"/>
  <c r="H201" i="28"/>
  <c r="K201" i="28" s="1"/>
  <c r="H202" i="28"/>
  <c r="J202" i="28" s="1"/>
  <c r="J203" i="28"/>
  <c r="K204" i="28"/>
  <c r="K205" i="28"/>
  <c r="K206" i="28"/>
  <c r="J207" i="28"/>
  <c r="L195" i="28"/>
  <c r="L196" i="28"/>
  <c r="L197" i="28"/>
  <c r="L198" i="28"/>
  <c r="L199" i="28"/>
  <c r="L200" i="28"/>
  <c r="L201" i="28"/>
  <c r="L202" i="28"/>
  <c r="J205" i="28" l="1"/>
  <c r="K202" i="28"/>
  <c r="J206" i="28"/>
  <c r="J201" i="28"/>
  <c r="J204" i="28"/>
  <c r="K197" i="28"/>
  <c r="J200" i="28"/>
  <c r="K198" i="28"/>
  <c r="K196" i="28"/>
  <c r="K207" i="28"/>
  <c r="K203" i="28"/>
  <c r="K199" i="28"/>
  <c r="K195" i="28"/>
  <c r="O50" i="29" l="1"/>
  <c r="O47" i="29"/>
  <c r="S48" i="29"/>
  <c r="S49" i="29"/>
  <c r="S50" i="29"/>
  <c r="S45" i="29"/>
  <c r="S46" i="29"/>
  <c r="S47" i="29"/>
  <c r="P45" i="29"/>
  <c r="P46" i="29"/>
  <c r="P47" i="29"/>
  <c r="P48" i="29"/>
  <c r="P49" i="29"/>
  <c r="P50" i="29"/>
  <c r="G50" i="26" l="1"/>
  <c r="L50" i="26"/>
  <c r="M50" i="26"/>
  <c r="P50" i="26"/>
  <c r="Q50" i="26"/>
  <c r="K51" i="26"/>
  <c r="H51" i="26" s="1"/>
  <c r="L51" i="26"/>
  <c r="M51" i="26"/>
  <c r="N51" i="26"/>
  <c r="O51" i="26" s="1"/>
  <c r="P51" i="26"/>
  <c r="Q51" i="26"/>
  <c r="A51" i="26"/>
  <c r="A52" i="26"/>
  <c r="A53" i="26"/>
  <c r="A54" i="26"/>
  <c r="A55" i="26"/>
  <c r="A56" i="26"/>
  <c r="A57" i="26"/>
  <c r="A58" i="26"/>
  <c r="R51" i="26"/>
  <c r="R52" i="26"/>
  <c r="R54" i="26"/>
  <c r="R55" i="26"/>
  <c r="R56" i="26"/>
  <c r="R57" i="26"/>
  <c r="R58" i="26"/>
  <c r="R59" i="26"/>
  <c r="A158" i="28"/>
  <c r="F158" i="28"/>
  <c r="H158" i="28"/>
  <c r="K158" i="28" s="1"/>
  <c r="L158" i="28"/>
  <c r="A159" i="28"/>
  <c r="F159" i="28"/>
  <c r="H159" i="28"/>
  <c r="K159" i="28" s="1"/>
  <c r="L159" i="28"/>
  <c r="A180" i="28"/>
  <c r="F180" i="28"/>
  <c r="H180" i="28"/>
  <c r="K180" i="28" s="1"/>
  <c r="L180" i="28"/>
  <c r="J51" i="26" l="1"/>
  <c r="R53" i="26"/>
  <c r="G51" i="26"/>
  <c r="I51" i="26"/>
  <c r="J158" i="28"/>
  <c r="J159" i="28"/>
  <c r="J180" i="28"/>
  <c r="S43" i="29" l="1"/>
  <c r="S44" i="29"/>
  <c r="P43" i="29"/>
  <c r="P44" i="29"/>
  <c r="A45" i="29"/>
  <c r="A46" i="29"/>
  <c r="A47" i="29"/>
  <c r="A48" i="29"/>
  <c r="A49" i="29"/>
  <c r="A50" i="29"/>
  <c r="A51" i="29"/>
  <c r="A53" i="29"/>
  <c r="N45" i="29"/>
  <c r="N46" i="29"/>
  <c r="N47" i="29"/>
  <c r="N48" i="29"/>
  <c r="N49" i="29"/>
  <c r="N50" i="29"/>
  <c r="N51" i="29"/>
  <c r="N53" i="29"/>
  <c r="N54" i="29"/>
  <c r="Q45" i="29"/>
  <c r="Q46" i="29"/>
  <c r="Q47" i="29"/>
  <c r="Q48" i="29"/>
  <c r="Q49" i="29"/>
  <c r="Q50" i="29"/>
  <c r="Q51" i="29"/>
  <c r="Q53" i="29"/>
  <c r="Q54" i="29"/>
  <c r="N36" i="29"/>
  <c r="N37" i="29"/>
  <c r="N38" i="29"/>
  <c r="N39" i="29"/>
  <c r="N40" i="29"/>
  <c r="N41" i="29"/>
  <c r="N42" i="29"/>
  <c r="N35" i="29"/>
  <c r="O38" i="29"/>
  <c r="O37" i="29"/>
  <c r="O33" i="29"/>
  <c r="O32" i="29"/>
  <c r="M42" i="26" l="1"/>
  <c r="M43" i="26"/>
  <c r="M44" i="26"/>
  <c r="M46" i="26"/>
  <c r="M47" i="26"/>
  <c r="M48" i="26"/>
  <c r="H168" i="28"/>
  <c r="F168" i="28"/>
  <c r="H167" i="28"/>
  <c r="F167" i="28"/>
  <c r="H166" i="28"/>
  <c r="F166" i="28"/>
  <c r="H165" i="28"/>
  <c r="F165" i="28"/>
  <c r="H164" i="28"/>
  <c r="F164" i="28"/>
  <c r="H163" i="28"/>
  <c r="F163" i="28"/>
  <c r="H162" i="28"/>
  <c r="F162" i="28"/>
  <c r="H161" i="28"/>
  <c r="F161" i="28"/>
  <c r="H160" i="28"/>
  <c r="F160" i="28"/>
  <c r="H157" i="28"/>
  <c r="F157" i="28"/>
  <c r="H156" i="28"/>
  <c r="F156" i="28"/>
  <c r="H155" i="28"/>
  <c r="F155" i="28"/>
  <c r="F154" i="28" l="1"/>
  <c r="F153" i="28"/>
  <c r="F152" i="28"/>
  <c r="F151" i="28"/>
  <c r="F150" i="28"/>
  <c r="F149" i="28"/>
  <c r="F148" i="28"/>
  <c r="F147" i="28"/>
  <c r="F146" i="28"/>
  <c r="F145" i="28"/>
  <c r="F144" i="28"/>
  <c r="F143" i="28"/>
  <c r="F142" i="28"/>
  <c r="F141" i="28"/>
  <c r="F140" i="28"/>
  <c r="F139" i="28"/>
  <c r="F138" i="28"/>
  <c r="F137" i="28"/>
  <c r="L137" i="28"/>
  <c r="L138" i="28"/>
  <c r="L139" i="28"/>
  <c r="L140" i="28"/>
  <c r="L141" i="28"/>
  <c r="L142" i="28"/>
  <c r="L143" i="28"/>
  <c r="L144" i="28"/>
  <c r="H137" i="28"/>
  <c r="K137" i="28" s="1"/>
  <c r="H138" i="28"/>
  <c r="K138" i="28" s="1"/>
  <c r="H139" i="28"/>
  <c r="K139" i="28" s="1"/>
  <c r="H140" i="28"/>
  <c r="J140" i="28" s="1"/>
  <c r="H141" i="28"/>
  <c r="K141" i="28" s="1"/>
  <c r="H142" i="28"/>
  <c r="K142" i="28" s="1"/>
  <c r="H143" i="28"/>
  <c r="K143" i="28" s="1"/>
  <c r="H144" i="28"/>
  <c r="J144" i="28" s="1"/>
  <c r="H145" i="28"/>
  <c r="K145" i="28" s="1"/>
  <c r="H146" i="28"/>
  <c r="K140" i="28" l="1"/>
  <c r="J143" i="28"/>
  <c r="J139" i="28"/>
  <c r="K144" i="28"/>
  <c r="J142" i="28"/>
  <c r="J138" i="28"/>
  <c r="J141" i="28"/>
  <c r="J137" i="28"/>
  <c r="I131" i="28" l="1"/>
  <c r="I136" i="28"/>
  <c r="H136" i="28" s="1"/>
  <c r="I135" i="28"/>
  <c r="H135" i="28" s="1"/>
  <c r="J135" i="28" s="1"/>
  <c r="I127" i="28"/>
  <c r="I126" i="28"/>
  <c r="J134" i="28"/>
  <c r="K134" i="28"/>
  <c r="H133" i="28"/>
  <c r="K133" i="28" s="1"/>
  <c r="I125" i="28"/>
  <c r="H125" i="28" s="1"/>
  <c r="J125" i="28" s="1"/>
  <c r="F136" i="28"/>
  <c r="F135" i="28"/>
  <c r="F134" i="28"/>
  <c r="F133" i="28"/>
  <c r="F132" i="28"/>
  <c r="F131" i="28"/>
  <c r="F130" i="28"/>
  <c r="F129" i="28"/>
  <c r="F128" i="28"/>
  <c r="F127" i="28"/>
  <c r="F126" i="28"/>
  <c r="F125" i="28"/>
  <c r="H215" i="27"/>
  <c r="H213" i="27"/>
  <c r="H218" i="27"/>
  <c r="H216" i="27"/>
  <c r="H224" i="27"/>
  <c r="H222" i="27"/>
  <c r="H206" i="27"/>
  <c r="H204" i="27"/>
  <c r="L136" i="28" s="1"/>
  <c r="H209" i="27"/>
  <c r="H207" i="27"/>
  <c r="H134" i="28" l="1"/>
  <c r="H130" i="28"/>
  <c r="K130" i="28" s="1"/>
  <c r="H126" i="28"/>
  <c r="J126" i="28" s="1"/>
  <c r="L130" i="28"/>
  <c r="L126" i="28"/>
  <c r="H129" i="28"/>
  <c r="J129" i="28" s="1"/>
  <c r="L135" i="28"/>
  <c r="L133" i="28"/>
  <c r="L129" i="28"/>
  <c r="L125" i="28"/>
  <c r="H132" i="28"/>
  <c r="J132" i="28" s="1"/>
  <c r="H128" i="28"/>
  <c r="K128" i="28" s="1"/>
  <c r="L134" i="28"/>
  <c r="L132" i="28"/>
  <c r="L128" i="28"/>
  <c r="H131" i="28"/>
  <c r="J131" i="28" s="1"/>
  <c r="H127" i="28"/>
  <c r="J127" i="28" s="1"/>
  <c r="L131" i="28"/>
  <c r="L127" i="28"/>
  <c r="J136" i="28"/>
  <c r="K136" i="28"/>
  <c r="K129" i="28"/>
  <c r="K125" i="28"/>
  <c r="K135" i="28"/>
  <c r="J133" i="28"/>
  <c r="J130" i="28"/>
  <c r="K127" i="28"/>
  <c r="K132" i="28" l="1"/>
  <c r="K126" i="28"/>
  <c r="K131" i="28"/>
  <c r="J128" i="28"/>
  <c r="S28" i="29"/>
  <c r="S29" i="29"/>
  <c r="S30" i="29"/>
  <c r="S31" i="29"/>
  <c r="S32" i="29"/>
  <c r="S33" i="29"/>
  <c r="S34" i="29"/>
  <c r="S35" i="29"/>
  <c r="S36" i="29"/>
  <c r="S37" i="29"/>
  <c r="Q28" i="29"/>
  <c r="Q29" i="29"/>
  <c r="Q30" i="29"/>
  <c r="Q31" i="29"/>
  <c r="Q32" i="29"/>
  <c r="Q33" i="29"/>
  <c r="Q34" i="29"/>
  <c r="Q35" i="29"/>
  <c r="Q36" i="29"/>
  <c r="Q37" i="29"/>
  <c r="N28" i="29"/>
  <c r="N29" i="29"/>
  <c r="N30" i="29"/>
  <c r="N31" i="29"/>
  <c r="N32" i="29"/>
  <c r="N33" i="29"/>
  <c r="N34" i="29"/>
  <c r="P26" i="29"/>
  <c r="A26" i="29"/>
  <c r="N26" i="29"/>
  <c r="Q26" i="29"/>
  <c r="S24" i="29"/>
  <c r="Q24" i="29"/>
  <c r="P24" i="29"/>
  <c r="A24" i="29"/>
  <c r="N24" i="29"/>
  <c r="S23" i="29"/>
  <c r="S25" i="29"/>
  <c r="S27" i="29"/>
  <c r="S38" i="29"/>
  <c r="S39" i="29"/>
  <c r="S40" i="29"/>
  <c r="S41" i="29"/>
  <c r="S42" i="29"/>
  <c r="Q23" i="29"/>
  <c r="Q25" i="29"/>
  <c r="Q27" i="29"/>
  <c r="Q38" i="29"/>
  <c r="Q39" i="29"/>
  <c r="Q40" i="29"/>
  <c r="Q41" i="29"/>
  <c r="Q42" i="29"/>
  <c r="P23" i="29"/>
  <c r="P25" i="29"/>
  <c r="P27" i="29"/>
  <c r="P28" i="29"/>
  <c r="P29" i="29"/>
  <c r="P30" i="29"/>
  <c r="P31" i="29"/>
  <c r="P32" i="29"/>
  <c r="P33" i="29"/>
  <c r="P34" i="29"/>
  <c r="P35" i="29"/>
  <c r="P36" i="29"/>
  <c r="P37" i="29"/>
  <c r="P38" i="29"/>
  <c r="P39" i="29"/>
  <c r="P40" i="29"/>
  <c r="P41" i="29"/>
  <c r="N23" i="29"/>
  <c r="N25" i="29"/>
  <c r="N27" i="29"/>
  <c r="A27" i="29"/>
  <c r="A28" i="29"/>
  <c r="A29" i="29"/>
  <c r="A30" i="29"/>
  <c r="A31" i="29"/>
  <c r="A32" i="29"/>
  <c r="A33" i="29"/>
  <c r="A34" i="29"/>
  <c r="A35" i="29"/>
  <c r="A36" i="29"/>
  <c r="A37" i="29"/>
  <c r="A38" i="29"/>
  <c r="A39" i="29"/>
  <c r="A40" i="29"/>
  <c r="A41" i="29"/>
  <c r="H113" i="28" l="1"/>
  <c r="J113" i="28" s="1"/>
  <c r="H114" i="28"/>
  <c r="K114" i="28" s="1"/>
  <c r="H115" i="28"/>
  <c r="H116" i="28"/>
  <c r="K116" i="28" s="1"/>
  <c r="H117" i="28"/>
  <c r="K117" i="28" s="1"/>
  <c r="H118" i="28"/>
  <c r="J118" i="28" s="1"/>
  <c r="H119" i="28"/>
  <c r="H120" i="28"/>
  <c r="J120" i="28" s="1"/>
  <c r="H121" i="28"/>
  <c r="J121" i="28" s="1"/>
  <c r="H122" i="28"/>
  <c r="K122" i="28" s="1"/>
  <c r="H123" i="28"/>
  <c r="H124" i="28"/>
  <c r="K124" i="28" s="1"/>
  <c r="H111" i="28"/>
  <c r="K111" i="28" s="1"/>
  <c r="H112" i="28"/>
  <c r="J112" i="28" s="1"/>
  <c r="K115" i="28"/>
  <c r="L111" i="28"/>
  <c r="L112" i="28"/>
  <c r="K113" i="28"/>
  <c r="L113" i="28"/>
  <c r="L114" i="28"/>
  <c r="L115" i="28"/>
  <c r="L116" i="28"/>
  <c r="L117" i="28"/>
  <c r="L118" i="28"/>
  <c r="K119" i="28"/>
  <c r="L119" i="28"/>
  <c r="L120" i="28"/>
  <c r="L121" i="28"/>
  <c r="L122" i="28"/>
  <c r="J123" i="28"/>
  <c r="K123" i="28"/>
  <c r="L123" i="28"/>
  <c r="L124" i="28"/>
  <c r="F124" i="28"/>
  <c r="F123" i="28"/>
  <c r="F122" i="28"/>
  <c r="F121" i="28"/>
  <c r="F120" i="28"/>
  <c r="F119" i="28"/>
  <c r="F118" i="28"/>
  <c r="F117" i="28"/>
  <c r="F116" i="28"/>
  <c r="F115" i="28"/>
  <c r="F114" i="28"/>
  <c r="F113" i="28"/>
  <c r="F112" i="28"/>
  <c r="F111" i="28"/>
  <c r="F110" i="28"/>
  <c r="F109" i="28"/>
  <c r="F108" i="28"/>
  <c r="F107" i="28"/>
  <c r="J111" i="28" l="1"/>
  <c r="K112" i="28"/>
  <c r="J124" i="28"/>
  <c r="J122" i="28"/>
  <c r="K121" i="28"/>
  <c r="K120" i="28"/>
  <c r="K118" i="28"/>
  <c r="J117" i="28"/>
  <c r="J116" i="28"/>
  <c r="J115" i="28"/>
  <c r="J114" i="28"/>
  <c r="M32" i="26" l="1"/>
  <c r="M31" i="26"/>
  <c r="M30" i="26"/>
  <c r="M28" i="26"/>
  <c r="M27" i="26"/>
  <c r="M26" i="26"/>
  <c r="M24" i="26"/>
  <c r="K105" i="28"/>
  <c r="H87" i="28"/>
  <c r="H88" i="28"/>
  <c r="H89" i="28"/>
  <c r="H90" i="28"/>
  <c r="J90" i="28" s="1"/>
  <c r="H91" i="28"/>
  <c r="J91" i="28" s="1"/>
  <c r="H92" i="28"/>
  <c r="J92" i="28" s="1"/>
  <c r="H93" i="28"/>
  <c r="J93" i="28" s="1"/>
  <c r="H94" i="28"/>
  <c r="K94" i="28" s="1"/>
  <c r="H95" i="28"/>
  <c r="J95" i="28" s="1"/>
  <c r="H96" i="28"/>
  <c r="K96" i="28" s="1"/>
  <c r="H97" i="28"/>
  <c r="J97" i="28" s="1"/>
  <c r="H98" i="28"/>
  <c r="K98" i="28" s="1"/>
  <c r="H99" i="28"/>
  <c r="J99" i="28" s="1"/>
  <c r="H100" i="28"/>
  <c r="J100" i="28" s="1"/>
  <c r="H101" i="28"/>
  <c r="K101" i="28" s="1"/>
  <c r="H102" i="28"/>
  <c r="K102" i="28" s="1"/>
  <c r="H103" i="28"/>
  <c r="K103" i="28" s="1"/>
  <c r="H104" i="28"/>
  <c r="K104" i="28" s="1"/>
  <c r="H105" i="28"/>
  <c r="H106" i="28"/>
  <c r="K106" i="28" s="1"/>
  <c r="H107" i="28"/>
  <c r="K107" i="28" s="1"/>
  <c r="H108" i="28"/>
  <c r="K108" i="28" s="1"/>
  <c r="H109" i="28"/>
  <c r="K109" i="28" s="1"/>
  <c r="H110" i="28"/>
  <c r="K110" i="28" s="1"/>
  <c r="J86" i="28"/>
  <c r="J87" i="28"/>
  <c r="J88" i="28"/>
  <c r="J89" i="28"/>
  <c r="J105" i="28"/>
  <c r="K88" i="28"/>
  <c r="K89" i="28"/>
  <c r="L92" i="28"/>
  <c r="L93" i="28"/>
  <c r="L94" i="28"/>
  <c r="L95" i="28"/>
  <c r="L96" i="28"/>
  <c r="L97" i="28"/>
  <c r="L98" i="28"/>
  <c r="L99" i="28"/>
  <c r="L100" i="28"/>
  <c r="L101" i="28"/>
  <c r="L102" i="28"/>
  <c r="L103" i="28"/>
  <c r="L104" i="28"/>
  <c r="L105" i="28"/>
  <c r="L106" i="28"/>
  <c r="L107" i="28"/>
  <c r="L108" i="28"/>
  <c r="L109" i="28"/>
  <c r="L110" i="28"/>
  <c r="K97" i="28" l="1"/>
  <c r="J106" i="28"/>
  <c r="J94" i="28"/>
  <c r="K90" i="28"/>
  <c r="J110" i="28"/>
  <c r="J98" i="28"/>
  <c r="J102" i="28"/>
  <c r="K93" i="28"/>
  <c r="J101" i="28"/>
  <c r="J107" i="28"/>
  <c r="K92" i="28"/>
  <c r="J103" i="28"/>
  <c r="K100" i="28"/>
  <c r="K95" i="28"/>
  <c r="K91" i="28"/>
  <c r="K99" i="28"/>
  <c r="J108" i="28"/>
  <c r="J104" i="28"/>
  <c r="J96" i="28"/>
  <c r="F106" i="28"/>
  <c r="F105" i="28"/>
  <c r="F104" i="28"/>
  <c r="F103" i="28"/>
  <c r="F102" i="28"/>
  <c r="F101" i="28"/>
  <c r="F100" i="28"/>
  <c r="F99" i="28"/>
  <c r="F98" i="28"/>
  <c r="F97" i="28"/>
  <c r="F96" i="28"/>
  <c r="F95" i="28"/>
  <c r="F94" i="28"/>
  <c r="F93" i="28"/>
  <c r="F92" i="28"/>
  <c r="F91" i="28"/>
  <c r="F90" i="28"/>
  <c r="F89" i="28"/>
  <c r="S19" i="29" l="1"/>
  <c r="S20" i="29"/>
  <c r="S21" i="29"/>
  <c r="S22" i="29"/>
  <c r="P18" i="29"/>
  <c r="P19" i="29"/>
  <c r="P20" i="29"/>
  <c r="P21" i="29"/>
  <c r="P22" i="29"/>
  <c r="P42" i="29"/>
  <c r="L82" i="28" l="1"/>
  <c r="L83" i="28"/>
  <c r="L84" i="28"/>
  <c r="L85" i="28"/>
  <c r="L86" i="28"/>
  <c r="L87" i="28"/>
  <c r="L88" i="28"/>
  <c r="L89" i="28"/>
  <c r="L90" i="28"/>
  <c r="L91" i="28"/>
  <c r="K86" i="28" l="1"/>
  <c r="K75" i="28"/>
  <c r="H77" i="28"/>
  <c r="K77" i="28" s="1"/>
  <c r="H78" i="28"/>
  <c r="J78" i="28" s="1"/>
  <c r="H79" i="28"/>
  <c r="K79" i="28" s="1"/>
  <c r="H80" i="28"/>
  <c r="J80" i="28" s="1"/>
  <c r="H81" i="28"/>
  <c r="J81" i="28" s="1"/>
  <c r="H82" i="28"/>
  <c r="J82" i="28" s="1"/>
  <c r="H83" i="28"/>
  <c r="J83" i="28" s="1"/>
  <c r="H84" i="28"/>
  <c r="J84" i="28" s="1"/>
  <c r="H85" i="28"/>
  <c r="K85" i="28" s="1"/>
  <c r="H86" i="28"/>
  <c r="K87" i="28"/>
  <c r="F88" i="28"/>
  <c r="F87" i="28"/>
  <c r="F86" i="28"/>
  <c r="F85" i="28"/>
  <c r="F84" i="28"/>
  <c r="F83" i="28"/>
  <c r="F82" i="28"/>
  <c r="F81" i="28"/>
  <c r="F80" i="28"/>
  <c r="F79" i="28"/>
  <c r="F78" i="28"/>
  <c r="F77" i="28"/>
  <c r="H64" i="28"/>
  <c r="K64" i="28" s="1"/>
  <c r="H65" i="28"/>
  <c r="J65" i="28" s="1"/>
  <c r="H66" i="28"/>
  <c r="J66" i="28" s="1"/>
  <c r="H67" i="28"/>
  <c r="J67" i="28" s="1"/>
  <c r="H68" i="28"/>
  <c r="J68" i="28" s="1"/>
  <c r="H69" i="28"/>
  <c r="J69" i="28" s="1"/>
  <c r="H70" i="28"/>
  <c r="J70" i="28" s="1"/>
  <c r="H71" i="28"/>
  <c r="J71" i="28" s="1"/>
  <c r="H72" i="28"/>
  <c r="J72" i="28" s="1"/>
  <c r="H73" i="28"/>
  <c r="J73" i="28" s="1"/>
  <c r="H74" i="28"/>
  <c r="J74" i="28" s="1"/>
  <c r="H75" i="28"/>
  <c r="H76" i="28"/>
  <c r="J76" i="28" s="1"/>
  <c r="J64" i="28"/>
  <c r="L64" i="28"/>
  <c r="L65" i="28"/>
  <c r="L66" i="28"/>
  <c r="L67" i="28"/>
  <c r="L68" i="28"/>
  <c r="L69" i="28"/>
  <c r="L70" i="28"/>
  <c r="L71" i="28"/>
  <c r="L72" i="28"/>
  <c r="L73" i="28"/>
  <c r="L74" i="28"/>
  <c r="J75" i="28"/>
  <c r="L75" i="28"/>
  <c r="L76" i="28"/>
  <c r="L77" i="28"/>
  <c r="L78" i="28"/>
  <c r="L79" i="28"/>
  <c r="L80" i="28"/>
  <c r="L81" i="28"/>
  <c r="F76" i="28"/>
  <c r="F75" i="28"/>
  <c r="F74" i="28"/>
  <c r="F73" i="28"/>
  <c r="F72" i="28"/>
  <c r="F71" i="28"/>
  <c r="F70" i="28"/>
  <c r="F69" i="28"/>
  <c r="F68" i="28"/>
  <c r="F67" i="28"/>
  <c r="F66" i="28"/>
  <c r="F65" i="28"/>
  <c r="F64" i="28"/>
  <c r="M23" i="26"/>
  <c r="M22" i="26"/>
  <c r="M20" i="26"/>
  <c r="M19" i="26"/>
  <c r="M18" i="26"/>
  <c r="K71" i="28" l="1"/>
  <c r="K67" i="28"/>
  <c r="J77" i="28"/>
  <c r="K74" i="28"/>
  <c r="K70" i="28"/>
  <c r="K66" i="28"/>
  <c r="K73" i="28"/>
  <c r="K69" i="28"/>
  <c r="K65" i="28"/>
  <c r="K82" i="28"/>
  <c r="K76" i="28"/>
  <c r="K72" i="28"/>
  <c r="K68" i="28"/>
  <c r="K81" i="28"/>
  <c r="J85" i="28"/>
  <c r="K84" i="28"/>
  <c r="K83" i="28"/>
  <c r="K80" i="28"/>
  <c r="J79" i="28"/>
  <c r="K78" i="28"/>
  <c r="Q33" i="26" l="1"/>
  <c r="Q32" i="26"/>
  <c r="Q31" i="26"/>
  <c r="Q30" i="26"/>
  <c r="Q29" i="26"/>
  <c r="Q28" i="26"/>
  <c r="Q27" i="26"/>
  <c r="Q26" i="26"/>
  <c r="Q25" i="26"/>
  <c r="Q24" i="26"/>
  <c r="N49" i="26"/>
  <c r="N48" i="26"/>
  <c r="N47" i="26"/>
  <c r="N45" i="26"/>
  <c r="N44" i="26"/>
  <c r="N43" i="26"/>
  <c r="N41" i="26"/>
  <c r="N40" i="26"/>
  <c r="N39" i="26"/>
  <c r="N37" i="26"/>
  <c r="N36" i="26"/>
  <c r="N35" i="26"/>
  <c r="N33" i="26"/>
  <c r="N32" i="26"/>
  <c r="N31" i="26"/>
  <c r="N29" i="26"/>
  <c r="N28" i="26"/>
  <c r="N27" i="26"/>
  <c r="N25" i="26"/>
  <c r="N24" i="26"/>
  <c r="N23" i="26"/>
  <c r="N21" i="26"/>
  <c r="N20" i="26"/>
  <c r="N19" i="26"/>
  <c r="G25" i="26"/>
  <c r="G24" i="26"/>
  <c r="G22" i="26"/>
  <c r="G21" i="26"/>
  <c r="G20" i="26"/>
  <c r="G18" i="26"/>
  <c r="A3" i="26" l="1"/>
  <c r="K3" i="26"/>
  <c r="J3" i="26" s="1"/>
  <c r="L3" i="26"/>
  <c r="M3" i="26"/>
  <c r="N3" i="26"/>
  <c r="O3" i="26" s="1"/>
  <c r="P3" i="26"/>
  <c r="Q3" i="26"/>
  <c r="A4" i="26"/>
  <c r="G4" i="26"/>
  <c r="H4" i="26"/>
  <c r="I4" i="26"/>
  <c r="J4" i="26"/>
  <c r="L4" i="26"/>
  <c r="M4" i="26"/>
  <c r="N4" i="26"/>
  <c r="O4" i="26" s="1"/>
  <c r="P4" i="26"/>
  <c r="Q4" i="26"/>
  <c r="A5" i="26"/>
  <c r="G5" i="26"/>
  <c r="H5" i="26"/>
  <c r="I5" i="26"/>
  <c r="J5" i="26"/>
  <c r="L5" i="26"/>
  <c r="N5" i="26"/>
  <c r="O5" i="26"/>
  <c r="P5" i="26"/>
  <c r="Q5" i="26"/>
  <c r="A6" i="26"/>
  <c r="G6" i="26"/>
  <c r="L6" i="26"/>
  <c r="M6" i="26"/>
  <c r="P6" i="26"/>
  <c r="Q6" i="26"/>
  <c r="A7" i="26"/>
  <c r="K7" i="26"/>
  <c r="J7" i="26" s="1"/>
  <c r="L7" i="26"/>
  <c r="M7" i="26"/>
  <c r="N7" i="26"/>
  <c r="O7" i="26" s="1"/>
  <c r="P7" i="26"/>
  <c r="Q7" i="26"/>
  <c r="A8" i="26"/>
  <c r="G8" i="26"/>
  <c r="H8" i="26"/>
  <c r="I8" i="26"/>
  <c r="J8" i="26"/>
  <c r="L8" i="26"/>
  <c r="M8" i="26"/>
  <c r="N8" i="26"/>
  <c r="O8" i="26" s="1"/>
  <c r="P8" i="26"/>
  <c r="Q8" i="26"/>
  <c r="A9" i="26"/>
  <c r="G9" i="26"/>
  <c r="H9" i="26"/>
  <c r="I9" i="26"/>
  <c r="J9" i="26"/>
  <c r="L9" i="26"/>
  <c r="N9" i="26"/>
  <c r="O9" i="26"/>
  <c r="P9" i="26"/>
  <c r="Q9" i="26"/>
  <c r="A10" i="26"/>
  <c r="G10" i="26"/>
  <c r="L10" i="26"/>
  <c r="M10" i="26"/>
  <c r="P10" i="26"/>
  <c r="Q10" i="26"/>
  <c r="A11" i="26"/>
  <c r="K11" i="26"/>
  <c r="J11" i="26" s="1"/>
  <c r="L11" i="26"/>
  <c r="M11" i="26"/>
  <c r="N11" i="26"/>
  <c r="O11" i="26" s="1"/>
  <c r="P11" i="26"/>
  <c r="Q11" i="26"/>
  <c r="A12" i="26"/>
  <c r="G12" i="26"/>
  <c r="H12" i="26"/>
  <c r="I12" i="26"/>
  <c r="J12" i="26"/>
  <c r="L12" i="26"/>
  <c r="M12" i="26"/>
  <c r="N12" i="26"/>
  <c r="O12" i="26" s="1"/>
  <c r="P12" i="26"/>
  <c r="Q12" i="26"/>
  <c r="A13" i="26"/>
  <c r="G13" i="26"/>
  <c r="H13" i="26"/>
  <c r="I13" i="26"/>
  <c r="J13" i="26"/>
  <c r="L13" i="26"/>
  <c r="N13" i="26"/>
  <c r="O13" i="26"/>
  <c r="P13" i="26"/>
  <c r="Q13" i="26"/>
  <c r="A14" i="26"/>
  <c r="G14" i="26"/>
  <c r="L14" i="26"/>
  <c r="M14" i="26"/>
  <c r="P14" i="26"/>
  <c r="Q14" i="26"/>
  <c r="A15" i="26"/>
  <c r="K15" i="26"/>
  <c r="J15" i="26" s="1"/>
  <c r="L15" i="26"/>
  <c r="M15" i="26"/>
  <c r="N15" i="26"/>
  <c r="O15" i="26" s="1"/>
  <c r="P15" i="26"/>
  <c r="Q15" i="26"/>
  <c r="A16" i="26"/>
  <c r="G16" i="26"/>
  <c r="H16" i="26"/>
  <c r="I16" i="26"/>
  <c r="J16" i="26"/>
  <c r="L16" i="26"/>
  <c r="M16" i="26"/>
  <c r="N16" i="26"/>
  <c r="O16" i="26" s="1"/>
  <c r="P16" i="26"/>
  <c r="Q16" i="26"/>
  <c r="A17" i="26"/>
  <c r="G17" i="26"/>
  <c r="H17" i="26"/>
  <c r="I17" i="26"/>
  <c r="J17" i="26"/>
  <c r="L17" i="26"/>
  <c r="N17" i="26"/>
  <c r="O17" i="26"/>
  <c r="P17" i="26"/>
  <c r="Q17" i="26"/>
  <c r="A18" i="26"/>
  <c r="L18" i="26"/>
  <c r="P18" i="26"/>
  <c r="Q18" i="26"/>
  <c r="A19" i="26"/>
  <c r="K19" i="26"/>
  <c r="L19" i="26"/>
  <c r="O19" i="26"/>
  <c r="P19" i="26"/>
  <c r="Q19" i="26"/>
  <c r="A20" i="26"/>
  <c r="H20" i="26"/>
  <c r="I20" i="26"/>
  <c r="J20" i="26"/>
  <c r="L20" i="26"/>
  <c r="O20" i="26"/>
  <c r="P20" i="26"/>
  <c r="Q20" i="26"/>
  <c r="A21" i="26"/>
  <c r="H21" i="26"/>
  <c r="I21" i="26"/>
  <c r="J21" i="26"/>
  <c r="L21" i="26"/>
  <c r="O21" i="26"/>
  <c r="P21" i="26"/>
  <c r="Q21" i="26"/>
  <c r="A22" i="26"/>
  <c r="L22" i="26"/>
  <c r="P22" i="26"/>
  <c r="Q22" i="26"/>
  <c r="A23" i="26"/>
  <c r="K23" i="26"/>
  <c r="L23" i="26"/>
  <c r="O23" i="26"/>
  <c r="P23" i="26"/>
  <c r="Q23" i="26"/>
  <c r="A24" i="26"/>
  <c r="H24" i="26"/>
  <c r="I24" i="26"/>
  <c r="J24" i="26"/>
  <c r="L24" i="26"/>
  <c r="O24" i="26"/>
  <c r="P24" i="26"/>
  <c r="A25" i="26"/>
  <c r="H25" i="26"/>
  <c r="I25" i="26"/>
  <c r="J25" i="26"/>
  <c r="L25" i="26"/>
  <c r="O25" i="26"/>
  <c r="P25" i="26"/>
  <c r="A26" i="26"/>
  <c r="G26" i="26"/>
  <c r="L26" i="26"/>
  <c r="P26" i="26"/>
  <c r="A27" i="26"/>
  <c r="K27" i="26"/>
  <c r="J27" i="26" s="1"/>
  <c r="L27" i="26"/>
  <c r="O27" i="26"/>
  <c r="P27" i="26"/>
  <c r="A28" i="26"/>
  <c r="G28" i="26"/>
  <c r="H28" i="26"/>
  <c r="I28" i="26"/>
  <c r="J28" i="26"/>
  <c r="L28" i="26"/>
  <c r="O28" i="26"/>
  <c r="P28" i="26"/>
  <c r="A29" i="26"/>
  <c r="G29" i="26"/>
  <c r="H29" i="26"/>
  <c r="I29" i="26"/>
  <c r="J29" i="26"/>
  <c r="L29" i="26"/>
  <c r="O29" i="26"/>
  <c r="P29" i="26"/>
  <c r="A30" i="26"/>
  <c r="G30" i="26"/>
  <c r="L30" i="26"/>
  <c r="P30" i="26"/>
  <c r="A31" i="26"/>
  <c r="K31" i="26"/>
  <c r="J31" i="26" s="1"/>
  <c r="L31" i="26"/>
  <c r="O31" i="26"/>
  <c r="P31" i="26"/>
  <c r="A32" i="26"/>
  <c r="G32" i="26"/>
  <c r="H32" i="26"/>
  <c r="I32" i="26"/>
  <c r="J32" i="26"/>
  <c r="L32" i="26"/>
  <c r="O32" i="26"/>
  <c r="P32" i="26"/>
  <c r="A33" i="26"/>
  <c r="G33" i="26"/>
  <c r="H33" i="26"/>
  <c r="I33" i="26"/>
  <c r="J33" i="26"/>
  <c r="L33" i="26"/>
  <c r="O33" i="26"/>
  <c r="P33" i="26"/>
  <c r="A34" i="26"/>
  <c r="G34" i="26"/>
  <c r="L34" i="26"/>
  <c r="M34" i="26"/>
  <c r="P34" i="26"/>
  <c r="Q34" i="26"/>
  <c r="A35" i="26"/>
  <c r="K35" i="26"/>
  <c r="J35" i="26" s="1"/>
  <c r="L35" i="26"/>
  <c r="M35" i="26"/>
  <c r="O35" i="26"/>
  <c r="P35" i="26"/>
  <c r="Q35" i="26"/>
  <c r="A36" i="26"/>
  <c r="G36" i="26"/>
  <c r="H36" i="26"/>
  <c r="I36" i="26"/>
  <c r="J36" i="26"/>
  <c r="L36" i="26"/>
  <c r="M36" i="26"/>
  <c r="O36" i="26"/>
  <c r="P36" i="26"/>
  <c r="Q36" i="26"/>
  <c r="A37" i="26"/>
  <c r="G37" i="26"/>
  <c r="H37" i="26"/>
  <c r="I37" i="26"/>
  <c r="J37" i="26"/>
  <c r="L37" i="26"/>
  <c r="O37" i="26"/>
  <c r="P37" i="26"/>
  <c r="Q37" i="26"/>
  <c r="A38" i="26"/>
  <c r="G38" i="26"/>
  <c r="L38" i="26"/>
  <c r="M38" i="26"/>
  <c r="P38" i="26"/>
  <c r="Q38" i="26"/>
  <c r="A39" i="26"/>
  <c r="K39" i="26"/>
  <c r="J39" i="26" s="1"/>
  <c r="L39" i="26"/>
  <c r="M39" i="26"/>
  <c r="O39" i="26"/>
  <c r="P39" i="26"/>
  <c r="Q39" i="26"/>
  <c r="A40" i="26"/>
  <c r="G40" i="26"/>
  <c r="H40" i="26"/>
  <c r="I40" i="26"/>
  <c r="J40" i="26"/>
  <c r="L40" i="26"/>
  <c r="M40" i="26"/>
  <c r="O40" i="26"/>
  <c r="P40" i="26"/>
  <c r="Q40" i="26"/>
  <c r="A41" i="26"/>
  <c r="G41" i="26"/>
  <c r="H41" i="26"/>
  <c r="I41" i="26"/>
  <c r="J41" i="26"/>
  <c r="L41" i="26"/>
  <c r="O41" i="26"/>
  <c r="P41" i="26"/>
  <c r="Q41" i="26"/>
  <c r="A42" i="26"/>
  <c r="G42" i="26"/>
  <c r="L42" i="26"/>
  <c r="P42" i="26"/>
  <c r="Q42" i="26"/>
  <c r="A43" i="26"/>
  <c r="K43" i="26"/>
  <c r="J43" i="26" s="1"/>
  <c r="L43" i="26"/>
  <c r="O43" i="26"/>
  <c r="P43" i="26"/>
  <c r="Q43" i="26"/>
  <c r="A44" i="26"/>
  <c r="G44" i="26"/>
  <c r="H44" i="26"/>
  <c r="I44" i="26"/>
  <c r="J44" i="26"/>
  <c r="L44" i="26"/>
  <c r="O44" i="26"/>
  <c r="P44" i="26"/>
  <c r="Q44" i="26"/>
  <c r="A45" i="26"/>
  <c r="G45" i="26"/>
  <c r="H45" i="26"/>
  <c r="I45" i="26"/>
  <c r="J45" i="26"/>
  <c r="L45" i="26"/>
  <c r="O45" i="26"/>
  <c r="P45" i="26"/>
  <c r="Q45" i="26"/>
  <c r="A46" i="26"/>
  <c r="G46" i="26"/>
  <c r="L46" i="26"/>
  <c r="P46" i="26"/>
  <c r="Q46" i="26"/>
  <c r="A47" i="26"/>
  <c r="K47" i="26"/>
  <c r="L47" i="26"/>
  <c r="O47" i="26"/>
  <c r="P47" i="26"/>
  <c r="Q47" i="26"/>
  <c r="A48" i="26"/>
  <c r="G48" i="26"/>
  <c r="H48" i="26"/>
  <c r="I48" i="26"/>
  <c r="J48" i="26"/>
  <c r="L48" i="26"/>
  <c r="O48" i="26"/>
  <c r="P48" i="26"/>
  <c r="Q48" i="26"/>
  <c r="A49" i="26"/>
  <c r="G49" i="26"/>
  <c r="H49" i="26"/>
  <c r="I49" i="26"/>
  <c r="J49" i="26"/>
  <c r="L49" i="26"/>
  <c r="O49" i="26"/>
  <c r="P49" i="26"/>
  <c r="Q49" i="26"/>
  <c r="K8" i="26" l="1"/>
  <c r="K9" i="26"/>
  <c r="J10" i="26" s="1"/>
  <c r="K5" i="26"/>
  <c r="H6" i="26" s="1"/>
  <c r="K4" i="26"/>
  <c r="J23" i="26"/>
  <c r="G23" i="26"/>
  <c r="J19" i="26"/>
  <c r="G19" i="26"/>
  <c r="K13" i="26"/>
  <c r="J14" i="26" s="1"/>
  <c r="K16" i="26"/>
  <c r="K17" i="26"/>
  <c r="J18" i="26" s="1"/>
  <c r="K12" i="26"/>
  <c r="K25" i="26"/>
  <c r="M25" i="26" s="1"/>
  <c r="K40" i="26"/>
  <c r="K29" i="26"/>
  <c r="M29" i="26" s="1"/>
  <c r="K48" i="26"/>
  <c r="K24" i="26"/>
  <c r="K36" i="26"/>
  <c r="K33" i="26"/>
  <c r="M33" i="26" s="1"/>
  <c r="K20" i="26"/>
  <c r="K37" i="26"/>
  <c r="I38" i="26" s="1"/>
  <c r="K44" i="26"/>
  <c r="K49" i="26"/>
  <c r="N50" i="26" s="1"/>
  <c r="O50" i="26" s="1"/>
  <c r="K45" i="26"/>
  <c r="M45" i="26" s="1"/>
  <c r="K41" i="26"/>
  <c r="M41" i="26" s="1"/>
  <c r="K32" i="26"/>
  <c r="K21" i="26"/>
  <c r="M21" i="26" s="1"/>
  <c r="K28" i="26"/>
  <c r="J47" i="26"/>
  <c r="H47" i="26"/>
  <c r="I47" i="26"/>
  <c r="G47" i="26"/>
  <c r="I43" i="26"/>
  <c r="I39" i="26"/>
  <c r="I35" i="26"/>
  <c r="I31" i="26"/>
  <c r="I27" i="26"/>
  <c r="I23" i="26"/>
  <c r="I19" i="26"/>
  <c r="I15" i="26"/>
  <c r="I11" i="26"/>
  <c r="I7" i="26"/>
  <c r="I3" i="26"/>
  <c r="H43" i="26"/>
  <c r="H39" i="26"/>
  <c r="H35" i="26"/>
  <c r="H31" i="26"/>
  <c r="H27" i="26"/>
  <c r="H23" i="26"/>
  <c r="H19" i="26"/>
  <c r="H15" i="26"/>
  <c r="H11" i="26"/>
  <c r="H7" i="26"/>
  <c r="H3" i="26"/>
  <c r="G43" i="26"/>
  <c r="G39" i="26"/>
  <c r="G35" i="26"/>
  <c r="G31" i="26"/>
  <c r="G27" i="26"/>
  <c r="G15" i="26"/>
  <c r="G11" i="26"/>
  <c r="G7" i="26"/>
  <c r="G3" i="26"/>
  <c r="J62" i="28"/>
  <c r="F62" i="28"/>
  <c r="F61" i="28"/>
  <c r="F60" i="28"/>
  <c r="F59" i="28"/>
  <c r="F58" i="28"/>
  <c r="F57" i="28"/>
  <c r="F56" i="28"/>
  <c r="F55" i="28"/>
  <c r="F54" i="28"/>
  <c r="F53" i="28"/>
  <c r="F52" i="28"/>
  <c r="F51" i="28"/>
  <c r="H50" i="26" l="1"/>
  <c r="J50" i="26"/>
  <c r="I50" i="26"/>
  <c r="M49" i="26"/>
  <c r="N10" i="26"/>
  <c r="O10" i="26" s="1"/>
  <c r="H34" i="26"/>
  <c r="I6" i="26"/>
  <c r="J6" i="26"/>
  <c r="N14" i="26"/>
  <c r="O14" i="26" s="1"/>
  <c r="M13" i="26"/>
  <c r="M5" i="26"/>
  <c r="H14" i="26"/>
  <c r="I14" i="26"/>
  <c r="N6" i="26"/>
  <c r="O6" i="26" s="1"/>
  <c r="M17" i="26"/>
  <c r="I30" i="26"/>
  <c r="H18" i="26"/>
  <c r="I18" i="26"/>
  <c r="N18" i="26"/>
  <c r="O18" i="26" s="1"/>
  <c r="H30" i="26"/>
  <c r="I34" i="26"/>
  <c r="M9" i="26"/>
  <c r="H10" i="26"/>
  <c r="I10" i="26"/>
  <c r="H38" i="26"/>
  <c r="H42" i="26"/>
  <c r="I42" i="26"/>
  <c r="J34" i="26"/>
  <c r="N34" i="26"/>
  <c r="O34" i="26" s="1"/>
  <c r="J30" i="26"/>
  <c r="N30" i="26"/>
  <c r="O30" i="26" s="1"/>
  <c r="J42" i="26"/>
  <c r="N42" i="26"/>
  <c r="O42" i="26" s="1"/>
  <c r="J38" i="26"/>
  <c r="N38" i="26"/>
  <c r="O38" i="26" s="1"/>
  <c r="N46" i="26"/>
  <c r="O46" i="26" s="1"/>
  <c r="J22" i="26"/>
  <c r="N22" i="26"/>
  <c r="O22" i="26" s="1"/>
  <c r="J26" i="26"/>
  <c r="N26" i="26"/>
  <c r="O26" i="26" s="1"/>
  <c r="I26" i="26"/>
  <c r="H46" i="26"/>
  <c r="H26" i="26"/>
  <c r="I22" i="26"/>
  <c r="H22" i="26"/>
  <c r="I46" i="26"/>
  <c r="J46" i="26"/>
  <c r="M37" i="26"/>
  <c r="F50" i="28"/>
  <c r="F49" i="28"/>
  <c r="F48" i="28"/>
  <c r="F47" i="28"/>
  <c r="F46" i="28"/>
  <c r="F45" i="28"/>
  <c r="F44" i="28"/>
  <c r="F43" i="28"/>
  <c r="F42" i="28"/>
  <c r="F41" i="28"/>
  <c r="F40" i="28"/>
  <c r="F39" i="28"/>
  <c r="F38" i="28"/>
  <c r="F37" i="28"/>
  <c r="F36" i="28"/>
  <c r="F35" i="28"/>
  <c r="F34" i="28"/>
  <c r="F33" i="28"/>
  <c r="K6" i="26" l="1"/>
  <c r="K50" i="26"/>
  <c r="K34" i="26"/>
  <c r="K14" i="26"/>
  <c r="K30" i="26"/>
  <c r="K18" i="26"/>
  <c r="K10" i="26"/>
  <c r="K38" i="26"/>
  <c r="K42" i="26"/>
  <c r="K26" i="26"/>
  <c r="K22" i="26"/>
  <c r="K46" i="26"/>
  <c r="A25" i="28"/>
  <c r="F25" i="28"/>
  <c r="H25" i="28"/>
  <c r="K25" i="28" s="1"/>
  <c r="L25" i="28"/>
  <c r="H24" i="28"/>
  <c r="H26" i="28"/>
  <c r="H27" i="28"/>
  <c r="H28" i="28"/>
  <c r="H29" i="28"/>
  <c r="H30" i="28"/>
  <c r="H31" i="28"/>
  <c r="A33" i="28"/>
  <c r="A34" i="28"/>
  <c r="A35" i="28"/>
  <c r="A36" i="28"/>
  <c r="A37" i="28"/>
  <c r="A38" i="28"/>
  <c r="A39" i="28"/>
  <c r="A40" i="28"/>
  <c r="A41" i="28"/>
  <c r="A42" i="28"/>
  <c r="A43" i="28"/>
  <c r="A44" i="28"/>
  <c r="A45" i="28"/>
  <c r="A46" i="28"/>
  <c r="A47" i="28"/>
  <c r="A48" i="28"/>
  <c r="A49" i="28"/>
  <c r="A50" i="28"/>
  <c r="A51" i="28"/>
  <c r="A52" i="28"/>
  <c r="A53" i="28"/>
  <c r="A54" i="28"/>
  <c r="A55" i="28"/>
  <c r="A56" i="28"/>
  <c r="A57" i="28"/>
  <c r="A58" i="28"/>
  <c r="A59" i="28"/>
  <c r="A60" i="28"/>
  <c r="A61" i="28"/>
  <c r="A62" i="28"/>
  <c r="H33" i="28"/>
  <c r="J33" i="28" s="1"/>
  <c r="H34" i="28"/>
  <c r="K34" i="28" s="1"/>
  <c r="H35" i="28"/>
  <c r="J35" i="28" s="1"/>
  <c r="H36" i="28"/>
  <c r="J36" i="28" s="1"/>
  <c r="H37" i="28"/>
  <c r="J37" i="28" s="1"/>
  <c r="H38" i="28"/>
  <c r="K38" i="28" s="1"/>
  <c r="H39" i="28"/>
  <c r="K39" i="28" s="1"/>
  <c r="H40" i="28"/>
  <c r="J40" i="28" s="1"/>
  <c r="H41" i="28"/>
  <c r="K41" i="28" s="1"/>
  <c r="H42" i="28"/>
  <c r="J42" i="28" s="1"/>
  <c r="H43" i="28"/>
  <c r="J43" i="28" s="1"/>
  <c r="H44" i="28"/>
  <c r="H45" i="28"/>
  <c r="K45" i="28" s="1"/>
  <c r="H46" i="28"/>
  <c r="K46" i="28" s="1"/>
  <c r="H47" i="28"/>
  <c r="J47" i="28" s="1"/>
  <c r="H48" i="28"/>
  <c r="J48" i="28" s="1"/>
  <c r="H49" i="28"/>
  <c r="J49" i="28" s="1"/>
  <c r="H50" i="28"/>
  <c r="K50" i="28" s="1"/>
  <c r="J39" i="28"/>
  <c r="L33" i="28"/>
  <c r="L34" i="28"/>
  <c r="L35" i="28"/>
  <c r="L36" i="28"/>
  <c r="L37" i="28"/>
  <c r="L38" i="28"/>
  <c r="L39" i="28"/>
  <c r="L40" i="28"/>
  <c r="L41" i="28"/>
  <c r="L42" i="28"/>
  <c r="L43" i="28"/>
  <c r="L44" i="28"/>
  <c r="L45" i="28"/>
  <c r="L46" i="28"/>
  <c r="L47" i="28"/>
  <c r="L48" i="28"/>
  <c r="L49" i="28"/>
  <c r="L50" i="28"/>
  <c r="F32" i="28"/>
  <c r="F31" i="28"/>
  <c r="F30" i="28"/>
  <c r="F29" i="28"/>
  <c r="F28" i="28"/>
  <c r="F27" i="28"/>
  <c r="F26" i="28"/>
  <c r="F24" i="28"/>
  <c r="F23" i="28"/>
  <c r="F22" i="28"/>
  <c r="F21" i="28"/>
  <c r="F20" i="28"/>
  <c r="F19" i="28"/>
  <c r="F18" i="28"/>
  <c r="F17" i="28"/>
  <c r="F16" i="28"/>
  <c r="F15" i="28"/>
  <c r="F14" i="28"/>
  <c r="F13" i="28"/>
  <c r="F12" i="28"/>
  <c r="F11" i="28"/>
  <c r="F10" i="28"/>
  <c r="F9" i="28"/>
  <c r="F8" i="28"/>
  <c r="F7" i="28"/>
  <c r="F6" i="28"/>
  <c r="F5" i="28"/>
  <c r="F4" i="28"/>
  <c r="F3" i="28"/>
  <c r="J25" i="28" l="1"/>
  <c r="K43" i="28"/>
  <c r="K44" i="28"/>
  <c r="J41" i="28"/>
  <c r="K36" i="28"/>
  <c r="K48" i="28"/>
  <c r="K47" i="28"/>
  <c r="K35" i="28"/>
  <c r="J46" i="28"/>
  <c r="K33" i="28"/>
  <c r="J45" i="28"/>
  <c r="K42" i="28"/>
  <c r="K49" i="28"/>
  <c r="K37" i="28"/>
  <c r="J38" i="28"/>
  <c r="J34" i="28"/>
  <c r="K40" i="28"/>
  <c r="J50" i="28"/>
  <c r="Q4" i="29" l="1"/>
  <c r="Q5" i="29"/>
  <c r="Q6" i="29"/>
  <c r="Q7" i="29"/>
  <c r="Q8" i="29"/>
  <c r="Q9" i="29"/>
  <c r="Q10" i="29"/>
  <c r="Q11" i="29"/>
  <c r="Q12" i="29"/>
  <c r="Q13" i="29"/>
  <c r="Q14" i="29"/>
  <c r="Q15" i="29"/>
  <c r="Q16" i="29"/>
  <c r="Q17" i="29"/>
  <c r="Q18" i="29"/>
  <c r="S4" i="29"/>
  <c r="S5" i="29"/>
  <c r="S6" i="29"/>
  <c r="S7" i="29"/>
  <c r="S8" i="29"/>
  <c r="S9" i="29"/>
  <c r="S10" i="29"/>
  <c r="S11" i="29"/>
  <c r="S12" i="29"/>
  <c r="S13" i="29"/>
  <c r="S14" i="29"/>
  <c r="S15" i="29"/>
  <c r="S16" i="29"/>
  <c r="S17" i="29"/>
  <c r="S18" i="29"/>
  <c r="P4" i="29"/>
  <c r="P5" i="29"/>
  <c r="P6" i="29"/>
  <c r="P7" i="29"/>
  <c r="P8" i="29"/>
  <c r="P9" i="29"/>
  <c r="P10" i="29"/>
  <c r="P11" i="29"/>
  <c r="P12" i="29"/>
  <c r="P13" i="29"/>
  <c r="P14" i="29"/>
  <c r="P15" i="29"/>
  <c r="P16" i="29"/>
  <c r="P17" i="29"/>
  <c r="A4" i="29"/>
  <c r="A5" i="29"/>
  <c r="A6" i="29"/>
  <c r="A7" i="29"/>
  <c r="A8" i="29"/>
  <c r="A9" i="29"/>
  <c r="A10" i="29"/>
  <c r="A11" i="29"/>
  <c r="A12" i="29"/>
  <c r="A13" i="29"/>
  <c r="A14" i="29"/>
  <c r="A15" i="29"/>
  <c r="A16" i="29"/>
  <c r="A17" i="29"/>
  <c r="A18" i="29"/>
  <c r="N4" i="29"/>
  <c r="N5" i="29"/>
  <c r="N6" i="29"/>
  <c r="N7" i="29"/>
  <c r="N8" i="29"/>
  <c r="N9" i="29"/>
  <c r="N10" i="29"/>
  <c r="N11" i="29"/>
  <c r="N12" i="29"/>
  <c r="N13" i="29"/>
  <c r="N14" i="29"/>
  <c r="N15" i="29"/>
  <c r="N16" i="29"/>
  <c r="N17" i="29"/>
  <c r="N18" i="29"/>
  <c r="A187" i="28" l="1"/>
  <c r="A188" i="28"/>
  <c r="A189" i="28"/>
  <c r="A190" i="28"/>
  <c r="A191" i="28"/>
  <c r="A192" i="28"/>
  <c r="A193" i="28"/>
  <c r="H187" i="28"/>
  <c r="K187" i="28" s="1"/>
  <c r="H188" i="28"/>
  <c r="J188" i="28" s="1"/>
  <c r="H189" i="28"/>
  <c r="J189" i="28" s="1"/>
  <c r="H190" i="28"/>
  <c r="J190" i="28" s="1"/>
  <c r="H191" i="28"/>
  <c r="J191" i="28" s="1"/>
  <c r="H192" i="28"/>
  <c r="J192" i="28" s="1"/>
  <c r="H193" i="28"/>
  <c r="J193" i="28" s="1"/>
  <c r="H194" i="28"/>
  <c r="K194" i="28" s="1"/>
  <c r="L187" i="28"/>
  <c r="L188" i="28"/>
  <c r="L189" i="28"/>
  <c r="L190" i="28"/>
  <c r="L191" i="28"/>
  <c r="L192" i="28"/>
  <c r="L193" i="28"/>
  <c r="L194" i="28"/>
  <c r="A962" i="27"/>
  <c r="A866" i="27"/>
  <c r="A755" i="27"/>
  <c r="A653" i="27"/>
  <c r="A581" i="27"/>
  <c r="A554" i="27"/>
  <c r="A578" i="27"/>
  <c r="A596" i="27"/>
  <c r="A608" i="27"/>
  <c r="A623" i="27"/>
  <c r="A638" i="27"/>
  <c r="A671" i="27"/>
  <c r="A687" i="27"/>
  <c r="A696" i="27"/>
  <c r="A712" i="27"/>
  <c r="A725" i="27"/>
  <c r="A734" i="27"/>
  <c r="A751" i="27"/>
  <c r="A766" i="27"/>
  <c r="A779" i="27"/>
  <c r="A790" i="27"/>
  <c r="A799" i="27"/>
  <c r="A819" i="27"/>
  <c r="A821" i="27"/>
  <c r="A863" i="27"/>
  <c r="A916" i="27"/>
  <c r="A934" i="27"/>
  <c r="A953" i="27"/>
  <c r="A961" i="27"/>
  <c r="A963" i="27"/>
  <c r="A964" i="27"/>
  <c r="A965" i="27"/>
  <c r="A966" i="27"/>
  <c r="A967" i="27"/>
  <c r="A968" i="27"/>
  <c r="A969" i="27"/>
  <c r="A970" i="27"/>
  <c r="A971" i="27"/>
  <c r="A972" i="27"/>
  <c r="A973" i="27"/>
  <c r="A954" i="27"/>
  <c r="A955" i="27"/>
  <c r="A956" i="27"/>
  <c r="A957" i="27"/>
  <c r="A958" i="27"/>
  <c r="A959" i="27"/>
  <c r="A960" i="27"/>
  <c r="A897" i="27"/>
  <c r="A898" i="27"/>
  <c r="A899" i="27"/>
  <c r="A935" i="27"/>
  <c r="A936" i="27"/>
  <c r="A937" i="27"/>
  <c r="A938" i="27"/>
  <c r="A939" i="27"/>
  <c r="A940" i="27"/>
  <c r="A941" i="27"/>
  <c r="A942" i="27"/>
  <c r="A943" i="27"/>
  <c r="A944" i="27"/>
  <c r="A945" i="27"/>
  <c r="A946" i="27"/>
  <c r="A947" i="27"/>
  <c r="A948" i="27"/>
  <c r="A949" i="27"/>
  <c r="A950" i="27"/>
  <c r="A951" i="27"/>
  <c r="A952" i="27"/>
  <c r="A917" i="27"/>
  <c r="A918" i="27"/>
  <c r="A919" i="27"/>
  <c r="A920" i="27"/>
  <c r="A921" i="27"/>
  <c r="A922" i="27"/>
  <c r="A923" i="27"/>
  <c r="A924" i="27"/>
  <c r="A925" i="27"/>
  <c r="A926" i="27"/>
  <c r="A927" i="27"/>
  <c r="A928" i="27"/>
  <c r="A929" i="27"/>
  <c r="A930" i="27"/>
  <c r="A931" i="27"/>
  <c r="A932" i="27"/>
  <c r="A933" i="27"/>
  <c r="K189" i="28" l="1"/>
  <c r="J187" i="28"/>
  <c r="K191" i="28"/>
  <c r="K193" i="28"/>
  <c r="K190" i="28"/>
  <c r="J194" i="28"/>
  <c r="K192" i="28"/>
  <c r="K188" i="28"/>
  <c r="A19" i="29"/>
  <c r="A20" i="29"/>
  <c r="A21" i="29"/>
  <c r="A22" i="29"/>
  <c r="A23" i="29"/>
  <c r="A25" i="29"/>
  <c r="A42" i="29"/>
  <c r="A43" i="29"/>
  <c r="N19" i="29"/>
  <c r="N20" i="29"/>
  <c r="N21" i="29"/>
  <c r="N22" i="29"/>
  <c r="N43" i="29"/>
  <c r="N44" i="29"/>
  <c r="Q19" i="29"/>
  <c r="Q20" i="29"/>
  <c r="Q21" i="29"/>
  <c r="Q22" i="29"/>
  <c r="Q43" i="29"/>
  <c r="Q44" i="29"/>
  <c r="A183" i="28"/>
  <c r="A184" i="28"/>
  <c r="A185" i="28"/>
  <c r="H183" i="28"/>
  <c r="J183" i="28" s="1"/>
  <c r="H184" i="28"/>
  <c r="J184" i="28" s="1"/>
  <c r="H185" i="28"/>
  <c r="K185" i="28" s="1"/>
  <c r="H186" i="28"/>
  <c r="J186" i="28" s="1"/>
  <c r="L183" i="28"/>
  <c r="L184" i="28"/>
  <c r="L185" i="28"/>
  <c r="L186" i="28"/>
  <c r="K186" i="28" l="1"/>
  <c r="K183" i="28"/>
  <c r="K184" i="28"/>
  <c r="J185" i="28"/>
  <c r="A867" i="27" l="1"/>
  <c r="A868" i="27"/>
  <c r="A869" i="27"/>
  <c r="A870" i="27"/>
  <c r="A871" i="27"/>
  <c r="A872" i="27"/>
  <c r="A873" i="27"/>
  <c r="A874" i="27"/>
  <c r="A875" i="27"/>
  <c r="A876" i="27"/>
  <c r="A877" i="27"/>
  <c r="A878" i="27"/>
  <c r="A879" i="27"/>
  <c r="A880" i="27"/>
  <c r="A881" i="27"/>
  <c r="A882" i="27"/>
  <c r="A883" i="27"/>
  <c r="A884" i="27"/>
  <c r="A885" i="27"/>
  <c r="A886" i="27"/>
  <c r="A887" i="27"/>
  <c r="A888" i="27"/>
  <c r="A889" i="27"/>
  <c r="A890" i="27"/>
  <c r="A891" i="27"/>
  <c r="A892" i="27"/>
  <c r="A893" i="27"/>
  <c r="A894" i="27"/>
  <c r="A895" i="27"/>
  <c r="A896" i="27"/>
  <c r="A900" i="27"/>
  <c r="A901" i="27"/>
  <c r="A902" i="27"/>
  <c r="A903" i="27"/>
  <c r="A904" i="27"/>
  <c r="A905" i="27"/>
  <c r="A906" i="27"/>
  <c r="A907" i="27"/>
  <c r="A908" i="27"/>
  <c r="A909" i="27"/>
  <c r="A910" i="27"/>
  <c r="A911" i="27"/>
  <c r="A912" i="27"/>
  <c r="A913" i="27"/>
  <c r="A914" i="27"/>
  <c r="A915" i="27"/>
  <c r="A864" i="27"/>
  <c r="A865" i="27"/>
  <c r="A822" i="27" l="1"/>
  <c r="A823" i="27"/>
  <c r="A824" i="27"/>
  <c r="A825" i="27"/>
  <c r="A826" i="27"/>
  <c r="A827" i="27"/>
  <c r="A828" i="27"/>
  <c r="A829" i="27"/>
  <c r="A830" i="27"/>
  <c r="A831" i="27"/>
  <c r="A832" i="27"/>
  <c r="A833" i="27"/>
  <c r="A834" i="27"/>
  <c r="A835" i="27"/>
  <c r="A836" i="27"/>
  <c r="A837" i="27"/>
  <c r="A838" i="27"/>
  <c r="A839" i="27"/>
  <c r="A840" i="27"/>
  <c r="A841" i="27"/>
  <c r="A842" i="27"/>
  <c r="A843" i="27"/>
  <c r="A844" i="27"/>
  <c r="A845" i="27"/>
  <c r="A846" i="27"/>
  <c r="A847" i="27"/>
  <c r="A848" i="27"/>
  <c r="A849" i="27"/>
  <c r="A850" i="27"/>
  <c r="A851" i="27"/>
  <c r="A852" i="27"/>
  <c r="A853" i="27"/>
  <c r="A854" i="27"/>
  <c r="A855" i="27"/>
  <c r="A856" i="27"/>
  <c r="A857" i="27"/>
  <c r="A858" i="27"/>
  <c r="A859" i="27"/>
  <c r="A860" i="27"/>
  <c r="A861" i="27"/>
  <c r="A862" i="27"/>
  <c r="A820" i="27"/>
  <c r="A800" i="27"/>
  <c r="A801" i="27"/>
  <c r="A802" i="27"/>
  <c r="A803" i="27"/>
  <c r="A804" i="27"/>
  <c r="A805" i="27"/>
  <c r="A806" i="27"/>
  <c r="A807" i="27"/>
  <c r="A808" i="27"/>
  <c r="A809" i="27"/>
  <c r="A810" i="27"/>
  <c r="A811" i="27"/>
  <c r="A812" i="27"/>
  <c r="A813" i="27"/>
  <c r="A814" i="27"/>
  <c r="A815" i="27"/>
  <c r="A816" i="27"/>
  <c r="A817" i="27"/>
  <c r="A818" i="27"/>
  <c r="A791" i="27"/>
  <c r="A792" i="27"/>
  <c r="A793" i="27"/>
  <c r="A794" i="27"/>
  <c r="A795" i="27"/>
  <c r="A796" i="27"/>
  <c r="A797" i="27"/>
  <c r="A798" i="27"/>
  <c r="A780" i="27" l="1"/>
  <c r="A781" i="27"/>
  <c r="A782" i="27"/>
  <c r="A783" i="27"/>
  <c r="A784" i="27"/>
  <c r="A785" i="27"/>
  <c r="A786" i="27"/>
  <c r="A787" i="27"/>
  <c r="A788" i="27"/>
  <c r="A789" i="27"/>
  <c r="A767" i="27"/>
  <c r="A768" i="27"/>
  <c r="A769" i="27"/>
  <c r="A770" i="27"/>
  <c r="A771" i="27"/>
  <c r="A772" i="27"/>
  <c r="A773" i="27"/>
  <c r="A774" i="27"/>
  <c r="A775" i="27"/>
  <c r="A776" i="27"/>
  <c r="A777" i="27"/>
  <c r="A778" i="27"/>
  <c r="A756" i="27"/>
  <c r="A757" i="27"/>
  <c r="A758" i="27"/>
  <c r="A759" i="27"/>
  <c r="A760" i="27"/>
  <c r="A761" i="27"/>
  <c r="A762" i="27"/>
  <c r="A763" i="27"/>
  <c r="A764" i="27"/>
  <c r="A765" i="27"/>
  <c r="A752" i="27"/>
  <c r="A753" i="27"/>
  <c r="A754" i="27"/>
  <c r="A735" i="27"/>
  <c r="A736" i="27"/>
  <c r="A737" i="27"/>
  <c r="A738" i="27"/>
  <c r="A739" i="27"/>
  <c r="A740" i="27"/>
  <c r="A741" i="27"/>
  <c r="A742" i="27"/>
  <c r="A743" i="27"/>
  <c r="A744" i="27"/>
  <c r="A745" i="27"/>
  <c r="A746" i="27"/>
  <c r="A747" i="27"/>
  <c r="A748" i="27"/>
  <c r="A749" i="27"/>
  <c r="A750" i="27"/>
  <c r="J40" i="33" l="1"/>
  <c r="K334" i="36" l="1"/>
  <c r="K338" i="36"/>
  <c r="I340" i="36"/>
  <c r="H340" i="36"/>
  <c r="G340" i="36"/>
  <c r="F340" i="36"/>
  <c r="E340" i="36"/>
  <c r="D340" i="36"/>
  <c r="J339" i="36"/>
  <c r="K339" i="36" s="1"/>
  <c r="J337" i="36"/>
  <c r="K337" i="36" s="1"/>
  <c r="J336" i="36"/>
  <c r="K336" i="36" s="1"/>
  <c r="J335" i="36"/>
  <c r="K335" i="36" s="1"/>
  <c r="J333" i="36"/>
  <c r="J340" i="36" l="1"/>
  <c r="K333" i="36"/>
  <c r="K340" i="36" s="1"/>
  <c r="K324" i="36" l="1"/>
  <c r="L324" i="36"/>
  <c r="K325" i="36"/>
  <c r="L325" i="36"/>
  <c r="K326" i="36"/>
  <c r="L326" i="36"/>
  <c r="K327" i="36"/>
  <c r="L327" i="36"/>
  <c r="K328" i="36"/>
  <c r="L328" i="36"/>
  <c r="K329" i="36"/>
  <c r="L329" i="36"/>
  <c r="L323" i="36"/>
  <c r="K323" i="36"/>
  <c r="J398" i="36"/>
  <c r="H398" i="36" s="1"/>
  <c r="E398" i="36" s="1"/>
  <c r="J396" i="36"/>
  <c r="D396" i="36" s="1"/>
  <c r="J390" i="36"/>
  <c r="H390" i="36" s="1"/>
  <c r="E390" i="36" s="1"/>
  <c r="I402" i="36"/>
  <c r="J400" i="36"/>
  <c r="H400" i="36" s="1"/>
  <c r="L399" i="36"/>
  <c r="H399" i="36"/>
  <c r="L397" i="36"/>
  <c r="H397" i="36"/>
  <c r="I394" i="36"/>
  <c r="H392" i="36"/>
  <c r="F392" i="36" s="1"/>
  <c r="D392" i="36"/>
  <c r="L391" i="36"/>
  <c r="J379" i="36"/>
  <c r="H379" i="36" s="1"/>
  <c r="J377" i="36"/>
  <c r="D377" i="36" s="1"/>
  <c r="I383" i="36"/>
  <c r="H382" i="36"/>
  <c r="H381" i="36"/>
  <c r="G381" i="36" s="1"/>
  <c r="D381" i="36"/>
  <c r="H380" i="36"/>
  <c r="H378" i="36"/>
  <c r="I375" i="36"/>
  <c r="H373" i="36"/>
  <c r="G373" i="36" s="1"/>
  <c r="D373" i="36"/>
  <c r="H372" i="36"/>
  <c r="H371" i="36"/>
  <c r="F371" i="36" s="1"/>
  <c r="D371" i="36"/>
  <c r="D398" i="36" l="1"/>
  <c r="D400" i="36"/>
  <c r="H396" i="36"/>
  <c r="E396" i="36" s="1"/>
  <c r="G392" i="36"/>
  <c r="E400" i="36"/>
  <c r="F400" i="36"/>
  <c r="G400" i="36"/>
  <c r="G371" i="36"/>
  <c r="G375" i="36" s="1"/>
  <c r="E373" i="36"/>
  <c r="D375" i="36"/>
  <c r="F373" i="36"/>
  <c r="F375" i="36" s="1"/>
  <c r="H375" i="36"/>
  <c r="J375" i="36" s="1"/>
  <c r="I404" i="36"/>
  <c r="H377" i="36"/>
  <c r="G377" i="36" s="1"/>
  <c r="I385" i="36"/>
  <c r="E381" i="36"/>
  <c r="F381" i="36"/>
  <c r="D390" i="36"/>
  <c r="D394" i="36" s="1"/>
  <c r="F398" i="36"/>
  <c r="G398" i="36"/>
  <c r="F390" i="36"/>
  <c r="F394" i="36" s="1"/>
  <c r="G390" i="36"/>
  <c r="E392" i="36"/>
  <c r="E394" i="36" s="1"/>
  <c r="H394" i="36"/>
  <c r="G379" i="36"/>
  <c r="F379" i="36"/>
  <c r="E379" i="36"/>
  <c r="E371" i="36"/>
  <c r="D379" i="36"/>
  <c r="D383" i="36" s="1"/>
  <c r="D402" i="36" l="1"/>
  <c r="D404" i="36" s="1"/>
  <c r="G396" i="36"/>
  <c r="G402" i="36" s="1"/>
  <c r="F396" i="36"/>
  <c r="F402" i="36" s="1"/>
  <c r="G394" i="36"/>
  <c r="G395" i="36" s="1"/>
  <c r="H402" i="36"/>
  <c r="H404" i="36" s="1"/>
  <c r="E402" i="36"/>
  <c r="D385" i="36"/>
  <c r="F376" i="36"/>
  <c r="E375" i="36"/>
  <c r="E376" i="36" s="1"/>
  <c r="G376" i="36"/>
  <c r="G383" i="36"/>
  <c r="G385" i="36" s="1"/>
  <c r="H383" i="36"/>
  <c r="H385" i="36" s="1"/>
  <c r="F377" i="36"/>
  <c r="F383" i="36" s="1"/>
  <c r="E377" i="36"/>
  <c r="E383" i="36" s="1"/>
  <c r="K376" i="36"/>
  <c r="L376" i="36" s="1"/>
  <c r="E395" i="36"/>
  <c r="J394" i="36"/>
  <c r="K395" i="36"/>
  <c r="L395" i="36" s="1"/>
  <c r="F395" i="36"/>
  <c r="G404" i="36" l="1"/>
  <c r="G405" i="36" s="1"/>
  <c r="J402" i="36"/>
  <c r="G403" i="36"/>
  <c r="K403" i="36"/>
  <c r="L403" i="36" s="1"/>
  <c r="E403" i="36"/>
  <c r="E404" i="36"/>
  <c r="E405" i="36" s="1"/>
  <c r="J383" i="36"/>
  <c r="G384" i="36"/>
  <c r="K384" i="36"/>
  <c r="L384" i="36" s="1"/>
  <c r="F403" i="36"/>
  <c r="F404" i="36"/>
  <c r="F405" i="36" s="1"/>
  <c r="K405" i="36"/>
  <c r="L405" i="36" s="1"/>
  <c r="J404" i="36"/>
  <c r="E384" i="36"/>
  <c r="E385" i="36"/>
  <c r="E386" i="36" s="1"/>
  <c r="K386" i="36"/>
  <c r="L386" i="36" s="1"/>
  <c r="J385" i="36"/>
  <c r="F385" i="36"/>
  <c r="F386" i="36" s="1"/>
  <c r="F384" i="36"/>
  <c r="G386" i="36"/>
  <c r="A726" i="27" l="1"/>
  <c r="A727" i="27"/>
  <c r="A728" i="27"/>
  <c r="A729" i="27"/>
  <c r="A730" i="27"/>
  <c r="A731" i="27"/>
  <c r="A732" i="27"/>
  <c r="A733" i="27"/>
  <c r="A713" i="27"/>
  <c r="A714" i="27"/>
  <c r="A715" i="27"/>
  <c r="A716" i="27"/>
  <c r="A717" i="27"/>
  <c r="A718" i="27"/>
  <c r="A719" i="27"/>
  <c r="A720" i="27"/>
  <c r="A721" i="27"/>
  <c r="A722" i="27"/>
  <c r="A723" i="27"/>
  <c r="A724" i="27"/>
  <c r="A697" i="27"/>
  <c r="A698" i="27"/>
  <c r="A699" i="27"/>
  <c r="A700" i="27"/>
  <c r="A701" i="27"/>
  <c r="A702" i="27"/>
  <c r="A703" i="27"/>
  <c r="A704" i="27"/>
  <c r="A705" i="27"/>
  <c r="A706" i="27"/>
  <c r="A707" i="27"/>
  <c r="A708" i="27"/>
  <c r="A709" i="27"/>
  <c r="A710" i="27"/>
  <c r="A711" i="27"/>
  <c r="A688" i="27"/>
  <c r="A689" i="27"/>
  <c r="A690" i="27"/>
  <c r="A691" i="27"/>
  <c r="A692" i="27"/>
  <c r="A693" i="27"/>
  <c r="A694" i="27"/>
  <c r="A695" i="27"/>
  <c r="A672" i="27"/>
  <c r="A673" i="27"/>
  <c r="A674" i="27"/>
  <c r="A675" i="27"/>
  <c r="A676" i="27"/>
  <c r="A677" i="27"/>
  <c r="A678" i="27"/>
  <c r="A679" i="27"/>
  <c r="A680" i="27"/>
  <c r="A681" i="27"/>
  <c r="A682" i="27"/>
  <c r="A683" i="27"/>
  <c r="A684" i="27"/>
  <c r="A685" i="27"/>
  <c r="A686" i="27"/>
  <c r="A654" i="27"/>
  <c r="A655" i="27"/>
  <c r="A656" i="27"/>
  <c r="A657" i="27"/>
  <c r="A658" i="27"/>
  <c r="A659" i="27"/>
  <c r="A660" i="27"/>
  <c r="A661" i="27"/>
  <c r="A662" i="27"/>
  <c r="A663" i="27"/>
  <c r="A664" i="27"/>
  <c r="A665" i="27"/>
  <c r="A666" i="27"/>
  <c r="A667" i="27"/>
  <c r="A668" i="27"/>
  <c r="A669" i="27"/>
  <c r="A670" i="27"/>
  <c r="I281" i="36" l="1"/>
  <c r="L281" i="36"/>
  <c r="L296" i="36" l="1"/>
  <c r="L295" i="36"/>
  <c r="L294" i="36"/>
  <c r="I296" i="36"/>
  <c r="I295" i="36"/>
  <c r="I294" i="36"/>
  <c r="L293" i="36"/>
  <c r="I293" i="36"/>
  <c r="G296" i="36"/>
  <c r="G295" i="36"/>
  <c r="G294" i="36"/>
  <c r="F296" i="36"/>
  <c r="F305" i="36" s="1"/>
  <c r="F295" i="36"/>
  <c r="F304" i="36" s="1"/>
  <c r="F294" i="36"/>
  <c r="F303" i="36" s="1"/>
  <c r="F293" i="36"/>
  <c r="F302" i="36" s="1"/>
  <c r="G281" i="36"/>
  <c r="F281" i="36"/>
  <c r="M279" i="36"/>
  <c r="K279" i="36"/>
  <c r="J279" i="36"/>
  <c r="H279" i="36"/>
  <c r="M278" i="36"/>
  <c r="K278" i="36"/>
  <c r="J278" i="36"/>
  <c r="H278" i="36"/>
  <c r="M277" i="36"/>
  <c r="K277" i="36"/>
  <c r="J277" i="36"/>
  <c r="H277" i="36"/>
  <c r="H261" i="36"/>
  <c r="H262" i="36"/>
  <c r="H263" i="36"/>
  <c r="H264" i="36"/>
  <c r="I297" i="36" l="1"/>
  <c r="L297" i="36"/>
  <c r="F248" i="36" l="1"/>
  <c r="F247" i="36"/>
  <c r="F246" i="36"/>
  <c r="H246" i="36" s="1"/>
  <c r="F245" i="36"/>
  <c r="H245" i="36" s="1"/>
  <c r="G67" i="36" l="1"/>
  <c r="E68" i="36" s="1"/>
  <c r="H22" i="36"/>
  <c r="F23" i="36" s="1"/>
  <c r="L21" i="36"/>
  <c r="H21" i="36"/>
  <c r="H20" i="36"/>
  <c r="F20" i="36" s="1"/>
  <c r="H16" i="36"/>
  <c r="K17" i="36" s="1"/>
  <c r="L17" i="36" s="1"/>
  <c r="L15" i="36"/>
  <c r="H15" i="36"/>
  <c r="H14" i="36"/>
  <c r="F14" i="36" s="1"/>
  <c r="J330" i="36"/>
  <c r="I330" i="36"/>
  <c r="H330" i="36"/>
  <c r="G330" i="36"/>
  <c r="F330" i="36"/>
  <c r="E330" i="36"/>
  <c r="D330" i="36"/>
  <c r="N329" i="36"/>
  <c r="M329" i="36"/>
  <c r="N328" i="36"/>
  <c r="M328" i="36"/>
  <c r="N327" i="36"/>
  <c r="C327" i="36"/>
  <c r="N326" i="36"/>
  <c r="M326" i="36"/>
  <c r="N325" i="36"/>
  <c r="M325" i="36"/>
  <c r="N324" i="36"/>
  <c r="M324" i="36"/>
  <c r="M323" i="36"/>
  <c r="L305" i="36"/>
  <c r="I305" i="36"/>
  <c r="L304" i="36"/>
  <c r="I304" i="36"/>
  <c r="L303" i="36"/>
  <c r="I303" i="36"/>
  <c r="L302" i="36"/>
  <c r="I302" i="36"/>
  <c r="G305" i="36"/>
  <c r="J296" i="36"/>
  <c r="G304" i="36"/>
  <c r="G303" i="36"/>
  <c r="J294" i="36"/>
  <c r="G293" i="36"/>
  <c r="L289" i="36"/>
  <c r="I289" i="36"/>
  <c r="G289" i="36"/>
  <c r="F289" i="36"/>
  <c r="M288" i="36"/>
  <c r="K288" i="36"/>
  <c r="J288" i="36"/>
  <c r="H288" i="36"/>
  <c r="M287" i="36"/>
  <c r="K287" i="36"/>
  <c r="J287" i="36"/>
  <c r="H287" i="36"/>
  <c r="K281" i="36"/>
  <c r="H281" i="36"/>
  <c r="L273" i="36"/>
  <c r="I273" i="36"/>
  <c r="G273" i="36"/>
  <c r="F273" i="36"/>
  <c r="M272" i="36"/>
  <c r="K272" i="36"/>
  <c r="J272" i="36"/>
  <c r="H272" i="36"/>
  <c r="M271" i="36"/>
  <c r="K271" i="36"/>
  <c r="J271" i="36"/>
  <c r="H271" i="36"/>
  <c r="M270" i="36"/>
  <c r="K270" i="36"/>
  <c r="J270" i="36"/>
  <c r="H270" i="36"/>
  <c r="M269" i="36"/>
  <c r="K269" i="36"/>
  <c r="J269" i="36"/>
  <c r="H269" i="36"/>
  <c r="L265" i="36"/>
  <c r="I265" i="36"/>
  <c r="G265" i="36"/>
  <c r="F265" i="36"/>
  <c r="M264" i="36"/>
  <c r="K264" i="36"/>
  <c r="J264" i="36"/>
  <c r="M263" i="36"/>
  <c r="K263" i="36"/>
  <c r="J263" i="36"/>
  <c r="M262" i="36"/>
  <c r="K262" i="36"/>
  <c r="J262" i="36"/>
  <c r="M261" i="36"/>
  <c r="K261" i="36"/>
  <c r="J261" i="36"/>
  <c r="I202" i="36"/>
  <c r="G202" i="36"/>
  <c r="F178" i="36"/>
  <c r="E178" i="36"/>
  <c r="D178" i="36"/>
  <c r="G176" i="36"/>
  <c r="D177" i="36" s="1"/>
  <c r="G174" i="36"/>
  <c r="F175" i="36" s="1"/>
  <c r="G172" i="36"/>
  <c r="D173" i="36" s="1"/>
  <c r="G170" i="36"/>
  <c r="F171" i="36" s="1"/>
  <c r="G168" i="36"/>
  <c r="D169" i="36" s="1"/>
  <c r="G166" i="36"/>
  <c r="F167" i="36" s="1"/>
  <c r="G164" i="36"/>
  <c r="D165" i="36" s="1"/>
  <c r="G162" i="36"/>
  <c r="F163" i="36" s="1"/>
  <c r="F160" i="36"/>
  <c r="E160" i="36"/>
  <c r="D160" i="36"/>
  <c r="G158" i="36"/>
  <c r="F159" i="36" s="1"/>
  <c r="G156" i="36"/>
  <c r="D157" i="36" s="1"/>
  <c r="G154" i="36"/>
  <c r="F155" i="36" s="1"/>
  <c r="G152" i="36"/>
  <c r="D153" i="36" s="1"/>
  <c r="G150" i="36"/>
  <c r="F151" i="36" s="1"/>
  <c r="G148" i="36"/>
  <c r="D149" i="36" s="1"/>
  <c r="G146" i="36"/>
  <c r="F147" i="36" s="1"/>
  <c r="F144" i="36"/>
  <c r="E144" i="36"/>
  <c r="D144" i="36"/>
  <c r="F143" i="36"/>
  <c r="E143" i="36"/>
  <c r="D143" i="36"/>
  <c r="G143" i="36" s="1"/>
  <c r="G142" i="36"/>
  <c r="G140" i="36"/>
  <c r="G138" i="36"/>
  <c r="F139" i="36" s="1"/>
  <c r="G136" i="36"/>
  <c r="F137" i="36" s="1"/>
  <c r="G134" i="36"/>
  <c r="F135" i="36" s="1"/>
  <c r="G132" i="36"/>
  <c r="F133" i="36" s="1"/>
  <c r="G130" i="36"/>
  <c r="F131" i="36" s="1"/>
  <c r="F128" i="36"/>
  <c r="E128" i="36"/>
  <c r="D128" i="36"/>
  <c r="F127" i="36"/>
  <c r="E127" i="36"/>
  <c r="D127" i="36"/>
  <c r="G127" i="36" s="1"/>
  <c r="G126" i="36"/>
  <c r="G124" i="36"/>
  <c r="E141" i="36" s="1"/>
  <c r="G122" i="36"/>
  <c r="D123" i="36" s="1"/>
  <c r="G120" i="36"/>
  <c r="F121" i="36" s="1"/>
  <c r="G118" i="36"/>
  <c r="D119" i="36" s="1"/>
  <c r="G116" i="36"/>
  <c r="F117" i="36" s="1"/>
  <c r="G114" i="36"/>
  <c r="D115" i="36" s="1"/>
  <c r="F112" i="36"/>
  <c r="E112" i="36"/>
  <c r="D112" i="36"/>
  <c r="F111" i="36"/>
  <c r="E111" i="36"/>
  <c r="D111" i="36"/>
  <c r="G108" i="36"/>
  <c r="F109" i="36" s="1"/>
  <c r="G106" i="36"/>
  <c r="D107" i="36" s="1"/>
  <c r="G104" i="36"/>
  <c r="F105" i="36" s="1"/>
  <c r="G102" i="36"/>
  <c r="D103" i="36" s="1"/>
  <c r="G100" i="36"/>
  <c r="F101" i="36" s="1"/>
  <c r="G98" i="36"/>
  <c r="D99" i="36" s="1"/>
  <c r="G96" i="36"/>
  <c r="F97" i="36" s="1"/>
  <c r="G94" i="36"/>
  <c r="F81" i="36"/>
  <c r="E81" i="36"/>
  <c r="D81" i="36"/>
  <c r="G79" i="36"/>
  <c r="F80" i="36" s="1"/>
  <c r="G77" i="36"/>
  <c r="D78" i="36" s="1"/>
  <c r="G75" i="36"/>
  <c r="F76" i="36" s="1"/>
  <c r="G73" i="36"/>
  <c r="D74" i="36" s="1"/>
  <c r="F71" i="36"/>
  <c r="E71" i="36"/>
  <c r="D71" i="36"/>
  <c r="G69" i="36"/>
  <c r="F70" i="36" s="1"/>
  <c r="E66" i="36"/>
  <c r="D66" i="36"/>
  <c r="F66" i="36"/>
  <c r="G63" i="36"/>
  <c r="D64" i="36" s="1"/>
  <c r="F61" i="36"/>
  <c r="E61" i="36"/>
  <c r="D61" i="36"/>
  <c r="G59" i="36"/>
  <c r="G57" i="36"/>
  <c r="F58" i="36" s="1"/>
  <c r="G55" i="36"/>
  <c r="D56" i="36" s="1"/>
  <c r="G53" i="36"/>
  <c r="D54" i="36" s="1"/>
  <c r="G51" i="36"/>
  <c r="G49" i="36"/>
  <c r="F50" i="36" s="1"/>
  <c r="G47" i="36"/>
  <c r="D48" i="36" s="1"/>
  <c r="G45" i="36"/>
  <c r="D46" i="36" s="1"/>
  <c r="K30" i="36"/>
  <c r="I28" i="36"/>
  <c r="I34" i="36" s="1"/>
  <c r="G28" i="36" a="1"/>
  <c r="G28" i="36" s="1"/>
  <c r="F28" i="36" a="1"/>
  <c r="F28" i="36" s="1"/>
  <c r="F34" i="36" s="1"/>
  <c r="E28" i="36" a="1"/>
  <c r="E28" i="36" s="1"/>
  <c r="D28" i="36" a="1"/>
  <c r="D28" i="36" s="1"/>
  <c r="I26" i="36"/>
  <c r="I24" i="36"/>
  <c r="I18" i="36"/>
  <c r="I12" i="36"/>
  <c r="H10" i="36"/>
  <c r="F11" i="36" s="1"/>
  <c r="F13" i="36" s="1"/>
  <c r="L9" i="36"/>
  <c r="H9" i="36"/>
  <c r="H8" i="36"/>
  <c r="G8" i="36" s="1"/>
  <c r="D8" i="36"/>
  <c r="D12" i="36" s="1"/>
  <c r="D20" i="35"/>
  <c r="D68" i="36" l="1"/>
  <c r="I30" i="36"/>
  <c r="E115" i="36"/>
  <c r="E103" i="36"/>
  <c r="D76" i="36"/>
  <c r="E74" i="36"/>
  <c r="E101" i="36"/>
  <c r="E105" i="36"/>
  <c r="L330" i="36"/>
  <c r="N330" i="36" s="1"/>
  <c r="H150" i="36"/>
  <c r="G81" i="36"/>
  <c r="F82" i="36" s="1"/>
  <c r="D133" i="36"/>
  <c r="G302" i="36"/>
  <c r="G306" i="36" s="1"/>
  <c r="G297" i="36"/>
  <c r="F56" i="36"/>
  <c r="E155" i="36"/>
  <c r="M327" i="36"/>
  <c r="H293" i="36"/>
  <c r="J293" i="36"/>
  <c r="H289" i="36"/>
  <c r="D70" i="36"/>
  <c r="G70" i="36" s="1"/>
  <c r="D155" i="36"/>
  <c r="D159" i="36"/>
  <c r="G159" i="36" s="1"/>
  <c r="K289" i="36"/>
  <c r="M295" i="36"/>
  <c r="F17" i="36"/>
  <c r="F19" i="36" s="1"/>
  <c r="E80" i="36"/>
  <c r="D147" i="36"/>
  <c r="M273" i="36"/>
  <c r="H295" i="36"/>
  <c r="E17" i="36"/>
  <c r="E19" i="36" s="1"/>
  <c r="D137" i="36"/>
  <c r="D167" i="36"/>
  <c r="J295" i="36"/>
  <c r="N323" i="36"/>
  <c r="G17" i="36"/>
  <c r="G19" i="36" s="1"/>
  <c r="E76" i="36"/>
  <c r="D80" i="36"/>
  <c r="E78" i="36"/>
  <c r="E70" i="36"/>
  <c r="E14" i="36"/>
  <c r="E18" i="36" s="1"/>
  <c r="G14" i="36"/>
  <c r="G18" i="36" s="1"/>
  <c r="D175" i="36"/>
  <c r="D171" i="36"/>
  <c r="E153" i="36"/>
  <c r="E159" i="36"/>
  <c r="E157" i="36"/>
  <c r="E123" i="36"/>
  <c r="D101" i="36"/>
  <c r="G112" i="36"/>
  <c r="H127" i="36" s="1"/>
  <c r="D97" i="36"/>
  <c r="E99" i="36"/>
  <c r="D121" i="36"/>
  <c r="D141" i="36"/>
  <c r="E149" i="36"/>
  <c r="E97" i="36"/>
  <c r="D109" i="36"/>
  <c r="D117" i="36"/>
  <c r="E119" i="36"/>
  <c r="E121" i="36"/>
  <c r="D125" i="36"/>
  <c r="D131" i="36"/>
  <c r="F141" i="36"/>
  <c r="D105" i="36"/>
  <c r="E107" i="36"/>
  <c r="E109" i="36"/>
  <c r="E117" i="36"/>
  <c r="E125" i="36"/>
  <c r="G144" i="36"/>
  <c r="F183" i="36" s="1"/>
  <c r="G183" i="36" s="1"/>
  <c r="D151" i="36"/>
  <c r="E151" i="36"/>
  <c r="H151" i="36"/>
  <c r="E64" i="36"/>
  <c r="E83" i="36"/>
  <c r="F48" i="36"/>
  <c r="G61" i="36"/>
  <c r="H47" i="36" s="1"/>
  <c r="D20" i="36"/>
  <c r="D24" i="36" s="1"/>
  <c r="G20" i="36"/>
  <c r="G24" i="36" s="1"/>
  <c r="G23" i="36"/>
  <c r="G25" i="36" s="1"/>
  <c r="J22" i="36"/>
  <c r="J24" i="36" s="1"/>
  <c r="E20" i="36"/>
  <c r="E24" i="36" s="1"/>
  <c r="E23" i="36"/>
  <c r="K23" i="36"/>
  <c r="L23" i="36" s="1"/>
  <c r="F18" i="36"/>
  <c r="H18" i="36"/>
  <c r="D14" i="36"/>
  <c r="D18" i="36" s="1"/>
  <c r="J18" i="36"/>
  <c r="D34" i="36"/>
  <c r="E34" i="36"/>
  <c r="H28" i="36"/>
  <c r="H34" i="36" s="1"/>
  <c r="G34" i="36"/>
  <c r="J10" i="36"/>
  <c r="J12" i="36" s="1"/>
  <c r="F8" i="36"/>
  <c r="G12" i="36"/>
  <c r="F24" i="36"/>
  <c r="F25" i="36"/>
  <c r="I32" i="36"/>
  <c r="I36" i="36" s="1"/>
  <c r="E46" i="36"/>
  <c r="E54" i="36"/>
  <c r="D83" i="36"/>
  <c r="G11" i="36"/>
  <c r="G13" i="36" s="1"/>
  <c r="H12" i="36"/>
  <c r="H24" i="36"/>
  <c r="E52" i="36"/>
  <c r="E60" i="36"/>
  <c r="F83" i="36"/>
  <c r="F46" i="36"/>
  <c r="E50" i="36"/>
  <c r="D52" i="36"/>
  <c r="F54" i="36"/>
  <c r="E58" i="36"/>
  <c r="D60" i="36"/>
  <c r="F95" i="36"/>
  <c r="E8" i="36"/>
  <c r="E11" i="36"/>
  <c r="K11" i="36"/>
  <c r="L11" i="36" s="1"/>
  <c r="E48" i="36"/>
  <c r="D50" i="36"/>
  <c r="F52" i="36"/>
  <c r="E56" i="36"/>
  <c r="D58" i="36"/>
  <c r="F60" i="36"/>
  <c r="G71" i="36"/>
  <c r="D95" i="36"/>
  <c r="D135" i="36"/>
  <c r="E135" i="36"/>
  <c r="D139" i="36"/>
  <c r="E139" i="36"/>
  <c r="F64" i="36"/>
  <c r="F68" i="36"/>
  <c r="F74" i="36"/>
  <c r="F78" i="36"/>
  <c r="F99" i="36"/>
  <c r="F103" i="36"/>
  <c r="F107" i="36"/>
  <c r="F115" i="36"/>
  <c r="F119" i="36"/>
  <c r="F123" i="36"/>
  <c r="F149" i="36"/>
  <c r="F153" i="36"/>
  <c r="F157" i="36"/>
  <c r="G160" i="36"/>
  <c r="F184" i="36" s="1"/>
  <c r="E165" i="36"/>
  <c r="E169" i="36"/>
  <c r="E173" i="36"/>
  <c r="E177" i="36"/>
  <c r="M265" i="36"/>
  <c r="H265" i="36"/>
  <c r="K265" i="36"/>
  <c r="F165" i="36"/>
  <c r="F169" i="36"/>
  <c r="F173" i="36"/>
  <c r="F177" i="36"/>
  <c r="F125" i="36"/>
  <c r="G128" i="36"/>
  <c r="D129" i="36" s="1"/>
  <c r="E133" i="36"/>
  <c r="E137" i="36"/>
  <c r="D163" i="36"/>
  <c r="E167" i="36"/>
  <c r="E171" i="36"/>
  <c r="E175" i="36"/>
  <c r="G178" i="36"/>
  <c r="E179" i="36" s="1"/>
  <c r="J265" i="36"/>
  <c r="J302" i="36"/>
  <c r="J273" i="36"/>
  <c r="K294" i="36"/>
  <c r="K296" i="36"/>
  <c r="L306" i="36"/>
  <c r="K273" i="36"/>
  <c r="M281" i="36"/>
  <c r="M289" i="36"/>
  <c r="M294" i="36"/>
  <c r="M296" i="36"/>
  <c r="I306" i="36"/>
  <c r="C330" i="36"/>
  <c r="K330" i="36"/>
  <c r="H273" i="36"/>
  <c r="J281" i="36"/>
  <c r="J289" i="36"/>
  <c r="K293" i="36"/>
  <c r="H294" i="36"/>
  <c r="K295" i="36"/>
  <c r="H296" i="36"/>
  <c r="F297" i="36"/>
  <c r="J304" i="36"/>
  <c r="J305" i="36"/>
  <c r="M293" i="36"/>
  <c r="I398" i="35"/>
  <c r="I400" i="35" s="1"/>
  <c r="J396" i="35"/>
  <c r="H396" i="35" s="1"/>
  <c r="J394" i="35"/>
  <c r="H394" i="35"/>
  <c r="D394" i="35"/>
  <c r="L393" i="35"/>
  <c r="J392" i="35"/>
  <c r="H392" i="35"/>
  <c r="F392" i="35" s="1"/>
  <c r="G392" i="35"/>
  <c r="D392" i="35"/>
  <c r="I390" i="35"/>
  <c r="H388" i="35"/>
  <c r="D388" i="35"/>
  <c r="L387" i="35"/>
  <c r="J386" i="35"/>
  <c r="H386" i="35"/>
  <c r="F386" i="35" s="1"/>
  <c r="G386" i="35"/>
  <c r="D386" i="35"/>
  <c r="D390" i="35" s="1"/>
  <c r="I379" i="35"/>
  <c r="I381" i="35" s="1"/>
  <c r="H378" i="35"/>
  <c r="H377" i="35"/>
  <c r="G377" i="35" s="1"/>
  <c r="F377" i="35"/>
  <c r="E377" i="35"/>
  <c r="D377" i="35"/>
  <c r="H376" i="35"/>
  <c r="H375" i="35"/>
  <c r="F375" i="35" s="1"/>
  <c r="G375" i="35"/>
  <c r="G379" i="35" s="1"/>
  <c r="D375" i="35"/>
  <c r="L374" i="35"/>
  <c r="H374" i="35"/>
  <c r="H373" i="35"/>
  <c r="H379" i="35" s="1"/>
  <c r="G373" i="35"/>
  <c r="F373" i="35"/>
  <c r="E373" i="35"/>
  <c r="D373" i="35"/>
  <c r="D379" i="35" s="1"/>
  <c r="K372" i="35"/>
  <c r="L372" i="35" s="1"/>
  <c r="I371" i="35"/>
  <c r="H369" i="35"/>
  <c r="E369" i="35" s="1"/>
  <c r="G369" i="35"/>
  <c r="F369" i="35"/>
  <c r="D369" i="35"/>
  <c r="H368" i="35"/>
  <c r="H367" i="35"/>
  <c r="H371" i="35" s="1"/>
  <c r="J371" i="35" s="1"/>
  <c r="E367" i="35"/>
  <c r="D367" i="35"/>
  <c r="D371" i="35" s="1"/>
  <c r="M340" i="35"/>
  <c r="N340" i="35" s="1"/>
  <c r="N339" i="35"/>
  <c r="M339" i="35"/>
  <c r="M338" i="35"/>
  <c r="N338" i="35" s="1"/>
  <c r="N336" i="35"/>
  <c r="J336" i="35"/>
  <c r="I336" i="35"/>
  <c r="H336" i="35"/>
  <c r="G336" i="35"/>
  <c r="F336" i="35"/>
  <c r="E336" i="35"/>
  <c r="D336" i="35"/>
  <c r="N335" i="35"/>
  <c r="L335" i="35"/>
  <c r="K335" i="35"/>
  <c r="M335" i="35" s="1"/>
  <c r="N334" i="35"/>
  <c r="L334" i="35"/>
  <c r="K334" i="35"/>
  <c r="M334" i="35" s="1"/>
  <c r="N333" i="35"/>
  <c r="K333" i="35"/>
  <c r="C333" i="35"/>
  <c r="M333" i="35" s="1"/>
  <c r="N332" i="35"/>
  <c r="M332" i="35"/>
  <c r="K332" i="35"/>
  <c r="N331" i="35"/>
  <c r="M331" i="35"/>
  <c r="L331" i="35"/>
  <c r="K331" i="35"/>
  <c r="N330" i="35"/>
  <c r="M330" i="35"/>
  <c r="L330" i="35"/>
  <c r="K330" i="35"/>
  <c r="N329" i="35"/>
  <c r="M329" i="35"/>
  <c r="L329" i="35"/>
  <c r="L336" i="35" s="1"/>
  <c r="K329" i="35"/>
  <c r="K336" i="35" s="1"/>
  <c r="L310" i="35"/>
  <c r="L312" i="35" s="1"/>
  <c r="I310" i="35"/>
  <c r="L309" i="35"/>
  <c r="I309" i="35"/>
  <c r="L308" i="35"/>
  <c r="L311" i="35" s="1"/>
  <c r="I308" i="35"/>
  <c r="L307" i="35"/>
  <c r="I307" i="35"/>
  <c r="L302" i="35"/>
  <c r="I302" i="35"/>
  <c r="K301" i="35"/>
  <c r="G301" i="35"/>
  <c r="G310" i="35" s="1"/>
  <c r="F301" i="35"/>
  <c r="J300" i="35"/>
  <c r="H300" i="35"/>
  <c r="G300" i="35"/>
  <c r="G309" i="35" s="1"/>
  <c r="F300" i="35"/>
  <c r="M300" i="35" s="1"/>
  <c r="G299" i="35"/>
  <c r="G308" i="35" s="1"/>
  <c r="F299" i="35"/>
  <c r="J298" i="35"/>
  <c r="H298" i="35"/>
  <c r="G298" i="35"/>
  <c r="G307" i="35" s="1"/>
  <c r="F298" i="35"/>
  <c r="F307" i="35" s="1"/>
  <c r="L294" i="35"/>
  <c r="I294" i="35"/>
  <c r="J294" i="35" s="1"/>
  <c r="H294" i="35"/>
  <c r="G294" i="35"/>
  <c r="F294" i="35"/>
  <c r="K294" i="35" s="1"/>
  <c r="M293" i="35"/>
  <c r="K293" i="35"/>
  <c r="J293" i="35"/>
  <c r="H293" i="35"/>
  <c r="M292" i="35"/>
  <c r="K292" i="35"/>
  <c r="J292" i="35"/>
  <c r="H292" i="35"/>
  <c r="L286" i="35"/>
  <c r="I286" i="35"/>
  <c r="K286" i="35" s="1"/>
  <c r="H286" i="35"/>
  <c r="M282" i="35"/>
  <c r="K282" i="35"/>
  <c r="J282" i="35"/>
  <c r="H282" i="35"/>
  <c r="L277" i="35"/>
  <c r="J277" i="35"/>
  <c r="I277" i="35"/>
  <c r="G277" i="35"/>
  <c r="F277" i="35"/>
  <c r="M276" i="35"/>
  <c r="K276" i="35"/>
  <c r="J276" i="35"/>
  <c r="H276" i="35"/>
  <c r="M275" i="35"/>
  <c r="K275" i="35"/>
  <c r="J275" i="35"/>
  <c r="H275" i="35"/>
  <c r="M274" i="35"/>
  <c r="K274" i="35"/>
  <c r="J274" i="35"/>
  <c r="H274" i="35"/>
  <c r="M273" i="35"/>
  <c r="K273" i="35"/>
  <c r="J273" i="35"/>
  <c r="H273" i="35"/>
  <c r="L269" i="35"/>
  <c r="J269" i="35"/>
  <c r="I269" i="35"/>
  <c r="G269" i="35"/>
  <c r="F269" i="35"/>
  <c r="M268" i="35"/>
  <c r="K268" i="35"/>
  <c r="J268" i="35"/>
  <c r="H268" i="35"/>
  <c r="M267" i="35"/>
  <c r="K267" i="35"/>
  <c r="J267" i="35"/>
  <c r="H267" i="35"/>
  <c r="M266" i="35"/>
  <c r="K266" i="35"/>
  <c r="J266" i="35"/>
  <c r="H266" i="35"/>
  <c r="M265" i="35"/>
  <c r="K265" i="35"/>
  <c r="J265" i="35"/>
  <c r="H265" i="35"/>
  <c r="I209" i="35"/>
  <c r="G209" i="35"/>
  <c r="F185" i="35"/>
  <c r="E185" i="35"/>
  <c r="D185" i="35"/>
  <c r="G185" i="35" s="1"/>
  <c r="E184" i="35"/>
  <c r="D184" i="35"/>
  <c r="G183" i="35"/>
  <c r="H182" i="35"/>
  <c r="F182" i="35"/>
  <c r="G181" i="35"/>
  <c r="E180" i="35"/>
  <c r="D180" i="35"/>
  <c r="G179" i="35"/>
  <c r="F178" i="35"/>
  <c r="H177" i="35"/>
  <c r="G177" i="35"/>
  <c r="E176" i="35"/>
  <c r="D176" i="35"/>
  <c r="G175" i="35"/>
  <c r="H175" i="35" s="1"/>
  <c r="G173" i="35"/>
  <c r="E172" i="35"/>
  <c r="D172" i="35"/>
  <c r="G171" i="35"/>
  <c r="H171" i="35" s="1"/>
  <c r="H170" i="35"/>
  <c r="G169" i="35"/>
  <c r="F167" i="35"/>
  <c r="E167" i="35"/>
  <c r="D167" i="35"/>
  <c r="G166" i="35"/>
  <c r="H166" i="35" s="1"/>
  <c r="E166" i="35"/>
  <c r="D166" i="35"/>
  <c r="G165" i="35"/>
  <c r="F166" i="35" s="1"/>
  <c r="F164" i="35"/>
  <c r="E164" i="35"/>
  <c r="G163" i="35"/>
  <c r="D164" i="35" s="1"/>
  <c r="E162" i="35"/>
  <c r="D162" i="35"/>
  <c r="G161" i="35"/>
  <c r="F162" i="35" s="1"/>
  <c r="F160" i="35"/>
  <c r="G159" i="35"/>
  <c r="D160" i="35" s="1"/>
  <c r="H158" i="35"/>
  <c r="E158" i="35"/>
  <c r="D158" i="35"/>
  <c r="H157" i="35"/>
  <c r="G157" i="35"/>
  <c r="F158" i="35" s="1"/>
  <c r="F156" i="35"/>
  <c r="E156" i="35"/>
  <c r="G155" i="35"/>
  <c r="D156" i="35" s="1"/>
  <c r="D154" i="35"/>
  <c r="G153" i="35"/>
  <c r="F154" i="35" s="1"/>
  <c r="F151" i="35"/>
  <c r="E151" i="35"/>
  <c r="D151" i="35"/>
  <c r="G151" i="35" s="1"/>
  <c r="F190" i="35" s="1"/>
  <c r="F150" i="35"/>
  <c r="E150" i="35"/>
  <c r="D150" i="35"/>
  <c r="G150" i="35" s="1"/>
  <c r="H150" i="35" s="1"/>
  <c r="G149" i="35"/>
  <c r="F148" i="35"/>
  <c r="D148" i="35"/>
  <c r="G147" i="35"/>
  <c r="F146" i="35"/>
  <c r="E146" i="35"/>
  <c r="D146" i="35"/>
  <c r="G145" i="35"/>
  <c r="F144" i="35"/>
  <c r="D144" i="35"/>
  <c r="G143" i="35"/>
  <c r="E144" i="35" s="1"/>
  <c r="F142" i="35"/>
  <c r="E142" i="35"/>
  <c r="G141" i="35"/>
  <c r="G139" i="35"/>
  <c r="E140" i="35" s="1"/>
  <c r="F138" i="35"/>
  <c r="D138" i="35"/>
  <c r="G137" i="35"/>
  <c r="F135" i="35"/>
  <c r="E135" i="35"/>
  <c r="D135" i="35"/>
  <c r="G134" i="35"/>
  <c r="F134" i="35"/>
  <c r="E134" i="35"/>
  <c r="D134" i="35"/>
  <c r="G133" i="35"/>
  <c r="E132" i="35"/>
  <c r="D132" i="35"/>
  <c r="G131" i="35"/>
  <c r="E148" i="35" s="1"/>
  <c r="E130" i="35"/>
  <c r="G129" i="35"/>
  <c r="D130" i="35" s="1"/>
  <c r="E128" i="35"/>
  <c r="D128" i="35"/>
  <c r="G127" i="35"/>
  <c r="F128" i="35" s="1"/>
  <c r="G125" i="35"/>
  <c r="D126" i="35" s="1"/>
  <c r="E124" i="35"/>
  <c r="D124" i="35"/>
  <c r="G123" i="35"/>
  <c r="F124" i="35" s="1"/>
  <c r="E122" i="35"/>
  <c r="G121" i="35"/>
  <c r="D122" i="35" s="1"/>
  <c r="F119" i="35"/>
  <c r="F120" i="35" s="1"/>
  <c r="E119" i="35"/>
  <c r="D119" i="35"/>
  <c r="G119" i="35" s="1"/>
  <c r="F118" i="35"/>
  <c r="E118" i="35"/>
  <c r="D118" i="35"/>
  <c r="E116" i="35"/>
  <c r="D116" i="35"/>
  <c r="G115" i="35"/>
  <c r="F116" i="35" s="1"/>
  <c r="F114" i="35"/>
  <c r="E114" i="35"/>
  <c r="G113" i="35"/>
  <c r="D114" i="35" s="1"/>
  <c r="E112" i="35"/>
  <c r="D112" i="35"/>
  <c r="G111" i="35"/>
  <c r="F112" i="35" s="1"/>
  <c r="G109" i="35"/>
  <c r="D110" i="35" s="1"/>
  <c r="E108" i="35"/>
  <c r="D108" i="35"/>
  <c r="G107" i="35"/>
  <c r="F108" i="35" s="1"/>
  <c r="F106" i="35"/>
  <c r="E106" i="35"/>
  <c r="G105" i="35"/>
  <c r="D106" i="35" s="1"/>
  <c r="E104" i="35"/>
  <c r="D104" i="35"/>
  <c r="G103" i="35"/>
  <c r="F104" i="35" s="1"/>
  <c r="G101" i="35"/>
  <c r="G87" i="35"/>
  <c r="F95" i="35" s="1"/>
  <c r="F87" i="35"/>
  <c r="E87" i="35"/>
  <c r="D87" i="35"/>
  <c r="D88" i="35" s="1"/>
  <c r="E86" i="35"/>
  <c r="D86" i="35"/>
  <c r="G85" i="35"/>
  <c r="F86" i="35" s="1"/>
  <c r="F84" i="35"/>
  <c r="E84" i="35"/>
  <c r="G83" i="35"/>
  <c r="D84" i="35" s="1"/>
  <c r="E82" i="35"/>
  <c r="D82" i="35"/>
  <c r="G81" i="35"/>
  <c r="F82" i="35" s="1"/>
  <c r="F80" i="35"/>
  <c r="G79" i="35"/>
  <c r="D80" i="35" s="1"/>
  <c r="F77" i="35"/>
  <c r="E77" i="35"/>
  <c r="D77" i="35"/>
  <c r="G76" i="35"/>
  <c r="E76" i="35"/>
  <c r="D76" i="35"/>
  <c r="G75" i="35"/>
  <c r="F76" i="35" s="1"/>
  <c r="G73" i="35"/>
  <c r="D74" i="35" s="1"/>
  <c r="E72" i="35"/>
  <c r="D72" i="35"/>
  <c r="G71" i="35"/>
  <c r="F72" i="35" s="1"/>
  <c r="E70" i="35"/>
  <c r="G69" i="35"/>
  <c r="D70" i="35" s="1"/>
  <c r="F67" i="35"/>
  <c r="F89" i="35" s="1"/>
  <c r="E67" i="35"/>
  <c r="E89" i="35" s="1"/>
  <c r="D67" i="35"/>
  <c r="E66" i="35"/>
  <c r="G65" i="35"/>
  <c r="D66" i="35" s="1"/>
  <c r="D64" i="35"/>
  <c r="G63" i="35"/>
  <c r="F64" i="35" s="1"/>
  <c r="E62" i="35"/>
  <c r="G61" i="35"/>
  <c r="D62" i="35" s="1"/>
  <c r="D60" i="35"/>
  <c r="G59" i="35"/>
  <c r="F60" i="35" s="1"/>
  <c r="E58" i="35"/>
  <c r="G57" i="35"/>
  <c r="D58" i="35" s="1"/>
  <c r="D56" i="35"/>
  <c r="G55" i="35"/>
  <c r="F56" i="35" s="1"/>
  <c r="E54" i="35"/>
  <c r="G53" i="35"/>
  <c r="D54" i="35" s="1"/>
  <c r="D52" i="35"/>
  <c r="G51" i="35"/>
  <c r="F52" i="35" s="1"/>
  <c r="K36" i="35"/>
  <c r="I34" i="35"/>
  <c r="I40" i="35" s="1"/>
  <c r="G34" i="35" a="1"/>
  <c r="G34" i="35" s="1"/>
  <c r="F34" i="35" a="1"/>
  <c r="F34" i="35" s="1"/>
  <c r="E34" i="35" a="1"/>
  <c r="E34" i="35" s="1"/>
  <c r="D34" i="35" a="1"/>
  <c r="D34" i="35" s="1"/>
  <c r="I32" i="35"/>
  <c r="I38" i="35" s="1"/>
  <c r="I30" i="35"/>
  <c r="K29" i="35"/>
  <c r="L29" i="35" s="1"/>
  <c r="H28" i="35"/>
  <c r="J28" i="35" s="1"/>
  <c r="J30" i="35" s="1"/>
  <c r="L27" i="35"/>
  <c r="H27" i="35"/>
  <c r="H26" i="35"/>
  <c r="F26" i="35" s="1"/>
  <c r="F30" i="35" s="1"/>
  <c r="I24" i="35"/>
  <c r="D24" i="35"/>
  <c r="H22" i="35"/>
  <c r="G23" i="35" s="1"/>
  <c r="G25" i="35" s="1"/>
  <c r="H21" i="35"/>
  <c r="H20" i="35"/>
  <c r="E20" i="35" s="1"/>
  <c r="E24" i="35" s="1"/>
  <c r="G20" i="35"/>
  <c r="G24" i="35" s="1"/>
  <c r="I18" i="35"/>
  <c r="D18" i="35"/>
  <c r="H16" i="35"/>
  <c r="F17" i="35" s="1"/>
  <c r="F19" i="35" s="1"/>
  <c r="L15" i="35"/>
  <c r="H15" i="35"/>
  <c r="H14" i="35"/>
  <c r="F14" i="35" s="1"/>
  <c r="G14" i="35"/>
  <c r="I12" i="35"/>
  <c r="H10" i="35"/>
  <c r="J10" i="35" s="1"/>
  <c r="J12" i="35" s="1"/>
  <c r="L9" i="35"/>
  <c r="H9" i="35"/>
  <c r="H8" i="35"/>
  <c r="D8" i="35"/>
  <c r="F89" i="36" l="1"/>
  <c r="E82" i="36"/>
  <c r="D82" i="36"/>
  <c r="H302" i="36"/>
  <c r="H23" i="36"/>
  <c r="E26" i="36" a="1"/>
  <c r="E26" i="36" s="1"/>
  <c r="E32" i="36" s="1"/>
  <c r="K302" i="36"/>
  <c r="G26" i="36" a="1"/>
  <c r="G26" i="36" s="1"/>
  <c r="G30" i="36" s="1"/>
  <c r="E62" i="36"/>
  <c r="D62" i="36"/>
  <c r="M302" i="36"/>
  <c r="H136" i="36"/>
  <c r="H101" i="36"/>
  <c r="F145" i="36"/>
  <c r="H17" i="36"/>
  <c r="H19" i="36" s="1"/>
  <c r="E113" i="36"/>
  <c r="H55" i="36"/>
  <c r="H49" i="36"/>
  <c r="H59" i="36"/>
  <c r="D145" i="36"/>
  <c r="F87" i="36"/>
  <c r="M192" i="36" s="1"/>
  <c r="H48" i="36"/>
  <c r="H52" i="36"/>
  <c r="H56" i="36"/>
  <c r="H60" i="36"/>
  <c r="H46" i="36"/>
  <c r="H50" i="36"/>
  <c r="H54" i="36"/>
  <c r="H58" i="36"/>
  <c r="H53" i="36"/>
  <c r="H51" i="36"/>
  <c r="H118" i="36"/>
  <c r="H94" i="36"/>
  <c r="E145" i="36"/>
  <c r="H134" i="36"/>
  <c r="H123" i="36"/>
  <c r="L230" i="36"/>
  <c r="H122" i="36"/>
  <c r="H97" i="36"/>
  <c r="H104" i="36"/>
  <c r="H126" i="36"/>
  <c r="H57" i="36"/>
  <c r="H45" i="36"/>
  <c r="L228" i="36"/>
  <c r="F236" i="36" s="1"/>
  <c r="I236" i="36" s="1"/>
  <c r="H108" i="36"/>
  <c r="H105" i="36"/>
  <c r="H111" i="36"/>
  <c r="D113" i="36"/>
  <c r="H114" i="36"/>
  <c r="H149" i="36"/>
  <c r="H131" i="36"/>
  <c r="H138" i="36"/>
  <c r="H98" i="36"/>
  <c r="H103" i="36"/>
  <c r="H159" i="36"/>
  <c r="H140" i="36"/>
  <c r="H124" i="36"/>
  <c r="F181" i="36"/>
  <c r="H147" i="36"/>
  <c r="H133" i="36"/>
  <c r="H155" i="36"/>
  <c r="H146" i="36"/>
  <c r="H156" i="36"/>
  <c r="H120" i="36"/>
  <c r="H100" i="36"/>
  <c r="H121" i="36"/>
  <c r="H110" i="36"/>
  <c r="H135" i="36"/>
  <c r="H158" i="36"/>
  <c r="H132" i="36"/>
  <c r="H148" i="36"/>
  <c r="H125" i="36"/>
  <c r="H107" i="36"/>
  <c r="H153" i="36"/>
  <c r="H116" i="36"/>
  <c r="H96" i="36"/>
  <c r="H157" i="36"/>
  <c r="H143" i="36"/>
  <c r="H152" i="36"/>
  <c r="H115" i="36"/>
  <c r="H141" i="36"/>
  <c r="H130" i="36"/>
  <c r="H119" i="36"/>
  <c r="H95" i="36"/>
  <c r="H106" i="36"/>
  <c r="H142" i="36"/>
  <c r="F113" i="36"/>
  <c r="H137" i="36"/>
  <c r="H139" i="36"/>
  <c r="H154" i="36"/>
  <c r="H102" i="36"/>
  <c r="H99" i="36"/>
  <c r="H117" i="36"/>
  <c r="H109" i="36"/>
  <c r="E129" i="36"/>
  <c r="F62" i="36"/>
  <c r="D26" i="36" a="1"/>
  <c r="D26" i="36" s="1"/>
  <c r="D30" i="36" s="1"/>
  <c r="J34" i="36"/>
  <c r="K35" i="36"/>
  <c r="L35" i="36" s="1"/>
  <c r="G35" i="36"/>
  <c r="K29" i="36"/>
  <c r="L29" i="36" s="1"/>
  <c r="J28" i="36"/>
  <c r="K297" i="36"/>
  <c r="M297" i="36"/>
  <c r="H297" i="36"/>
  <c r="H172" i="36"/>
  <c r="H164" i="36"/>
  <c r="F182" i="36"/>
  <c r="G182" i="36" s="1"/>
  <c r="F129" i="36"/>
  <c r="J297" i="36"/>
  <c r="G184" i="36"/>
  <c r="L229" i="36"/>
  <c r="F88" i="36"/>
  <c r="E72" i="36"/>
  <c r="D161" i="36"/>
  <c r="F72" i="36"/>
  <c r="F161" i="36"/>
  <c r="G29" i="36"/>
  <c r="K305" i="36"/>
  <c r="M305" i="36"/>
  <c r="H305" i="36"/>
  <c r="M330" i="36"/>
  <c r="E161" i="36"/>
  <c r="M193" i="36"/>
  <c r="G89" i="36"/>
  <c r="F29" i="36"/>
  <c r="F12" i="36"/>
  <c r="E35" i="36"/>
  <c r="K303" i="36"/>
  <c r="M303" i="36"/>
  <c r="H303" i="36"/>
  <c r="F185" i="36"/>
  <c r="H178" i="36"/>
  <c r="H177" i="36"/>
  <c r="H173" i="36"/>
  <c r="H169" i="36"/>
  <c r="H165" i="36"/>
  <c r="H179" i="36"/>
  <c r="H175" i="36"/>
  <c r="H174" i="36"/>
  <c r="H171" i="36"/>
  <c r="H170" i="36"/>
  <c r="H167" i="36"/>
  <c r="H166" i="36"/>
  <c r="H163" i="36"/>
  <c r="J303" i="36"/>
  <c r="F306" i="36"/>
  <c r="J306" i="36" s="1"/>
  <c r="H162" i="36"/>
  <c r="E25" i="36"/>
  <c r="H25" i="36"/>
  <c r="E12" i="36"/>
  <c r="K304" i="36"/>
  <c r="M304" i="36"/>
  <c r="H304" i="36"/>
  <c r="D179" i="36"/>
  <c r="H176" i="36"/>
  <c r="H168" i="36"/>
  <c r="F179" i="36"/>
  <c r="E13" i="36"/>
  <c r="H11" i="36"/>
  <c r="H13" i="36" s="1"/>
  <c r="F35" i="36"/>
  <c r="G83" i="36"/>
  <c r="F84" i="36" s="1"/>
  <c r="E29" i="36"/>
  <c r="F26" i="36" a="1"/>
  <c r="F26" i="36" s="1"/>
  <c r="F32" i="36" s="1"/>
  <c r="E29" i="35"/>
  <c r="F29" i="35"/>
  <c r="F31" i="35" s="1"/>
  <c r="D26" i="35"/>
  <c r="G26" i="35"/>
  <c r="G30" i="35" s="1"/>
  <c r="E26" i="35"/>
  <c r="E30" i="35" s="1"/>
  <c r="G32" i="35" a="1"/>
  <c r="G32" i="35" s="1"/>
  <c r="G36" i="35" s="1"/>
  <c r="F20" i="35"/>
  <c r="F24" i="35" s="1"/>
  <c r="E11" i="35"/>
  <c r="E13" i="35" s="1"/>
  <c r="F11" i="35"/>
  <c r="F13" i="35" s="1"/>
  <c r="K11" i="35"/>
  <c r="L11" i="35" s="1"/>
  <c r="G40" i="35"/>
  <c r="I42" i="35"/>
  <c r="E152" i="35"/>
  <c r="H34" i="35"/>
  <c r="H40" i="35" s="1"/>
  <c r="E40" i="35"/>
  <c r="D68" i="35"/>
  <c r="L235" i="35"/>
  <c r="D40" i="35"/>
  <c r="M200" i="35"/>
  <c r="G95" i="35"/>
  <c r="F188" i="35"/>
  <c r="H146" i="35"/>
  <c r="H142" i="35"/>
  <c r="H138" i="35"/>
  <c r="H163" i="35"/>
  <c r="H155" i="35"/>
  <c r="H153" i="35"/>
  <c r="H147" i="35"/>
  <c r="H132" i="35"/>
  <c r="H129" i="35"/>
  <c r="H124" i="35"/>
  <c r="H121" i="35"/>
  <c r="H118" i="35"/>
  <c r="H117" i="35"/>
  <c r="H115" i="35"/>
  <c r="H110" i="35"/>
  <c r="H107" i="35"/>
  <c r="H102" i="35"/>
  <c r="H164" i="35"/>
  <c r="H161" i="35"/>
  <c r="H156" i="35"/>
  <c r="H148" i="35"/>
  <c r="H130" i="35"/>
  <c r="H127" i="35"/>
  <c r="H122" i="35"/>
  <c r="H116" i="35"/>
  <c r="H113" i="35"/>
  <c r="H108" i="35"/>
  <c r="H105" i="35"/>
  <c r="H162" i="35"/>
  <c r="H154" i="35"/>
  <c r="H144" i="35"/>
  <c r="H137" i="35"/>
  <c r="H128" i="35"/>
  <c r="H114" i="35"/>
  <c r="H111" i="35"/>
  <c r="H106" i="35"/>
  <c r="H103" i="35"/>
  <c r="H165" i="35"/>
  <c r="H160" i="35"/>
  <c r="H140" i="35"/>
  <c r="H131" i="35"/>
  <c r="H126" i="35"/>
  <c r="H123" i="35"/>
  <c r="H112" i="35"/>
  <c r="H109" i="35"/>
  <c r="H104" i="35"/>
  <c r="F18" i="35"/>
  <c r="F32" i="35" a="1"/>
  <c r="F32" i="35" s="1"/>
  <c r="F40" i="35"/>
  <c r="H133" i="35"/>
  <c r="G17" i="35"/>
  <c r="G19" i="35" s="1"/>
  <c r="I36" i="35"/>
  <c r="F54" i="35"/>
  <c r="F58" i="35"/>
  <c r="F62" i="35"/>
  <c r="F66" i="35"/>
  <c r="F68" i="35"/>
  <c r="H101" i="35"/>
  <c r="D120" i="35"/>
  <c r="D152" i="35"/>
  <c r="G167" i="35"/>
  <c r="F191" i="35" s="1"/>
  <c r="L233" i="35" s="1"/>
  <c r="E174" i="35"/>
  <c r="D174" i="35"/>
  <c r="E8" i="35"/>
  <c r="J16" i="35"/>
  <c r="J18" i="35" s="1"/>
  <c r="J22" i="35"/>
  <c r="J24" i="35" s="1"/>
  <c r="E31" i="35"/>
  <c r="F8" i="35"/>
  <c r="E14" i="35"/>
  <c r="E17" i="35"/>
  <c r="K17" i="35"/>
  <c r="L17" i="35" s="1"/>
  <c r="E23" i="35"/>
  <c r="K23" i="35"/>
  <c r="L23" i="35" s="1"/>
  <c r="G29" i="35"/>
  <c r="G31" i="35" s="1"/>
  <c r="H30" i="35"/>
  <c r="E52" i="35"/>
  <c r="E56" i="35"/>
  <c r="E60" i="35"/>
  <c r="E64" i="35"/>
  <c r="G67" i="35"/>
  <c r="F93" i="35" s="1"/>
  <c r="F70" i="35"/>
  <c r="D89" i="35"/>
  <c r="D102" i="35"/>
  <c r="E110" i="35"/>
  <c r="E120" i="35"/>
  <c r="F122" i="35"/>
  <c r="H125" i="35"/>
  <c r="F130" i="35"/>
  <c r="H134" i="35"/>
  <c r="H139" i="35"/>
  <c r="H141" i="35"/>
  <c r="H159" i="35"/>
  <c r="H173" i="35"/>
  <c r="F192" i="35"/>
  <c r="H185" i="35"/>
  <c r="H184" i="35"/>
  <c r="H180" i="35"/>
  <c r="H176" i="35"/>
  <c r="H172" i="35"/>
  <c r="H186" i="35"/>
  <c r="G380" i="35"/>
  <c r="G381" i="35"/>
  <c r="H18" i="35"/>
  <c r="H24" i="35"/>
  <c r="G8" i="35"/>
  <c r="G11" i="35"/>
  <c r="D12" i="35"/>
  <c r="H12" i="35"/>
  <c r="G18" i="35"/>
  <c r="F23" i="35"/>
  <c r="F25" i="35" s="1"/>
  <c r="E74" i="35"/>
  <c r="G77" i="35"/>
  <c r="E88" i="35"/>
  <c r="F102" i="35"/>
  <c r="F110" i="35"/>
  <c r="E126" i="35"/>
  <c r="G135" i="35"/>
  <c r="F189" i="35" s="1"/>
  <c r="D140" i="35"/>
  <c r="D142" i="35"/>
  <c r="H143" i="35"/>
  <c r="H145" i="35"/>
  <c r="F152" i="35"/>
  <c r="E160" i="35"/>
  <c r="E168" i="35"/>
  <c r="D170" i="35"/>
  <c r="H169" i="35"/>
  <c r="F174" i="35"/>
  <c r="H178" i="35"/>
  <c r="E182" i="35"/>
  <c r="D182" i="35"/>
  <c r="H183" i="35"/>
  <c r="E186" i="35"/>
  <c r="E68" i="35"/>
  <c r="F74" i="35"/>
  <c r="E80" i="35"/>
  <c r="F88" i="35"/>
  <c r="F126" i="35"/>
  <c r="F140" i="35"/>
  <c r="H149" i="35"/>
  <c r="F170" i="35"/>
  <c r="H174" i="35"/>
  <c r="E178" i="35"/>
  <c r="D178" i="35"/>
  <c r="H179" i="35"/>
  <c r="H181" i="35"/>
  <c r="D398" i="35"/>
  <c r="D400" i="35" s="1"/>
  <c r="F172" i="35"/>
  <c r="F176" i="35"/>
  <c r="F180" i="35"/>
  <c r="F184" i="35"/>
  <c r="F186" i="35"/>
  <c r="K307" i="35"/>
  <c r="M307" i="35"/>
  <c r="J299" i="35"/>
  <c r="F308" i="35"/>
  <c r="H299" i="35"/>
  <c r="M299" i="35"/>
  <c r="E396" i="35"/>
  <c r="G396" i="35"/>
  <c r="F132" i="35"/>
  <c r="G312" i="35"/>
  <c r="G311" i="35"/>
  <c r="H307" i="35"/>
  <c r="J308" i="35"/>
  <c r="D381" i="35"/>
  <c r="K380" i="35"/>
  <c r="L380" i="35" s="1"/>
  <c r="J379" i="35"/>
  <c r="H381" i="35"/>
  <c r="G394" i="35"/>
  <c r="G398" i="35" s="1"/>
  <c r="F394" i="35"/>
  <c r="F398" i="35" s="1"/>
  <c r="E394" i="35"/>
  <c r="D186" i="35"/>
  <c r="M269" i="35"/>
  <c r="H269" i="35"/>
  <c r="K269" i="35"/>
  <c r="K299" i="35"/>
  <c r="J307" i="35"/>
  <c r="E371" i="35"/>
  <c r="E372" i="35" s="1"/>
  <c r="G388" i="35"/>
  <c r="G390" i="35" s="1"/>
  <c r="G391" i="35" s="1"/>
  <c r="F388" i="35"/>
  <c r="F390" i="35" s="1"/>
  <c r="F391" i="35" s="1"/>
  <c r="E388" i="35"/>
  <c r="H398" i="35"/>
  <c r="M277" i="35"/>
  <c r="H277" i="35"/>
  <c r="K277" i="35"/>
  <c r="J301" i="35"/>
  <c r="F310" i="35"/>
  <c r="F311" i="35" s="1"/>
  <c r="H301" i="35"/>
  <c r="M301" i="35"/>
  <c r="J310" i="35"/>
  <c r="F379" i="35"/>
  <c r="F396" i="35"/>
  <c r="M286" i="35"/>
  <c r="M294" i="35"/>
  <c r="I311" i="35"/>
  <c r="I312" i="35"/>
  <c r="C336" i="35"/>
  <c r="M336" i="35" s="1"/>
  <c r="F367" i="35"/>
  <c r="F371" i="35" s="1"/>
  <c r="F372" i="35" s="1"/>
  <c r="H390" i="35"/>
  <c r="J286" i="35"/>
  <c r="K298" i="35"/>
  <c r="K300" i="35"/>
  <c r="F302" i="35"/>
  <c r="F309" i="35"/>
  <c r="G367" i="35"/>
  <c r="G371" i="35" s="1"/>
  <c r="G372" i="35" s="1"/>
  <c r="E375" i="35"/>
  <c r="E379" i="35" s="1"/>
  <c r="E386" i="35"/>
  <c r="E392" i="35"/>
  <c r="D396" i="35"/>
  <c r="M298" i="35"/>
  <c r="G302" i="35"/>
  <c r="E30" i="36" l="1"/>
  <c r="G32" i="36"/>
  <c r="G36" i="36" s="1"/>
  <c r="I238" i="36"/>
  <c r="F239" i="36"/>
  <c r="I239" i="36" s="1"/>
  <c r="L231" i="36"/>
  <c r="F235" i="36" s="1"/>
  <c r="H235" i="36" s="1"/>
  <c r="G87" i="36"/>
  <c r="F228" i="36"/>
  <c r="I228" i="36" s="1"/>
  <c r="F234" i="36"/>
  <c r="I234" i="36" s="1"/>
  <c r="F233" i="36"/>
  <c r="I233" i="36" s="1"/>
  <c r="H238" i="36"/>
  <c r="L212" i="36"/>
  <c r="F212" i="36" s="1"/>
  <c r="H212" i="36" s="1"/>
  <c r="G181" i="36"/>
  <c r="F237" i="36"/>
  <c r="H237" i="36" s="1"/>
  <c r="F186" i="36"/>
  <c r="H183" i="36" s="1"/>
  <c r="L211" i="36"/>
  <c r="D32" i="36"/>
  <c r="D36" i="36" s="1"/>
  <c r="F36" i="36"/>
  <c r="L213" i="36"/>
  <c r="M191" i="36"/>
  <c r="G88" i="36"/>
  <c r="F90" i="36"/>
  <c r="H29" i="36"/>
  <c r="K306" i="36"/>
  <c r="M306" i="36"/>
  <c r="H306" i="36"/>
  <c r="H35" i="36"/>
  <c r="F30" i="36"/>
  <c r="H82" i="36"/>
  <c r="H74" i="36"/>
  <c r="H72" i="36"/>
  <c r="H69" i="36"/>
  <c r="H67" i="36"/>
  <c r="H83" i="36"/>
  <c r="H79" i="36"/>
  <c r="H77" i="36"/>
  <c r="H65" i="36"/>
  <c r="H63" i="36"/>
  <c r="H80" i="36"/>
  <c r="H75" i="36"/>
  <c r="H73" i="36"/>
  <c r="H68" i="36"/>
  <c r="H66" i="36"/>
  <c r="H78" i="36"/>
  <c r="H76" i="36"/>
  <c r="H64" i="36"/>
  <c r="H70" i="36"/>
  <c r="E84" i="36"/>
  <c r="H81" i="36"/>
  <c r="L242" i="36"/>
  <c r="G185" i="36"/>
  <c r="D84" i="36"/>
  <c r="E36" i="36"/>
  <c r="F232" i="36"/>
  <c r="I232" i="36" s="1"/>
  <c r="F230" i="36"/>
  <c r="I230" i="36" s="1"/>
  <c r="H26" i="36"/>
  <c r="D30" i="35"/>
  <c r="D32" i="35" a="1"/>
  <c r="D32" i="35" s="1"/>
  <c r="F35" i="35"/>
  <c r="I243" i="35"/>
  <c r="H243" i="35"/>
  <c r="F241" i="35"/>
  <c r="I241" i="35" s="1"/>
  <c r="F239" i="35"/>
  <c r="I239" i="35" s="1"/>
  <c r="F233" i="35"/>
  <c r="I233" i="35" s="1"/>
  <c r="L236" i="35"/>
  <c r="F240" i="35" s="1"/>
  <c r="H240" i="35" s="1"/>
  <c r="F238" i="35"/>
  <c r="I238" i="35" s="1"/>
  <c r="F244" i="35"/>
  <c r="I244" i="35" s="1"/>
  <c r="F242" i="35"/>
  <c r="H242" i="35" s="1"/>
  <c r="K311" i="35"/>
  <c r="M311" i="35"/>
  <c r="H311" i="35"/>
  <c r="G400" i="35"/>
  <c r="G399" i="35"/>
  <c r="E381" i="35"/>
  <c r="E382" i="35" s="1"/>
  <c r="E380" i="35"/>
  <c r="F400" i="35"/>
  <c r="F399" i="35"/>
  <c r="E78" i="35"/>
  <c r="F94" i="35"/>
  <c r="G38" i="35"/>
  <c r="G42" i="35" s="1"/>
  <c r="G12" i="35"/>
  <c r="H189" i="35"/>
  <c r="G189" i="35"/>
  <c r="L220" i="35"/>
  <c r="F78" i="35"/>
  <c r="F41" i="35"/>
  <c r="F136" i="35"/>
  <c r="G190" i="35"/>
  <c r="E41" i="35"/>
  <c r="K41" i="35"/>
  <c r="L41" i="35" s="1"/>
  <c r="J40" i="35"/>
  <c r="K310" i="35"/>
  <c r="M310" i="35"/>
  <c r="H310" i="35"/>
  <c r="E398" i="35"/>
  <c r="K309" i="35"/>
  <c r="M309" i="35"/>
  <c r="H309" i="35"/>
  <c r="K382" i="35"/>
  <c r="L382" i="35" s="1"/>
  <c r="J381" i="35"/>
  <c r="J309" i="35"/>
  <c r="E390" i="35"/>
  <c r="E391" i="35" s="1"/>
  <c r="K302" i="35"/>
  <c r="M302" i="35"/>
  <c r="H302" i="35"/>
  <c r="K391" i="35"/>
  <c r="L391" i="35" s="1"/>
  <c r="J390" i="35"/>
  <c r="J311" i="35"/>
  <c r="F381" i="35"/>
  <c r="F382" i="35" s="1"/>
  <c r="F380" i="35"/>
  <c r="G13" i="35"/>
  <c r="H11" i="35"/>
  <c r="H13" i="35" s="1"/>
  <c r="G382" i="35"/>
  <c r="H192" i="35"/>
  <c r="G192" i="35"/>
  <c r="L247" i="35"/>
  <c r="E19" i="35"/>
  <c r="H17" i="35"/>
  <c r="H19" i="35" s="1"/>
  <c r="F168" i="35"/>
  <c r="J34" i="35"/>
  <c r="K35" i="35"/>
  <c r="L35" i="35" s="1"/>
  <c r="E136" i="35"/>
  <c r="H29" i="35"/>
  <c r="H31" i="35" s="1"/>
  <c r="E35" i="35"/>
  <c r="G41" i="35"/>
  <c r="G89" i="35"/>
  <c r="E32" i="35" a="1"/>
  <c r="E32" i="35" s="1"/>
  <c r="E38" i="35" s="1"/>
  <c r="E18" i="35"/>
  <c r="H191" i="35"/>
  <c r="G191" i="35"/>
  <c r="L234" i="35"/>
  <c r="J302" i="35"/>
  <c r="K399" i="35"/>
  <c r="L399" i="35" s="1"/>
  <c r="J398" i="35"/>
  <c r="H400" i="35"/>
  <c r="K308" i="35"/>
  <c r="M308" i="35"/>
  <c r="H308" i="35"/>
  <c r="F312" i="35"/>
  <c r="D168" i="35"/>
  <c r="M199" i="35"/>
  <c r="F96" i="35"/>
  <c r="G93" i="35"/>
  <c r="E25" i="35"/>
  <c r="H23" i="35"/>
  <c r="H25" i="35" s="1"/>
  <c r="F38" i="35"/>
  <c r="F42" i="35" s="1"/>
  <c r="F12" i="35"/>
  <c r="E12" i="35"/>
  <c r="F36" i="35"/>
  <c r="F193" i="35"/>
  <c r="H190" i="35" s="1"/>
  <c r="L219" i="35"/>
  <c r="H188" i="35"/>
  <c r="H193" i="35" s="1"/>
  <c r="G188" i="35"/>
  <c r="L218" i="35"/>
  <c r="D136" i="35"/>
  <c r="G35" i="35"/>
  <c r="F224" i="36" l="1"/>
  <c r="I224" i="36" s="1"/>
  <c r="F220" i="36"/>
  <c r="F221" i="36"/>
  <c r="F242" i="36"/>
  <c r="F250" i="36"/>
  <c r="F214" i="36"/>
  <c r="I214" i="36" s="1"/>
  <c r="F216" i="36"/>
  <c r="H216" i="36" s="1"/>
  <c r="G90" i="36"/>
  <c r="F225" i="36"/>
  <c r="I225" i="36" s="1"/>
  <c r="F218" i="36"/>
  <c r="H218" i="36" s="1"/>
  <c r="H182" i="36"/>
  <c r="G186" i="36"/>
  <c r="H185" i="36"/>
  <c r="F223" i="36"/>
  <c r="F211" i="36"/>
  <c r="H211" i="36" s="1"/>
  <c r="F222" i="36"/>
  <c r="H184" i="36"/>
  <c r="H181" i="36"/>
  <c r="F219" i="36"/>
  <c r="H219" i="36" s="1"/>
  <c r="F217" i="36"/>
  <c r="H217" i="36" s="1"/>
  <c r="K27" i="36"/>
  <c r="L27" i="36" s="1"/>
  <c r="J26" i="36"/>
  <c r="J30" i="36" s="1"/>
  <c r="H32" i="36"/>
  <c r="G27" i="36"/>
  <c r="G31" i="36" s="1"/>
  <c r="E27" i="36"/>
  <c r="H30" i="36"/>
  <c r="M190" i="36"/>
  <c r="H87" i="36"/>
  <c r="H89" i="36"/>
  <c r="F213" i="36"/>
  <c r="I213" i="36" s="1"/>
  <c r="F215" i="36"/>
  <c r="I215" i="36" s="1"/>
  <c r="H195" i="36"/>
  <c r="I254" i="36"/>
  <c r="L243" i="36"/>
  <c r="F251" i="36" s="1"/>
  <c r="F256" i="36"/>
  <c r="I256" i="36" s="1"/>
  <c r="H254" i="36"/>
  <c r="F252" i="36"/>
  <c r="F249" i="36"/>
  <c r="H249" i="36" s="1"/>
  <c r="H247" i="36"/>
  <c r="H242" i="36"/>
  <c r="I248" i="36"/>
  <c r="F243" i="36"/>
  <c r="H243" i="36" s="1"/>
  <c r="F255" i="36"/>
  <c r="H255" i="36" s="1"/>
  <c r="F253" i="36"/>
  <c r="H253" i="36" s="1"/>
  <c r="F244" i="36"/>
  <c r="H244" i="36" s="1"/>
  <c r="H248" i="36"/>
  <c r="F27" i="36"/>
  <c r="F31" i="36" s="1"/>
  <c r="H88" i="36"/>
  <c r="G193" i="35"/>
  <c r="D38" i="35"/>
  <c r="D42" i="35" s="1"/>
  <c r="D36" i="35"/>
  <c r="E42" i="35"/>
  <c r="K312" i="35"/>
  <c r="M312" i="35"/>
  <c r="H312" i="35"/>
  <c r="M197" i="35"/>
  <c r="H95" i="35"/>
  <c r="H84" i="35"/>
  <c r="H81" i="35"/>
  <c r="H72" i="35"/>
  <c r="H64" i="35"/>
  <c r="H63" i="35"/>
  <c r="H60" i="35"/>
  <c r="H59" i="35"/>
  <c r="H56" i="35"/>
  <c r="H55" i="35"/>
  <c r="H52" i="35"/>
  <c r="H51" i="35"/>
  <c r="H82" i="35"/>
  <c r="H75" i="35"/>
  <c r="H70" i="35"/>
  <c r="H85" i="35"/>
  <c r="H80" i="35"/>
  <c r="H66" i="35"/>
  <c r="H62" i="35"/>
  <c r="H58" i="35"/>
  <c r="H54" i="35"/>
  <c r="H89" i="35"/>
  <c r="H88" i="35"/>
  <c r="H86" i="35"/>
  <c r="H83" i="35"/>
  <c r="H78" i="35"/>
  <c r="H74" i="35"/>
  <c r="H71" i="35"/>
  <c r="F90" i="35"/>
  <c r="H87" i="35"/>
  <c r="H53" i="35"/>
  <c r="H61" i="35"/>
  <c r="H73" i="35"/>
  <c r="H79" i="35"/>
  <c r="H76" i="35"/>
  <c r="E90" i="35"/>
  <c r="H57" i="35"/>
  <c r="H65" i="35"/>
  <c r="H69" i="35"/>
  <c r="H35" i="35"/>
  <c r="M198" i="35"/>
  <c r="H94" i="35"/>
  <c r="G94" i="35"/>
  <c r="G96" i="35" s="1"/>
  <c r="F237" i="35"/>
  <c r="I237" i="35" s="1"/>
  <c r="F235" i="35"/>
  <c r="I235" i="35" s="1"/>
  <c r="F223" i="35"/>
  <c r="I223" i="35" s="1"/>
  <c r="F221" i="35"/>
  <c r="I221" i="35" s="1"/>
  <c r="F219" i="35"/>
  <c r="F201" i="35"/>
  <c r="F198" i="35"/>
  <c r="H198" i="35" s="1"/>
  <c r="D90" i="35"/>
  <c r="J312" i="35"/>
  <c r="E399" i="35"/>
  <c r="E400" i="35"/>
  <c r="E401" i="35" s="1"/>
  <c r="H41" i="35"/>
  <c r="K401" i="35"/>
  <c r="L401" i="35" s="1"/>
  <c r="J400" i="35"/>
  <c r="H229" i="35"/>
  <c r="F227" i="35"/>
  <c r="I227" i="35" s="1"/>
  <c r="F224" i="35"/>
  <c r="L221" i="35"/>
  <c r="F218" i="35"/>
  <c r="H218" i="35" s="1"/>
  <c r="F228" i="35"/>
  <c r="H228" i="35" s="1"/>
  <c r="F226" i="35"/>
  <c r="H226" i="35" s="1"/>
  <c r="F225" i="35"/>
  <c r="F230" i="35"/>
  <c r="I230" i="35" s="1"/>
  <c r="H93" i="35"/>
  <c r="H96" i="35" s="1"/>
  <c r="H32" i="35"/>
  <c r="E36" i="35"/>
  <c r="I258" i="35"/>
  <c r="I250" i="35"/>
  <c r="L248" i="35"/>
  <c r="F260" i="35"/>
  <c r="H260" i="35" s="1"/>
  <c r="H258" i="35"/>
  <c r="F256" i="35"/>
  <c r="H256" i="35" s="1"/>
  <c r="F254" i="35"/>
  <c r="H254" i="35" s="1"/>
  <c r="F252" i="35"/>
  <c r="H252" i="35" s="1"/>
  <c r="H250" i="35"/>
  <c r="F247" i="35"/>
  <c r="H247" i="35" s="1"/>
  <c r="I253" i="35"/>
  <c r="I251" i="35"/>
  <c r="F248" i="35"/>
  <c r="H248" i="35" s="1"/>
  <c r="F255" i="35"/>
  <c r="H255" i="35" s="1"/>
  <c r="H253" i="35"/>
  <c r="F259" i="35"/>
  <c r="I259" i="35" s="1"/>
  <c r="H251" i="35"/>
  <c r="F257" i="35"/>
  <c r="H257" i="35" s="1"/>
  <c r="F249" i="35"/>
  <c r="H249" i="35" s="1"/>
  <c r="F220" i="35"/>
  <c r="F222" i="35"/>
  <c r="F401" i="35"/>
  <c r="G401" i="35"/>
  <c r="F204" i="36" l="1"/>
  <c r="F203" i="36"/>
  <c r="H186" i="36"/>
  <c r="F199" i="36"/>
  <c r="F201" i="36"/>
  <c r="I201" i="36" s="1"/>
  <c r="F205" i="36"/>
  <c r="F194" i="36"/>
  <c r="F198" i="36"/>
  <c r="F191" i="36"/>
  <c r="H191" i="36" s="1"/>
  <c r="F208" i="36"/>
  <c r="F200" i="36"/>
  <c r="H200" i="36" s="1"/>
  <c r="M194" i="36"/>
  <c r="F190" i="36"/>
  <c r="H190" i="36" s="1"/>
  <c r="F206" i="36"/>
  <c r="H206" i="36" s="1"/>
  <c r="F197" i="36"/>
  <c r="K33" i="36"/>
  <c r="L33" i="36" s="1"/>
  <c r="J32" i="36"/>
  <c r="J36" i="36" s="1"/>
  <c r="H36" i="36"/>
  <c r="F33" i="36"/>
  <c r="F37" i="36" s="1"/>
  <c r="E33" i="36"/>
  <c r="E37" i="36" s="1"/>
  <c r="G33" i="36"/>
  <c r="G37" i="36" s="1"/>
  <c r="H90" i="36"/>
  <c r="H27" i="36"/>
  <c r="H31" i="36" s="1"/>
  <c r="E31" i="36"/>
  <c r="K33" i="35"/>
  <c r="L33" i="35" s="1"/>
  <c r="J32" i="35"/>
  <c r="J36" i="35" s="1"/>
  <c r="G33" i="35"/>
  <c r="G37" i="35" s="1"/>
  <c r="H38" i="35"/>
  <c r="H36" i="35"/>
  <c r="F33" i="35"/>
  <c r="F37" i="35" s="1"/>
  <c r="F214" i="35"/>
  <c r="F207" i="35"/>
  <c r="I207" i="35" s="1"/>
  <c r="M201" i="35"/>
  <c r="F197" i="35"/>
  <c r="H197" i="35" s="1"/>
  <c r="F212" i="35"/>
  <c r="H212" i="35" s="1"/>
  <c r="F204" i="35"/>
  <c r="F210" i="35"/>
  <c r="E33" i="35"/>
  <c r="I201" i="35"/>
  <c r="H201" i="35"/>
  <c r="F202" i="35"/>
  <c r="H202" i="35" s="1"/>
  <c r="F200" i="35"/>
  <c r="H194" i="36" l="1"/>
  <c r="I194" i="36"/>
  <c r="H205" i="36"/>
  <c r="H198" i="36"/>
  <c r="I208" i="36"/>
  <c r="H208" i="36"/>
  <c r="I214" i="35"/>
  <c r="H214" i="35"/>
  <c r="H33" i="35"/>
  <c r="H37" i="35" s="1"/>
  <c r="E37" i="35"/>
  <c r="K39" i="35"/>
  <c r="L39" i="35" s="1"/>
  <c r="J38" i="35"/>
  <c r="J42" i="35" s="1"/>
  <c r="H42" i="35"/>
  <c r="E39" i="35"/>
  <c r="E43" i="35" s="1"/>
  <c r="G39" i="35"/>
  <c r="G43" i="35" s="1"/>
  <c r="F39" i="35"/>
  <c r="F43" i="35" s="1"/>
  <c r="I210" i="35"/>
  <c r="H210" i="35"/>
  <c r="F211" i="35"/>
  <c r="H211" i="35" s="1"/>
  <c r="F205" i="35"/>
  <c r="H205" i="35" s="1"/>
  <c r="F208" i="35"/>
  <c r="I208" i="35" s="1"/>
  <c r="F206" i="35"/>
  <c r="H206" i="35" s="1"/>
  <c r="A284" i="31" l="1"/>
  <c r="N247" i="31"/>
  <c r="N246" i="31"/>
  <c r="A3" i="28"/>
  <c r="H3" i="28"/>
  <c r="K3" i="28" s="1"/>
  <c r="L3" i="28"/>
  <c r="A4" i="28"/>
  <c r="H4" i="28"/>
  <c r="J4" i="28" s="1"/>
  <c r="L4" i="28"/>
  <c r="A5" i="28"/>
  <c r="H5" i="28"/>
  <c r="K5" i="28" s="1"/>
  <c r="L5" i="28"/>
  <c r="A6" i="28"/>
  <c r="H6" i="28"/>
  <c r="J6" i="28" s="1"/>
  <c r="L6" i="28"/>
  <c r="A7" i="28"/>
  <c r="H7" i="28"/>
  <c r="K7" i="28" s="1"/>
  <c r="L7" i="28"/>
  <c r="A8" i="28"/>
  <c r="H8" i="28"/>
  <c r="J8" i="28" s="1"/>
  <c r="L8" i="28"/>
  <c r="A9" i="28"/>
  <c r="H9" i="28"/>
  <c r="K9" i="28" s="1"/>
  <c r="L9" i="28"/>
  <c r="A10" i="28"/>
  <c r="H10" i="28"/>
  <c r="J10" i="28" s="1"/>
  <c r="L10" i="28"/>
  <c r="A11" i="28"/>
  <c r="H11" i="28"/>
  <c r="J11" i="28" s="1"/>
  <c r="L11" i="28"/>
  <c r="A12" i="28"/>
  <c r="H12" i="28"/>
  <c r="J12" i="28" s="1"/>
  <c r="L12" i="28"/>
  <c r="A13" i="28"/>
  <c r="H13" i="28"/>
  <c r="J13" i="28" s="1"/>
  <c r="L13" i="28"/>
  <c r="A14" i="28"/>
  <c r="H14" i="28"/>
  <c r="J14" i="28" s="1"/>
  <c r="L14" i="28"/>
  <c r="A15" i="28"/>
  <c r="H15" i="28"/>
  <c r="J15" i="28" s="1"/>
  <c r="L15" i="28"/>
  <c r="A16" i="28"/>
  <c r="H16" i="28"/>
  <c r="J16" i="28" s="1"/>
  <c r="L16" i="28"/>
  <c r="A17" i="28"/>
  <c r="H17" i="28"/>
  <c r="J17" i="28" s="1"/>
  <c r="L17" i="28"/>
  <c r="A18" i="28"/>
  <c r="H18" i="28"/>
  <c r="J18" i="28" s="1"/>
  <c r="L18" i="28"/>
  <c r="A19" i="28"/>
  <c r="H19" i="28"/>
  <c r="J19" i="28"/>
  <c r="K19" i="28"/>
  <c r="L19" i="28"/>
  <c r="A20" i="28"/>
  <c r="H20" i="28"/>
  <c r="J20" i="28" s="1"/>
  <c r="L20" i="28"/>
  <c r="A21" i="28"/>
  <c r="H21" i="28"/>
  <c r="J21" i="28" s="1"/>
  <c r="L21" i="28"/>
  <c r="A22" i="28"/>
  <c r="H22" i="28"/>
  <c r="J22" i="28" s="1"/>
  <c r="L22" i="28"/>
  <c r="A23" i="28"/>
  <c r="H23" i="28"/>
  <c r="J23" i="28" s="1"/>
  <c r="L23" i="28"/>
  <c r="A24" i="28"/>
  <c r="J24" i="28"/>
  <c r="L24" i="28"/>
  <c r="A26" i="28"/>
  <c r="J26" i="28"/>
  <c r="L26" i="28"/>
  <c r="A27" i="28"/>
  <c r="J27" i="28"/>
  <c r="L27" i="28"/>
  <c r="A28" i="28"/>
  <c r="J28" i="28"/>
  <c r="L28" i="28"/>
  <c r="A29" i="28"/>
  <c r="J29" i="28"/>
  <c r="L29" i="28"/>
  <c r="A30" i="28"/>
  <c r="J30" i="28"/>
  <c r="L30" i="28"/>
  <c r="A31" i="28"/>
  <c r="J31" i="28"/>
  <c r="L31" i="28"/>
  <c r="A32" i="28"/>
  <c r="H32" i="28"/>
  <c r="L32" i="28"/>
  <c r="A63" i="28"/>
  <c r="F63" i="28"/>
  <c r="H63" i="28"/>
  <c r="J63" i="28" s="1"/>
  <c r="L63" i="28"/>
  <c r="A64" i="28"/>
  <c r="A65" i="28"/>
  <c r="A66" i="28"/>
  <c r="A67" i="28"/>
  <c r="A68" i="28"/>
  <c r="A69" i="28"/>
  <c r="A70" i="28"/>
  <c r="A71" i="28"/>
  <c r="A72" i="28"/>
  <c r="A73" i="28"/>
  <c r="A74" i="28"/>
  <c r="A75" i="28"/>
  <c r="A76" i="28"/>
  <c r="A77" i="28"/>
  <c r="A78" i="28"/>
  <c r="A79" i="28"/>
  <c r="A80" i="28"/>
  <c r="A81" i="28"/>
  <c r="A82" i="28"/>
  <c r="A83" i="28"/>
  <c r="A84" i="28"/>
  <c r="A85" i="28"/>
  <c r="A86" i="28"/>
  <c r="A87" i="28"/>
  <c r="A88" i="28"/>
  <c r="A89" i="28"/>
  <c r="A90" i="28"/>
  <c r="A91" i="28"/>
  <c r="A92" i="28"/>
  <c r="A93" i="28"/>
  <c r="A94" i="28"/>
  <c r="A95" i="28"/>
  <c r="A96" i="28"/>
  <c r="A97" i="28"/>
  <c r="A98" i="28"/>
  <c r="A99" i="28"/>
  <c r="A100" i="28"/>
  <c r="A101" i="28"/>
  <c r="A102" i="28"/>
  <c r="A103" i="28"/>
  <c r="A104" i="28"/>
  <c r="A105" i="28"/>
  <c r="A106" i="28"/>
  <c r="A107" i="28"/>
  <c r="A108" i="28"/>
  <c r="A109" i="28"/>
  <c r="A110" i="28"/>
  <c r="A111" i="28"/>
  <c r="A112" i="28"/>
  <c r="A113" i="28"/>
  <c r="A114" i="28"/>
  <c r="A115" i="28"/>
  <c r="A116" i="28"/>
  <c r="A117" i="28"/>
  <c r="A118" i="28"/>
  <c r="A119" i="28"/>
  <c r="A120" i="28"/>
  <c r="A121" i="28"/>
  <c r="A122" i="28"/>
  <c r="A123" i="28"/>
  <c r="A124" i="28"/>
  <c r="A125" i="28"/>
  <c r="A126" i="28"/>
  <c r="A127" i="28"/>
  <c r="A128" i="28"/>
  <c r="A129" i="28"/>
  <c r="A130" i="28"/>
  <c r="A131" i="28"/>
  <c r="A132" i="28"/>
  <c r="A133" i="28"/>
  <c r="A134" i="28"/>
  <c r="A135" i="28"/>
  <c r="A136" i="28"/>
  <c r="A137" i="28"/>
  <c r="A138" i="28"/>
  <c r="A139" i="28"/>
  <c r="A140" i="28"/>
  <c r="A141" i="28"/>
  <c r="A142" i="28"/>
  <c r="A143" i="28"/>
  <c r="A144" i="28"/>
  <c r="A145" i="28"/>
  <c r="J145" i="28"/>
  <c r="L145" i="28"/>
  <c r="A146" i="28"/>
  <c r="J146" i="28"/>
  <c r="L146" i="28"/>
  <c r="A147" i="28"/>
  <c r="H147" i="28"/>
  <c r="J147" i="28" s="1"/>
  <c r="L147" i="28"/>
  <c r="A148" i="28"/>
  <c r="H148" i="28"/>
  <c r="L148" i="28"/>
  <c r="A149" i="28"/>
  <c r="H149" i="28"/>
  <c r="L149" i="28"/>
  <c r="A150" i="28"/>
  <c r="H150" i="28"/>
  <c r="K150" i="28" s="1"/>
  <c r="L150" i="28"/>
  <c r="A151" i="28"/>
  <c r="H151" i="28"/>
  <c r="J151" i="28" s="1"/>
  <c r="L151" i="28"/>
  <c r="A152" i="28"/>
  <c r="H152" i="28"/>
  <c r="J152" i="28" s="1"/>
  <c r="L152" i="28"/>
  <c r="A153" i="28"/>
  <c r="H153" i="28"/>
  <c r="J153" i="28" s="1"/>
  <c r="L153" i="28"/>
  <c r="A154" i="28"/>
  <c r="H154" i="28"/>
  <c r="J154" i="28" s="1"/>
  <c r="L154" i="28"/>
  <c r="A155" i="28"/>
  <c r="J155" i="28"/>
  <c r="L155" i="28"/>
  <c r="A156" i="28"/>
  <c r="J156" i="28"/>
  <c r="L156" i="28"/>
  <c r="A157" i="28"/>
  <c r="J157" i="28"/>
  <c r="L157" i="28"/>
  <c r="A160" i="28"/>
  <c r="K160" i="28"/>
  <c r="L160" i="28"/>
  <c r="A161" i="28"/>
  <c r="J161" i="28"/>
  <c r="L161" i="28"/>
  <c r="A162" i="28"/>
  <c r="K162" i="28"/>
  <c r="L162" i="28"/>
  <c r="A163" i="28"/>
  <c r="J163" i="28"/>
  <c r="L163" i="28"/>
  <c r="A164" i="28"/>
  <c r="J164" i="28"/>
  <c r="L164" i="28"/>
  <c r="A165" i="28"/>
  <c r="J165" i="28"/>
  <c r="L165" i="28"/>
  <c r="A166" i="28"/>
  <c r="J166" i="28"/>
  <c r="L166" i="28"/>
  <c r="A167" i="28"/>
  <c r="K167" i="28"/>
  <c r="L167" i="28"/>
  <c r="A168" i="28"/>
  <c r="L168" i="28"/>
  <c r="A169" i="28"/>
  <c r="F169" i="28"/>
  <c r="H169" i="28"/>
  <c r="K169" i="28" s="1"/>
  <c r="L169" i="28"/>
  <c r="A170" i="28"/>
  <c r="F170" i="28"/>
  <c r="H170" i="28"/>
  <c r="J170" i="28" s="1"/>
  <c r="L170" i="28"/>
  <c r="A171" i="28"/>
  <c r="F171" i="28"/>
  <c r="H171" i="28"/>
  <c r="K171" i="28" s="1"/>
  <c r="L171" i="28"/>
  <c r="A172" i="28"/>
  <c r="F172" i="28"/>
  <c r="H172" i="28"/>
  <c r="J172" i="28" s="1"/>
  <c r="L172" i="28"/>
  <c r="A173" i="28"/>
  <c r="F173" i="28"/>
  <c r="H173" i="28"/>
  <c r="J173" i="28" s="1"/>
  <c r="L173" i="28"/>
  <c r="A174" i="28"/>
  <c r="F174" i="28"/>
  <c r="H174" i="28"/>
  <c r="J174" i="28" s="1"/>
  <c r="L174" i="28"/>
  <c r="A175" i="28"/>
  <c r="F175" i="28"/>
  <c r="H175" i="28"/>
  <c r="K175" i="28" s="1"/>
  <c r="L175" i="28"/>
  <c r="A176" i="28"/>
  <c r="F176" i="28"/>
  <c r="H176" i="28"/>
  <c r="J176" i="28" s="1"/>
  <c r="L176" i="28"/>
  <c r="A177" i="28"/>
  <c r="F177" i="28"/>
  <c r="H177" i="28"/>
  <c r="K177" i="28" s="1"/>
  <c r="L177" i="28"/>
  <c r="A178" i="28"/>
  <c r="F178" i="28"/>
  <c r="H178" i="28"/>
  <c r="J178" i="28" s="1"/>
  <c r="L178" i="28"/>
  <c r="A179" i="28"/>
  <c r="F179" i="28"/>
  <c r="H179" i="28"/>
  <c r="K179" i="28" s="1"/>
  <c r="L179" i="28"/>
  <c r="A181" i="28"/>
  <c r="F181" i="28"/>
  <c r="H181" i="28"/>
  <c r="J181" i="28"/>
  <c r="K181" i="28"/>
  <c r="L181" i="28"/>
  <c r="A182" i="28"/>
  <c r="F182" i="28"/>
  <c r="H182" i="28"/>
  <c r="K182" i="28" s="1"/>
  <c r="L182" i="28"/>
  <c r="A639" i="27"/>
  <c r="A640" i="27"/>
  <c r="A641" i="27"/>
  <c r="A642" i="27"/>
  <c r="A643" i="27"/>
  <c r="A644" i="27"/>
  <c r="A645" i="27"/>
  <c r="A646" i="27"/>
  <c r="A647" i="27"/>
  <c r="A648" i="27"/>
  <c r="A649" i="27"/>
  <c r="A650" i="27"/>
  <c r="A651" i="27"/>
  <c r="A652" i="27"/>
  <c r="A624" i="27"/>
  <c r="A625" i="27"/>
  <c r="A626" i="27"/>
  <c r="A627" i="27"/>
  <c r="A628" i="27"/>
  <c r="A629" i="27"/>
  <c r="A630" i="27"/>
  <c r="A631" i="27"/>
  <c r="A632" i="27"/>
  <c r="A633" i="27"/>
  <c r="A634" i="27"/>
  <c r="A635" i="27"/>
  <c r="A636" i="27"/>
  <c r="A637" i="27"/>
  <c r="A609" i="27"/>
  <c r="A610" i="27"/>
  <c r="A611" i="27"/>
  <c r="A612" i="27"/>
  <c r="A613" i="27"/>
  <c r="A614" i="27"/>
  <c r="A615" i="27"/>
  <c r="A616" i="27"/>
  <c r="A617" i="27"/>
  <c r="A618" i="27"/>
  <c r="A619" i="27"/>
  <c r="A620" i="27"/>
  <c r="A621" i="27"/>
  <c r="A622" i="27"/>
  <c r="A597" i="27"/>
  <c r="A598" i="27"/>
  <c r="A599" i="27"/>
  <c r="A600" i="27"/>
  <c r="A601" i="27"/>
  <c r="A602" i="27"/>
  <c r="A603" i="27"/>
  <c r="A604" i="27"/>
  <c r="A605" i="27"/>
  <c r="A606" i="27"/>
  <c r="A607" i="27"/>
  <c r="J167" i="28" l="1"/>
  <c r="K152" i="28"/>
  <c r="K23" i="28"/>
  <c r="K172" i="28"/>
  <c r="K166" i="28"/>
  <c r="K63" i="28"/>
  <c r="K11" i="28"/>
  <c r="J182" i="28"/>
  <c r="J179" i="28"/>
  <c r="K161" i="28"/>
  <c r="K151" i="28"/>
  <c r="K17" i="28"/>
  <c r="J175" i="28"/>
  <c r="K156" i="28"/>
  <c r="K148" i="28"/>
  <c r="K13" i="28"/>
  <c r="J171" i="28"/>
  <c r="K164" i="28"/>
  <c r="K29" i="28"/>
  <c r="K173" i="28"/>
  <c r="K155" i="28"/>
  <c r="K147" i="28"/>
  <c r="K154" i="28"/>
  <c r="K146" i="28"/>
  <c r="K31" i="28"/>
  <c r="K27" i="28"/>
  <c r="K21" i="28"/>
  <c r="K8" i="28"/>
  <c r="K176" i="28"/>
  <c r="K168" i="28"/>
  <c r="K165" i="28"/>
  <c r="J160" i="28"/>
  <c r="J150" i="28"/>
  <c r="K15" i="28"/>
  <c r="K6" i="28"/>
  <c r="J177" i="28"/>
  <c r="K174" i="28"/>
  <c r="J169" i="28"/>
  <c r="J162" i="28"/>
  <c r="K157" i="28"/>
  <c r="K149" i="28"/>
  <c r="K178" i="28"/>
  <c r="K170" i="28"/>
  <c r="K163" i="28"/>
  <c r="K153" i="28"/>
  <c r="J9" i="28"/>
  <c r="J7" i="28"/>
  <c r="J5" i="28"/>
  <c r="J3" i="28"/>
  <c r="K32" i="28"/>
  <c r="K30" i="28"/>
  <c r="K28" i="28"/>
  <c r="K26" i="28"/>
  <c r="K24" i="28"/>
  <c r="K22" i="28"/>
  <c r="K20" i="28"/>
  <c r="K18" i="28"/>
  <c r="K16" i="28"/>
  <c r="K14" i="28"/>
  <c r="K12" i="28"/>
  <c r="K10" i="28"/>
  <c r="K4" i="28"/>
  <c r="J398" i="31" l="1"/>
  <c r="J396" i="31"/>
  <c r="H396" i="31" s="1"/>
  <c r="G396" i="31" s="1"/>
  <c r="J390" i="31"/>
  <c r="H390" i="31" s="1"/>
  <c r="G390" i="31" s="1"/>
  <c r="I402" i="31"/>
  <c r="J400" i="31"/>
  <c r="H400" i="31" s="1"/>
  <c r="H399" i="31"/>
  <c r="H398" i="31"/>
  <c r="H397" i="31"/>
  <c r="I394" i="31"/>
  <c r="H392" i="31"/>
  <c r="G392" i="31" s="1"/>
  <c r="D392" i="31"/>
  <c r="L391" i="31"/>
  <c r="I383" i="31"/>
  <c r="H382" i="31"/>
  <c r="H381" i="31"/>
  <c r="E381" i="31" s="1"/>
  <c r="D381" i="31"/>
  <c r="H380" i="31"/>
  <c r="H379" i="31"/>
  <c r="G379" i="31" s="1"/>
  <c r="D379" i="31"/>
  <c r="H378" i="31"/>
  <c r="H377" i="31"/>
  <c r="F377" i="31" s="1"/>
  <c r="D377" i="31"/>
  <c r="I375" i="31"/>
  <c r="H373" i="31"/>
  <c r="G373" i="31" s="1"/>
  <c r="D373" i="31"/>
  <c r="H372" i="31"/>
  <c r="H371" i="31"/>
  <c r="E371" i="31" s="1"/>
  <c r="G371" i="31"/>
  <c r="D371" i="31"/>
  <c r="D396" i="31" l="1"/>
  <c r="G381" i="31"/>
  <c r="D383" i="31"/>
  <c r="D390" i="31"/>
  <c r="D394" i="31" s="1"/>
  <c r="E392" i="31"/>
  <c r="F371" i="31"/>
  <c r="G377" i="31"/>
  <c r="G383" i="31" s="1"/>
  <c r="F392" i="31"/>
  <c r="G394" i="31"/>
  <c r="I404" i="31"/>
  <c r="G398" i="31"/>
  <c r="E398" i="31"/>
  <c r="F398" i="31"/>
  <c r="E400" i="31"/>
  <c r="F400" i="31"/>
  <c r="G400" i="31"/>
  <c r="E396" i="31"/>
  <c r="H402" i="31"/>
  <c r="E390" i="31"/>
  <c r="F390" i="31"/>
  <c r="F394" i="31" s="1"/>
  <c r="F396" i="31"/>
  <c r="D400" i="31"/>
  <c r="H394" i="31"/>
  <c r="D398" i="31"/>
  <c r="D375" i="31"/>
  <c r="G375" i="31"/>
  <c r="F381" i="31"/>
  <c r="I385" i="31"/>
  <c r="H383" i="31"/>
  <c r="E373" i="31"/>
  <c r="E375" i="31" s="1"/>
  <c r="F373" i="31"/>
  <c r="F375" i="31" s="1"/>
  <c r="E377" i="31"/>
  <c r="H375" i="31"/>
  <c r="E379" i="31"/>
  <c r="F379" i="31"/>
  <c r="D385" i="31" l="1"/>
  <c r="E376" i="31"/>
  <c r="E394" i="31"/>
  <c r="E395" i="31" s="1"/>
  <c r="G402" i="31"/>
  <c r="G404" i="31" s="1"/>
  <c r="D402" i="31"/>
  <c r="D404" i="31" s="1"/>
  <c r="K395" i="31"/>
  <c r="L395" i="31" s="1"/>
  <c r="J394" i="31"/>
  <c r="J402" i="31"/>
  <c r="H404" i="31"/>
  <c r="F402" i="31"/>
  <c r="E402" i="31"/>
  <c r="F395" i="31"/>
  <c r="G395" i="31"/>
  <c r="F383" i="31"/>
  <c r="F384" i="31" s="1"/>
  <c r="F376" i="31"/>
  <c r="K376" i="31"/>
  <c r="L376" i="31" s="1"/>
  <c r="J375" i="31"/>
  <c r="J383" i="31"/>
  <c r="K384" i="31"/>
  <c r="L384" i="31" s="1"/>
  <c r="H385" i="31"/>
  <c r="E383" i="31"/>
  <c r="G385" i="31"/>
  <c r="G384" i="31"/>
  <c r="G376" i="31"/>
  <c r="K403" i="31" l="1"/>
  <c r="L403" i="31" s="1"/>
  <c r="G403" i="31"/>
  <c r="K405" i="31"/>
  <c r="L405" i="31" s="1"/>
  <c r="J404" i="31"/>
  <c r="E403" i="31"/>
  <c r="E404" i="31"/>
  <c r="E405" i="31" s="1"/>
  <c r="F404" i="31"/>
  <c r="F405" i="31" s="1"/>
  <c r="F403" i="31"/>
  <c r="G405" i="31"/>
  <c r="F385" i="31"/>
  <c r="F386" i="31" s="1"/>
  <c r="E384" i="31"/>
  <c r="E385" i="31"/>
  <c r="E386" i="31" s="1"/>
  <c r="K386" i="31"/>
  <c r="L386" i="31" s="1"/>
  <c r="J385" i="31"/>
  <c r="G386" i="31"/>
  <c r="G90" i="31" l="1" a="1"/>
  <c r="G90" i="31" s="1"/>
  <c r="F90" i="31" a="1"/>
  <c r="F90" i="31" s="1"/>
  <c r="E90" i="31" a="1"/>
  <c r="E90" i="31" s="1"/>
  <c r="F88" i="31" a="1"/>
  <c r="F88" i="31" s="1"/>
  <c r="A585" i="27"/>
  <c r="A586" i="27"/>
  <c r="A587" i="27"/>
  <c r="A582" i="27"/>
  <c r="A583" i="27"/>
  <c r="A584" i="27"/>
  <c r="A588" i="27"/>
  <c r="A589" i="27"/>
  <c r="A590" i="27"/>
  <c r="A591" i="27"/>
  <c r="A592" i="27"/>
  <c r="A593" i="27"/>
  <c r="A594" i="27"/>
  <c r="A595" i="27"/>
  <c r="A579" i="27"/>
  <c r="A580" i="27"/>
  <c r="A555" i="27"/>
  <c r="A556" i="27"/>
  <c r="A557" i="27"/>
  <c r="A558" i="27"/>
  <c r="A559" i="27"/>
  <c r="A560" i="27"/>
  <c r="A561" i="27"/>
  <c r="A562" i="27"/>
  <c r="A563" i="27"/>
  <c r="A564" i="27"/>
  <c r="A565" i="27"/>
  <c r="A566" i="27"/>
  <c r="A567" i="27"/>
  <c r="A568" i="27"/>
  <c r="A569" i="27"/>
  <c r="A570" i="27"/>
  <c r="A571" i="27"/>
  <c r="A572" i="27"/>
  <c r="A573" i="27"/>
  <c r="A574" i="27"/>
  <c r="A575" i="27"/>
  <c r="A576" i="27"/>
  <c r="A577" i="27"/>
  <c r="H88" i="31" l="1"/>
  <c r="F89" i="31" s="1"/>
  <c r="H90" i="31"/>
  <c r="F91" i="31" s="1"/>
  <c r="G91" i="31" l="1"/>
  <c r="E91" i="31"/>
  <c r="G89" i="31"/>
  <c r="E89" i="31"/>
  <c r="A47" i="33"/>
  <c r="L42" i="33"/>
  <c r="Q3" i="29" l="1"/>
  <c r="AW6" i="33"/>
  <c r="C40" i="33"/>
  <c r="L311" i="30" l="1"/>
  <c r="A3" i="29"/>
  <c r="A3" i="27"/>
  <c r="A4" i="27"/>
  <c r="A5" i="27"/>
  <c r="A6" i="27"/>
  <c r="A7" i="27"/>
  <c r="A8" i="27"/>
  <c r="A9" i="27"/>
  <c r="A10" i="27"/>
  <c r="A11" i="27"/>
  <c r="A12" i="27"/>
  <c r="A13" i="27"/>
  <c r="A14" i="27"/>
  <c r="A15" i="27"/>
  <c r="A16" i="27"/>
  <c r="A17" i="27"/>
  <c r="A18" i="27"/>
  <c r="A19" i="27"/>
  <c r="A20" i="27"/>
  <c r="A21" i="27"/>
  <c r="A22" i="27"/>
  <c r="A23" i="27"/>
  <c r="A24" i="27"/>
  <c r="A25" i="27"/>
  <c r="A26" i="27"/>
  <c r="A27" i="27"/>
  <c r="A28" i="27"/>
  <c r="A29" i="27"/>
  <c r="A30" i="27"/>
  <c r="A31" i="27"/>
  <c r="A32" i="27"/>
  <c r="A33" i="27"/>
  <c r="A34" i="27"/>
  <c r="A35" i="27"/>
  <c r="A36" i="27"/>
  <c r="A37" i="27"/>
  <c r="A38" i="27"/>
  <c r="A39" i="27"/>
  <c r="A40" i="27"/>
  <c r="A41" i="27"/>
  <c r="A42" i="27"/>
  <c r="A43" i="27"/>
  <c r="A44" i="27"/>
  <c r="A45" i="27"/>
  <c r="A46" i="27"/>
  <c r="A47" i="27"/>
  <c r="A48" i="27"/>
  <c r="A49" i="27"/>
  <c r="A50" i="27"/>
  <c r="A51" i="27"/>
  <c r="A52" i="27"/>
  <c r="A53" i="27"/>
  <c r="A54" i="27"/>
  <c r="A55" i="27"/>
  <c r="A56" i="27"/>
  <c r="A57" i="27"/>
  <c r="A58" i="27"/>
  <c r="A59" i="27"/>
  <c r="A60" i="27"/>
  <c r="A61" i="27"/>
  <c r="A62" i="27"/>
  <c r="A63" i="27"/>
  <c r="A64" i="27"/>
  <c r="A65" i="27"/>
  <c r="A66" i="27"/>
  <c r="A67" i="27"/>
  <c r="A68" i="27"/>
  <c r="A69" i="27"/>
  <c r="A70" i="27"/>
  <c r="A71" i="27"/>
  <c r="A72" i="27"/>
  <c r="A73" i="27"/>
  <c r="A74" i="27"/>
  <c r="A75" i="27"/>
  <c r="A76" i="27"/>
  <c r="A77" i="27"/>
  <c r="A78" i="27"/>
  <c r="A79" i="27"/>
  <c r="A80" i="27"/>
  <c r="A81" i="27"/>
  <c r="A82" i="27"/>
  <c r="A83" i="27"/>
  <c r="A84" i="27"/>
  <c r="A85" i="27"/>
  <c r="A86" i="27"/>
  <c r="A87" i="27"/>
  <c r="A88" i="27"/>
  <c r="A89" i="27"/>
  <c r="A90" i="27"/>
  <c r="A91" i="27"/>
  <c r="A92" i="27"/>
  <c r="A93" i="27"/>
  <c r="A94" i="27"/>
  <c r="A95" i="27"/>
  <c r="A96" i="27"/>
  <c r="A97" i="27"/>
  <c r="A98" i="27"/>
  <c r="A99" i="27"/>
  <c r="A100" i="27"/>
  <c r="A101" i="27"/>
  <c r="A102" i="27"/>
  <c r="A103" i="27"/>
  <c r="A104" i="27"/>
  <c r="A105" i="27"/>
  <c r="A106" i="27"/>
  <c r="A107" i="27"/>
  <c r="A108" i="27"/>
  <c r="A109" i="27"/>
  <c r="A110" i="27"/>
  <c r="A111" i="27"/>
  <c r="A112" i="27"/>
  <c r="A113" i="27"/>
  <c r="A114" i="27"/>
  <c r="A115" i="27"/>
  <c r="A116" i="27"/>
  <c r="A117" i="27"/>
  <c r="A118" i="27"/>
  <c r="A119" i="27"/>
  <c r="A120" i="27"/>
  <c r="A121" i="27"/>
  <c r="A122" i="27"/>
  <c r="A123" i="27"/>
  <c r="A124" i="27"/>
  <c r="A125" i="27"/>
  <c r="A126" i="27"/>
  <c r="A127" i="27"/>
  <c r="A128" i="27"/>
  <c r="A129" i="27"/>
  <c r="A130" i="27"/>
  <c r="A131" i="27"/>
  <c r="A132" i="27"/>
  <c r="A133" i="27"/>
  <c r="A134" i="27"/>
  <c r="A135" i="27"/>
  <c r="A136" i="27"/>
  <c r="A137" i="27"/>
  <c r="A138" i="27"/>
  <c r="A139" i="27"/>
  <c r="A140" i="27"/>
  <c r="A141" i="27"/>
  <c r="A142" i="27"/>
  <c r="A143" i="27"/>
  <c r="A144" i="27"/>
  <c r="A145" i="27"/>
  <c r="A146" i="27"/>
  <c r="A147" i="27"/>
  <c r="A148" i="27"/>
  <c r="A149" i="27"/>
  <c r="A150" i="27"/>
  <c r="A151" i="27"/>
  <c r="A152" i="27"/>
  <c r="A153" i="27"/>
  <c r="A154" i="27"/>
  <c r="A155" i="27"/>
  <c r="A156" i="27"/>
  <c r="A157" i="27"/>
  <c r="A158" i="27"/>
  <c r="A159" i="27"/>
  <c r="A160" i="27"/>
  <c r="A161" i="27"/>
  <c r="A162" i="27"/>
  <c r="A163" i="27"/>
  <c r="A164" i="27"/>
  <c r="A165" i="27"/>
  <c r="A166" i="27"/>
  <c r="A167" i="27"/>
  <c r="A168" i="27"/>
  <c r="A169" i="27"/>
  <c r="A170" i="27"/>
  <c r="A171" i="27"/>
  <c r="A172" i="27"/>
  <c r="A173" i="27"/>
  <c r="A174" i="27"/>
  <c r="A175" i="27"/>
  <c r="A176" i="27"/>
  <c r="A177" i="27"/>
  <c r="A178" i="27"/>
  <c r="A179" i="27"/>
  <c r="A180" i="27"/>
  <c r="A181" i="27"/>
  <c r="A182" i="27"/>
  <c r="A183" i="27"/>
  <c r="A184" i="27"/>
  <c r="A185" i="27"/>
  <c r="A186" i="27"/>
  <c r="A187" i="27"/>
  <c r="A188" i="27"/>
  <c r="A189" i="27"/>
  <c r="A190" i="27"/>
  <c r="A191" i="27"/>
  <c r="A192" i="27"/>
  <c r="A193" i="27"/>
  <c r="A194" i="27"/>
  <c r="A195" i="27"/>
  <c r="A196" i="27"/>
  <c r="A197" i="27"/>
  <c r="A198" i="27"/>
  <c r="A199" i="27"/>
  <c r="A200" i="27"/>
  <c r="A201" i="27"/>
  <c r="A202" i="27"/>
  <c r="A203" i="27"/>
  <c r="A204" i="27"/>
  <c r="A205" i="27"/>
  <c r="A206" i="27"/>
  <c r="A207" i="27"/>
  <c r="A208" i="27"/>
  <c r="A209" i="27"/>
  <c r="A210" i="27"/>
  <c r="A211" i="27"/>
  <c r="A212" i="27"/>
  <c r="A213" i="27"/>
  <c r="A214" i="27"/>
  <c r="A215" i="27"/>
  <c r="A216" i="27"/>
  <c r="A217" i="27"/>
  <c r="A218" i="27"/>
  <c r="A219" i="27"/>
  <c r="A220" i="27"/>
  <c r="A221" i="27"/>
  <c r="A222" i="27"/>
  <c r="A223" i="27"/>
  <c r="A224" i="27"/>
  <c r="A225" i="27"/>
  <c r="A226" i="27"/>
  <c r="A227" i="27"/>
  <c r="A228" i="27"/>
  <c r="A229" i="27"/>
  <c r="A230" i="27"/>
  <c r="A231" i="27"/>
  <c r="A232" i="27"/>
  <c r="A233" i="27"/>
  <c r="A234" i="27"/>
  <c r="A235" i="27"/>
  <c r="A236" i="27"/>
  <c r="A237" i="27"/>
  <c r="A238" i="27"/>
  <c r="A239" i="27"/>
  <c r="A240" i="27"/>
  <c r="A241" i="27"/>
  <c r="A242" i="27"/>
  <c r="A243" i="27"/>
  <c r="A244" i="27"/>
  <c r="A245" i="27"/>
  <c r="A246" i="27"/>
  <c r="A247" i="27"/>
  <c r="A248" i="27"/>
  <c r="A249" i="27"/>
  <c r="A250" i="27"/>
  <c r="A251" i="27"/>
  <c r="A252" i="27"/>
  <c r="A253" i="27"/>
  <c r="A254" i="27"/>
  <c r="A255" i="27"/>
  <c r="A256" i="27"/>
  <c r="A257" i="27"/>
  <c r="A258" i="27"/>
  <c r="A259" i="27"/>
  <c r="A260" i="27"/>
  <c r="A261" i="27"/>
  <c r="A262" i="27"/>
  <c r="A263" i="27"/>
  <c r="A264" i="27"/>
  <c r="A265" i="27"/>
  <c r="A266" i="27"/>
  <c r="A267" i="27"/>
  <c r="A268" i="27"/>
  <c r="A269" i="27"/>
  <c r="A270" i="27"/>
  <c r="A271" i="27"/>
  <c r="A272" i="27"/>
  <c r="A273" i="27"/>
  <c r="A274" i="27"/>
  <c r="A275" i="27"/>
  <c r="A276" i="27"/>
  <c r="A277" i="27"/>
  <c r="A278" i="27"/>
  <c r="A279" i="27"/>
  <c r="A280" i="27"/>
  <c r="A281" i="27"/>
  <c r="A282" i="27"/>
  <c r="A283" i="27"/>
  <c r="A284" i="27"/>
  <c r="A285" i="27"/>
  <c r="A286" i="27"/>
  <c r="A287" i="27"/>
  <c r="A288" i="27"/>
  <c r="A289" i="27"/>
  <c r="A290" i="27"/>
  <c r="A291" i="27"/>
  <c r="A292" i="27"/>
  <c r="A293" i="27"/>
  <c r="A294" i="27"/>
  <c r="A295" i="27"/>
  <c r="A296" i="27"/>
  <c r="A297" i="27"/>
  <c r="A298" i="27"/>
  <c r="A299" i="27"/>
  <c r="A300" i="27"/>
  <c r="A301" i="27"/>
  <c r="A302" i="27"/>
  <c r="A303" i="27"/>
  <c r="A304" i="27"/>
  <c r="A305" i="27"/>
  <c r="A306" i="27"/>
  <c r="A307" i="27"/>
  <c r="A308" i="27"/>
  <c r="A309" i="27"/>
  <c r="A310" i="27"/>
  <c r="A311" i="27"/>
  <c r="A312" i="27"/>
  <c r="A313" i="27"/>
  <c r="A314" i="27"/>
  <c r="A315" i="27"/>
  <c r="A316" i="27"/>
  <c r="A317" i="27"/>
  <c r="A318" i="27"/>
  <c r="A319" i="27"/>
  <c r="A320" i="27"/>
  <c r="A321" i="27"/>
  <c r="A322" i="27"/>
  <c r="A323" i="27"/>
  <c r="A324" i="27"/>
  <c r="A325" i="27"/>
  <c r="A326" i="27"/>
  <c r="A327" i="27"/>
  <c r="A328" i="27"/>
  <c r="A329" i="27"/>
  <c r="A330" i="27"/>
  <c r="A331" i="27"/>
  <c r="A332" i="27"/>
  <c r="A333" i="27"/>
  <c r="A334" i="27"/>
  <c r="A335" i="27"/>
  <c r="A336" i="27"/>
  <c r="A337" i="27"/>
  <c r="A338" i="27"/>
  <c r="A339" i="27"/>
  <c r="A340" i="27"/>
  <c r="A341" i="27"/>
  <c r="A342" i="27"/>
  <c r="A343" i="27"/>
  <c r="A344" i="27"/>
  <c r="A345" i="27"/>
  <c r="A346" i="27"/>
  <c r="A347" i="27"/>
  <c r="A348" i="27"/>
  <c r="A349" i="27"/>
  <c r="A350" i="27"/>
  <c r="A351" i="27"/>
  <c r="A352" i="27"/>
  <c r="A353" i="27"/>
  <c r="A354" i="27"/>
  <c r="A355" i="27"/>
  <c r="A356" i="27"/>
  <c r="A357" i="27"/>
  <c r="A358" i="27"/>
  <c r="A359" i="27"/>
  <c r="A360" i="27"/>
  <c r="A361" i="27"/>
  <c r="A362" i="27"/>
  <c r="A363" i="27"/>
  <c r="A364" i="27"/>
  <c r="A365" i="27"/>
  <c r="A366" i="27"/>
  <c r="A367" i="27"/>
  <c r="A368" i="27"/>
  <c r="A369" i="27"/>
  <c r="A370" i="27"/>
  <c r="A371" i="27"/>
  <c r="A372" i="27"/>
  <c r="A373" i="27"/>
  <c r="A374" i="27"/>
  <c r="A375" i="27"/>
  <c r="A376" i="27"/>
  <c r="A377" i="27"/>
  <c r="A378" i="27"/>
  <c r="A379" i="27"/>
  <c r="A380" i="27"/>
  <c r="A381" i="27"/>
  <c r="A382" i="27"/>
  <c r="A383" i="27"/>
  <c r="A384" i="27"/>
  <c r="A385" i="27"/>
  <c r="A386" i="27"/>
  <c r="A387" i="27"/>
  <c r="A388" i="27"/>
  <c r="A389" i="27"/>
  <c r="A390" i="27"/>
  <c r="A391" i="27"/>
  <c r="A392" i="27"/>
  <c r="A393" i="27"/>
  <c r="A394" i="27"/>
  <c r="A395" i="27"/>
  <c r="A396" i="27"/>
  <c r="A397" i="27"/>
  <c r="A398" i="27"/>
  <c r="A399" i="27"/>
  <c r="A400" i="27"/>
  <c r="A401" i="27"/>
  <c r="A402" i="27"/>
  <c r="A403" i="27"/>
  <c r="A404" i="27"/>
  <c r="A405" i="27"/>
  <c r="A406" i="27"/>
  <c r="A407" i="27"/>
  <c r="A408" i="27"/>
  <c r="A409" i="27"/>
  <c r="A410" i="27"/>
  <c r="A411" i="27"/>
  <c r="A412" i="27"/>
  <c r="A413" i="27"/>
  <c r="A414" i="27"/>
  <c r="A415" i="27"/>
  <c r="A416" i="27"/>
  <c r="A417" i="27"/>
  <c r="A418" i="27"/>
  <c r="A419" i="27"/>
  <c r="A420" i="27"/>
  <c r="A421" i="27"/>
  <c r="A422" i="27"/>
  <c r="A423" i="27"/>
  <c r="A424" i="27"/>
  <c r="A425" i="27"/>
  <c r="A426" i="27"/>
  <c r="A427" i="27"/>
  <c r="A428" i="27"/>
  <c r="A429" i="27"/>
  <c r="A430" i="27"/>
  <c r="A431" i="27"/>
  <c r="A432" i="27"/>
  <c r="A433" i="27"/>
  <c r="A434" i="27"/>
  <c r="A435" i="27"/>
  <c r="A436" i="27"/>
  <c r="A437" i="27"/>
  <c r="A438" i="27"/>
  <c r="A439" i="27"/>
  <c r="A440" i="27"/>
  <c r="A441" i="27"/>
  <c r="A442" i="27"/>
  <c r="A443" i="27"/>
  <c r="A444" i="27"/>
  <c r="A445" i="27"/>
  <c r="A446" i="27"/>
  <c r="A447" i="27"/>
  <c r="A448" i="27"/>
  <c r="A449" i="27"/>
  <c r="A450" i="27"/>
  <c r="A451" i="27"/>
  <c r="A452" i="27"/>
  <c r="A453" i="27"/>
  <c r="A454" i="27"/>
  <c r="A455" i="27"/>
  <c r="A456" i="27"/>
  <c r="A457" i="27"/>
  <c r="A458" i="27"/>
  <c r="A459" i="27"/>
  <c r="A460" i="27"/>
  <c r="A461" i="27"/>
  <c r="A462" i="27"/>
  <c r="A463" i="27"/>
  <c r="A464" i="27"/>
  <c r="A465" i="27"/>
  <c r="A466" i="27"/>
  <c r="A467" i="27"/>
  <c r="A468" i="27"/>
  <c r="A469" i="27"/>
  <c r="A470" i="27"/>
  <c r="A471" i="27"/>
  <c r="A472" i="27"/>
  <c r="A473" i="27"/>
  <c r="A474" i="27"/>
  <c r="A475" i="27"/>
  <c r="A476" i="27"/>
  <c r="A477" i="27"/>
  <c r="A478" i="27"/>
  <c r="A479" i="27"/>
  <c r="A480" i="27"/>
  <c r="A481" i="27"/>
  <c r="A482" i="27"/>
  <c r="A483" i="27"/>
  <c r="A484" i="27"/>
  <c r="A485" i="27"/>
  <c r="A486" i="27"/>
  <c r="A487" i="27"/>
  <c r="A488" i="27"/>
  <c r="A489" i="27"/>
  <c r="A490" i="27"/>
  <c r="A491" i="27"/>
  <c r="A492" i="27"/>
  <c r="A493" i="27"/>
  <c r="A494" i="27"/>
  <c r="A495" i="27"/>
  <c r="A496" i="27"/>
  <c r="A497" i="27"/>
  <c r="A498" i="27"/>
  <c r="A499" i="27"/>
  <c r="A500" i="27"/>
  <c r="A501" i="27"/>
  <c r="A502" i="27"/>
  <c r="A503" i="27"/>
  <c r="A504" i="27"/>
  <c r="A505" i="27"/>
  <c r="A506" i="27"/>
  <c r="A507" i="27"/>
  <c r="A508" i="27"/>
  <c r="A509" i="27"/>
  <c r="A510" i="27"/>
  <c r="A511" i="27"/>
  <c r="A512" i="27"/>
  <c r="A513" i="27"/>
  <c r="A514" i="27"/>
  <c r="A515" i="27"/>
  <c r="A516" i="27"/>
  <c r="A517" i="27"/>
  <c r="A518" i="27"/>
  <c r="A519" i="27"/>
  <c r="A520" i="27"/>
  <c r="A521" i="27"/>
  <c r="A522" i="27"/>
  <c r="A523" i="27"/>
  <c r="A524" i="27"/>
  <c r="A525" i="27"/>
  <c r="A526" i="27"/>
  <c r="A527" i="27"/>
  <c r="A528" i="27"/>
  <c r="A529" i="27"/>
  <c r="A530" i="27"/>
  <c r="A531" i="27"/>
  <c r="A532" i="27"/>
  <c r="A533" i="27"/>
  <c r="A534" i="27"/>
  <c r="A535" i="27"/>
  <c r="A536" i="27"/>
  <c r="A537" i="27"/>
  <c r="A538" i="27"/>
  <c r="A539" i="27"/>
  <c r="A540" i="27"/>
  <c r="A541" i="27"/>
  <c r="A542" i="27"/>
  <c r="A543" i="27"/>
  <c r="A544" i="27"/>
  <c r="A545" i="27"/>
  <c r="A546" i="27"/>
  <c r="A547" i="27"/>
  <c r="A548" i="27"/>
  <c r="A549" i="27"/>
  <c r="A550" i="27"/>
  <c r="A551" i="27"/>
  <c r="A552" i="27"/>
  <c r="A553" i="27"/>
  <c r="G318" i="31"/>
  <c r="H318" i="31"/>
  <c r="I318" i="31"/>
  <c r="J318" i="31"/>
  <c r="K318" i="31"/>
  <c r="L318" i="31"/>
  <c r="M318" i="31"/>
  <c r="N318" i="31"/>
  <c r="O318" i="31"/>
  <c r="P318" i="31"/>
  <c r="Q318" i="31"/>
  <c r="G319" i="31"/>
  <c r="H319" i="31"/>
  <c r="I319" i="31"/>
  <c r="J319" i="31"/>
  <c r="K319" i="31"/>
  <c r="L319" i="31"/>
  <c r="M319" i="31"/>
  <c r="N319" i="31"/>
  <c r="O319" i="31"/>
  <c r="P319" i="31"/>
  <c r="Q319" i="31"/>
  <c r="D314" i="31" a="1"/>
  <c r="D314" i="31" s="1"/>
  <c r="C314" i="31" s="1"/>
  <c r="C318" i="31"/>
  <c r="C319" i="31"/>
  <c r="C334" i="31"/>
  <c r="C335" i="31"/>
  <c r="C336" i="31"/>
  <c r="B334" i="31"/>
  <c r="B335" i="31"/>
  <c r="B336" i="31"/>
  <c r="Q336" i="31"/>
  <c r="P336" i="31"/>
  <c r="O336" i="31"/>
  <c r="N336" i="31"/>
  <c r="M336" i="31"/>
  <c r="L336" i="31"/>
  <c r="K336" i="31"/>
  <c r="J336" i="31"/>
  <c r="I336" i="31"/>
  <c r="H336" i="31"/>
  <c r="G336" i="31"/>
  <c r="Q335" i="31"/>
  <c r="P335" i="31"/>
  <c r="O335" i="31"/>
  <c r="N335" i="31"/>
  <c r="M335" i="31"/>
  <c r="L335" i="31"/>
  <c r="K335" i="31"/>
  <c r="J335" i="31"/>
  <c r="I335" i="31"/>
  <c r="H335" i="31"/>
  <c r="G335" i="31"/>
  <c r="Q334" i="31"/>
  <c r="P334" i="31"/>
  <c r="O334" i="31"/>
  <c r="N334" i="31"/>
  <c r="M334" i="31"/>
  <c r="L334" i="31"/>
  <c r="K334" i="31"/>
  <c r="J334" i="31"/>
  <c r="I334" i="31"/>
  <c r="H334" i="31"/>
  <c r="G334" i="31"/>
  <c r="D12" i="33"/>
  <c r="D13" i="33"/>
  <c r="D10" i="33"/>
  <c r="D15" i="33"/>
  <c r="D9" i="33"/>
  <c r="D11" i="33"/>
  <c r="D14" i="33"/>
  <c r="I314" i="31" l="1"/>
  <c r="P317" i="31"/>
  <c r="H317" i="31"/>
  <c r="K316" i="31"/>
  <c r="J314" i="31"/>
  <c r="G317" i="31"/>
  <c r="J316" i="31"/>
  <c r="M315" i="31"/>
  <c r="C316" i="31"/>
  <c r="M317" i="31"/>
  <c r="P316" i="31"/>
  <c r="H316" i="31"/>
  <c r="K315" i="31"/>
  <c r="C315" i="31"/>
  <c r="M314" i="31"/>
  <c r="G316" i="31"/>
  <c r="J315" i="31"/>
  <c r="K317" i="31"/>
  <c r="I315" i="31"/>
  <c r="G314" i="31"/>
  <c r="J317" i="31"/>
  <c r="M316" i="31"/>
  <c r="P315" i="31"/>
  <c r="H315" i="31"/>
  <c r="C317" i="31"/>
  <c r="K314" i="31"/>
  <c r="I316" i="31"/>
  <c r="H314" i="31"/>
  <c r="P314" i="31"/>
  <c r="I317" i="31"/>
  <c r="G315" i="31"/>
  <c r="D329" i="31" l="1" a="1"/>
  <c r="B319" i="31"/>
  <c r="B320" i="31"/>
  <c r="B321" i="31"/>
  <c r="B322" i="31"/>
  <c r="B323" i="31"/>
  <c r="B324" i="31"/>
  <c r="B314" i="31"/>
  <c r="A319" i="31"/>
  <c r="A320" i="31"/>
  <c r="A321" i="31"/>
  <c r="A322" i="31"/>
  <c r="A323" i="31"/>
  <c r="A324" i="31"/>
  <c r="G188" i="31" a="1"/>
  <c r="G188" i="31" s="1"/>
  <c r="F188" i="31" a="1"/>
  <c r="F188" i="31" s="1"/>
  <c r="E188" i="31" a="1"/>
  <c r="E188" i="31" s="1"/>
  <c r="G190" i="31" a="1"/>
  <c r="G190" i="31" s="1"/>
  <c r="F190" i="31" a="1"/>
  <c r="F190" i="31" s="1"/>
  <c r="E190" i="31" a="1"/>
  <c r="E190" i="31" s="1"/>
  <c r="M333" i="31" l="1"/>
  <c r="C333" i="31"/>
  <c r="J333" i="31"/>
  <c r="P333" i="31"/>
  <c r="B333" i="31"/>
  <c r="I333" i="31"/>
  <c r="H333" i="31"/>
  <c r="G333" i="31"/>
  <c r="K333" i="31"/>
  <c r="C330" i="31"/>
  <c r="B330" i="31"/>
  <c r="C332" i="31"/>
  <c r="C331" i="31"/>
  <c r="B331" i="31"/>
  <c r="B332" i="31"/>
  <c r="B318" i="31"/>
  <c r="B316" i="31"/>
  <c r="B317" i="31"/>
  <c r="B315" i="31"/>
  <c r="D329" i="31"/>
  <c r="K330" i="31"/>
  <c r="H331" i="31"/>
  <c r="P331" i="31"/>
  <c r="M332" i="31"/>
  <c r="I331" i="31"/>
  <c r="H332" i="31"/>
  <c r="M330" i="31"/>
  <c r="J331" i="31"/>
  <c r="G332" i="31"/>
  <c r="K331" i="31"/>
  <c r="J330" i="31"/>
  <c r="P332" i="31"/>
  <c r="G331" i="31"/>
  <c r="G330" i="31"/>
  <c r="I332" i="31"/>
  <c r="I330" i="31"/>
  <c r="H330" i="31"/>
  <c r="P330" i="31"/>
  <c r="M331" i="31"/>
  <c r="J332" i="31"/>
  <c r="K332" i="31"/>
  <c r="A336" i="31"/>
  <c r="A335" i="31"/>
  <c r="H188" i="31"/>
  <c r="E189" i="31" s="1"/>
  <c r="H190" i="31"/>
  <c r="C329" i="31" l="1"/>
  <c r="B329" i="31"/>
  <c r="M329" i="31"/>
  <c r="K329" i="31"/>
  <c r="G329" i="31"/>
  <c r="J329" i="31"/>
  <c r="P329" i="31"/>
  <c r="I329" i="31"/>
  <c r="H329" i="31"/>
  <c r="G189" i="31"/>
  <c r="F189" i="31"/>
  <c r="G191" i="31"/>
  <c r="F191" i="31"/>
  <c r="E191" i="31"/>
  <c r="E136" i="31" l="1" a="1"/>
  <c r="E136" i="31" s="1"/>
  <c r="F136" i="31" a="1"/>
  <c r="F136" i="31" s="1"/>
  <c r="G136" i="31" a="1"/>
  <c r="G136" i="31" s="1"/>
  <c r="H136" i="31" l="1"/>
  <c r="E137" i="31" s="1"/>
  <c r="G137" i="31" l="1"/>
  <c r="F137" i="31"/>
  <c r="G78" i="31" a="1"/>
  <c r="G78" i="31" s="1"/>
  <c r="F78" i="31" a="1"/>
  <c r="F78" i="31" s="1"/>
  <c r="E78" i="31" a="1"/>
  <c r="E78" i="31" s="1"/>
  <c r="E76" i="31" a="1"/>
  <c r="E76" i="31" s="1"/>
  <c r="F76" i="31" a="1"/>
  <c r="F76" i="31" s="1"/>
  <c r="G76" i="31" a="1"/>
  <c r="G76" i="31" s="1"/>
  <c r="Q316" i="31"/>
  <c r="Q317" i="31"/>
  <c r="N317" i="31"/>
  <c r="O315" i="31"/>
  <c r="O316" i="31"/>
  <c r="Q331" i="31"/>
  <c r="N3" i="29"/>
  <c r="D284" i="31" s="1" a="1"/>
  <c r="D284" i="31" s="1"/>
  <c r="P3" i="29"/>
  <c r="S3" i="29"/>
  <c r="L333" i="31"/>
  <c r="N333" i="31"/>
  <c r="O333" i="31"/>
  <c r="Q333" i="31"/>
  <c r="O201" i="23"/>
  <c r="L401" i="30"/>
  <c r="K401" i="30"/>
  <c r="G401" i="30"/>
  <c r="F401" i="30"/>
  <c r="E401" i="30"/>
  <c r="J400" i="30"/>
  <c r="I400" i="30"/>
  <c r="H400" i="30"/>
  <c r="G400" i="30"/>
  <c r="F400" i="30"/>
  <c r="E400" i="30"/>
  <c r="D400" i="30"/>
  <c r="L399" i="30"/>
  <c r="K399" i="30"/>
  <c r="G399" i="30"/>
  <c r="F399" i="30"/>
  <c r="E399" i="30"/>
  <c r="J398" i="30"/>
  <c r="I398" i="30"/>
  <c r="H398" i="30"/>
  <c r="G398" i="30"/>
  <c r="F398" i="30"/>
  <c r="E398" i="30"/>
  <c r="D398" i="30"/>
  <c r="J396" i="30"/>
  <c r="H396" i="30"/>
  <c r="G396" i="30"/>
  <c r="F396" i="30"/>
  <c r="E396" i="30"/>
  <c r="D396" i="30"/>
  <c r="J394" i="30"/>
  <c r="H394" i="30"/>
  <c r="G394" i="30"/>
  <c r="F394" i="30"/>
  <c r="E394" i="30"/>
  <c r="D394" i="30"/>
  <c r="L393" i="30"/>
  <c r="J392" i="30"/>
  <c r="H392" i="30"/>
  <c r="G392" i="30"/>
  <c r="F392" i="30"/>
  <c r="E392" i="30"/>
  <c r="D392" i="30"/>
  <c r="L391" i="30"/>
  <c r="K391" i="30"/>
  <c r="G391" i="30"/>
  <c r="F391" i="30"/>
  <c r="E391" i="30"/>
  <c r="J390" i="30"/>
  <c r="I390" i="30"/>
  <c r="H390" i="30"/>
  <c r="G390" i="30"/>
  <c r="F390" i="30"/>
  <c r="E390" i="30"/>
  <c r="D390" i="30"/>
  <c r="H388" i="30"/>
  <c r="G388" i="30"/>
  <c r="F388" i="30"/>
  <c r="E388" i="30"/>
  <c r="D388" i="30"/>
  <c r="L387" i="30"/>
  <c r="J386" i="30"/>
  <c r="H386" i="30"/>
  <c r="G386" i="30"/>
  <c r="F386" i="30"/>
  <c r="E386" i="30"/>
  <c r="D386" i="30"/>
  <c r="L382" i="30"/>
  <c r="K382" i="30"/>
  <c r="G382" i="30"/>
  <c r="F382" i="30"/>
  <c r="E382" i="30"/>
  <c r="J381" i="30"/>
  <c r="I381" i="30"/>
  <c r="H381" i="30"/>
  <c r="G381" i="30"/>
  <c r="F381" i="30"/>
  <c r="E381" i="30"/>
  <c r="D381" i="30"/>
  <c r="L380" i="30"/>
  <c r="K380" i="30"/>
  <c r="G380" i="30"/>
  <c r="F380" i="30"/>
  <c r="E380" i="30"/>
  <c r="J379" i="30"/>
  <c r="I379" i="30"/>
  <c r="H379" i="30"/>
  <c r="G379" i="30"/>
  <c r="F379" i="30"/>
  <c r="E379" i="30"/>
  <c r="D379" i="30"/>
  <c r="H378" i="30"/>
  <c r="H377" i="30"/>
  <c r="G377" i="30"/>
  <c r="F377" i="30"/>
  <c r="E377" i="30"/>
  <c r="D377" i="30"/>
  <c r="H376" i="30"/>
  <c r="H375" i="30"/>
  <c r="G375" i="30"/>
  <c r="F375" i="30"/>
  <c r="E375" i="30"/>
  <c r="D375" i="30"/>
  <c r="L374" i="30"/>
  <c r="H374" i="30"/>
  <c r="H373" i="30"/>
  <c r="G373" i="30"/>
  <c r="F373" i="30"/>
  <c r="E373" i="30"/>
  <c r="D373" i="30"/>
  <c r="L372" i="30"/>
  <c r="K372" i="30"/>
  <c r="G372" i="30"/>
  <c r="F372" i="30"/>
  <c r="E372" i="30"/>
  <c r="J371" i="30"/>
  <c r="I371" i="30"/>
  <c r="H371" i="30"/>
  <c r="G371" i="30"/>
  <c r="F371" i="30"/>
  <c r="E371" i="30"/>
  <c r="D371" i="30"/>
  <c r="H369" i="30"/>
  <c r="G369" i="30"/>
  <c r="F369" i="30"/>
  <c r="E369" i="30"/>
  <c r="D369" i="30"/>
  <c r="H368" i="30"/>
  <c r="H367" i="30"/>
  <c r="G367" i="30"/>
  <c r="F367" i="30"/>
  <c r="E367" i="30"/>
  <c r="D367" i="30"/>
  <c r="N340" i="30"/>
  <c r="M340" i="30"/>
  <c r="N339" i="30"/>
  <c r="M339" i="30"/>
  <c r="N338" i="30"/>
  <c r="M338" i="30"/>
  <c r="N336" i="30"/>
  <c r="M336" i="30"/>
  <c r="L336" i="30"/>
  <c r="K336" i="30"/>
  <c r="J336" i="30"/>
  <c r="I336" i="30"/>
  <c r="H336" i="30"/>
  <c r="G336" i="30"/>
  <c r="F336" i="30"/>
  <c r="E336" i="30"/>
  <c r="D336" i="30"/>
  <c r="C336" i="30"/>
  <c r="N335" i="30"/>
  <c r="M335" i="30"/>
  <c r="L335" i="30"/>
  <c r="K335" i="30"/>
  <c r="N334" i="30"/>
  <c r="M334" i="30"/>
  <c r="L334" i="30"/>
  <c r="K334" i="30"/>
  <c r="N333" i="30"/>
  <c r="M333" i="30"/>
  <c r="K333" i="30"/>
  <c r="C333" i="30"/>
  <c r="N332" i="30"/>
  <c r="M332" i="30"/>
  <c r="K332" i="30"/>
  <c r="N331" i="30"/>
  <c r="M331" i="30"/>
  <c r="L331" i="30"/>
  <c r="K331" i="30"/>
  <c r="N330" i="30"/>
  <c r="M330" i="30"/>
  <c r="L330" i="30"/>
  <c r="K330" i="30"/>
  <c r="N329" i="30"/>
  <c r="M329" i="30"/>
  <c r="L329" i="30"/>
  <c r="K329" i="30"/>
  <c r="M312" i="30"/>
  <c r="L312" i="30"/>
  <c r="K312" i="30"/>
  <c r="J312" i="30"/>
  <c r="I312" i="30"/>
  <c r="H312" i="30"/>
  <c r="G312" i="30"/>
  <c r="F312" i="30"/>
  <c r="M311" i="30"/>
  <c r="K311" i="30"/>
  <c r="J311" i="30"/>
  <c r="I311" i="30"/>
  <c r="H311" i="30"/>
  <c r="G311" i="30"/>
  <c r="F311" i="30"/>
  <c r="M310" i="30"/>
  <c r="L310" i="30"/>
  <c r="K310" i="30"/>
  <c r="J310" i="30"/>
  <c r="I310" i="30"/>
  <c r="H310" i="30"/>
  <c r="G310" i="30"/>
  <c r="F310" i="30"/>
  <c r="M309" i="30"/>
  <c r="L309" i="30"/>
  <c r="K309" i="30"/>
  <c r="J309" i="30"/>
  <c r="I309" i="30"/>
  <c r="H309" i="30"/>
  <c r="G309" i="30"/>
  <c r="F309" i="30"/>
  <c r="M308" i="30"/>
  <c r="L308" i="30"/>
  <c r="K308" i="30"/>
  <c r="J308" i="30"/>
  <c r="I308" i="30"/>
  <c r="H308" i="30"/>
  <c r="G308" i="30"/>
  <c r="F308" i="30"/>
  <c r="M307" i="30"/>
  <c r="L307" i="30"/>
  <c r="K307" i="30"/>
  <c r="J307" i="30"/>
  <c r="I307" i="30"/>
  <c r="H307" i="30"/>
  <c r="G307" i="30"/>
  <c r="F307" i="30"/>
  <c r="M302" i="30"/>
  <c r="L302" i="30"/>
  <c r="K302" i="30"/>
  <c r="J302" i="30"/>
  <c r="I302" i="30"/>
  <c r="H302" i="30"/>
  <c r="G302" i="30"/>
  <c r="F302" i="30"/>
  <c r="M301" i="30"/>
  <c r="K301" i="30"/>
  <c r="J301" i="30"/>
  <c r="H301" i="30"/>
  <c r="G301" i="30"/>
  <c r="F301" i="30"/>
  <c r="M300" i="30"/>
  <c r="K300" i="30"/>
  <c r="J300" i="30"/>
  <c r="H300" i="30"/>
  <c r="G300" i="30"/>
  <c r="F300" i="30"/>
  <c r="M299" i="30"/>
  <c r="K299" i="30"/>
  <c r="J299" i="30"/>
  <c r="H299" i="30"/>
  <c r="G299" i="30"/>
  <c r="F299" i="30"/>
  <c r="M298" i="30"/>
  <c r="K298" i="30"/>
  <c r="J298" i="30"/>
  <c r="H298" i="30"/>
  <c r="G298" i="30"/>
  <c r="F298" i="30"/>
  <c r="M294" i="30"/>
  <c r="L294" i="30"/>
  <c r="K294" i="30"/>
  <c r="J294" i="30"/>
  <c r="I294" i="30"/>
  <c r="H294" i="30"/>
  <c r="G294" i="30"/>
  <c r="F294" i="30"/>
  <c r="M293" i="30"/>
  <c r="K293" i="30"/>
  <c r="J293" i="30"/>
  <c r="H293" i="30"/>
  <c r="M292" i="30"/>
  <c r="K292" i="30"/>
  <c r="J292" i="30"/>
  <c r="H292" i="30"/>
  <c r="M286" i="30"/>
  <c r="L286" i="30"/>
  <c r="K286" i="30"/>
  <c r="J286" i="30"/>
  <c r="I286" i="30"/>
  <c r="H286" i="30"/>
  <c r="M282" i="30"/>
  <c r="K282" i="30"/>
  <c r="J282" i="30"/>
  <c r="H282" i="30"/>
  <c r="M277" i="30"/>
  <c r="L277" i="30"/>
  <c r="K277" i="30"/>
  <c r="J277" i="30"/>
  <c r="I277" i="30"/>
  <c r="H277" i="30"/>
  <c r="G277" i="30"/>
  <c r="F277" i="30"/>
  <c r="M276" i="30"/>
  <c r="K276" i="30"/>
  <c r="J276" i="30"/>
  <c r="H276" i="30"/>
  <c r="M275" i="30"/>
  <c r="K275" i="30"/>
  <c r="J275" i="30"/>
  <c r="H275" i="30"/>
  <c r="M274" i="30"/>
  <c r="K274" i="30"/>
  <c r="J274" i="30"/>
  <c r="H274" i="30"/>
  <c r="M273" i="30"/>
  <c r="K273" i="30"/>
  <c r="J273" i="30"/>
  <c r="H273" i="30"/>
  <c r="M269" i="30"/>
  <c r="L269" i="30"/>
  <c r="K269" i="30"/>
  <c r="J269" i="30"/>
  <c r="I269" i="30"/>
  <c r="H269" i="30"/>
  <c r="G269" i="30"/>
  <c r="F269" i="30"/>
  <c r="M268" i="30"/>
  <c r="K268" i="30"/>
  <c r="J268" i="30"/>
  <c r="H268" i="30"/>
  <c r="M267" i="30"/>
  <c r="K267" i="30"/>
  <c r="J267" i="30"/>
  <c r="H267" i="30"/>
  <c r="M266" i="30"/>
  <c r="K266" i="30"/>
  <c r="J266" i="30"/>
  <c r="H266" i="30"/>
  <c r="M265" i="30"/>
  <c r="K265" i="30"/>
  <c r="J265" i="30"/>
  <c r="H265" i="30"/>
  <c r="H260" i="30"/>
  <c r="F260" i="30"/>
  <c r="I259" i="30"/>
  <c r="F259" i="30"/>
  <c r="I258" i="30"/>
  <c r="H258" i="30"/>
  <c r="H257" i="30"/>
  <c r="F257" i="30"/>
  <c r="H256" i="30"/>
  <c r="F256" i="30"/>
  <c r="H255" i="30"/>
  <c r="F255" i="30"/>
  <c r="H254" i="30"/>
  <c r="F254" i="30"/>
  <c r="I253" i="30"/>
  <c r="H253" i="30"/>
  <c r="H252" i="30"/>
  <c r="F252" i="30"/>
  <c r="I251" i="30"/>
  <c r="H251" i="30"/>
  <c r="I250" i="30"/>
  <c r="H250" i="30"/>
  <c r="H249" i="30"/>
  <c r="F249" i="30"/>
  <c r="L248" i="30"/>
  <c r="H248" i="30"/>
  <c r="F248" i="30"/>
  <c r="L247" i="30"/>
  <c r="H247" i="30"/>
  <c r="F247" i="30"/>
  <c r="I244" i="30"/>
  <c r="F244" i="30"/>
  <c r="I243" i="30"/>
  <c r="H243" i="30"/>
  <c r="H242" i="30"/>
  <c r="F242" i="30"/>
  <c r="I241" i="30"/>
  <c r="F241" i="30"/>
  <c r="H240" i="30"/>
  <c r="F240" i="30"/>
  <c r="I239" i="30"/>
  <c r="F239" i="30"/>
  <c r="I238" i="30"/>
  <c r="F238" i="30"/>
  <c r="I237" i="30"/>
  <c r="F237" i="30"/>
  <c r="L236" i="30"/>
  <c r="L235" i="30"/>
  <c r="I235" i="30"/>
  <c r="F235" i="30"/>
  <c r="L234" i="30"/>
  <c r="L233" i="30"/>
  <c r="I233" i="30"/>
  <c r="F233" i="30"/>
  <c r="I230" i="30"/>
  <c r="F230" i="30"/>
  <c r="H229" i="30"/>
  <c r="H228" i="30"/>
  <c r="F228" i="30"/>
  <c r="I227" i="30"/>
  <c r="F227" i="30"/>
  <c r="H226" i="30"/>
  <c r="F226" i="30"/>
  <c r="F225" i="30"/>
  <c r="F224" i="30"/>
  <c r="I223" i="30"/>
  <c r="F223" i="30"/>
  <c r="F222" i="30"/>
  <c r="L221" i="30"/>
  <c r="I221" i="30"/>
  <c r="F221" i="30"/>
  <c r="L220" i="30"/>
  <c r="F220" i="30"/>
  <c r="L219" i="30"/>
  <c r="F219" i="30"/>
  <c r="L218" i="30"/>
  <c r="H218" i="30"/>
  <c r="F218" i="30"/>
  <c r="I214" i="30"/>
  <c r="H214" i="30"/>
  <c r="F214" i="30"/>
  <c r="H212" i="30"/>
  <c r="F212" i="30"/>
  <c r="H211" i="30"/>
  <c r="F211" i="30"/>
  <c r="I210" i="30"/>
  <c r="H210" i="30"/>
  <c r="F210" i="30"/>
  <c r="I209" i="30"/>
  <c r="G209" i="30"/>
  <c r="I208" i="30"/>
  <c r="F208" i="30"/>
  <c r="I207" i="30"/>
  <c r="F207" i="30"/>
  <c r="H206" i="30"/>
  <c r="F206" i="30"/>
  <c r="H205" i="30"/>
  <c r="F205" i="30"/>
  <c r="F204" i="30"/>
  <c r="H202" i="30"/>
  <c r="F202" i="30"/>
  <c r="M201" i="30"/>
  <c r="I201" i="30"/>
  <c r="H201" i="30"/>
  <c r="F201" i="30"/>
  <c r="M200" i="30"/>
  <c r="F200" i="30"/>
  <c r="M199" i="30"/>
  <c r="M198" i="30"/>
  <c r="H198" i="30"/>
  <c r="F198" i="30"/>
  <c r="M197" i="30"/>
  <c r="H197" i="30"/>
  <c r="F197" i="30"/>
  <c r="H193" i="30"/>
  <c r="G193" i="30"/>
  <c r="F193" i="30"/>
  <c r="H192" i="30"/>
  <c r="G192" i="30"/>
  <c r="F192" i="30"/>
  <c r="H191" i="30"/>
  <c r="G191" i="30"/>
  <c r="F191" i="30"/>
  <c r="H190" i="30"/>
  <c r="G190" i="30"/>
  <c r="F190" i="30"/>
  <c r="H189" i="30"/>
  <c r="G189" i="30"/>
  <c r="F189" i="30"/>
  <c r="H188" i="30"/>
  <c r="G188" i="30"/>
  <c r="F188" i="30"/>
  <c r="H186" i="30"/>
  <c r="F186" i="30"/>
  <c r="E186" i="30"/>
  <c r="D186" i="30"/>
  <c r="H185" i="30"/>
  <c r="G185" i="30"/>
  <c r="F185" i="30"/>
  <c r="E185" i="30"/>
  <c r="D185" i="30"/>
  <c r="H184" i="30"/>
  <c r="F184" i="30"/>
  <c r="E184" i="30"/>
  <c r="D184" i="30"/>
  <c r="H183" i="30"/>
  <c r="G183" i="30"/>
  <c r="H182" i="30"/>
  <c r="F182" i="30"/>
  <c r="E182" i="30"/>
  <c r="D182" i="30"/>
  <c r="H181" i="30"/>
  <c r="G181" i="30"/>
  <c r="H180" i="30"/>
  <c r="F180" i="30"/>
  <c r="E180" i="30"/>
  <c r="D180" i="30"/>
  <c r="H179" i="30"/>
  <c r="G179" i="30"/>
  <c r="H178" i="30"/>
  <c r="F178" i="30"/>
  <c r="E178" i="30"/>
  <c r="D178" i="30"/>
  <c r="H177" i="30"/>
  <c r="G177" i="30"/>
  <c r="H176" i="30"/>
  <c r="F176" i="30"/>
  <c r="E176" i="30"/>
  <c r="D176" i="30"/>
  <c r="H175" i="30"/>
  <c r="G175" i="30"/>
  <c r="H174" i="30"/>
  <c r="F174" i="30"/>
  <c r="E174" i="30"/>
  <c r="D174" i="30"/>
  <c r="H173" i="30"/>
  <c r="G173" i="30"/>
  <c r="H172" i="30"/>
  <c r="F172" i="30"/>
  <c r="E172" i="30"/>
  <c r="D172" i="30"/>
  <c r="H171" i="30"/>
  <c r="G171" i="30"/>
  <c r="H170" i="30"/>
  <c r="F170" i="30"/>
  <c r="D170" i="30"/>
  <c r="H169" i="30"/>
  <c r="G169" i="30"/>
  <c r="F168" i="30"/>
  <c r="E168" i="30"/>
  <c r="D168" i="30"/>
  <c r="G167" i="30"/>
  <c r="F167" i="30"/>
  <c r="E167" i="30"/>
  <c r="D167" i="30"/>
  <c r="H166" i="30"/>
  <c r="G166" i="30"/>
  <c r="F166" i="30"/>
  <c r="E166" i="30"/>
  <c r="D166" i="30"/>
  <c r="H165" i="30"/>
  <c r="G165" i="30"/>
  <c r="H164" i="30"/>
  <c r="F164" i="30"/>
  <c r="E164" i="30"/>
  <c r="D164" i="30"/>
  <c r="H163" i="30"/>
  <c r="G163" i="30"/>
  <c r="H162" i="30"/>
  <c r="F162" i="30"/>
  <c r="E162" i="30"/>
  <c r="D162" i="30"/>
  <c r="H161" i="30"/>
  <c r="G161" i="30"/>
  <c r="H160" i="30"/>
  <c r="F160" i="30"/>
  <c r="E160" i="30"/>
  <c r="D160" i="30"/>
  <c r="H159" i="30"/>
  <c r="G159" i="30"/>
  <c r="H158" i="30"/>
  <c r="F158" i="30"/>
  <c r="E158" i="30"/>
  <c r="D158" i="30"/>
  <c r="H157" i="30"/>
  <c r="G157" i="30"/>
  <c r="H156" i="30"/>
  <c r="F156" i="30"/>
  <c r="E156" i="30"/>
  <c r="D156" i="30"/>
  <c r="H155" i="30"/>
  <c r="G155" i="30"/>
  <c r="H154" i="30"/>
  <c r="F154" i="30"/>
  <c r="D154" i="30"/>
  <c r="H153" i="30"/>
  <c r="G153" i="30"/>
  <c r="F152" i="30"/>
  <c r="E152" i="30"/>
  <c r="D152" i="30"/>
  <c r="G151" i="30"/>
  <c r="F151" i="30"/>
  <c r="E151" i="30"/>
  <c r="D151" i="30"/>
  <c r="H150" i="30"/>
  <c r="G150" i="30"/>
  <c r="F150" i="30"/>
  <c r="E150" i="30"/>
  <c r="D150" i="30"/>
  <c r="H149" i="30"/>
  <c r="G149" i="30"/>
  <c r="H148" i="30"/>
  <c r="F148" i="30"/>
  <c r="E148" i="30"/>
  <c r="D148" i="30"/>
  <c r="H147" i="30"/>
  <c r="G147" i="30"/>
  <c r="H146" i="30"/>
  <c r="F146" i="30"/>
  <c r="E146" i="30"/>
  <c r="D146" i="30"/>
  <c r="H145" i="30"/>
  <c r="G145" i="30"/>
  <c r="H144" i="30"/>
  <c r="F144" i="30"/>
  <c r="E144" i="30"/>
  <c r="D144" i="30"/>
  <c r="H143" i="30"/>
  <c r="G143" i="30"/>
  <c r="H142" i="30"/>
  <c r="F142" i="30"/>
  <c r="E142" i="30"/>
  <c r="D142" i="30"/>
  <c r="H141" i="30"/>
  <c r="G141" i="30"/>
  <c r="H140" i="30"/>
  <c r="F140" i="30"/>
  <c r="E140" i="30"/>
  <c r="D140" i="30"/>
  <c r="H139" i="30"/>
  <c r="G139" i="30"/>
  <c r="H138" i="30"/>
  <c r="F138" i="30"/>
  <c r="D138" i="30"/>
  <c r="H137" i="30"/>
  <c r="G137" i="30"/>
  <c r="F136" i="30"/>
  <c r="E136" i="30"/>
  <c r="D136" i="30"/>
  <c r="G135" i="30"/>
  <c r="F135" i="30"/>
  <c r="E135" i="30"/>
  <c r="D135" i="30"/>
  <c r="H134" i="30"/>
  <c r="G134" i="30"/>
  <c r="F134" i="30"/>
  <c r="E134" i="30"/>
  <c r="D134" i="30"/>
  <c r="H133" i="30"/>
  <c r="G133" i="30"/>
  <c r="H132" i="30"/>
  <c r="F132" i="30"/>
  <c r="E132" i="30"/>
  <c r="D132" i="30"/>
  <c r="H131" i="30"/>
  <c r="G131" i="30"/>
  <c r="H130" i="30"/>
  <c r="F130" i="30"/>
  <c r="E130" i="30"/>
  <c r="D130" i="30"/>
  <c r="H129" i="30"/>
  <c r="G129" i="30"/>
  <c r="H128" i="30"/>
  <c r="F128" i="30"/>
  <c r="E128" i="30"/>
  <c r="D128" i="30"/>
  <c r="H127" i="30"/>
  <c r="G127" i="30"/>
  <c r="H126" i="30"/>
  <c r="F126" i="30"/>
  <c r="E126" i="30"/>
  <c r="D126" i="30"/>
  <c r="H125" i="30"/>
  <c r="G125" i="30"/>
  <c r="H124" i="30"/>
  <c r="F124" i="30"/>
  <c r="E124" i="30"/>
  <c r="D124" i="30"/>
  <c r="H123" i="30"/>
  <c r="G123" i="30"/>
  <c r="H122" i="30"/>
  <c r="F122" i="30"/>
  <c r="E122" i="30"/>
  <c r="D122" i="30"/>
  <c r="H121" i="30"/>
  <c r="G121" i="30"/>
  <c r="F120" i="30"/>
  <c r="E120" i="30"/>
  <c r="D120" i="30"/>
  <c r="G119" i="30"/>
  <c r="F119" i="30"/>
  <c r="E119" i="30"/>
  <c r="D119" i="30"/>
  <c r="H118" i="30"/>
  <c r="F118" i="30"/>
  <c r="E118" i="30"/>
  <c r="D118" i="30"/>
  <c r="H117" i="30"/>
  <c r="H116" i="30"/>
  <c r="F116" i="30"/>
  <c r="E116" i="30"/>
  <c r="D116" i="30"/>
  <c r="H115" i="30"/>
  <c r="G115" i="30"/>
  <c r="H114" i="30"/>
  <c r="F114" i="30"/>
  <c r="E114" i="30"/>
  <c r="D114" i="30"/>
  <c r="H113" i="30"/>
  <c r="G113" i="30"/>
  <c r="H112" i="30"/>
  <c r="F112" i="30"/>
  <c r="E112" i="30"/>
  <c r="D112" i="30"/>
  <c r="H111" i="30"/>
  <c r="G111" i="30"/>
  <c r="H110" i="30"/>
  <c r="F110" i="30"/>
  <c r="E110" i="30"/>
  <c r="D110" i="30"/>
  <c r="H109" i="30"/>
  <c r="G109" i="30"/>
  <c r="H108" i="30"/>
  <c r="F108" i="30"/>
  <c r="E108" i="30"/>
  <c r="D108" i="30"/>
  <c r="H107" i="30"/>
  <c r="G107" i="30"/>
  <c r="H106" i="30"/>
  <c r="F106" i="30"/>
  <c r="E106" i="30"/>
  <c r="D106" i="30"/>
  <c r="H105" i="30"/>
  <c r="G105" i="30"/>
  <c r="H104" i="30"/>
  <c r="F104" i="30"/>
  <c r="E104" i="30"/>
  <c r="D104" i="30"/>
  <c r="H103" i="30"/>
  <c r="G103" i="30"/>
  <c r="H102" i="30"/>
  <c r="F102" i="30"/>
  <c r="D102" i="30"/>
  <c r="H101" i="30"/>
  <c r="G101" i="30"/>
  <c r="H96" i="30"/>
  <c r="G96" i="30"/>
  <c r="F96" i="30"/>
  <c r="H95" i="30"/>
  <c r="G95" i="30"/>
  <c r="F95" i="30"/>
  <c r="H94" i="30"/>
  <c r="G94" i="30"/>
  <c r="F94" i="30"/>
  <c r="H93" i="30"/>
  <c r="G93" i="30"/>
  <c r="F93" i="30"/>
  <c r="F90" i="30"/>
  <c r="E90" i="30"/>
  <c r="D90" i="30"/>
  <c r="H89" i="30"/>
  <c r="G89" i="30"/>
  <c r="F89" i="30"/>
  <c r="E89" i="30"/>
  <c r="D89" i="30"/>
  <c r="H88" i="30"/>
  <c r="F88" i="30"/>
  <c r="E88" i="30"/>
  <c r="D88" i="30"/>
  <c r="H87" i="30"/>
  <c r="G87" i="30"/>
  <c r="F87" i="30"/>
  <c r="E87" i="30"/>
  <c r="D87" i="30"/>
  <c r="H86" i="30"/>
  <c r="F86" i="30"/>
  <c r="E86" i="30"/>
  <c r="D86" i="30"/>
  <c r="H85" i="30"/>
  <c r="G85" i="30"/>
  <c r="H84" i="30"/>
  <c r="F84" i="30"/>
  <c r="E84" i="30"/>
  <c r="D84" i="30"/>
  <c r="H83" i="30"/>
  <c r="G83" i="30"/>
  <c r="H82" i="30"/>
  <c r="F82" i="30"/>
  <c r="E82" i="30"/>
  <c r="D82" i="30"/>
  <c r="H81" i="30"/>
  <c r="G81" i="30"/>
  <c r="H80" i="30"/>
  <c r="F80" i="30"/>
  <c r="E80" i="30"/>
  <c r="D80" i="30"/>
  <c r="H79" i="30"/>
  <c r="G79" i="30"/>
  <c r="H78" i="30"/>
  <c r="F78" i="30"/>
  <c r="E78" i="30"/>
  <c r="G77" i="30"/>
  <c r="F77" i="30"/>
  <c r="E77" i="30"/>
  <c r="D77" i="30"/>
  <c r="H76" i="30"/>
  <c r="G76" i="30"/>
  <c r="F76" i="30"/>
  <c r="E76" i="30"/>
  <c r="D76" i="30"/>
  <c r="H75" i="30"/>
  <c r="G75" i="30"/>
  <c r="H74" i="30"/>
  <c r="F74" i="30"/>
  <c r="E74" i="30"/>
  <c r="D74" i="30"/>
  <c r="H73" i="30"/>
  <c r="G73" i="30"/>
  <c r="H72" i="30"/>
  <c r="F72" i="30"/>
  <c r="E72" i="30"/>
  <c r="D72" i="30"/>
  <c r="H71" i="30"/>
  <c r="G71" i="30"/>
  <c r="H70" i="30"/>
  <c r="F70" i="30"/>
  <c r="E70" i="30"/>
  <c r="D70" i="30"/>
  <c r="H69" i="30"/>
  <c r="G69" i="30"/>
  <c r="F68" i="30"/>
  <c r="E68" i="30"/>
  <c r="D68" i="30"/>
  <c r="G67" i="30"/>
  <c r="F67" i="30"/>
  <c r="E67" i="30"/>
  <c r="D67" i="30"/>
  <c r="H66" i="30"/>
  <c r="F66" i="30"/>
  <c r="E66" i="30"/>
  <c r="D66" i="30"/>
  <c r="H65" i="30"/>
  <c r="G65" i="30"/>
  <c r="H64" i="30"/>
  <c r="F64" i="30"/>
  <c r="E64" i="30"/>
  <c r="D64" i="30"/>
  <c r="H63" i="30"/>
  <c r="G63" i="30"/>
  <c r="H62" i="30"/>
  <c r="F62" i="30"/>
  <c r="E62" i="30"/>
  <c r="D62" i="30"/>
  <c r="H61" i="30"/>
  <c r="G61" i="30"/>
  <c r="H60" i="30"/>
  <c r="F60" i="30"/>
  <c r="E60" i="30"/>
  <c r="D60" i="30"/>
  <c r="H59" i="30"/>
  <c r="G59" i="30"/>
  <c r="H58" i="30"/>
  <c r="F58" i="30"/>
  <c r="E58" i="30"/>
  <c r="D58" i="30"/>
  <c r="H57" i="30"/>
  <c r="G57" i="30"/>
  <c r="H56" i="30"/>
  <c r="F56" i="30"/>
  <c r="E56" i="30"/>
  <c r="D56" i="30"/>
  <c r="H55" i="30"/>
  <c r="G55" i="30"/>
  <c r="H54" i="30"/>
  <c r="F54" i="30"/>
  <c r="E54" i="30"/>
  <c r="D54" i="30"/>
  <c r="H53" i="30"/>
  <c r="G53" i="30"/>
  <c r="H52" i="30"/>
  <c r="F52" i="30"/>
  <c r="E52" i="30"/>
  <c r="D52" i="30"/>
  <c r="H51" i="30"/>
  <c r="G51" i="30"/>
  <c r="G43" i="30"/>
  <c r="F43" i="30"/>
  <c r="E43" i="30"/>
  <c r="J42" i="30"/>
  <c r="I42" i="30"/>
  <c r="H42" i="30"/>
  <c r="G42" i="30"/>
  <c r="F42" i="30"/>
  <c r="E42" i="30"/>
  <c r="D42" i="30"/>
  <c r="L41" i="30"/>
  <c r="K41" i="30"/>
  <c r="H41" i="30"/>
  <c r="G41" i="30"/>
  <c r="F41" i="30"/>
  <c r="E41" i="30"/>
  <c r="J40" i="30"/>
  <c r="I40" i="30"/>
  <c r="H40" i="30"/>
  <c r="G40" i="30"/>
  <c r="F40" i="30"/>
  <c r="E40" i="30"/>
  <c r="D40" i="30"/>
  <c r="L39" i="30"/>
  <c r="K39" i="30"/>
  <c r="G39" i="30"/>
  <c r="F39" i="30"/>
  <c r="E39" i="30"/>
  <c r="J38" i="30"/>
  <c r="I38" i="30"/>
  <c r="H38" i="30"/>
  <c r="G38" i="30"/>
  <c r="F38" i="30"/>
  <c r="E38" i="30"/>
  <c r="D38" i="30"/>
  <c r="H37" i="30"/>
  <c r="G37" i="30"/>
  <c r="F37" i="30"/>
  <c r="E37" i="30"/>
  <c r="K36" i="30"/>
  <c r="J36" i="30"/>
  <c r="I36" i="30"/>
  <c r="H36" i="30"/>
  <c r="G36" i="30"/>
  <c r="F36" i="30"/>
  <c r="E36" i="30"/>
  <c r="D36" i="30"/>
  <c r="L35" i="30"/>
  <c r="K35" i="30"/>
  <c r="H35" i="30"/>
  <c r="G35" i="30"/>
  <c r="F35" i="30"/>
  <c r="E35" i="30"/>
  <c r="N34" i="30"/>
  <c r="J34" i="30"/>
  <c r="I34" i="30"/>
  <c r="H34" i="30"/>
  <c r="G34" i="30"/>
  <c r="G34" i="30" a="1"/>
  <c r="F34" i="30"/>
  <c r="F34" i="30" a="1"/>
  <c r="E34" i="30"/>
  <c r="E34" i="30" a="1"/>
  <c r="D34" i="30"/>
  <c r="D34" i="30" a="1"/>
  <c r="L33" i="30"/>
  <c r="K33" i="30"/>
  <c r="H33" i="30"/>
  <c r="G33" i="30"/>
  <c r="F33" i="30"/>
  <c r="E33" i="30"/>
  <c r="J32" i="30"/>
  <c r="I32" i="30"/>
  <c r="H32" i="30"/>
  <c r="G32" i="30"/>
  <c r="G32" i="30" a="1"/>
  <c r="F32" i="30"/>
  <c r="F32" i="30" a="1"/>
  <c r="E32" i="30"/>
  <c r="E32" i="30" a="1"/>
  <c r="D32" i="30"/>
  <c r="D32" i="30" a="1"/>
  <c r="H31" i="30"/>
  <c r="G31" i="30"/>
  <c r="F31" i="30"/>
  <c r="E31" i="30"/>
  <c r="J30" i="30"/>
  <c r="I30" i="30"/>
  <c r="H30" i="30"/>
  <c r="G30" i="30"/>
  <c r="F30" i="30"/>
  <c r="E30" i="30"/>
  <c r="D30" i="30"/>
  <c r="L29" i="30"/>
  <c r="K29" i="30"/>
  <c r="H29" i="30"/>
  <c r="G29" i="30"/>
  <c r="F29" i="30"/>
  <c r="E29" i="30"/>
  <c r="J28" i="30"/>
  <c r="H28" i="30"/>
  <c r="L27" i="30"/>
  <c r="H27" i="30"/>
  <c r="H26" i="30"/>
  <c r="G26" i="30"/>
  <c r="F26" i="30"/>
  <c r="E26" i="30"/>
  <c r="D26" i="30"/>
  <c r="H25" i="30"/>
  <c r="G25" i="30"/>
  <c r="F25" i="30"/>
  <c r="E25" i="30"/>
  <c r="J24" i="30"/>
  <c r="I24" i="30"/>
  <c r="H24" i="30"/>
  <c r="G24" i="30"/>
  <c r="F24" i="30"/>
  <c r="E24" i="30"/>
  <c r="D24" i="30"/>
  <c r="L23" i="30"/>
  <c r="K23" i="30"/>
  <c r="H23" i="30"/>
  <c r="G23" i="30"/>
  <c r="F23" i="30"/>
  <c r="E23" i="30"/>
  <c r="J22" i="30"/>
  <c r="H22" i="30"/>
  <c r="H21" i="30"/>
  <c r="H20" i="30"/>
  <c r="G20" i="30"/>
  <c r="F20" i="30"/>
  <c r="E20" i="30"/>
  <c r="H19" i="30"/>
  <c r="G19" i="30"/>
  <c r="F19" i="30"/>
  <c r="E19" i="30"/>
  <c r="J18" i="30"/>
  <c r="I18" i="30"/>
  <c r="H18" i="30"/>
  <c r="G18" i="30"/>
  <c r="F18" i="30"/>
  <c r="E18" i="30"/>
  <c r="D18" i="30"/>
  <c r="L17" i="30"/>
  <c r="K17" i="30"/>
  <c r="H17" i="30"/>
  <c r="G17" i="30"/>
  <c r="F17" i="30"/>
  <c r="E17" i="30"/>
  <c r="J16" i="30"/>
  <c r="H16" i="30"/>
  <c r="L15" i="30"/>
  <c r="H15" i="30"/>
  <c r="H14" i="30"/>
  <c r="G14" i="30"/>
  <c r="F14" i="30"/>
  <c r="E14" i="30"/>
  <c r="H13" i="30"/>
  <c r="G13" i="30"/>
  <c r="F13" i="30"/>
  <c r="E13" i="30"/>
  <c r="J12" i="30"/>
  <c r="I12" i="30"/>
  <c r="H12" i="30"/>
  <c r="G12" i="30"/>
  <c r="F12" i="30"/>
  <c r="E12" i="30"/>
  <c r="D12" i="30"/>
  <c r="L11" i="30"/>
  <c r="K11" i="30"/>
  <c r="H11" i="30"/>
  <c r="G11" i="30"/>
  <c r="F11" i="30"/>
  <c r="E11" i="30"/>
  <c r="J10" i="30"/>
  <c r="H10" i="30"/>
  <c r="L9" i="30"/>
  <c r="H9" i="30"/>
  <c r="H8" i="30"/>
  <c r="G8" i="30"/>
  <c r="F8" i="30"/>
  <c r="E8" i="30"/>
  <c r="D8" i="30"/>
  <c r="L404" i="23"/>
  <c r="K404" i="23"/>
  <c r="G404" i="23"/>
  <c r="F404" i="23"/>
  <c r="E404" i="23"/>
  <c r="J403" i="23"/>
  <c r="I403" i="23"/>
  <c r="H403" i="23"/>
  <c r="G403" i="23"/>
  <c r="F403" i="23"/>
  <c r="E403" i="23"/>
  <c r="D403" i="23"/>
  <c r="L402" i="23"/>
  <c r="K402" i="23"/>
  <c r="G402" i="23"/>
  <c r="F402" i="23"/>
  <c r="E402" i="23"/>
  <c r="J401" i="23"/>
  <c r="I401" i="23"/>
  <c r="H401" i="23"/>
  <c r="G401" i="23"/>
  <c r="F401" i="23"/>
  <c r="E401" i="23"/>
  <c r="D401" i="23"/>
  <c r="J399" i="23"/>
  <c r="H399" i="23"/>
  <c r="G399" i="23"/>
  <c r="F399" i="23"/>
  <c r="E399" i="23"/>
  <c r="D399" i="23"/>
  <c r="J397" i="23"/>
  <c r="H397" i="23"/>
  <c r="G397" i="23"/>
  <c r="F397" i="23"/>
  <c r="E397" i="23"/>
  <c r="D397" i="23"/>
  <c r="J395" i="23"/>
  <c r="H395" i="23"/>
  <c r="G395" i="23"/>
  <c r="F395" i="23"/>
  <c r="E395" i="23"/>
  <c r="D395" i="23"/>
  <c r="L394" i="23"/>
  <c r="K394" i="23"/>
  <c r="G394" i="23"/>
  <c r="F394" i="23"/>
  <c r="E394" i="23"/>
  <c r="J393" i="23"/>
  <c r="I393" i="23"/>
  <c r="H393" i="23"/>
  <c r="G393" i="23"/>
  <c r="F393" i="23"/>
  <c r="E393" i="23"/>
  <c r="D393" i="23"/>
  <c r="J391" i="23"/>
  <c r="H391" i="23"/>
  <c r="G391" i="23"/>
  <c r="F391" i="23"/>
  <c r="E391" i="23"/>
  <c r="D391" i="23"/>
  <c r="J389" i="23"/>
  <c r="H389" i="23"/>
  <c r="G389" i="23"/>
  <c r="F389" i="23"/>
  <c r="E389" i="23"/>
  <c r="D389" i="23"/>
  <c r="L385" i="23"/>
  <c r="K385" i="23"/>
  <c r="G385" i="23"/>
  <c r="F385" i="23"/>
  <c r="E385" i="23"/>
  <c r="J384" i="23"/>
  <c r="I384" i="23"/>
  <c r="H384" i="23"/>
  <c r="G384" i="23"/>
  <c r="F384" i="23"/>
  <c r="E384" i="23"/>
  <c r="D384" i="23"/>
  <c r="L383" i="23"/>
  <c r="K383" i="23"/>
  <c r="G383" i="23"/>
  <c r="F383" i="23"/>
  <c r="E383" i="23"/>
  <c r="J382" i="23"/>
  <c r="I382" i="23"/>
  <c r="H382" i="23"/>
  <c r="G382" i="23"/>
  <c r="F382" i="23"/>
  <c r="E382" i="23"/>
  <c r="D382" i="23"/>
  <c r="H380" i="23"/>
  <c r="G380" i="23"/>
  <c r="F380" i="23"/>
  <c r="E380" i="23"/>
  <c r="D380" i="23"/>
  <c r="H378" i="23"/>
  <c r="G378" i="23"/>
  <c r="F378" i="23"/>
  <c r="E378" i="23"/>
  <c r="D378" i="23"/>
  <c r="H376" i="23"/>
  <c r="G376" i="23"/>
  <c r="F376" i="23"/>
  <c r="E376" i="23"/>
  <c r="D376" i="23"/>
  <c r="L375" i="23"/>
  <c r="K375" i="23"/>
  <c r="G375" i="23"/>
  <c r="F375" i="23"/>
  <c r="E375" i="23"/>
  <c r="J374" i="23"/>
  <c r="I374" i="23"/>
  <c r="H374" i="23"/>
  <c r="G374" i="23"/>
  <c r="F374" i="23"/>
  <c r="E374" i="23"/>
  <c r="D374" i="23"/>
  <c r="H372" i="23"/>
  <c r="G372" i="23"/>
  <c r="F372" i="23"/>
  <c r="E372" i="23"/>
  <c r="D372" i="23"/>
  <c r="H370" i="23"/>
  <c r="G370" i="23"/>
  <c r="F370" i="23"/>
  <c r="E370" i="23"/>
  <c r="D370" i="23"/>
  <c r="N363" i="23"/>
  <c r="M363" i="23"/>
  <c r="N362" i="23"/>
  <c r="M362" i="23"/>
  <c r="N361" i="23"/>
  <c r="N359" i="23"/>
  <c r="M359" i="23"/>
  <c r="L359" i="23"/>
  <c r="K359" i="23"/>
  <c r="J359" i="23"/>
  <c r="I359" i="23"/>
  <c r="H359" i="23"/>
  <c r="G359" i="23"/>
  <c r="F359" i="23"/>
  <c r="E359" i="23"/>
  <c r="D359" i="23"/>
  <c r="C359" i="23"/>
  <c r="N358" i="23"/>
  <c r="M358" i="23"/>
  <c r="N357" i="23"/>
  <c r="M357" i="23"/>
  <c r="N356" i="23"/>
  <c r="M356" i="23"/>
  <c r="N355" i="23"/>
  <c r="M355" i="23"/>
  <c r="N354" i="23"/>
  <c r="M354" i="23"/>
  <c r="N353" i="23"/>
  <c r="M353" i="23"/>
  <c r="N352" i="23"/>
  <c r="M352" i="23"/>
  <c r="M338" i="23"/>
  <c r="L338" i="23"/>
  <c r="K338" i="23"/>
  <c r="J338" i="23"/>
  <c r="I338" i="23"/>
  <c r="H338" i="23"/>
  <c r="G338" i="23"/>
  <c r="F338" i="23"/>
  <c r="M337" i="23"/>
  <c r="L337" i="23"/>
  <c r="K337" i="23"/>
  <c r="J337" i="23"/>
  <c r="I337" i="23"/>
  <c r="H337" i="23"/>
  <c r="G337" i="23"/>
  <c r="F337" i="23"/>
  <c r="L336" i="23"/>
  <c r="K336" i="23"/>
  <c r="J336" i="23"/>
  <c r="I336" i="23"/>
  <c r="H336" i="23"/>
  <c r="G336" i="23"/>
  <c r="F336" i="23"/>
  <c r="M335" i="23"/>
  <c r="L335" i="23"/>
  <c r="K335" i="23"/>
  <c r="J335" i="23"/>
  <c r="I335" i="23"/>
  <c r="H335" i="23"/>
  <c r="G335" i="23"/>
  <c r="F335" i="23"/>
  <c r="F334" i="23"/>
  <c r="M333" i="23"/>
  <c r="K333" i="23"/>
  <c r="J333" i="23"/>
  <c r="I333" i="23"/>
  <c r="H333" i="23"/>
  <c r="G333" i="23"/>
  <c r="F333" i="23"/>
  <c r="M329" i="23"/>
  <c r="L329" i="23"/>
  <c r="K329" i="23"/>
  <c r="J329" i="23"/>
  <c r="I329" i="23"/>
  <c r="H329" i="23"/>
  <c r="G329" i="23"/>
  <c r="F329" i="23"/>
  <c r="M328" i="23"/>
  <c r="K328" i="23"/>
  <c r="J328" i="23"/>
  <c r="I328" i="23"/>
  <c r="H328" i="23"/>
  <c r="M327" i="23"/>
  <c r="L327" i="23"/>
  <c r="K327" i="23"/>
  <c r="J327" i="23"/>
  <c r="H327" i="23"/>
  <c r="M326" i="23"/>
  <c r="L326" i="23"/>
  <c r="K326" i="23"/>
  <c r="J326" i="23"/>
  <c r="H326" i="23"/>
  <c r="F326" i="23"/>
  <c r="M322" i="23"/>
  <c r="L322" i="23"/>
  <c r="K322" i="23"/>
  <c r="J322" i="23"/>
  <c r="I322" i="23"/>
  <c r="H322" i="23"/>
  <c r="G322" i="23"/>
  <c r="F322" i="23"/>
  <c r="M321" i="23"/>
  <c r="K321" i="23"/>
  <c r="J321" i="23"/>
  <c r="H321" i="23"/>
  <c r="M320" i="23"/>
  <c r="K320" i="23"/>
  <c r="J320" i="23"/>
  <c r="H320" i="23"/>
  <c r="M316" i="23"/>
  <c r="L316" i="23"/>
  <c r="K316" i="23"/>
  <c r="J316" i="23"/>
  <c r="I316" i="23"/>
  <c r="H316" i="23"/>
  <c r="G316" i="23"/>
  <c r="F316" i="23"/>
  <c r="M315" i="23"/>
  <c r="K315" i="23"/>
  <c r="J315" i="23"/>
  <c r="H315" i="23"/>
  <c r="M314" i="23"/>
  <c r="K314" i="23"/>
  <c r="J314" i="23"/>
  <c r="H314" i="23"/>
  <c r="P310" i="23"/>
  <c r="O310" i="23"/>
  <c r="N310" i="23"/>
  <c r="M310" i="23"/>
  <c r="L310" i="23"/>
  <c r="K310" i="23"/>
  <c r="J310" i="23"/>
  <c r="I310" i="23"/>
  <c r="N309" i="23"/>
  <c r="M309" i="23"/>
  <c r="K309" i="23"/>
  <c r="P308" i="23"/>
  <c r="N308" i="23"/>
  <c r="M308" i="23"/>
  <c r="K308" i="23"/>
  <c r="P307" i="23"/>
  <c r="N307" i="23"/>
  <c r="M307" i="23"/>
  <c r="K307" i="23"/>
  <c r="P302" i="23"/>
  <c r="O302" i="23"/>
  <c r="N302" i="23"/>
  <c r="M302" i="23"/>
  <c r="L302" i="23"/>
  <c r="K302" i="23"/>
  <c r="J302" i="23"/>
  <c r="I302" i="23"/>
  <c r="N301" i="23"/>
  <c r="M301" i="23"/>
  <c r="K301" i="23"/>
  <c r="P300" i="23"/>
  <c r="N300" i="23"/>
  <c r="M300" i="23"/>
  <c r="K300" i="23"/>
  <c r="K264" i="23"/>
  <c r="H264" i="23"/>
  <c r="K263" i="23"/>
  <c r="H263" i="23"/>
  <c r="K262" i="23"/>
  <c r="J262" i="23"/>
  <c r="H261" i="23"/>
  <c r="H260" i="23"/>
  <c r="J259" i="23"/>
  <c r="H259" i="23"/>
  <c r="H258" i="23"/>
  <c r="J257" i="23"/>
  <c r="H257" i="23"/>
  <c r="J256" i="23"/>
  <c r="H256" i="23"/>
  <c r="J255" i="23"/>
  <c r="H255" i="23"/>
  <c r="H254" i="23"/>
  <c r="J253" i="23"/>
  <c r="H253" i="23"/>
  <c r="N252" i="23"/>
  <c r="J252" i="23"/>
  <c r="H252" i="23"/>
  <c r="N251" i="23"/>
  <c r="J251" i="23"/>
  <c r="H251" i="23"/>
  <c r="I248" i="23"/>
  <c r="H248" i="23"/>
  <c r="F248" i="23"/>
  <c r="H247" i="23"/>
  <c r="H246" i="23"/>
  <c r="F246" i="23"/>
  <c r="I245" i="23"/>
  <c r="H245" i="23"/>
  <c r="F245" i="23"/>
  <c r="H244" i="23"/>
  <c r="F244" i="23"/>
  <c r="H243" i="23"/>
  <c r="F243" i="23"/>
  <c r="I242" i="23"/>
  <c r="H242" i="23"/>
  <c r="F242" i="23"/>
  <c r="I241" i="23"/>
  <c r="F241" i="23"/>
  <c r="L240" i="23"/>
  <c r="H240" i="23"/>
  <c r="F240" i="23"/>
  <c r="L239" i="23"/>
  <c r="H239" i="23"/>
  <c r="F239" i="23"/>
  <c r="L238" i="23"/>
  <c r="F238" i="23"/>
  <c r="L237" i="23"/>
  <c r="H237" i="23"/>
  <c r="F237" i="23"/>
  <c r="I234" i="23"/>
  <c r="F234" i="23"/>
  <c r="H233" i="23"/>
  <c r="H232" i="23"/>
  <c r="F232" i="23"/>
  <c r="I231" i="23"/>
  <c r="F231" i="23"/>
  <c r="H230" i="23"/>
  <c r="F230" i="23"/>
  <c r="F229" i="23"/>
  <c r="F228" i="23"/>
  <c r="I227" i="23"/>
  <c r="F227" i="23"/>
  <c r="F226" i="23"/>
  <c r="L225" i="23"/>
  <c r="I225" i="23"/>
  <c r="F225" i="23"/>
  <c r="L224" i="23"/>
  <c r="F224" i="23"/>
  <c r="L223" i="23"/>
  <c r="F223" i="23"/>
  <c r="L222" i="23"/>
  <c r="H222" i="23"/>
  <c r="F222" i="23"/>
  <c r="K218" i="23"/>
  <c r="J218" i="23"/>
  <c r="H218" i="23"/>
  <c r="J216" i="23"/>
  <c r="H216" i="23"/>
  <c r="J215" i="23"/>
  <c r="H215" i="23"/>
  <c r="K214" i="23"/>
  <c r="J214" i="23"/>
  <c r="H214" i="23"/>
  <c r="K213" i="23"/>
  <c r="I213" i="23"/>
  <c r="K212" i="23"/>
  <c r="J212" i="23"/>
  <c r="H212" i="23"/>
  <c r="K211" i="23"/>
  <c r="J211" i="23"/>
  <c r="H211" i="23"/>
  <c r="J210" i="23"/>
  <c r="H210" i="23"/>
  <c r="J209" i="23"/>
  <c r="H209" i="23"/>
  <c r="H208" i="23"/>
  <c r="O205" i="23"/>
  <c r="K205" i="23"/>
  <c r="J205" i="23"/>
  <c r="H205" i="23"/>
  <c r="O204" i="23"/>
  <c r="O203" i="23"/>
  <c r="O202" i="23"/>
  <c r="J202" i="23"/>
  <c r="H202" i="23"/>
  <c r="J201" i="23"/>
  <c r="H201" i="23"/>
  <c r="G197" i="23"/>
  <c r="F197" i="23"/>
  <c r="E197" i="23"/>
  <c r="G196" i="23"/>
  <c r="F196" i="23"/>
  <c r="E196" i="23"/>
  <c r="G195" i="23"/>
  <c r="F195" i="23"/>
  <c r="E195" i="23"/>
  <c r="G194" i="23"/>
  <c r="F194" i="23"/>
  <c r="E194" i="23"/>
  <c r="G193" i="23"/>
  <c r="F193" i="23"/>
  <c r="E193" i="23"/>
  <c r="G192" i="23"/>
  <c r="F192" i="23"/>
  <c r="E192" i="23"/>
  <c r="J189" i="23"/>
  <c r="H189" i="23"/>
  <c r="G189" i="23"/>
  <c r="F189" i="23"/>
  <c r="J188" i="23"/>
  <c r="I188" i="23"/>
  <c r="H188" i="23"/>
  <c r="G188" i="23"/>
  <c r="F188" i="23"/>
  <c r="J187" i="23"/>
  <c r="H187" i="23"/>
  <c r="G187" i="23"/>
  <c r="F187" i="23"/>
  <c r="J186" i="23"/>
  <c r="I186" i="23"/>
  <c r="J185" i="23"/>
  <c r="H185" i="23"/>
  <c r="G185" i="23"/>
  <c r="F185" i="23"/>
  <c r="J184" i="23"/>
  <c r="I184" i="23"/>
  <c r="J183" i="23"/>
  <c r="H183" i="23"/>
  <c r="G183" i="23"/>
  <c r="F183" i="23"/>
  <c r="J182" i="23"/>
  <c r="I182" i="23"/>
  <c r="J181" i="23"/>
  <c r="H181" i="23"/>
  <c r="G181" i="23"/>
  <c r="F181" i="23"/>
  <c r="J180" i="23"/>
  <c r="I180" i="23"/>
  <c r="J179" i="23"/>
  <c r="H179" i="23"/>
  <c r="G179" i="23"/>
  <c r="F179" i="23"/>
  <c r="J178" i="23"/>
  <c r="I178" i="23"/>
  <c r="J177" i="23"/>
  <c r="H177" i="23"/>
  <c r="G177" i="23"/>
  <c r="F177" i="23"/>
  <c r="J176" i="23"/>
  <c r="I176" i="23"/>
  <c r="J175" i="23"/>
  <c r="H175" i="23"/>
  <c r="G175" i="23"/>
  <c r="F175" i="23"/>
  <c r="J174" i="23"/>
  <c r="I174" i="23"/>
  <c r="J173" i="23"/>
  <c r="H173" i="23"/>
  <c r="F173" i="23"/>
  <c r="J172" i="23"/>
  <c r="I172" i="23"/>
  <c r="H171" i="23"/>
  <c r="G171" i="23"/>
  <c r="F171" i="23"/>
  <c r="I170" i="23"/>
  <c r="H170" i="23"/>
  <c r="G170" i="23"/>
  <c r="F170" i="23"/>
  <c r="J169" i="23"/>
  <c r="I169" i="23"/>
  <c r="H169" i="23"/>
  <c r="G169" i="23"/>
  <c r="F169" i="23"/>
  <c r="J168" i="23"/>
  <c r="I168" i="23"/>
  <c r="J167" i="23"/>
  <c r="H167" i="23"/>
  <c r="G167" i="23"/>
  <c r="F167" i="23"/>
  <c r="J166" i="23"/>
  <c r="I166" i="23"/>
  <c r="J165" i="23"/>
  <c r="H165" i="23"/>
  <c r="G165" i="23"/>
  <c r="F165" i="23"/>
  <c r="J164" i="23"/>
  <c r="I164" i="23"/>
  <c r="J163" i="23"/>
  <c r="H163" i="23"/>
  <c r="G163" i="23"/>
  <c r="F163" i="23"/>
  <c r="J162" i="23"/>
  <c r="I162" i="23"/>
  <c r="J161" i="23"/>
  <c r="H161" i="23"/>
  <c r="G161" i="23"/>
  <c r="F161" i="23"/>
  <c r="J160" i="23"/>
  <c r="I160" i="23"/>
  <c r="J159" i="23"/>
  <c r="H159" i="23"/>
  <c r="G159" i="23"/>
  <c r="F159" i="23"/>
  <c r="J158" i="23"/>
  <c r="I158" i="23"/>
  <c r="J157" i="23"/>
  <c r="H157" i="23"/>
  <c r="F157" i="23"/>
  <c r="J156" i="23"/>
  <c r="I156" i="23"/>
  <c r="H155" i="23"/>
  <c r="G155" i="23"/>
  <c r="F155" i="23"/>
  <c r="I154" i="23"/>
  <c r="H154" i="23"/>
  <c r="G154" i="23"/>
  <c r="F154" i="23"/>
  <c r="J153" i="23"/>
  <c r="I153" i="23"/>
  <c r="H153" i="23"/>
  <c r="G153" i="23"/>
  <c r="F153" i="23"/>
  <c r="J152" i="23"/>
  <c r="I152" i="23"/>
  <c r="J151" i="23"/>
  <c r="H151" i="23"/>
  <c r="G151" i="23"/>
  <c r="F151" i="23"/>
  <c r="J150" i="23"/>
  <c r="I150" i="23"/>
  <c r="J149" i="23"/>
  <c r="H149" i="23"/>
  <c r="G149" i="23"/>
  <c r="F149" i="23"/>
  <c r="J148" i="23"/>
  <c r="I148" i="23"/>
  <c r="J147" i="23"/>
  <c r="H147" i="23"/>
  <c r="G147" i="23"/>
  <c r="F147" i="23"/>
  <c r="J146" i="23"/>
  <c r="I146" i="23"/>
  <c r="J145" i="23"/>
  <c r="H145" i="23"/>
  <c r="G145" i="23"/>
  <c r="F145" i="23"/>
  <c r="J144" i="23"/>
  <c r="I144" i="23"/>
  <c r="J143" i="23"/>
  <c r="H143" i="23"/>
  <c r="G143" i="23"/>
  <c r="F143" i="23"/>
  <c r="J142" i="23"/>
  <c r="I142" i="23"/>
  <c r="J141" i="23"/>
  <c r="H141" i="23"/>
  <c r="F141" i="23"/>
  <c r="J140" i="23"/>
  <c r="I140" i="23"/>
  <c r="H139" i="23"/>
  <c r="G139" i="23"/>
  <c r="F139" i="23"/>
  <c r="I138" i="23"/>
  <c r="H138" i="23"/>
  <c r="G138" i="23"/>
  <c r="F138" i="23"/>
  <c r="J137" i="23"/>
  <c r="I137" i="23"/>
  <c r="H137" i="23"/>
  <c r="G137" i="23"/>
  <c r="F137" i="23"/>
  <c r="J136" i="23"/>
  <c r="I136" i="23"/>
  <c r="J135" i="23"/>
  <c r="H135" i="23"/>
  <c r="G135" i="23"/>
  <c r="F135" i="23"/>
  <c r="J134" i="23"/>
  <c r="I134" i="23"/>
  <c r="J133" i="23"/>
  <c r="H133" i="23"/>
  <c r="G133" i="23"/>
  <c r="F133" i="23"/>
  <c r="J132" i="23"/>
  <c r="I132" i="23"/>
  <c r="J131" i="23"/>
  <c r="H131" i="23"/>
  <c r="G131" i="23"/>
  <c r="F131" i="23"/>
  <c r="J130" i="23"/>
  <c r="I130" i="23"/>
  <c r="J129" i="23"/>
  <c r="H129" i="23"/>
  <c r="G129" i="23"/>
  <c r="F129" i="23"/>
  <c r="J128" i="23"/>
  <c r="I128" i="23"/>
  <c r="J127" i="23"/>
  <c r="H127" i="23"/>
  <c r="G127" i="23"/>
  <c r="F127" i="23"/>
  <c r="J126" i="23"/>
  <c r="I126" i="23"/>
  <c r="J125" i="23"/>
  <c r="H125" i="23"/>
  <c r="G125" i="23"/>
  <c r="F125" i="23"/>
  <c r="J124" i="23"/>
  <c r="I124" i="23"/>
  <c r="H123" i="23"/>
  <c r="G123" i="23"/>
  <c r="F123" i="23"/>
  <c r="I122" i="23"/>
  <c r="H122" i="23"/>
  <c r="G122" i="23"/>
  <c r="F122" i="23"/>
  <c r="J121" i="23"/>
  <c r="H121" i="23"/>
  <c r="G121" i="23"/>
  <c r="F121" i="23"/>
  <c r="J120" i="23"/>
  <c r="J119" i="23"/>
  <c r="H119" i="23"/>
  <c r="G119" i="23"/>
  <c r="F119" i="23"/>
  <c r="J118" i="23"/>
  <c r="I118" i="23"/>
  <c r="J117" i="23"/>
  <c r="H117" i="23"/>
  <c r="G117" i="23"/>
  <c r="F117" i="23"/>
  <c r="J116" i="23"/>
  <c r="I116" i="23"/>
  <c r="J115" i="23"/>
  <c r="H115" i="23"/>
  <c r="G115" i="23"/>
  <c r="F115" i="23"/>
  <c r="J114" i="23"/>
  <c r="I114" i="23"/>
  <c r="J113" i="23"/>
  <c r="H113" i="23"/>
  <c r="G113" i="23"/>
  <c r="F113" i="23"/>
  <c r="J112" i="23"/>
  <c r="I112" i="23"/>
  <c r="J111" i="23"/>
  <c r="H111" i="23"/>
  <c r="G111" i="23"/>
  <c r="F111" i="23"/>
  <c r="J110" i="23"/>
  <c r="I110" i="23"/>
  <c r="J109" i="23"/>
  <c r="H109" i="23"/>
  <c r="G109" i="23"/>
  <c r="F109" i="23"/>
  <c r="J108" i="23"/>
  <c r="I108" i="23"/>
  <c r="J107" i="23"/>
  <c r="H107" i="23"/>
  <c r="G107" i="23"/>
  <c r="F107" i="23"/>
  <c r="J106" i="23"/>
  <c r="I106" i="23"/>
  <c r="J105" i="23"/>
  <c r="H105" i="23"/>
  <c r="F105" i="23"/>
  <c r="J104" i="23"/>
  <c r="I104" i="23"/>
  <c r="H100" i="23"/>
  <c r="G100" i="23"/>
  <c r="F100" i="23"/>
  <c r="H99" i="23"/>
  <c r="G99" i="23"/>
  <c r="F99" i="23"/>
  <c r="H98" i="23"/>
  <c r="G98" i="23"/>
  <c r="F98" i="23"/>
  <c r="H97" i="23"/>
  <c r="G97" i="23"/>
  <c r="F97" i="23"/>
  <c r="H93" i="23"/>
  <c r="G93" i="23"/>
  <c r="F93" i="23"/>
  <c r="J92" i="23"/>
  <c r="I92" i="23"/>
  <c r="H92" i="23"/>
  <c r="G92" i="23"/>
  <c r="F92" i="23"/>
  <c r="J91" i="23"/>
  <c r="H91" i="23"/>
  <c r="G91" i="23"/>
  <c r="F91" i="23"/>
  <c r="J90" i="23"/>
  <c r="I90" i="23"/>
  <c r="H90" i="23"/>
  <c r="G90" i="23"/>
  <c r="F90" i="23"/>
  <c r="J89" i="23"/>
  <c r="H89" i="23"/>
  <c r="G89" i="23"/>
  <c r="F89" i="23"/>
  <c r="J88" i="23"/>
  <c r="I88" i="23"/>
  <c r="J87" i="23"/>
  <c r="H87" i="23"/>
  <c r="G87" i="23"/>
  <c r="F87" i="23"/>
  <c r="J86" i="23"/>
  <c r="I86" i="23"/>
  <c r="J85" i="23"/>
  <c r="H85" i="23"/>
  <c r="G85" i="23"/>
  <c r="F85" i="23"/>
  <c r="J84" i="23"/>
  <c r="I84" i="23"/>
  <c r="J83" i="23"/>
  <c r="H83" i="23"/>
  <c r="G83" i="23"/>
  <c r="F83" i="23"/>
  <c r="J82" i="23"/>
  <c r="I82" i="23"/>
  <c r="J81" i="23"/>
  <c r="H81" i="23"/>
  <c r="G81" i="23"/>
  <c r="F81" i="23"/>
  <c r="I80" i="23"/>
  <c r="H80" i="23"/>
  <c r="G80" i="23"/>
  <c r="F80" i="23"/>
  <c r="J79" i="23"/>
  <c r="I79" i="23"/>
  <c r="H79" i="23"/>
  <c r="G79" i="23"/>
  <c r="F79" i="23"/>
  <c r="J78" i="23"/>
  <c r="I78" i="23"/>
  <c r="J77" i="23"/>
  <c r="H77" i="23"/>
  <c r="G77" i="23"/>
  <c r="F77" i="23"/>
  <c r="J76" i="23"/>
  <c r="I76" i="23"/>
  <c r="J75" i="23"/>
  <c r="H75" i="23"/>
  <c r="G75" i="23"/>
  <c r="F75" i="23"/>
  <c r="J74" i="23"/>
  <c r="I74" i="23"/>
  <c r="J73" i="23"/>
  <c r="H73" i="23"/>
  <c r="G73" i="23"/>
  <c r="F73" i="23"/>
  <c r="J72" i="23"/>
  <c r="I72" i="23"/>
  <c r="H71" i="23"/>
  <c r="G71" i="23"/>
  <c r="F71" i="23"/>
  <c r="I70" i="23"/>
  <c r="H70" i="23"/>
  <c r="G70" i="23"/>
  <c r="F70" i="23"/>
  <c r="J69" i="23"/>
  <c r="H69" i="23"/>
  <c r="G69" i="23"/>
  <c r="F69" i="23"/>
  <c r="J68" i="23"/>
  <c r="I68" i="23"/>
  <c r="J67" i="23"/>
  <c r="H67" i="23"/>
  <c r="G67" i="23"/>
  <c r="F67" i="23"/>
  <c r="J66" i="23"/>
  <c r="I66" i="23"/>
  <c r="J65" i="23"/>
  <c r="H65" i="23"/>
  <c r="G65" i="23"/>
  <c r="F65" i="23"/>
  <c r="J64" i="23"/>
  <c r="I64" i="23"/>
  <c r="J63" i="23"/>
  <c r="H63" i="23"/>
  <c r="G63" i="23"/>
  <c r="F63" i="23"/>
  <c r="J62" i="23"/>
  <c r="I62" i="23"/>
  <c r="J61" i="23"/>
  <c r="H61" i="23"/>
  <c r="G61" i="23"/>
  <c r="F61" i="23"/>
  <c r="J60" i="23"/>
  <c r="I60" i="23"/>
  <c r="J59" i="23"/>
  <c r="H59" i="23"/>
  <c r="G59" i="23"/>
  <c r="F59" i="23"/>
  <c r="J58" i="23"/>
  <c r="J57" i="23"/>
  <c r="H57" i="23"/>
  <c r="G57" i="23"/>
  <c r="F57" i="23"/>
  <c r="J56" i="23"/>
  <c r="I56" i="23"/>
  <c r="J55" i="23"/>
  <c r="H55" i="23"/>
  <c r="G55" i="23"/>
  <c r="F55" i="23"/>
  <c r="J54" i="23"/>
  <c r="I54" i="23"/>
  <c r="K43" i="23"/>
  <c r="J43" i="23"/>
  <c r="I43" i="23"/>
  <c r="H43" i="23"/>
  <c r="G43" i="23"/>
  <c r="F43" i="23"/>
  <c r="E43" i="23"/>
  <c r="M42" i="23"/>
  <c r="L42" i="23"/>
  <c r="K41" i="23"/>
  <c r="J41" i="23"/>
  <c r="I41" i="23"/>
  <c r="H41" i="23"/>
  <c r="G41" i="23"/>
  <c r="F41" i="23"/>
  <c r="E41" i="23"/>
  <c r="M40" i="23"/>
  <c r="L40" i="23"/>
  <c r="H40" i="23"/>
  <c r="G40" i="23"/>
  <c r="F40" i="23"/>
  <c r="K39" i="23"/>
  <c r="J39" i="23"/>
  <c r="I39" i="23"/>
  <c r="H39" i="23"/>
  <c r="G39" i="23"/>
  <c r="F39" i="23"/>
  <c r="E39" i="23"/>
  <c r="L37" i="23"/>
  <c r="K37" i="23"/>
  <c r="J37" i="23"/>
  <c r="I37" i="23"/>
  <c r="H37" i="23"/>
  <c r="G37" i="23"/>
  <c r="F37" i="23"/>
  <c r="E37" i="23"/>
  <c r="M36" i="23"/>
  <c r="L36" i="23"/>
  <c r="K35" i="23"/>
  <c r="J35" i="23"/>
  <c r="I35" i="23"/>
  <c r="H35" i="23"/>
  <c r="G35" i="23"/>
  <c r="F35" i="23"/>
  <c r="E35" i="23"/>
  <c r="M34" i="23"/>
  <c r="L34" i="23"/>
  <c r="K33" i="23"/>
  <c r="J33" i="23"/>
  <c r="I33" i="23"/>
  <c r="H33" i="23"/>
  <c r="G33" i="23"/>
  <c r="F33" i="23"/>
  <c r="E33" i="23"/>
  <c r="K31" i="23"/>
  <c r="J31" i="23"/>
  <c r="I31" i="23"/>
  <c r="H31" i="23"/>
  <c r="G31" i="23"/>
  <c r="F31" i="23"/>
  <c r="E31" i="23"/>
  <c r="M30" i="23"/>
  <c r="L30" i="23"/>
  <c r="K29" i="23"/>
  <c r="I29" i="23"/>
  <c r="M28" i="23"/>
  <c r="I28" i="23"/>
  <c r="I27" i="23"/>
  <c r="H27" i="23"/>
  <c r="G27" i="23"/>
  <c r="F27" i="23"/>
  <c r="E27" i="23"/>
  <c r="K25" i="23"/>
  <c r="J25" i="23"/>
  <c r="I25" i="23"/>
  <c r="H25" i="23"/>
  <c r="G25" i="23"/>
  <c r="F25" i="23"/>
  <c r="E25" i="23"/>
  <c r="M24" i="23"/>
  <c r="L24" i="23"/>
  <c r="K23" i="23"/>
  <c r="I23" i="23"/>
  <c r="M22" i="23"/>
  <c r="I22" i="23"/>
  <c r="I21" i="23"/>
  <c r="H21" i="23"/>
  <c r="G21" i="23"/>
  <c r="F21" i="23"/>
  <c r="I20" i="23"/>
  <c r="H20" i="23"/>
  <c r="G20" i="23"/>
  <c r="F20" i="23"/>
  <c r="K19" i="23"/>
  <c r="J19" i="23"/>
  <c r="I19" i="23"/>
  <c r="H19" i="23"/>
  <c r="G19" i="23"/>
  <c r="F19" i="23"/>
  <c r="E19" i="23"/>
  <c r="M18" i="23"/>
  <c r="L18" i="23"/>
  <c r="I18" i="23"/>
  <c r="H18" i="23"/>
  <c r="G18" i="23"/>
  <c r="F18" i="23"/>
  <c r="K17" i="23"/>
  <c r="I17" i="23"/>
  <c r="U16" i="23"/>
  <c r="M16" i="23"/>
  <c r="I16" i="23"/>
  <c r="U15" i="23"/>
  <c r="I15" i="23"/>
  <c r="H15" i="23"/>
  <c r="G15" i="23"/>
  <c r="F15" i="23"/>
  <c r="U14" i="23"/>
  <c r="I14" i="23"/>
  <c r="H14" i="23"/>
  <c r="G14" i="23"/>
  <c r="F14" i="23"/>
  <c r="K13" i="23"/>
  <c r="J13" i="23"/>
  <c r="I13" i="23"/>
  <c r="H13" i="23"/>
  <c r="G13" i="23"/>
  <c r="F13" i="23"/>
  <c r="E13" i="23"/>
  <c r="U12" i="23"/>
  <c r="P12" i="23"/>
  <c r="M12" i="23"/>
  <c r="L12" i="23"/>
  <c r="I12" i="23"/>
  <c r="H12" i="23"/>
  <c r="G12" i="23"/>
  <c r="F12" i="23"/>
  <c r="U11" i="23"/>
  <c r="K11" i="23"/>
  <c r="I11" i="23"/>
  <c r="U10" i="23"/>
  <c r="M10" i="23"/>
  <c r="I10" i="23"/>
  <c r="U9" i="23"/>
  <c r="I9" i="23"/>
  <c r="H9" i="23"/>
  <c r="G9" i="23"/>
  <c r="F9" i="23"/>
  <c r="E9" i="23"/>
  <c r="U7" i="23"/>
  <c r="R7" i="23"/>
  <c r="L366" i="22"/>
  <c r="K366" i="22"/>
  <c r="G366" i="22"/>
  <c r="F366" i="22"/>
  <c r="E366" i="22"/>
  <c r="J365" i="22"/>
  <c r="I365" i="22"/>
  <c r="H365" i="22"/>
  <c r="G365" i="22"/>
  <c r="F365" i="22"/>
  <c r="E365" i="22"/>
  <c r="D365" i="22"/>
  <c r="L364" i="22"/>
  <c r="K364" i="22"/>
  <c r="G364" i="22"/>
  <c r="F364" i="22"/>
  <c r="E364" i="22"/>
  <c r="J363" i="22"/>
  <c r="I363" i="22"/>
  <c r="H363" i="22"/>
  <c r="G363" i="22"/>
  <c r="F363" i="22"/>
  <c r="E363" i="22"/>
  <c r="D363" i="22"/>
  <c r="J361" i="22"/>
  <c r="H361" i="22"/>
  <c r="G361" i="22"/>
  <c r="F361" i="22"/>
  <c r="E361" i="22"/>
  <c r="D361" i="22"/>
  <c r="J359" i="22"/>
  <c r="H359" i="22"/>
  <c r="G359" i="22"/>
  <c r="F359" i="22"/>
  <c r="E359" i="22"/>
  <c r="D359" i="22"/>
  <c r="J357" i="22"/>
  <c r="H357" i="22"/>
  <c r="G357" i="22"/>
  <c r="F357" i="22"/>
  <c r="E357" i="22"/>
  <c r="D357" i="22"/>
  <c r="L356" i="22"/>
  <c r="K356" i="22"/>
  <c r="G356" i="22"/>
  <c r="F356" i="22"/>
  <c r="E356" i="22"/>
  <c r="J355" i="22"/>
  <c r="I355" i="22"/>
  <c r="H355" i="22"/>
  <c r="G355" i="22"/>
  <c r="F355" i="22"/>
  <c r="E355" i="22"/>
  <c r="D355" i="22"/>
  <c r="J353" i="22"/>
  <c r="H353" i="22"/>
  <c r="G353" i="22"/>
  <c r="F353" i="22"/>
  <c r="E353" i="22"/>
  <c r="D353" i="22"/>
  <c r="J351" i="22"/>
  <c r="H351" i="22"/>
  <c r="G351" i="22"/>
  <c r="F351" i="22"/>
  <c r="E351" i="22"/>
  <c r="D351" i="22"/>
  <c r="L347" i="22"/>
  <c r="K347" i="22"/>
  <c r="G347" i="22"/>
  <c r="F347" i="22"/>
  <c r="E347" i="22"/>
  <c r="J346" i="22"/>
  <c r="I346" i="22"/>
  <c r="H346" i="22"/>
  <c r="G346" i="22"/>
  <c r="F346" i="22"/>
  <c r="E346" i="22"/>
  <c r="D346" i="22"/>
  <c r="L345" i="22"/>
  <c r="K345" i="22"/>
  <c r="G345" i="22"/>
  <c r="F345" i="22"/>
  <c r="E345" i="22"/>
  <c r="J344" i="22"/>
  <c r="I344" i="22"/>
  <c r="H344" i="22"/>
  <c r="G344" i="22"/>
  <c r="F344" i="22"/>
  <c r="E344" i="22"/>
  <c r="D344" i="22"/>
  <c r="H342" i="22"/>
  <c r="G342" i="22"/>
  <c r="F342" i="22"/>
  <c r="E342" i="22"/>
  <c r="D342" i="22"/>
  <c r="H340" i="22"/>
  <c r="G340" i="22"/>
  <c r="F340" i="22"/>
  <c r="E340" i="22"/>
  <c r="D340" i="22"/>
  <c r="H338" i="22"/>
  <c r="G338" i="22"/>
  <c r="F338" i="22"/>
  <c r="E338" i="22"/>
  <c r="D338" i="22"/>
  <c r="L337" i="22"/>
  <c r="K337" i="22"/>
  <c r="G337" i="22"/>
  <c r="F337" i="22"/>
  <c r="E337" i="22"/>
  <c r="J336" i="22"/>
  <c r="I336" i="22"/>
  <c r="H336" i="22"/>
  <c r="G336" i="22"/>
  <c r="F336" i="22"/>
  <c r="E336" i="22"/>
  <c r="D336" i="22"/>
  <c r="H334" i="22"/>
  <c r="G334" i="22"/>
  <c r="F334" i="22"/>
  <c r="E334" i="22"/>
  <c r="D334" i="22"/>
  <c r="H332" i="22"/>
  <c r="G332" i="22"/>
  <c r="F332" i="22"/>
  <c r="E332" i="22"/>
  <c r="D332" i="22"/>
  <c r="N323" i="22"/>
  <c r="M323" i="22"/>
  <c r="N322" i="22"/>
  <c r="M322" i="22"/>
  <c r="N321" i="22"/>
  <c r="N319" i="22"/>
  <c r="M319" i="22"/>
  <c r="L319" i="22"/>
  <c r="K319" i="22"/>
  <c r="J319" i="22"/>
  <c r="I319" i="22"/>
  <c r="H319" i="22"/>
  <c r="G319" i="22"/>
  <c r="F319" i="22"/>
  <c r="E319" i="22"/>
  <c r="D319" i="22"/>
  <c r="C319" i="22"/>
  <c r="N318" i="22"/>
  <c r="M318" i="22"/>
  <c r="N317" i="22"/>
  <c r="M317" i="22"/>
  <c r="N316" i="22"/>
  <c r="M316" i="22"/>
  <c r="N315" i="22"/>
  <c r="M315" i="22"/>
  <c r="N314" i="22"/>
  <c r="M314" i="22"/>
  <c r="N313" i="22"/>
  <c r="M313" i="22"/>
  <c r="N312" i="22"/>
  <c r="M312" i="22"/>
  <c r="M298" i="22"/>
  <c r="L298" i="22"/>
  <c r="K298" i="22"/>
  <c r="J298" i="22"/>
  <c r="I298" i="22"/>
  <c r="H298" i="22"/>
  <c r="G298" i="22"/>
  <c r="F298" i="22"/>
  <c r="M297" i="22"/>
  <c r="K297" i="22"/>
  <c r="J297" i="22"/>
  <c r="I297" i="22"/>
  <c r="H297" i="22"/>
  <c r="G297" i="22"/>
  <c r="F297" i="22"/>
  <c r="M295" i="22"/>
  <c r="L295" i="22"/>
  <c r="K295" i="22"/>
  <c r="J295" i="22"/>
  <c r="I295" i="22"/>
  <c r="H295" i="22"/>
  <c r="G295" i="22"/>
  <c r="F295" i="22"/>
  <c r="M291" i="22"/>
  <c r="L291" i="22"/>
  <c r="K291" i="22"/>
  <c r="J291" i="22"/>
  <c r="I291" i="22"/>
  <c r="H291" i="22"/>
  <c r="G291" i="22"/>
  <c r="F291" i="22"/>
  <c r="M290" i="22"/>
  <c r="K290" i="22"/>
  <c r="J290" i="22"/>
  <c r="I290" i="22"/>
  <c r="H290" i="22"/>
  <c r="M289" i="22"/>
  <c r="L289" i="22"/>
  <c r="K289" i="22"/>
  <c r="J289" i="22"/>
  <c r="H289" i="22"/>
  <c r="M288" i="22"/>
  <c r="L288" i="22"/>
  <c r="K288" i="22"/>
  <c r="J288" i="22"/>
  <c r="I288" i="22"/>
  <c r="H288" i="22"/>
  <c r="G288" i="22"/>
  <c r="F288" i="22"/>
  <c r="P284" i="22"/>
  <c r="O284" i="22"/>
  <c r="N284" i="22"/>
  <c r="M284" i="22"/>
  <c r="L284" i="22"/>
  <c r="K284" i="22"/>
  <c r="J284" i="22"/>
  <c r="I284" i="22"/>
  <c r="P283" i="22"/>
  <c r="N283" i="22"/>
  <c r="M283" i="22"/>
  <c r="K283" i="22"/>
  <c r="P282" i="22"/>
  <c r="N282" i="22"/>
  <c r="M282" i="22"/>
  <c r="K282" i="22"/>
  <c r="P278" i="22"/>
  <c r="O278" i="22"/>
  <c r="N278" i="22"/>
  <c r="M278" i="22"/>
  <c r="L278" i="22"/>
  <c r="K278" i="22"/>
  <c r="J278" i="22"/>
  <c r="I278" i="22"/>
  <c r="P277" i="22"/>
  <c r="N277" i="22"/>
  <c r="M277" i="22"/>
  <c r="K277" i="22"/>
  <c r="P276" i="22"/>
  <c r="N276" i="22"/>
  <c r="M276" i="22"/>
  <c r="K276" i="22"/>
  <c r="P272" i="22"/>
  <c r="O272" i="22"/>
  <c r="N272" i="22"/>
  <c r="M272" i="22"/>
  <c r="L272" i="22"/>
  <c r="K272" i="22"/>
  <c r="J272" i="22"/>
  <c r="I272" i="22"/>
  <c r="P271" i="22"/>
  <c r="N271" i="22"/>
  <c r="M271" i="22"/>
  <c r="K271" i="22"/>
  <c r="P270" i="22"/>
  <c r="N270" i="22"/>
  <c r="M270" i="22"/>
  <c r="K270" i="22"/>
  <c r="P265" i="22"/>
  <c r="O265" i="22"/>
  <c r="N265" i="22"/>
  <c r="M265" i="22"/>
  <c r="L265" i="22"/>
  <c r="K265" i="22"/>
  <c r="J265" i="22"/>
  <c r="I265" i="22"/>
  <c r="P264" i="22"/>
  <c r="N264" i="22"/>
  <c r="M264" i="22"/>
  <c r="K264" i="22"/>
  <c r="P263" i="22"/>
  <c r="N263" i="22"/>
  <c r="M263" i="22"/>
  <c r="K263" i="22"/>
  <c r="P262" i="22"/>
  <c r="N262" i="22"/>
  <c r="M262" i="22"/>
  <c r="K262" i="22"/>
  <c r="J262" i="22"/>
  <c r="K257" i="22"/>
  <c r="H257" i="22"/>
  <c r="K256" i="22"/>
  <c r="J256" i="22"/>
  <c r="J255" i="22"/>
  <c r="H255" i="22"/>
  <c r="J254" i="22"/>
  <c r="H254" i="22"/>
  <c r="K253" i="22"/>
  <c r="H253" i="22"/>
  <c r="J252" i="22"/>
  <c r="H252" i="22"/>
  <c r="J251" i="22"/>
  <c r="H251" i="22"/>
  <c r="J250" i="22"/>
  <c r="H250" i="22"/>
  <c r="K249" i="22"/>
  <c r="H249" i="22"/>
  <c r="N248" i="22"/>
  <c r="K248" i="22"/>
  <c r="H248" i="22"/>
  <c r="N247" i="22"/>
  <c r="K247" i="22"/>
  <c r="H247" i="22"/>
  <c r="K244" i="22"/>
  <c r="J244" i="22"/>
  <c r="H244" i="22"/>
  <c r="J243" i="22"/>
  <c r="J242" i="22"/>
  <c r="H242" i="22"/>
  <c r="K241" i="22"/>
  <c r="J241" i="22"/>
  <c r="H241" i="22"/>
  <c r="J240" i="22"/>
  <c r="H240" i="22"/>
  <c r="J239" i="22"/>
  <c r="H239" i="22"/>
  <c r="K238" i="22"/>
  <c r="J238" i="22"/>
  <c r="H238" i="22"/>
  <c r="K237" i="22"/>
  <c r="H237" i="22"/>
  <c r="N236" i="22"/>
  <c r="K236" i="22"/>
  <c r="H236" i="22"/>
  <c r="N235" i="22"/>
  <c r="J235" i="22"/>
  <c r="H235" i="22"/>
  <c r="N234" i="22"/>
  <c r="H234" i="22"/>
  <c r="N233" i="22"/>
  <c r="J233" i="22"/>
  <c r="H233" i="22"/>
  <c r="K230" i="22"/>
  <c r="H230" i="22"/>
  <c r="J229" i="22"/>
  <c r="J228" i="22"/>
  <c r="H228" i="22"/>
  <c r="K227" i="22"/>
  <c r="H227" i="22"/>
  <c r="J226" i="22"/>
  <c r="H226" i="22"/>
  <c r="H225" i="22"/>
  <c r="H224" i="22"/>
  <c r="K223" i="22"/>
  <c r="H223" i="22"/>
  <c r="H222" i="22"/>
  <c r="N221" i="22"/>
  <c r="K221" i="22"/>
  <c r="H221" i="22"/>
  <c r="N220" i="22"/>
  <c r="H220" i="22"/>
  <c r="N219" i="22"/>
  <c r="H219" i="22"/>
  <c r="N218" i="22"/>
  <c r="K218" i="22"/>
  <c r="J218" i="22"/>
  <c r="H218" i="22"/>
  <c r="K214" i="22"/>
  <c r="J214" i="22"/>
  <c r="H214" i="22"/>
  <c r="J212" i="22"/>
  <c r="H212" i="22"/>
  <c r="J211" i="22"/>
  <c r="H211" i="22"/>
  <c r="K210" i="22"/>
  <c r="J210" i="22"/>
  <c r="H210" i="22"/>
  <c r="K209" i="22"/>
  <c r="I209" i="22"/>
  <c r="K208" i="22"/>
  <c r="H208" i="22"/>
  <c r="K207" i="22"/>
  <c r="J207" i="22"/>
  <c r="H207" i="22"/>
  <c r="J206" i="22"/>
  <c r="H206" i="22"/>
  <c r="J205" i="22"/>
  <c r="H205" i="22"/>
  <c r="H204" i="22"/>
  <c r="K203" i="22"/>
  <c r="H203" i="22"/>
  <c r="K202" i="22"/>
  <c r="H202" i="22"/>
  <c r="O201" i="22"/>
  <c r="K201" i="22"/>
  <c r="J201" i="22"/>
  <c r="H201" i="22"/>
  <c r="O200" i="22"/>
  <c r="J200" i="22"/>
  <c r="H200" i="22"/>
  <c r="O199" i="22"/>
  <c r="H199" i="22"/>
  <c r="R198" i="22"/>
  <c r="O198" i="22"/>
  <c r="J198" i="22"/>
  <c r="H198" i="22"/>
  <c r="O197" i="22"/>
  <c r="J197" i="22"/>
  <c r="H197" i="22"/>
  <c r="H193" i="22"/>
  <c r="G193" i="22"/>
  <c r="F193" i="22"/>
  <c r="H192" i="22"/>
  <c r="G192" i="22"/>
  <c r="F192" i="22"/>
  <c r="H191" i="22"/>
  <c r="G191" i="22"/>
  <c r="F191" i="22"/>
  <c r="H190" i="22"/>
  <c r="G190" i="22"/>
  <c r="F190" i="22"/>
  <c r="H189" i="22"/>
  <c r="G189" i="22"/>
  <c r="F189" i="22"/>
  <c r="H188" i="22"/>
  <c r="G188" i="22"/>
  <c r="F188" i="22"/>
  <c r="H185" i="22"/>
  <c r="G185" i="22"/>
  <c r="F185" i="22"/>
  <c r="I184" i="22"/>
  <c r="H184" i="22"/>
  <c r="G184" i="22"/>
  <c r="F184" i="22"/>
  <c r="J183" i="22"/>
  <c r="I183" i="22"/>
  <c r="H183" i="22"/>
  <c r="G183" i="22"/>
  <c r="F183" i="22"/>
  <c r="J182" i="22"/>
  <c r="I182" i="22"/>
  <c r="J181" i="22"/>
  <c r="H181" i="22"/>
  <c r="G181" i="22"/>
  <c r="F181" i="22"/>
  <c r="J180" i="22"/>
  <c r="I180" i="22"/>
  <c r="J179" i="22"/>
  <c r="H179" i="22"/>
  <c r="G179" i="22"/>
  <c r="F179" i="22"/>
  <c r="J178" i="22"/>
  <c r="I178" i="22"/>
  <c r="J177" i="22"/>
  <c r="H177" i="22"/>
  <c r="G177" i="22"/>
  <c r="F177" i="22"/>
  <c r="J176" i="22"/>
  <c r="I176" i="22"/>
  <c r="J175" i="22"/>
  <c r="H175" i="22"/>
  <c r="G175" i="22"/>
  <c r="F175" i="22"/>
  <c r="J174" i="22"/>
  <c r="I174" i="22"/>
  <c r="J173" i="22"/>
  <c r="H173" i="22"/>
  <c r="G173" i="22"/>
  <c r="F173" i="22"/>
  <c r="J172" i="22"/>
  <c r="I172" i="22"/>
  <c r="J171" i="22"/>
  <c r="H171" i="22"/>
  <c r="F171" i="22"/>
  <c r="J170" i="22"/>
  <c r="I170" i="22"/>
  <c r="H169" i="22"/>
  <c r="G169" i="22"/>
  <c r="F169" i="22"/>
  <c r="I168" i="22"/>
  <c r="H168" i="22"/>
  <c r="G168" i="22"/>
  <c r="F168" i="22"/>
  <c r="J167" i="22"/>
  <c r="I167" i="22"/>
  <c r="H167" i="22"/>
  <c r="G167" i="22"/>
  <c r="F167" i="22"/>
  <c r="J166" i="22"/>
  <c r="I166" i="22"/>
  <c r="J165" i="22"/>
  <c r="H165" i="22"/>
  <c r="G165" i="22"/>
  <c r="F165" i="22"/>
  <c r="J164" i="22"/>
  <c r="I164" i="22"/>
  <c r="J163" i="22"/>
  <c r="H163" i="22"/>
  <c r="G163" i="22"/>
  <c r="F163" i="22"/>
  <c r="J162" i="22"/>
  <c r="I162" i="22"/>
  <c r="J161" i="22"/>
  <c r="H161" i="22"/>
  <c r="G161" i="22"/>
  <c r="F161" i="22"/>
  <c r="J160" i="22"/>
  <c r="I160" i="22"/>
  <c r="J159" i="22"/>
  <c r="H159" i="22"/>
  <c r="G159" i="22"/>
  <c r="F159" i="22"/>
  <c r="J158" i="22"/>
  <c r="I158" i="22"/>
  <c r="J157" i="22"/>
  <c r="H157" i="22"/>
  <c r="G157" i="22"/>
  <c r="F157" i="22"/>
  <c r="J156" i="22"/>
  <c r="I156" i="22"/>
  <c r="J155" i="22"/>
  <c r="H155" i="22"/>
  <c r="F155" i="22"/>
  <c r="J154" i="22"/>
  <c r="I154" i="22"/>
  <c r="H153" i="22"/>
  <c r="G153" i="22"/>
  <c r="F153" i="22"/>
  <c r="I152" i="22"/>
  <c r="H152" i="22"/>
  <c r="G152" i="22"/>
  <c r="F152" i="22"/>
  <c r="J151" i="22"/>
  <c r="I151" i="22"/>
  <c r="H151" i="22"/>
  <c r="G151" i="22"/>
  <c r="F151" i="22"/>
  <c r="J150" i="22"/>
  <c r="I150" i="22"/>
  <c r="J149" i="22"/>
  <c r="H149" i="22"/>
  <c r="G149" i="22"/>
  <c r="F149" i="22"/>
  <c r="J148" i="22"/>
  <c r="I148" i="22"/>
  <c r="J147" i="22"/>
  <c r="H147" i="22"/>
  <c r="G147" i="22"/>
  <c r="F147" i="22"/>
  <c r="J146" i="22"/>
  <c r="I146" i="22"/>
  <c r="J145" i="22"/>
  <c r="H145" i="22"/>
  <c r="G145" i="22"/>
  <c r="F145" i="22"/>
  <c r="J144" i="22"/>
  <c r="I144" i="22"/>
  <c r="J143" i="22"/>
  <c r="H143" i="22"/>
  <c r="G143" i="22"/>
  <c r="F143" i="22"/>
  <c r="J142" i="22"/>
  <c r="I142" i="22"/>
  <c r="J141" i="22"/>
  <c r="H141" i="22"/>
  <c r="G141" i="22"/>
  <c r="F141" i="22"/>
  <c r="J140" i="22"/>
  <c r="I140" i="22"/>
  <c r="J139" i="22"/>
  <c r="H139" i="22"/>
  <c r="F139" i="22"/>
  <c r="J138" i="22"/>
  <c r="I138" i="22"/>
  <c r="H137" i="22"/>
  <c r="G137" i="22"/>
  <c r="F137" i="22"/>
  <c r="I136" i="22"/>
  <c r="H136" i="22"/>
  <c r="G136" i="22"/>
  <c r="F136" i="22"/>
  <c r="J135" i="22"/>
  <c r="I135" i="22"/>
  <c r="H135" i="22"/>
  <c r="G135" i="22"/>
  <c r="F135" i="22"/>
  <c r="J134" i="22"/>
  <c r="I134" i="22"/>
  <c r="J133" i="22"/>
  <c r="H133" i="22"/>
  <c r="G133" i="22"/>
  <c r="F133" i="22"/>
  <c r="J132" i="22"/>
  <c r="I132" i="22"/>
  <c r="J131" i="22"/>
  <c r="H131" i="22"/>
  <c r="G131" i="22"/>
  <c r="F131" i="22"/>
  <c r="J130" i="22"/>
  <c r="I130" i="22"/>
  <c r="J129" i="22"/>
  <c r="H129" i="22"/>
  <c r="G129" i="22"/>
  <c r="F129" i="22"/>
  <c r="J128" i="22"/>
  <c r="I128" i="22"/>
  <c r="J127" i="22"/>
  <c r="H127" i="22"/>
  <c r="G127" i="22"/>
  <c r="F127" i="22"/>
  <c r="J126" i="22"/>
  <c r="I126" i="22"/>
  <c r="J125" i="22"/>
  <c r="H125" i="22"/>
  <c r="G125" i="22"/>
  <c r="F125" i="22"/>
  <c r="J124" i="22"/>
  <c r="I124" i="22"/>
  <c r="J123" i="22"/>
  <c r="H123" i="22"/>
  <c r="G123" i="22"/>
  <c r="F123" i="22"/>
  <c r="J122" i="22"/>
  <c r="I122" i="22"/>
  <c r="H121" i="22"/>
  <c r="G121" i="22"/>
  <c r="F121" i="22"/>
  <c r="I120" i="22"/>
  <c r="H120" i="22"/>
  <c r="G120" i="22"/>
  <c r="F120" i="22"/>
  <c r="J119" i="22"/>
  <c r="H119" i="22"/>
  <c r="G119" i="22"/>
  <c r="F119" i="22"/>
  <c r="J118" i="22"/>
  <c r="J117" i="22"/>
  <c r="H117" i="22"/>
  <c r="G117" i="22"/>
  <c r="F117" i="22"/>
  <c r="J116" i="22"/>
  <c r="I116" i="22"/>
  <c r="J115" i="22"/>
  <c r="H115" i="22"/>
  <c r="G115" i="22"/>
  <c r="F115" i="22"/>
  <c r="J114" i="22"/>
  <c r="I114" i="22"/>
  <c r="J113" i="22"/>
  <c r="H113" i="22"/>
  <c r="G113" i="22"/>
  <c r="F113" i="22"/>
  <c r="J112" i="22"/>
  <c r="I112" i="22"/>
  <c r="J111" i="22"/>
  <c r="H111" i="22"/>
  <c r="G111" i="22"/>
  <c r="F111" i="22"/>
  <c r="J110" i="22"/>
  <c r="I110" i="22"/>
  <c r="J109" i="22"/>
  <c r="H109" i="22"/>
  <c r="G109" i="22"/>
  <c r="F109" i="22"/>
  <c r="J108" i="22"/>
  <c r="I108" i="22"/>
  <c r="J107" i="22"/>
  <c r="H107" i="22"/>
  <c r="G107" i="22"/>
  <c r="F107" i="22"/>
  <c r="J106" i="22"/>
  <c r="I106" i="22"/>
  <c r="J105" i="22"/>
  <c r="H105" i="22"/>
  <c r="G105" i="22"/>
  <c r="F105" i="22"/>
  <c r="J104" i="22"/>
  <c r="I104" i="22"/>
  <c r="J103" i="22"/>
  <c r="H103" i="22"/>
  <c r="F103" i="22"/>
  <c r="J102" i="22"/>
  <c r="I102" i="22"/>
  <c r="H98" i="22"/>
  <c r="G98" i="22"/>
  <c r="F98" i="22"/>
  <c r="H97" i="22"/>
  <c r="G97" i="22"/>
  <c r="F97" i="22"/>
  <c r="H96" i="22"/>
  <c r="G96" i="22"/>
  <c r="F96" i="22"/>
  <c r="H95" i="22"/>
  <c r="G95" i="22"/>
  <c r="F95" i="22"/>
  <c r="H91" i="22"/>
  <c r="G91" i="22"/>
  <c r="F91" i="22"/>
  <c r="J90" i="22"/>
  <c r="I90" i="22"/>
  <c r="H90" i="22"/>
  <c r="G90" i="22"/>
  <c r="F90" i="22"/>
  <c r="J89" i="22"/>
  <c r="H89" i="22"/>
  <c r="G89" i="22"/>
  <c r="F89" i="22"/>
  <c r="J88" i="22"/>
  <c r="I88" i="22"/>
  <c r="H88" i="22"/>
  <c r="G88" i="22"/>
  <c r="F88" i="22"/>
  <c r="J87" i="22"/>
  <c r="H87" i="22"/>
  <c r="G87" i="22"/>
  <c r="F87" i="22"/>
  <c r="J86" i="22"/>
  <c r="I86" i="22"/>
  <c r="J85" i="22"/>
  <c r="H85" i="22"/>
  <c r="G85" i="22"/>
  <c r="F85" i="22"/>
  <c r="J84" i="22"/>
  <c r="I84" i="22"/>
  <c r="J83" i="22"/>
  <c r="H83" i="22"/>
  <c r="G83" i="22"/>
  <c r="F83" i="22"/>
  <c r="J82" i="22"/>
  <c r="I82" i="22"/>
  <c r="J81" i="22"/>
  <c r="H81" i="22"/>
  <c r="G81" i="22"/>
  <c r="F81" i="22"/>
  <c r="J80" i="22"/>
  <c r="I80" i="22"/>
  <c r="J79" i="22"/>
  <c r="H79" i="22"/>
  <c r="G79" i="22"/>
  <c r="F79" i="22"/>
  <c r="I78" i="22"/>
  <c r="H78" i="22"/>
  <c r="G78" i="22"/>
  <c r="F78" i="22"/>
  <c r="J77" i="22"/>
  <c r="I77" i="22"/>
  <c r="H77" i="22"/>
  <c r="G77" i="22"/>
  <c r="F77" i="22"/>
  <c r="J76" i="22"/>
  <c r="I76" i="22"/>
  <c r="J75" i="22"/>
  <c r="H75" i="22"/>
  <c r="G75" i="22"/>
  <c r="F75" i="22"/>
  <c r="J74" i="22"/>
  <c r="I74" i="22"/>
  <c r="J73" i="22"/>
  <c r="H73" i="22"/>
  <c r="G73" i="22"/>
  <c r="F73" i="22"/>
  <c r="J72" i="22"/>
  <c r="I72" i="22"/>
  <c r="J71" i="22"/>
  <c r="H71" i="22"/>
  <c r="G71" i="22"/>
  <c r="F71" i="22"/>
  <c r="J70" i="22"/>
  <c r="I70" i="22"/>
  <c r="H69" i="22"/>
  <c r="G69" i="22"/>
  <c r="F69" i="22"/>
  <c r="I68" i="22"/>
  <c r="H68" i="22"/>
  <c r="G68" i="22"/>
  <c r="F68" i="22"/>
  <c r="J67" i="22"/>
  <c r="H67" i="22"/>
  <c r="G67" i="22"/>
  <c r="F67" i="22"/>
  <c r="J66" i="22"/>
  <c r="I66" i="22"/>
  <c r="J65" i="22"/>
  <c r="H65" i="22"/>
  <c r="G65" i="22"/>
  <c r="F65" i="22"/>
  <c r="J64" i="22"/>
  <c r="I64" i="22"/>
  <c r="J63" i="22"/>
  <c r="H63" i="22"/>
  <c r="G63" i="22"/>
  <c r="F63" i="22"/>
  <c r="J62" i="22"/>
  <c r="I62" i="22"/>
  <c r="J61" i="22"/>
  <c r="H61" i="22"/>
  <c r="G61" i="22"/>
  <c r="F61" i="22"/>
  <c r="J60" i="22"/>
  <c r="I60" i="22"/>
  <c r="J59" i="22"/>
  <c r="H59" i="22"/>
  <c r="G59" i="22"/>
  <c r="F59" i="22"/>
  <c r="J58" i="22"/>
  <c r="I58" i="22"/>
  <c r="J57" i="22"/>
  <c r="H57" i="22"/>
  <c r="G57" i="22"/>
  <c r="F57" i="22"/>
  <c r="J56" i="22"/>
  <c r="I56" i="22"/>
  <c r="J55" i="22"/>
  <c r="H55" i="22"/>
  <c r="G55" i="22"/>
  <c r="F55" i="22"/>
  <c r="J54" i="22"/>
  <c r="I54" i="22"/>
  <c r="J53" i="22"/>
  <c r="H53" i="22"/>
  <c r="G53" i="22"/>
  <c r="F53" i="22"/>
  <c r="J52" i="22"/>
  <c r="I52" i="22"/>
  <c r="K43" i="22"/>
  <c r="J43" i="22"/>
  <c r="I43" i="22"/>
  <c r="H43" i="22"/>
  <c r="G43" i="22"/>
  <c r="F43" i="22"/>
  <c r="E43" i="22"/>
  <c r="M42" i="22"/>
  <c r="L42" i="22"/>
  <c r="K41" i="22"/>
  <c r="J41" i="22"/>
  <c r="I41" i="22"/>
  <c r="H41" i="22"/>
  <c r="G41" i="22"/>
  <c r="F41" i="22"/>
  <c r="E41" i="22"/>
  <c r="M40" i="22"/>
  <c r="L40" i="22"/>
  <c r="H40" i="22"/>
  <c r="G40" i="22"/>
  <c r="F40" i="22"/>
  <c r="K39" i="22"/>
  <c r="J39" i="22"/>
  <c r="I39" i="22"/>
  <c r="H39" i="22"/>
  <c r="G39" i="22"/>
  <c r="F39" i="22"/>
  <c r="E39" i="22"/>
  <c r="L37" i="22"/>
  <c r="K37" i="22"/>
  <c r="J37" i="22"/>
  <c r="I37" i="22"/>
  <c r="H37" i="22"/>
  <c r="G37" i="22"/>
  <c r="F37" i="22"/>
  <c r="E37" i="22"/>
  <c r="M36" i="22"/>
  <c r="L36" i="22"/>
  <c r="K35" i="22"/>
  <c r="J35" i="22"/>
  <c r="I35" i="22"/>
  <c r="H35" i="22"/>
  <c r="G35" i="22"/>
  <c r="F35" i="22"/>
  <c r="E35" i="22"/>
  <c r="M34" i="22"/>
  <c r="L34" i="22"/>
  <c r="K33" i="22"/>
  <c r="J33" i="22"/>
  <c r="I33" i="22"/>
  <c r="H33" i="22"/>
  <c r="G33" i="22"/>
  <c r="F33" i="22"/>
  <c r="E33" i="22"/>
  <c r="K31" i="22"/>
  <c r="J31" i="22"/>
  <c r="I31" i="22"/>
  <c r="H31" i="22"/>
  <c r="G31" i="22"/>
  <c r="F31" i="22"/>
  <c r="E31" i="22"/>
  <c r="M30" i="22"/>
  <c r="L30" i="22"/>
  <c r="K29" i="22"/>
  <c r="I29" i="22"/>
  <c r="M28" i="22"/>
  <c r="I28" i="22"/>
  <c r="I27" i="22"/>
  <c r="H27" i="22"/>
  <c r="G27" i="22"/>
  <c r="F27" i="22"/>
  <c r="E27" i="22"/>
  <c r="K25" i="22"/>
  <c r="J25" i="22"/>
  <c r="I25" i="22"/>
  <c r="H25" i="22"/>
  <c r="G25" i="22"/>
  <c r="F25" i="22"/>
  <c r="E25" i="22"/>
  <c r="M24" i="22"/>
  <c r="L24" i="22"/>
  <c r="K23" i="22"/>
  <c r="I23" i="22"/>
  <c r="M22" i="22"/>
  <c r="I22" i="22"/>
  <c r="I21" i="22"/>
  <c r="H21" i="22"/>
  <c r="G21" i="22"/>
  <c r="F21" i="22"/>
  <c r="E21" i="22"/>
  <c r="F20" i="22"/>
  <c r="K19" i="22"/>
  <c r="J19" i="22"/>
  <c r="I19" i="22"/>
  <c r="H19" i="22"/>
  <c r="G19" i="22"/>
  <c r="F19" i="22"/>
  <c r="E19" i="22"/>
  <c r="M18" i="22"/>
  <c r="L18" i="22"/>
  <c r="F18" i="22"/>
  <c r="K17" i="22"/>
  <c r="I17" i="22"/>
  <c r="U16" i="22"/>
  <c r="M16" i="22"/>
  <c r="I16" i="22"/>
  <c r="U15" i="22"/>
  <c r="I15" i="22"/>
  <c r="H15" i="22"/>
  <c r="G15" i="22"/>
  <c r="F15" i="22"/>
  <c r="E15" i="22"/>
  <c r="U14" i="22"/>
  <c r="I14" i="22"/>
  <c r="H14" i="22"/>
  <c r="G14" i="22"/>
  <c r="F14" i="22"/>
  <c r="K13" i="22"/>
  <c r="J13" i="22"/>
  <c r="I13" i="22"/>
  <c r="H13" i="22"/>
  <c r="G13" i="22"/>
  <c r="F13" i="22"/>
  <c r="E13" i="22"/>
  <c r="U12" i="22"/>
  <c r="P12" i="22"/>
  <c r="M12" i="22"/>
  <c r="L12" i="22"/>
  <c r="I12" i="22"/>
  <c r="H12" i="22"/>
  <c r="G12" i="22"/>
  <c r="F12" i="22"/>
  <c r="U11" i="22"/>
  <c r="K11" i="22"/>
  <c r="I11" i="22"/>
  <c r="U10" i="22"/>
  <c r="M10" i="22"/>
  <c r="I10" i="22"/>
  <c r="U9" i="22"/>
  <c r="I9" i="22"/>
  <c r="H9" i="22"/>
  <c r="G9" i="22"/>
  <c r="F9" i="22"/>
  <c r="E9" i="22"/>
  <c r="U7" i="22"/>
  <c r="R7" i="22"/>
  <c r="L297" i="21"/>
  <c r="K297" i="21"/>
  <c r="G297" i="21"/>
  <c r="F297" i="21"/>
  <c r="E297" i="21"/>
  <c r="J296" i="21"/>
  <c r="I296" i="21"/>
  <c r="H296" i="21"/>
  <c r="G296" i="21"/>
  <c r="F296" i="21"/>
  <c r="E296" i="21"/>
  <c r="D296" i="21"/>
  <c r="L295" i="21"/>
  <c r="K295" i="21"/>
  <c r="G295" i="21"/>
  <c r="F295" i="21"/>
  <c r="E295" i="21"/>
  <c r="J294" i="21"/>
  <c r="I294" i="21"/>
  <c r="H294" i="21"/>
  <c r="G294" i="21"/>
  <c r="F294" i="21"/>
  <c r="E294" i="21"/>
  <c r="D294" i="21"/>
  <c r="J292" i="21"/>
  <c r="H292" i="21"/>
  <c r="G292" i="21"/>
  <c r="F292" i="21"/>
  <c r="E292" i="21"/>
  <c r="D292" i="21"/>
  <c r="J290" i="21"/>
  <c r="H290" i="21"/>
  <c r="G290" i="21"/>
  <c r="F290" i="21"/>
  <c r="E290" i="21"/>
  <c r="D290" i="21"/>
  <c r="J288" i="21"/>
  <c r="H288" i="21"/>
  <c r="G288" i="21"/>
  <c r="F288" i="21"/>
  <c r="E288" i="21"/>
  <c r="D288" i="21"/>
  <c r="L287" i="21"/>
  <c r="K287" i="21"/>
  <c r="G287" i="21"/>
  <c r="F287" i="21"/>
  <c r="E287" i="21"/>
  <c r="J286" i="21"/>
  <c r="I286" i="21"/>
  <c r="H286" i="21"/>
  <c r="G286" i="21"/>
  <c r="F286" i="21"/>
  <c r="E286" i="21"/>
  <c r="D286" i="21"/>
  <c r="H284" i="21"/>
  <c r="G284" i="21"/>
  <c r="F284" i="21"/>
  <c r="E284" i="21"/>
  <c r="D284" i="21"/>
  <c r="H282" i="21"/>
  <c r="G282" i="21"/>
  <c r="F282" i="21"/>
  <c r="E282" i="21"/>
  <c r="D282" i="21"/>
  <c r="L278" i="21"/>
  <c r="K278" i="21"/>
  <c r="G278" i="21"/>
  <c r="F278" i="21"/>
  <c r="E278" i="21"/>
  <c r="J277" i="21"/>
  <c r="I277" i="21"/>
  <c r="H277" i="21"/>
  <c r="G277" i="21"/>
  <c r="F277" i="21"/>
  <c r="E277" i="21"/>
  <c r="D277" i="21"/>
  <c r="L276" i="21"/>
  <c r="K276" i="21"/>
  <c r="G276" i="21"/>
  <c r="F276" i="21"/>
  <c r="E276" i="21"/>
  <c r="J275" i="21"/>
  <c r="I275" i="21"/>
  <c r="H275" i="21"/>
  <c r="G275" i="21"/>
  <c r="F275" i="21"/>
  <c r="E275" i="21"/>
  <c r="D275" i="21"/>
  <c r="H273" i="21"/>
  <c r="G273" i="21"/>
  <c r="F273" i="21"/>
  <c r="E273" i="21"/>
  <c r="D273" i="21"/>
  <c r="H271" i="21"/>
  <c r="G271" i="21"/>
  <c r="F271" i="21"/>
  <c r="E271" i="21"/>
  <c r="D271" i="21"/>
  <c r="H269" i="21"/>
  <c r="G269" i="21"/>
  <c r="F269" i="21"/>
  <c r="E269" i="21"/>
  <c r="D269" i="21"/>
  <c r="L268" i="21"/>
  <c r="K268" i="21"/>
  <c r="G268" i="21"/>
  <c r="F268" i="21"/>
  <c r="E268" i="21"/>
  <c r="J267" i="21"/>
  <c r="I267" i="21"/>
  <c r="H267" i="21"/>
  <c r="G267" i="21"/>
  <c r="F267" i="21"/>
  <c r="E267" i="21"/>
  <c r="D267" i="21"/>
  <c r="H265" i="21"/>
  <c r="G265" i="21"/>
  <c r="F265" i="21"/>
  <c r="E265" i="21"/>
  <c r="D265" i="21"/>
  <c r="H263" i="21"/>
  <c r="G263" i="21"/>
  <c r="F263" i="21"/>
  <c r="E263" i="21"/>
  <c r="D263" i="21"/>
  <c r="M250" i="21"/>
  <c r="M249" i="21"/>
  <c r="N248" i="21"/>
  <c r="N246" i="21"/>
  <c r="M246" i="21"/>
  <c r="L246" i="21"/>
  <c r="K246" i="21"/>
  <c r="J246" i="21"/>
  <c r="I246" i="21"/>
  <c r="H246" i="21"/>
  <c r="G246" i="21"/>
  <c r="F246" i="21"/>
  <c r="E246" i="21"/>
  <c r="D246" i="21"/>
  <c r="C246" i="21"/>
  <c r="N245" i="21"/>
  <c r="M245" i="21"/>
  <c r="N244" i="21"/>
  <c r="M244" i="21"/>
  <c r="N243" i="21"/>
  <c r="M243" i="21"/>
  <c r="N242" i="21"/>
  <c r="M242" i="21"/>
  <c r="N241" i="21"/>
  <c r="M241" i="21"/>
  <c r="N240" i="21"/>
  <c r="M240" i="21"/>
  <c r="N239" i="21"/>
  <c r="M239" i="21"/>
  <c r="N238" i="21"/>
  <c r="M238" i="21"/>
  <c r="M222" i="21"/>
  <c r="L222" i="21"/>
  <c r="K222" i="21"/>
  <c r="J222" i="21"/>
  <c r="I222" i="21"/>
  <c r="H222" i="21"/>
  <c r="G222" i="21"/>
  <c r="F222" i="21"/>
  <c r="M221" i="21"/>
  <c r="K221" i="21"/>
  <c r="J221" i="21"/>
  <c r="I221" i="21"/>
  <c r="H221" i="21"/>
  <c r="G221" i="21"/>
  <c r="F221" i="21"/>
  <c r="M220" i="21"/>
  <c r="L220" i="21"/>
  <c r="K220" i="21"/>
  <c r="J220" i="21"/>
  <c r="I220" i="21"/>
  <c r="H220" i="21"/>
  <c r="G220" i="21"/>
  <c r="F220" i="21"/>
  <c r="M219" i="21"/>
  <c r="L219" i="21"/>
  <c r="K219" i="21"/>
  <c r="J219" i="21"/>
  <c r="I219" i="21"/>
  <c r="H219" i="21"/>
  <c r="G219" i="21"/>
  <c r="F219" i="21"/>
  <c r="M215" i="21"/>
  <c r="L215" i="21"/>
  <c r="K215" i="21"/>
  <c r="J215" i="21"/>
  <c r="I215" i="21"/>
  <c r="H215" i="21"/>
  <c r="G215" i="21"/>
  <c r="F215" i="21"/>
  <c r="M214" i="21"/>
  <c r="K214" i="21"/>
  <c r="J214" i="21"/>
  <c r="I214" i="21"/>
  <c r="H214" i="21"/>
  <c r="G214" i="21"/>
  <c r="F214" i="21"/>
  <c r="M213" i="21"/>
  <c r="L213" i="21"/>
  <c r="K213" i="21"/>
  <c r="J213" i="21"/>
  <c r="I213" i="21"/>
  <c r="H213" i="21"/>
  <c r="G213" i="21"/>
  <c r="F213" i="21"/>
  <c r="M212" i="21"/>
  <c r="L212" i="21"/>
  <c r="K212" i="21"/>
  <c r="J212" i="21"/>
  <c r="I212" i="21"/>
  <c r="H212" i="21"/>
  <c r="G212" i="21"/>
  <c r="F212" i="21"/>
  <c r="P208" i="21"/>
  <c r="O208" i="21"/>
  <c r="N208" i="21"/>
  <c r="M208" i="21"/>
  <c r="L208" i="21"/>
  <c r="K208" i="21"/>
  <c r="J208" i="21"/>
  <c r="I208" i="21"/>
  <c r="P207" i="21"/>
  <c r="N207" i="21"/>
  <c r="M207" i="21"/>
  <c r="K207" i="21"/>
  <c r="P206" i="21"/>
  <c r="N206" i="21"/>
  <c r="M206" i="21"/>
  <c r="K206" i="21"/>
  <c r="P202" i="21"/>
  <c r="O202" i="21"/>
  <c r="N202" i="21"/>
  <c r="M202" i="21"/>
  <c r="L202" i="21"/>
  <c r="K202" i="21"/>
  <c r="J202" i="21"/>
  <c r="I202" i="21"/>
  <c r="P201" i="21"/>
  <c r="N201" i="21"/>
  <c r="M201" i="21"/>
  <c r="K201" i="21"/>
  <c r="P200" i="21"/>
  <c r="N200" i="21"/>
  <c r="M200" i="21"/>
  <c r="K200" i="21"/>
  <c r="P196" i="21"/>
  <c r="O196" i="21"/>
  <c r="N196" i="21"/>
  <c r="M196" i="21"/>
  <c r="L196" i="21"/>
  <c r="K196" i="21"/>
  <c r="J196" i="21"/>
  <c r="I196" i="21"/>
  <c r="P195" i="21"/>
  <c r="N195" i="21"/>
  <c r="M195" i="21"/>
  <c r="K195" i="21"/>
  <c r="P194" i="21"/>
  <c r="N194" i="21"/>
  <c r="M194" i="21"/>
  <c r="K194" i="21"/>
  <c r="P193" i="21"/>
  <c r="N193" i="21"/>
  <c r="M193" i="21"/>
  <c r="K193" i="21"/>
  <c r="J187" i="21"/>
  <c r="H187" i="21"/>
  <c r="J186" i="21"/>
  <c r="H186" i="21"/>
  <c r="J185" i="21"/>
  <c r="H185" i="21"/>
  <c r="K184" i="21"/>
  <c r="H184" i="21"/>
  <c r="J183" i="21"/>
  <c r="H183" i="21"/>
  <c r="H182" i="21"/>
  <c r="H181" i="21"/>
  <c r="K180" i="21"/>
  <c r="H180" i="21"/>
  <c r="K179" i="21"/>
  <c r="H179" i="21"/>
  <c r="N178" i="21"/>
  <c r="K178" i="21"/>
  <c r="H178" i="21"/>
  <c r="N177" i="21"/>
  <c r="J177" i="21"/>
  <c r="H177" i="21"/>
  <c r="J173" i="21"/>
  <c r="H173" i="21"/>
  <c r="J172" i="21"/>
  <c r="H172" i="21"/>
  <c r="J171" i="21"/>
  <c r="H171" i="21"/>
  <c r="J170" i="21"/>
  <c r="H170" i="21"/>
  <c r="J169" i="21"/>
  <c r="H169" i="21"/>
  <c r="J168" i="21"/>
  <c r="H168" i="21"/>
  <c r="H167" i="21"/>
  <c r="J166" i="21"/>
  <c r="H166" i="21"/>
  <c r="J165" i="21"/>
  <c r="H165" i="21"/>
  <c r="N164" i="21"/>
  <c r="J164" i="21"/>
  <c r="H164" i="21"/>
  <c r="N163" i="21"/>
  <c r="J163" i="21"/>
  <c r="H163" i="21"/>
  <c r="K159" i="21"/>
  <c r="J159" i="21"/>
  <c r="H159" i="21"/>
  <c r="K157" i="21"/>
  <c r="H157" i="21"/>
  <c r="J156" i="21"/>
  <c r="H156" i="21"/>
  <c r="K155" i="21"/>
  <c r="J155" i="21"/>
  <c r="H155" i="21"/>
  <c r="K154" i="21"/>
  <c r="I154" i="21"/>
  <c r="K153" i="21"/>
  <c r="J153" i="21"/>
  <c r="H153" i="21"/>
  <c r="K152" i="21"/>
  <c r="J152" i="21"/>
  <c r="H152" i="21"/>
  <c r="H151" i="21"/>
  <c r="J150" i="21"/>
  <c r="H150" i="21"/>
  <c r="H149" i="21"/>
  <c r="K148" i="21"/>
  <c r="K147" i="21"/>
  <c r="J147" i="21"/>
  <c r="H147" i="21"/>
  <c r="O146" i="21"/>
  <c r="K146" i="21"/>
  <c r="J146" i="21"/>
  <c r="H146" i="21"/>
  <c r="J145" i="21"/>
  <c r="O144" i="21"/>
  <c r="J144" i="21"/>
  <c r="H144" i="21"/>
  <c r="O143" i="21"/>
  <c r="J143" i="21"/>
  <c r="H143" i="21"/>
  <c r="O142" i="21"/>
  <c r="J142" i="21"/>
  <c r="H142" i="21"/>
  <c r="H138" i="21"/>
  <c r="G138" i="21"/>
  <c r="F138" i="21"/>
  <c r="H137" i="21"/>
  <c r="G137" i="21"/>
  <c r="F137" i="21"/>
  <c r="H136" i="21"/>
  <c r="G136" i="21"/>
  <c r="F136" i="21"/>
  <c r="H133" i="21"/>
  <c r="G133" i="21"/>
  <c r="F133" i="21"/>
  <c r="J132" i="21"/>
  <c r="I132" i="21"/>
  <c r="H132" i="21"/>
  <c r="G132" i="21"/>
  <c r="F132" i="21"/>
  <c r="H131" i="21"/>
  <c r="G131" i="21"/>
  <c r="F131" i="21"/>
  <c r="I130" i="21"/>
  <c r="H130" i="21"/>
  <c r="G130" i="21"/>
  <c r="F130" i="21"/>
  <c r="J129" i="21"/>
  <c r="I129" i="21"/>
  <c r="H129" i="21"/>
  <c r="G129" i="21"/>
  <c r="F129" i="21"/>
  <c r="J128" i="21"/>
  <c r="I128" i="21"/>
  <c r="J127" i="21"/>
  <c r="H127" i="21"/>
  <c r="G127" i="21"/>
  <c r="F127" i="21"/>
  <c r="J126" i="21"/>
  <c r="I126" i="21"/>
  <c r="J125" i="21"/>
  <c r="H125" i="21"/>
  <c r="G125" i="21"/>
  <c r="F125" i="21"/>
  <c r="J124" i="21"/>
  <c r="I124" i="21"/>
  <c r="J123" i="21"/>
  <c r="H123" i="21"/>
  <c r="G123" i="21"/>
  <c r="F123" i="21"/>
  <c r="J122" i="21"/>
  <c r="I122" i="21"/>
  <c r="J121" i="21"/>
  <c r="H121" i="21"/>
  <c r="G121" i="21"/>
  <c r="F121" i="21"/>
  <c r="J120" i="21"/>
  <c r="I120" i="21"/>
  <c r="J119" i="21"/>
  <c r="H119" i="21"/>
  <c r="G119" i="21"/>
  <c r="F119" i="21"/>
  <c r="J118" i="21"/>
  <c r="I118" i="21"/>
  <c r="J117" i="21"/>
  <c r="H117" i="21"/>
  <c r="G117" i="21"/>
  <c r="F117" i="21"/>
  <c r="J116" i="21"/>
  <c r="I116" i="21"/>
  <c r="H115" i="21"/>
  <c r="G115" i="21"/>
  <c r="F115" i="21"/>
  <c r="I114" i="21"/>
  <c r="H114" i="21"/>
  <c r="G114" i="21"/>
  <c r="F114" i="21"/>
  <c r="J113" i="21"/>
  <c r="H113" i="21"/>
  <c r="G113" i="21"/>
  <c r="F113" i="21"/>
  <c r="J112" i="21"/>
  <c r="I112" i="21"/>
  <c r="J111" i="21"/>
  <c r="H111" i="21"/>
  <c r="G111" i="21"/>
  <c r="F111" i="21"/>
  <c r="J110" i="21"/>
  <c r="I110" i="21"/>
  <c r="J109" i="21"/>
  <c r="H109" i="21"/>
  <c r="G109" i="21"/>
  <c r="F109" i="21"/>
  <c r="J108" i="21"/>
  <c r="I108" i="21"/>
  <c r="J107" i="21"/>
  <c r="H107" i="21"/>
  <c r="G107" i="21"/>
  <c r="F107" i="21"/>
  <c r="J106" i="21"/>
  <c r="I106" i="21"/>
  <c r="J105" i="21"/>
  <c r="H105" i="21"/>
  <c r="G105" i="21"/>
  <c r="F105" i="21"/>
  <c r="J104" i="21"/>
  <c r="I104" i="21"/>
  <c r="J103" i="21"/>
  <c r="H103" i="21"/>
  <c r="G103" i="21"/>
  <c r="F103" i="21"/>
  <c r="J102" i="21"/>
  <c r="I102" i="21"/>
  <c r="J101" i="21"/>
  <c r="H101" i="21"/>
  <c r="G101" i="21"/>
  <c r="F101" i="21"/>
  <c r="J100" i="21"/>
  <c r="I100" i="21"/>
  <c r="J99" i="21"/>
  <c r="H99" i="21"/>
  <c r="G99" i="21"/>
  <c r="F99" i="21"/>
  <c r="J98" i="21"/>
  <c r="I98" i="21"/>
  <c r="J97" i="21"/>
  <c r="H97" i="21"/>
  <c r="F97" i="21"/>
  <c r="J96" i="21"/>
  <c r="I96" i="21"/>
  <c r="H92" i="21"/>
  <c r="G92" i="21"/>
  <c r="F92" i="21"/>
  <c r="H91" i="21"/>
  <c r="G91" i="21"/>
  <c r="F91" i="21"/>
  <c r="H90" i="21"/>
  <c r="G90" i="21"/>
  <c r="F90" i="21"/>
  <c r="H89" i="21"/>
  <c r="G89" i="21"/>
  <c r="F89" i="21"/>
  <c r="H85" i="21"/>
  <c r="G85" i="21"/>
  <c r="F85" i="21"/>
  <c r="J84" i="21"/>
  <c r="I84" i="21"/>
  <c r="H84" i="21"/>
  <c r="G84" i="21"/>
  <c r="F84" i="21"/>
  <c r="J83" i="21"/>
  <c r="I83" i="21"/>
  <c r="H83" i="21"/>
  <c r="G83" i="21"/>
  <c r="F83" i="21"/>
  <c r="J82" i="21"/>
  <c r="I82" i="21"/>
  <c r="H82" i="21"/>
  <c r="G82" i="21"/>
  <c r="F82" i="21"/>
  <c r="J81" i="21"/>
  <c r="I81" i="21"/>
  <c r="H81" i="21"/>
  <c r="G81" i="21"/>
  <c r="F81" i="21"/>
  <c r="J80" i="21"/>
  <c r="I80" i="21"/>
  <c r="J79" i="21"/>
  <c r="I79" i="21"/>
  <c r="H79" i="21"/>
  <c r="G79" i="21"/>
  <c r="F79" i="21"/>
  <c r="J78" i="21"/>
  <c r="I78" i="21"/>
  <c r="J77" i="21"/>
  <c r="I77" i="21"/>
  <c r="H77" i="21"/>
  <c r="G77" i="21"/>
  <c r="F77" i="21"/>
  <c r="J76" i="21"/>
  <c r="I76" i="21"/>
  <c r="J75" i="21"/>
  <c r="I75" i="21"/>
  <c r="H75" i="21"/>
  <c r="G75" i="21"/>
  <c r="F75" i="21"/>
  <c r="J74" i="21"/>
  <c r="I74" i="21"/>
  <c r="J73" i="21"/>
  <c r="H73" i="21"/>
  <c r="G73" i="21"/>
  <c r="F73" i="21"/>
  <c r="I72" i="21"/>
  <c r="H72" i="21"/>
  <c r="G72" i="21"/>
  <c r="F72" i="21"/>
  <c r="J71" i="21"/>
  <c r="I71" i="21"/>
  <c r="H71" i="21"/>
  <c r="G71" i="21"/>
  <c r="F71" i="21"/>
  <c r="J70" i="21"/>
  <c r="I70" i="21"/>
  <c r="J69" i="21"/>
  <c r="I69" i="21"/>
  <c r="H69" i="21"/>
  <c r="G69" i="21"/>
  <c r="F69" i="21"/>
  <c r="J68" i="21"/>
  <c r="I68" i="21"/>
  <c r="J67" i="21"/>
  <c r="H67" i="21"/>
  <c r="G67" i="21"/>
  <c r="F67" i="21"/>
  <c r="J66" i="21"/>
  <c r="I66" i="21"/>
  <c r="J65" i="21"/>
  <c r="H65" i="21"/>
  <c r="G65" i="21"/>
  <c r="F65" i="21"/>
  <c r="J64" i="21"/>
  <c r="I64" i="21"/>
  <c r="H63" i="21"/>
  <c r="G63" i="21"/>
  <c r="F63" i="21"/>
  <c r="I62" i="21"/>
  <c r="H62" i="21"/>
  <c r="G62" i="21"/>
  <c r="F62" i="21"/>
  <c r="J61" i="21"/>
  <c r="I61" i="21"/>
  <c r="H61" i="21"/>
  <c r="G61" i="21"/>
  <c r="F61" i="21"/>
  <c r="J60" i="21"/>
  <c r="I60" i="21"/>
  <c r="J59" i="21"/>
  <c r="H59" i="21"/>
  <c r="G59" i="21"/>
  <c r="F59" i="21"/>
  <c r="J58" i="21"/>
  <c r="I58" i="21"/>
  <c r="J57" i="21"/>
  <c r="H57" i="21"/>
  <c r="G57" i="21"/>
  <c r="F57" i="21"/>
  <c r="J56" i="21"/>
  <c r="I56" i="21"/>
  <c r="J55" i="21"/>
  <c r="H55" i="21"/>
  <c r="G55" i="21"/>
  <c r="F55" i="21"/>
  <c r="J54" i="21"/>
  <c r="I54" i="21"/>
  <c r="J53" i="21"/>
  <c r="H53" i="21"/>
  <c r="G53" i="21"/>
  <c r="F53" i="21"/>
  <c r="J52" i="21"/>
  <c r="I52" i="21"/>
  <c r="J51" i="21"/>
  <c r="H51" i="21"/>
  <c r="G51" i="21"/>
  <c r="F51" i="21"/>
  <c r="J50" i="21"/>
  <c r="I50" i="21"/>
  <c r="J49" i="21"/>
  <c r="H49" i="21"/>
  <c r="G49" i="21"/>
  <c r="F49" i="21"/>
  <c r="J48" i="21"/>
  <c r="I48" i="21"/>
  <c r="J47" i="21"/>
  <c r="H47" i="21"/>
  <c r="G47" i="21"/>
  <c r="F47" i="21"/>
  <c r="J46" i="21"/>
  <c r="I46" i="21"/>
  <c r="H38" i="21"/>
  <c r="G38" i="21"/>
  <c r="F38" i="21"/>
  <c r="K37" i="21"/>
  <c r="J37" i="21"/>
  <c r="I37" i="21"/>
  <c r="H37" i="21"/>
  <c r="G37" i="21"/>
  <c r="F37" i="21"/>
  <c r="E37" i="21"/>
  <c r="M36" i="21"/>
  <c r="L36" i="21"/>
  <c r="I36" i="21"/>
  <c r="H36" i="21"/>
  <c r="G36" i="21"/>
  <c r="F36" i="21"/>
  <c r="K35" i="21"/>
  <c r="J35" i="21"/>
  <c r="I35" i="21"/>
  <c r="H35" i="21"/>
  <c r="G35" i="21"/>
  <c r="F35" i="21"/>
  <c r="E35" i="21"/>
  <c r="M34" i="21"/>
  <c r="L34" i="21"/>
  <c r="H34" i="21"/>
  <c r="G34" i="21"/>
  <c r="F34" i="21"/>
  <c r="K33" i="21"/>
  <c r="J33" i="21"/>
  <c r="I33" i="21"/>
  <c r="H33" i="21"/>
  <c r="G33" i="21"/>
  <c r="F33" i="21"/>
  <c r="E33" i="21"/>
  <c r="I32" i="21"/>
  <c r="H32" i="21"/>
  <c r="G32" i="21"/>
  <c r="F32" i="21"/>
  <c r="M31" i="21"/>
  <c r="L31" i="21"/>
  <c r="K31" i="21"/>
  <c r="J31" i="21"/>
  <c r="I31" i="21"/>
  <c r="H31" i="21"/>
  <c r="G31" i="21"/>
  <c r="F31" i="21"/>
  <c r="E31" i="21"/>
  <c r="M30" i="21"/>
  <c r="L30" i="21"/>
  <c r="I30" i="21"/>
  <c r="H30" i="21"/>
  <c r="G30" i="21"/>
  <c r="F30" i="21"/>
  <c r="K29" i="21"/>
  <c r="J29" i="21"/>
  <c r="I29" i="21"/>
  <c r="H29" i="21"/>
  <c r="G29" i="21"/>
  <c r="F29" i="21"/>
  <c r="E29" i="21"/>
  <c r="M28" i="21"/>
  <c r="L28" i="21"/>
  <c r="I28" i="21"/>
  <c r="H28" i="21"/>
  <c r="G28" i="21"/>
  <c r="F28" i="21"/>
  <c r="K27" i="21"/>
  <c r="J27" i="21"/>
  <c r="I27" i="21"/>
  <c r="H27" i="21"/>
  <c r="G27" i="21"/>
  <c r="F27" i="21"/>
  <c r="E27" i="21"/>
  <c r="I26" i="21"/>
  <c r="H26" i="21"/>
  <c r="G26" i="21"/>
  <c r="F26" i="21"/>
  <c r="K25" i="21"/>
  <c r="J25" i="21"/>
  <c r="I25" i="21"/>
  <c r="H25" i="21"/>
  <c r="G25" i="21"/>
  <c r="F25" i="21"/>
  <c r="E25" i="21"/>
  <c r="M24" i="21"/>
  <c r="L24" i="21"/>
  <c r="I24" i="21"/>
  <c r="H24" i="21"/>
  <c r="G24" i="21"/>
  <c r="F24" i="21"/>
  <c r="K23" i="21"/>
  <c r="I23" i="21"/>
  <c r="M22" i="21"/>
  <c r="I22" i="21"/>
  <c r="K21" i="21"/>
  <c r="I21" i="21"/>
  <c r="H21" i="21"/>
  <c r="G21" i="21"/>
  <c r="F21" i="21"/>
  <c r="E21" i="21"/>
  <c r="I20" i="21"/>
  <c r="H20" i="21"/>
  <c r="G20" i="21"/>
  <c r="F20" i="21"/>
  <c r="K19" i="21"/>
  <c r="J19" i="21"/>
  <c r="I19" i="21"/>
  <c r="H19" i="21"/>
  <c r="G19" i="21"/>
  <c r="F19" i="21"/>
  <c r="E19" i="21"/>
  <c r="M18" i="21"/>
  <c r="L18" i="21"/>
  <c r="I18" i="21"/>
  <c r="H18" i="21"/>
  <c r="G18" i="21"/>
  <c r="F18" i="21"/>
  <c r="K17" i="21"/>
  <c r="I17" i="21"/>
  <c r="M16" i="21"/>
  <c r="I16" i="21"/>
  <c r="I15" i="21"/>
  <c r="H15" i="21"/>
  <c r="G15" i="21"/>
  <c r="F15" i="21"/>
  <c r="E15" i="21"/>
  <c r="I14" i="21"/>
  <c r="H14" i="21"/>
  <c r="G14" i="21"/>
  <c r="F14" i="21"/>
  <c r="O13" i="21"/>
  <c r="K13" i="21"/>
  <c r="J13" i="21"/>
  <c r="I13" i="21"/>
  <c r="H13" i="21"/>
  <c r="G13" i="21"/>
  <c r="F13" i="21"/>
  <c r="E13" i="21"/>
  <c r="M12" i="21"/>
  <c r="L12" i="21"/>
  <c r="I12" i="21"/>
  <c r="H12" i="21"/>
  <c r="G12" i="21"/>
  <c r="F12" i="21"/>
  <c r="K11" i="21"/>
  <c r="I11" i="21"/>
  <c r="M10" i="21"/>
  <c r="I10" i="21"/>
  <c r="I9" i="21"/>
  <c r="H9" i="21"/>
  <c r="G9" i="21"/>
  <c r="F9" i="21"/>
  <c r="E9" i="21"/>
  <c r="H226" i="19"/>
  <c r="G226" i="19"/>
  <c r="F226" i="19"/>
  <c r="E226" i="19"/>
  <c r="K225" i="19"/>
  <c r="J225" i="19"/>
  <c r="I225" i="19"/>
  <c r="H225" i="19"/>
  <c r="G225" i="19"/>
  <c r="F225" i="19"/>
  <c r="E225" i="19"/>
  <c r="D225" i="19"/>
  <c r="L224" i="19"/>
  <c r="H224" i="19"/>
  <c r="J223" i="19"/>
  <c r="H223" i="19"/>
  <c r="G223" i="19"/>
  <c r="F223" i="19"/>
  <c r="E223" i="19"/>
  <c r="D223" i="19"/>
  <c r="L222" i="19"/>
  <c r="H222" i="19"/>
  <c r="J221" i="19"/>
  <c r="H221" i="19"/>
  <c r="G221" i="19"/>
  <c r="F221" i="19"/>
  <c r="E221" i="19"/>
  <c r="D221" i="19"/>
  <c r="L220" i="19"/>
  <c r="H220" i="19"/>
  <c r="J219" i="19"/>
  <c r="H219" i="19"/>
  <c r="G219" i="19"/>
  <c r="F219" i="19"/>
  <c r="E219" i="19"/>
  <c r="D219" i="19"/>
  <c r="H213" i="19"/>
  <c r="G213" i="19"/>
  <c r="F213" i="19"/>
  <c r="E213" i="19"/>
  <c r="K212" i="19"/>
  <c r="J212" i="19"/>
  <c r="I212" i="19"/>
  <c r="H212" i="19"/>
  <c r="G212" i="19"/>
  <c r="F212" i="19"/>
  <c r="E212" i="19"/>
  <c r="D212" i="19"/>
  <c r="L211" i="19"/>
  <c r="H211" i="19"/>
  <c r="H210" i="19"/>
  <c r="G210" i="19"/>
  <c r="F210" i="19"/>
  <c r="E210" i="19"/>
  <c r="D210" i="19"/>
  <c r="L209" i="19"/>
  <c r="H209" i="19"/>
  <c r="H208" i="19"/>
  <c r="G208" i="19"/>
  <c r="F208" i="19"/>
  <c r="E208" i="19"/>
  <c r="D208" i="19"/>
  <c r="L207" i="19"/>
  <c r="H207" i="19"/>
  <c r="H206" i="19"/>
  <c r="G206" i="19"/>
  <c r="F206" i="19"/>
  <c r="E206" i="19"/>
  <c r="D206" i="19"/>
  <c r="N200" i="19"/>
  <c r="M200" i="19"/>
  <c r="L200" i="19"/>
  <c r="K200" i="19"/>
  <c r="J200" i="19"/>
  <c r="I200" i="19"/>
  <c r="H200" i="19"/>
  <c r="G200" i="19"/>
  <c r="F200" i="19"/>
  <c r="E200" i="19"/>
  <c r="D200" i="19"/>
  <c r="C200" i="19"/>
  <c r="N199" i="19"/>
  <c r="M199" i="19"/>
  <c r="N198" i="19"/>
  <c r="M198" i="19"/>
  <c r="N197" i="19"/>
  <c r="M197" i="19"/>
  <c r="N196" i="19"/>
  <c r="M196" i="19"/>
  <c r="N195" i="19"/>
  <c r="M195" i="19"/>
  <c r="N194" i="19"/>
  <c r="M194" i="19"/>
  <c r="N193" i="19"/>
  <c r="M193" i="19"/>
  <c r="M176" i="19"/>
  <c r="L176" i="19"/>
  <c r="K176" i="19"/>
  <c r="J176" i="19"/>
  <c r="I176" i="19"/>
  <c r="H176" i="19"/>
  <c r="G176" i="19"/>
  <c r="F176" i="19"/>
  <c r="M175" i="19"/>
  <c r="L175" i="19"/>
  <c r="K175" i="19"/>
  <c r="J175" i="19"/>
  <c r="I175" i="19"/>
  <c r="H175" i="19"/>
  <c r="G175" i="19"/>
  <c r="F175" i="19"/>
  <c r="M174" i="19"/>
  <c r="K174" i="19"/>
  <c r="J174" i="19"/>
  <c r="I174" i="19"/>
  <c r="H174" i="19"/>
  <c r="G174" i="19"/>
  <c r="F174" i="19"/>
  <c r="M173" i="19"/>
  <c r="L173" i="19"/>
  <c r="K173" i="19"/>
  <c r="J173" i="19"/>
  <c r="I173" i="19"/>
  <c r="H173" i="19"/>
  <c r="G173" i="19"/>
  <c r="F173" i="19"/>
  <c r="M171" i="19"/>
  <c r="L171" i="19"/>
  <c r="K171" i="19"/>
  <c r="J171" i="19"/>
  <c r="I171" i="19"/>
  <c r="H171" i="19"/>
  <c r="G171" i="19"/>
  <c r="F171" i="19"/>
  <c r="M169" i="19"/>
  <c r="L169" i="19"/>
  <c r="K169" i="19"/>
  <c r="J169" i="19"/>
  <c r="I169" i="19"/>
  <c r="H169" i="19"/>
  <c r="G169" i="19"/>
  <c r="F169" i="19"/>
  <c r="P165" i="19"/>
  <c r="O165" i="19"/>
  <c r="N165" i="19"/>
  <c r="M165" i="19"/>
  <c r="L165" i="19"/>
  <c r="K165" i="19"/>
  <c r="J165" i="19"/>
  <c r="I165" i="19"/>
  <c r="P164" i="19"/>
  <c r="O164" i="19"/>
  <c r="N164" i="19"/>
  <c r="M164" i="19"/>
  <c r="L164" i="19"/>
  <c r="K164" i="19"/>
  <c r="J164" i="19"/>
  <c r="I164" i="19"/>
  <c r="P163" i="19"/>
  <c r="N163" i="19"/>
  <c r="M163" i="19"/>
  <c r="K163" i="19"/>
  <c r="P162" i="19"/>
  <c r="N162" i="19"/>
  <c r="M162" i="19"/>
  <c r="K162" i="19"/>
  <c r="P160" i="19"/>
  <c r="N160" i="19"/>
  <c r="M160" i="19"/>
  <c r="K160" i="19"/>
  <c r="P158" i="19"/>
  <c r="N158" i="19"/>
  <c r="M158" i="19"/>
  <c r="K158" i="19"/>
  <c r="P154" i="19"/>
  <c r="O154" i="19"/>
  <c r="N154" i="19"/>
  <c r="M154" i="19"/>
  <c r="L154" i="19"/>
  <c r="K154" i="19"/>
  <c r="J154" i="19"/>
  <c r="I154" i="19"/>
  <c r="P153" i="19"/>
  <c r="N153" i="19"/>
  <c r="M153" i="19"/>
  <c r="K153" i="19"/>
  <c r="P152" i="19"/>
  <c r="N152" i="19"/>
  <c r="M152" i="19"/>
  <c r="K152" i="19"/>
  <c r="P151" i="19"/>
  <c r="N151" i="19"/>
  <c r="M151" i="19"/>
  <c r="K151" i="19"/>
  <c r="P150" i="19"/>
  <c r="N150" i="19"/>
  <c r="M150" i="19"/>
  <c r="K150" i="19"/>
  <c r="J144" i="19"/>
  <c r="H144" i="19"/>
  <c r="J143" i="19"/>
  <c r="H143" i="19"/>
  <c r="K142" i="19"/>
  <c r="H142" i="19"/>
  <c r="J141" i="19"/>
  <c r="H141" i="19"/>
  <c r="K140" i="19"/>
  <c r="H140" i="19"/>
  <c r="H139" i="19"/>
  <c r="H138" i="19"/>
  <c r="J137" i="19"/>
  <c r="H137" i="19"/>
  <c r="H136" i="19"/>
  <c r="N135" i="19"/>
  <c r="J135" i="19"/>
  <c r="H135" i="19"/>
  <c r="N134" i="19"/>
  <c r="K134" i="19"/>
  <c r="J134" i="19"/>
  <c r="H134" i="19"/>
  <c r="K130" i="19"/>
  <c r="J130" i="19"/>
  <c r="H130" i="19"/>
  <c r="K128" i="19"/>
  <c r="J128" i="19"/>
  <c r="H128" i="19"/>
  <c r="H127" i="19"/>
  <c r="K126" i="19"/>
  <c r="J126" i="19"/>
  <c r="H126" i="19"/>
  <c r="K125" i="19"/>
  <c r="I125" i="19"/>
  <c r="K124" i="19"/>
  <c r="J124" i="19"/>
  <c r="H124" i="19"/>
  <c r="K123" i="19"/>
  <c r="J123" i="19"/>
  <c r="H123" i="19"/>
  <c r="K122" i="19"/>
  <c r="J122" i="19"/>
  <c r="H122" i="19"/>
  <c r="J121" i="19"/>
  <c r="H121" i="19"/>
  <c r="J120" i="19"/>
  <c r="H120" i="19"/>
  <c r="K119" i="19"/>
  <c r="K118" i="19"/>
  <c r="J118" i="19"/>
  <c r="H118" i="19"/>
  <c r="O117" i="19"/>
  <c r="K117" i="19"/>
  <c r="J117" i="19"/>
  <c r="H117" i="19"/>
  <c r="J116" i="19"/>
  <c r="O115" i="19"/>
  <c r="J115" i="19"/>
  <c r="H115" i="19"/>
  <c r="O114" i="19"/>
  <c r="J114" i="19"/>
  <c r="H114" i="19"/>
  <c r="O113" i="19"/>
  <c r="J113" i="19"/>
  <c r="H113" i="19"/>
  <c r="H109" i="19"/>
  <c r="G109" i="19"/>
  <c r="F109" i="19"/>
  <c r="H108" i="19"/>
  <c r="G108" i="19"/>
  <c r="F108" i="19"/>
  <c r="J104" i="19"/>
  <c r="I104" i="19"/>
  <c r="H104" i="19"/>
  <c r="G104" i="19"/>
  <c r="F104" i="19"/>
  <c r="I103" i="19"/>
  <c r="H103" i="19"/>
  <c r="G103" i="19"/>
  <c r="F103" i="19"/>
  <c r="J102" i="19"/>
  <c r="I102" i="19"/>
  <c r="H102" i="19"/>
  <c r="G102" i="19"/>
  <c r="F102" i="19"/>
  <c r="I101" i="19"/>
  <c r="J100" i="19"/>
  <c r="I100" i="19"/>
  <c r="H100" i="19"/>
  <c r="G100" i="19"/>
  <c r="F100" i="19"/>
  <c r="I99" i="19"/>
  <c r="J98" i="19"/>
  <c r="I98" i="19"/>
  <c r="H98" i="19"/>
  <c r="G98" i="19"/>
  <c r="F98" i="19"/>
  <c r="I97" i="19"/>
  <c r="J96" i="19"/>
  <c r="I96" i="19"/>
  <c r="H96" i="19"/>
  <c r="G96" i="19"/>
  <c r="F96" i="19"/>
  <c r="I95" i="19"/>
  <c r="J94" i="19"/>
  <c r="I94" i="19"/>
  <c r="H94" i="19"/>
  <c r="G94" i="19"/>
  <c r="F94" i="19"/>
  <c r="I93" i="19"/>
  <c r="J92" i="19"/>
  <c r="I92" i="19"/>
  <c r="H92" i="19"/>
  <c r="G92" i="19"/>
  <c r="F92" i="19"/>
  <c r="I91" i="19"/>
  <c r="J90" i="19"/>
  <c r="I90" i="19"/>
  <c r="H90" i="19"/>
  <c r="G90" i="19"/>
  <c r="F90" i="19"/>
  <c r="I89" i="19"/>
  <c r="H83" i="19"/>
  <c r="G83" i="19"/>
  <c r="F83" i="19"/>
  <c r="H82" i="19"/>
  <c r="G82" i="19"/>
  <c r="F82" i="19"/>
  <c r="H81" i="19"/>
  <c r="G81" i="19"/>
  <c r="F81" i="19"/>
  <c r="H80" i="19"/>
  <c r="G80" i="19"/>
  <c r="F80" i="19"/>
  <c r="J76" i="19"/>
  <c r="I76" i="19"/>
  <c r="H76" i="19"/>
  <c r="G76" i="19"/>
  <c r="F76" i="19"/>
  <c r="I75" i="19"/>
  <c r="H75" i="19"/>
  <c r="G75" i="19"/>
  <c r="F75" i="19"/>
  <c r="I74" i="19"/>
  <c r="H74" i="19"/>
  <c r="G74" i="19"/>
  <c r="F74" i="19"/>
  <c r="I73" i="19"/>
  <c r="H73" i="19"/>
  <c r="G73" i="19"/>
  <c r="F73" i="19"/>
  <c r="J72" i="19"/>
  <c r="I72" i="19"/>
  <c r="H72" i="19"/>
  <c r="G72" i="19"/>
  <c r="F72" i="19"/>
  <c r="I71" i="19"/>
  <c r="J70" i="19"/>
  <c r="I70" i="19"/>
  <c r="H70" i="19"/>
  <c r="G70" i="19"/>
  <c r="F70" i="19"/>
  <c r="I69" i="19"/>
  <c r="J68" i="19"/>
  <c r="I68" i="19"/>
  <c r="H68" i="19"/>
  <c r="G68" i="19"/>
  <c r="F68" i="19"/>
  <c r="I67" i="19"/>
  <c r="J66" i="19"/>
  <c r="I66" i="19"/>
  <c r="H66" i="19"/>
  <c r="G66" i="19"/>
  <c r="F66" i="19"/>
  <c r="I65" i="19"/>
  <c r="I64" i="19"/>
  <c r="H64" i="19"/>
  <c r="G64" i="19"/>
  <c r="F64" i="19"/>
  <c r="I63" i="19"/>
  <c r="H63" i="19"/>
  <c r="G63" i="19"/>
  <c r="F63" i="19"/>
  <c r="J62" i="19"/>
  <c r="I62" i="19"/>
  <c r="H62" i="19"/>
  <c r="G62" i="19"/>
  <c r="F62" i="19"/>
  <c r="I61" i="19"/>
  <c r="J60" i="19"/>
  <c r="I60" i="19"/>
  <c r="H60" i="19"/>
  <c r="G60" i="19"/>
  <c r="F60" i="19"/>
  <c r="I59" i="19"/>
  <c r="J58" i="19"/>
  <c r="I58" i="19"/>
  <c r="H58" i="19"/>
  <c r="G58" i="19"/>
  <c r="F58" i="19"/>
  <c r="I57" i="19"/>
  <c r="J56" i="19"/>
  <c r="I56" i="19"/>
  <c r="H56" i="19"/>
  <c r="G56" i="19"/>
  <c r="F56" i="19"/>
  <c r="I55" i="19"/>
  <c r="I54" i="19"/>
  <c r="H54" i="19"/>
  <c r="G54" i="19"/>
  <c r="F54" i="19"/>
  <c r="I53" i="19"/>
  <c r="H53" i="19"/>
  <c r="G53" i="19"/>
  <c r="F53" i="19"/>
  <c r="J52" i="19"/>
  <c r="I52" i="19"/>
  <c r="H52" i="19"/>
  <c r="G52" i="19"/>
  <c r="F52" i="19"/>
  <c r="I51" i="19"/>
  <c r="J50" i="19"/>
  <c r="I50" i="19"/>
  <c r="H50" i="19"/>
  <c r="G50" i="19"/>
  <c r="F50" i="19"/>
  <c r="I49" i="19"/>
  <c r="J48" i="19"/>
  <c r="I48" i="19"/>
  <c r="H48" i="19"/>
  <c r="G48" i="19"/>
  <c r="F48" i="19"/>
  <c r="I47" i="19"/>
  <c r="J46" i="19"/>
  <c r="I46" i="19"/>
  <c r="H46" i="19"/>
  <c r="G46" i="19"/>
  <c r="F46" i="19"/>
  <c r="I45" i="19"/>
  <c r="J44" i="19"/>
  <c r="I44" i="19"/>
  <c r="H44" i="19"/>
  <c r="G44" i="19"/>
  <c r="F44" i="19"/>
  <c r="I43" i="19"/>
  <c r="J42" i="19"/>
  <c r="I42" i="19"/>
  <c r="H42" i="19"/>
  <c r="G42" i="19"/>
  <c r="F42" i="19"/>
  <c r="I41" i="19"/>
  <c r="J40" i="19"/>
  <c r="I40" i="19"/>
  <c r="H40" i="19"/>
  <c r="G40" i="19"/>
  <c r="F40" i="19"/>
  <c r="I39" i="19"/>
  <c r="J38" i="19"/>
  <c r="I38" i="19"/>
  <c r="H38" i="19"/>
  <c r="G38" i="19"/>
  <c r="F38" i="19"/>
  <c r="I37" i="19"/>
  <c r="H29" i="19"/>
  <c r="G29" i="19"/>
  <c r="F29" i="19"/>
  <c r="K28" i="19"/>
  <c r="J28" i="19"/>
  <c r="I28" i="19"/>
  <c r="H28" i="19"/>
  <c r="G28" i="19"/>
  <c r="F28" i="19"/>
  <c r="E28" i="19"/>
  <c r="O27" i="19"/>
  <c r="M27" i="19"/>
  <c r="L27" i="19"/>
  <c r="I27" i="19"/>
  <c r="H27" i="19"/>
  <c r="G27" i="19"/>
  <c r="F27" i="19"/>
  <c r="K26" i="19"/>
  <c r="J26" i="19"/>
  <c r="I26" i="19"/>
  <c r="H26" i="19"/>
  <c r="G26" i="19"/>
  <c r="F26" i="19"/>
  <c r="E26" i="19"/>
  <c r="O25" i="19"/>
  <c r="M25" i="19"/>
  <c r="L25" i="19"/>
  <c r="H25" i="19"/>
  <c r="G25" i="19"/>
  <c r="F25" i="19"/>
  <c r="K24" i="19"/>
  <c r="J24" i="19"/>
  <c r="I24" i="19"/>
  <c r="H24" i="19"/>
  <c r="G24" i="19"/>
  <c r="F24" i="19"/>
  <c r="E24" i="19"/>
  <c r="I23" i="19"/>
  <c r="H23" i="19"/>
  <c r="G23" i="19"/>
  <c r="F23" i="19"/>
  <c r="O22" i="19"/>
  <c r="M22" i="19"/>
  <c r="L22" i="19"/>
  <c r="K22" i="19"/>
  <c r="J22" i="19"/>
  <c r="I22" i="19"/>
  <c r="H22" i="19"/>
  <c r="G22" i="19"/>
  <c r="F22" i="19"/>
  <c r="E22" i="19"/>
  <c r="O21" i="19"/>
  <c r="M21" i="19"/>
  <c r="L21" i="19"/>
  <c r="I21" i="19"/>
  <c r="H21" i="19"/>
  <c r="G21" i="19"/>
  <c r="F21" i="19"/>
  <c r="K20" i="19"/>
  <c r="J20" i="19"/>
  <c r="I20" i="19"/>
  <c r="H20" i="19"/>
  <c r="G20" i="19"/>
  <c r="F20" i="19"/>
  <c r="E20" i="19"/>
  <c r="O19" i="19"/>
  <c r="I19" i="19"/>
  <c r="H19" i="19"/>
  <c r="G19" i="19"/>
  <c r="F19" i="19"/>
  <c r="K18" i="19"/>
  <c r="J18" i="19"/>
  <c r="I18" i="19"/>
  <c r="H18" i="19"/>
  <c r="G18" i="19"/>
  <c r="F18" i="19"/>
  <c r="E18" i="19"/>
  <c r="M17" i="19"/>
  <c r="L17" i="19"/>
  <c r="I17" i="19"/>
  <c r="H17" i="19"/>
  <c r="G17" i="19"/>
  <c r="F17" i="19"/>
  <c r="K16" i="19"/>
  <c r="I16" i="19"/>
  <c r="M15" i="19"/>
  <c r="I15" i="19"/>
  <c r="I14" i="19"/>
  <c r="H14" i="19"/>
  <c r="G14" i="19"/>
  <c r="F14" i="19"/>
  <c r="E14" i="19"/>
  <c r="I13" i="19"/>
  <c r="H13" i="19"/>
  <c r="G13" i="19"/>
  <c r="F13" i="19"/>
  <c r="O12" i="19"/>
  <c r="M12" i="19"/>
  <c r="L12" i="19"/>
  <c r="K12" i="19"/>
  <c r="J12" i="19"/>
  <c r="I12" i="19"/>
  <c r="H12" i="19"/>
  <c r="G12" i="19"/>
  <c r="F12" i="19"/>
  <c r="E12" i="19"/>
  <c r="M11" i="19"/>
  <c r="L11" i="19"/>
  <c r="I11" i="19"/>
  <c r="H11" i="19"/>
  <c r="G11" i="19"/>
  <c r="F11" i="19"/>
  <c r="K10" i="19"/>
  <c r="I10" i="19"/>
  <c r="I9" i="19"/>
  <c r="I8" i="19"/>
  <c r="H8" i="19"/>
  <c r="G8" i="19"/>
  <c r="F8" i="19"/>
  <c r="E8" i="19"/>
  <c r="H107" i="18"/>
  <c r="G107" i="18"/>
  <c r="F107" i="18"/>
  <c r="E107" i="18"/>
  <c r="D107" i="18"/>
  <c r="H101" i="18"/>
  <c r="G101" i="18"/>
  <c r="F101" i="18"/>
  <c r="E101" i="18"/>
  <c r="D101" i="18"/>
  <c r="N97" i="18"/>
  <c r="M97" i="18"/>
  <c r="L97" i="18"/>
  <c r="K97" i="18"/>
  <c r="J97" i="18"/>
  <c r="I97" i="18"/>
  <c r="H97" i="18"/>
  <c r="G97" i="18"/>
  <c r="F97" i="18"/>
  <c r="E97" i="18"/>
  <c r="D97" i="18"/>
  <c r="C97" i="18"/>
  <c r="N96" i="18"/>
  <c r="M96" i="18"/>
  <c r="N95" i="18"/>
  <c r="M95" i="18"/>
  <c r="N94" i="18"/>
  <c r="M94" i="18"/>
  <c r="N93" i="18"/>
  <c r="M93" i="18"/>
  <c r="N92" i="18"/>
  <c r="M92" i="18"/>
  <c r="N91" i="18"/>
  <c r="M91" i="18"/>
  <c r="N90" i="18"/>
  <c r="M90" i="18"/>
  <c r="Q86" i="18"/>
  <c r="O86" i="18"/>
  <c r="N86" i="18"/>
  <c r="M86" i="18"/>
  <c r="L86" i="18"/>
  <c r="K86" i="18"/>
  <c r="J86" i="18"/>
  <c r="Q84" i="18"/>
  <c r="O84" i="18"/>
  <c r="L84" i="18"/>
  <c r="Q82" i="18"/>
  <c r="O82" i="18"/>
  <c r="L82" i="18"/>
  <c r="K78" i="18"/>
  <c r="J78" i="18"/>
  <c r="H78" i="18"/>
  <c r="H77" i="18"/>
  <c r="K76" i="18"/>
  <c r="J76" i="18"/>
  <c r="H76" i="18"/>
  <c r="H75" i="18"/>
  <c r="K74" i="18"/>
  <c r="H74" i="18"/>
  <c r="K73" i="18"/>
  <c r="I73" i="18"/>
  <c r="H73" i="18"/>
  <c r="K72" i="18"/>
  <c r="I72" i="18"/>
  <c r="H72" i="18"/>
  <c r="K71" i="18"/>
  <c r="J71" i="18"/>
  <c r="H71" i="18"/>
  <c r="H70" i="18"/>
  <c r="J69" i="18"/>
  <c r="H69" i="18"/>
  <c r="J68" i="18"/>
  <c r="H68" i="18"/>
  <c r="H66" i="18"/>
  <c r="N63" i="18"/>
  <c r="H63" i="18"/>
  <c r="N62" i="18"/>
  <c r="K62" i="18"/>
  <c r="H62" i="18"/>
  <c r="J58" i="18"/>
  <c r="I58" i="18"/>
  <c r="H58" i="18"/>
  <c r="G58" i="18"/>
  <c r="F58" i="18"/>
  <c r="I57" i="18"/>
  <c r="H57" i="18"/>
  <c r="G57" i="18"/>
  <c r="F57" i="18"/>
  <c r="J56" i="18"/>
  <c r="I56" i="18"/>
  <c r="H56" i="18"/>
  <c r="G56" i="18"/>
  <c r="F56" i="18"/>
  <c r="I55" i="18"/>
  <c r="J54" i="18"/>
  <c r="I54" i="18"/>
  <c r="H54" i="18"/>
  <c r="G54" i="18"/>
  <c r="F54" i="18"/>
  <c r="I53" i="18"/>
  <c r="J52" i="18"/>
  <c r="I52" i="18"/>
  <c r="H52" i="18"/>
  <c r="G52" i="18"/>
  <c r="F52" i="18"/>
  <c r="I51" i="18"/>
  <c r="J50" i="18"/>
  <c r="I50" i="18"/>
  <c r="H50" i="18"/>
  <c r="G50" i="18"/>
  <c r="F50" i="18"/>
  <c r="I49" i="18"/>
  <c r="H43" i="18"/>
  <c r="G43" i="18"/>
  <c r="F43" i="18"/>
  <c r="K42" i="18"/>
  <c r="J42" i="18"/>
  <c r="I42" i="18"/>
  <c r="H42" i="18"/>
  <c r="G42" i="18"/>
  <c r="F42" i="18"/>
  <c r="E42" i="18"/>
  <c r="O41" i="18"/>
  <c r="M41" i="18"/>
  <c r="L41" i="18"/>
  <c r="I41" i="18"/>
  <c r="H41" i="18"/>
  <c r="G41" i="18"/>
  <c r="F41" i="18"/>
  <c r="K40" i="18"/>
  <c r="J40" i="18"/>
  <c r="I40" i="18"/>
  <c r="H40" i="18"/>
  <c r="G40" i="18"/>
  <c r="F40" i="18"/>
  <c r="E40" i="18"/>
  <c r="O39" i="18"/>
  <c r="M39" i="18"/>
  <c r="L39" i="18"/>
  <c r="H39" i="18"/>
  <c r="G39" i="18"/>
  <c r="F39" i="18"/>
  <c r="K38" i="18"/>
  <c r="J38" i="18"/>
  <c r="I38" i="18"/>
  <c r="H38" i="18"/>
  <c r="G38" i="18"/>
  <c r="F38" i="18"/>
  <c r="E38" i="18"/>
  <c r="I37" i="18"/>
  <c r="H37" i="18"/>
  <c r="G37" i="18"/>
  <c r="F37" i="18"/>
  <c r="K36" i="18"/>
  <c r="J36" i="18"/>
  <c r="I36" i="18"/>
  <c r="H36" i="18"/>
  <c r="G36" i="18"/>
  <c r="F36" i="18"/>
  <c r="E36" i="18"/>
  <c r="O35" i="18"/>
  <c r="M35" i="18"/>
  <c r="L35" i="18"/>
  <c r="I35" i="18"/>
  <c r="H35" i="18"/>
  <c r="G35" i="18"/>
  <c r="F35" i="18"/>
  <c r="K34" i="18"/>
  <c r="J34" i="18"/>
  <c r="I34" i="18"/>
  <c r="H34" i="18"/>
  <c r="G34" i="18"/>
  <c r="F34" i="18"/>
  <c r="E34" i="18"/>
  <c r="O33" i="18"/>
  <c r="I33" i="18"/>
  <c r="H33" i="18"/>
  <c r="G33" i="18"/>
  <c r="F33" i="18"/>
  <c r="K32" i="18"/>
  <c r="J32" i="18"/>
  <c r="I32" i="18"/>
  <c r="H32" i="18"/>
  <c r="G32" i="18"/>
  <c r="F32" i="18"/>
  <c r="E32" i="18"/>
  <c r="M31" i="18"/>
  <c r="L31" i="18"/>
  <c r="I31" i="18"/>
  <c r="H31" i="18"/>
  <c r="G31" i="18"/>
  <c r="F31" i="18"/>
  <c r="K30" i="18"/>
  <c r="I30" i="18"/>
  <c r="M29" i="18"/>
  <c r="I29" i="18"/>
  <c r="I28" i="18"/>
  <c r="H28" i="18"/>
  <c r="G28" i="18"/>
  <c r="F28" i="18"/>
  <c r="E28" i="18"/>
  <c r="M27" i="18"/>
  <c r="L27" i="18"/>
  <c r="I27" i="18"/>
  <c r="H27" i="18"/>
  <c r="G27" i="18"/>
  <c r="F27" i="18"/>
  <c r="K26" i="18"/>
  <c r="I26" i="18"/>
  <c r="M25" i="18"/>
  <c r="I25" i="18"/>
  <c r="I24" i="18"/>
  <c r="H24" i="18"/>
  <c r="G24" i="18"/>
  <c r="F24" i="18"/>
  <c r="E24" i="18"/>
  <c r="M23" i="18"/>
  <c r="L23" i="18"/>
  <c r="I23" i="18"/>
  <c r="H23" i="18"/>
  <c r="G23" i="18"/>
  <c r="F23" i="18"/>
  <c r="K22" i="18"/>
  <c r="I22" i="18"/>
  <c r="M21" i="18"/>
  <c r="I21" i="18"/>
  <c r="I20" i="18"/>
  <c r="H20" i="18"/>
  <c r="G20" i="18"/>
  <c r="F20" i="18"/>
  <c r="E20" i="18"/>
  <c r="M19" i="18"/>
  <c r="L19" i="18"/>
  <c r="I19" i="18"/>
  <c r="H19" i="18"/>
  <c r="G19" i="18"/>
  <c r="F19" i="18"/>
  <c r="K18" i="18"/>
  <c r="I18" i="18"/>
  <c r="M17" i="18"/>
  <c r="I17" i="18"/>
  <c r="I16" i="18"/>
  <c r="H16" i="18"/>
  <c r="G16" i="18"/>
  <c r="F16" i="18"/>
  <c r="E16" i="18"/>
  <c r="I14" i="18"/>
  <c r="H14" i="18"/>
  <c r="G14" i="18"/>
  <c r="F14" i="18"/>
  <c r="L13" i="18"/>
  <c r="J13" i="18"/>
  <c r="I13" i="18"/>
  <c r="H13" i="18"/>
  <c r="G13" i="18"/>
  <c r="F13" i="18"/>
  <c r="E13" i="18"/>
  <c r="M12" i="18"/>
  <c r="L12" i="18"/>
  <c r="I12" i="18"/>
  <c r="H12" i="18"/>
  <c r="G12" i="18"/>
  <c r="F12" i="18"/>
  <c r="K11" i="18"/>
  <c r="I11" i="18"/>
  <c r="I10" i="18"/>
  <c r="N221" i="1"/>
  <c r="M221" i="1"/>
  <c r="L221" i="1"/>
  <c r="K221" i="1"/>
  <c r="J221" i="1"/>
  <c r="I221" i="1"/>
  <c r="H221" i="1"/>
  <c r="G221" i="1"/>
  <c r="F221" i="1"/>
  <c r="E221" i="1"/>
  <c r="D221" i="1"/>
  <c r="C221" i="1"/>
  <c r="N220" i="1"/>
  <c r="M220" i="1"/>
  <c r="N219" i="1"/>
  <c r="M219" i="1"/>
  <c r="N218" i="1"/>
  <c r="M218" i="1"/>
  <c r="N217" i="1"/>
  <c r="M217" i="1"/>
  <c r="N216" i="1"/>
  <c r="M216" i="1"/>
  <c r="N215" i="1"/>
  <c r="M215" i="1"/>
  <c r="N214" i="1"/>
  <c r="M214" i="1"/>
  <c r="P210" i="1"/>
  <c r="O210" i="1"/>
  <c r="N210" i="1"/>
  <c r="M210" i="1"/>
  <c r="L210" i="1"/>
  <c r="K210" i="1"/>
  <c r="J210" i="1"/>
  <c r="I210" i="1"/>
  <c r="P209" i="1"/>
  <c r="N209" i="1"/>
  <c r="K209" i="1"/>
  <c r="P208" i="1"/>
  <c r="N208" i="1"/>
  <c r="K208" i="1"/>
  <c r="J202" i="1"/>
  <c r="H202" i="1"/>
  <c r="J201" i="1"/>
  <c r="H201" i="1"/>
  <c r="J200" i="1"/>
  <c r="H200" i="1"/>
  <c r="K199" i="1"/>
  <c r="H199" i="1"/>
  <c r="J198" i="1"/>
  <c r="H198" i="1"/>
  <c r="J197" i="1"/>
  <c r="H197" i="1"/>
  <c r="J196" i="1"/>
  <c r="H196" i="1"/>
  <c r="K195" i="1"/>
  <c r="H195" i="1"/>
  <c r="K194" i="1"/>
  <c r="H194" i="1"/>
  <c r="Q193" i="1"/>
  <c r="J193" i="1"/>
  <c r="H193" i="1"/>
  <c r="K190" i="1"/>
  <c r="J189" i="1"/>
  <c r="H189" i="1"/>
  <c r="J188" i="1"/>
  <c r="H188" i="1"/>
  <c r="K186" i="1"/>
  <c r="H186" i="1"/>
  <c r="J185" i="1"/>
  <c r="H185" i="1"/>
  <c r="J184" i="1"/>
  <c r="H184" i="1"/>
  <c r="H183" i="1"/>
  <c r="K182" i="1"/>
  <c r="H182" i="1"/>
  <c r="N180" i="1"/>
  <c r="J180" i="1"/>
  <c r="H180" i="1"/>
  <c r="J179" i="1"/>
  <c r="H179" i="1"/>
  <c r="Q178" i="1"/>
  <c r="K178" i="1"/>
  <c r="J178" i="1"/>
  <c r="H178" i="1"/>
  <c r="J174" i="1"/>
  <c r="H174" i="1"/>
  <c r="J173" i="1"/>
  <c r="H173" i="1"/>
  <c r="J172" i="1"/>
  <c r="H172" i="1"/>
  <c r="J170" i="1"/>
  <c r="H170" i="1"/>
  <c r="J169" i="1"/>
  <c r="H169" i="1"/>
  <c r="J167" i="1"/>
  <c r="H167" i="1"/>
  <c r="J166" i="1"/>
  <c r="H166" i="1"/>
  <c r="K165" i="1"/>
  <c r="H165" i="1"/>
  <c r="K164" i="1"/>
  <c r="H164" i="1"/>
  <c r="K163" i="1"/>
  <c r="H163" i="1"/>
  <c r="N162" i="1"/>
  <c r="J162" i="1"/>
  <c r="H162" i="1"/>
  <c r="N161" i="1"/>
  <c r="J161" i="1"/>
  <c r="H161" i="1"/>
  <c r="N160" i="1"/>
  <c r="J160" i="1"/>
  <c r="H160" i="1"/>
  <c r="K157" i="1"/>
  <c r="J157" i="1"/>
  <c r="I157" i="1"/>
  <c r="H157" i="1"/>
  <c r="K156" i="1"/>
  <c r="J156" i="1"/>
  <c r="H156" i="1"/>
  <c r="K155" i="1"/>
  <c r="J155" i="1"/>
  <c r="I155" i="1"/>
  <c r="H155" i="1"/>
  <c r="K153" i="1"/>
  <c r="J153" i="1"/>
  <c r="H153" i="1"/>
  <c r="K152" i="1"/>
  <c r="J152" i="1"/>
  <c r="H152" i="1"/>
  <c r="K151" i="1"/>
  <c r="J151" i="1"/>
  <c r="H151" i="1"/>
  <c r="K150" i="1"/>
  <c r="I150" i="1"/>
  <c r="H150" i="1"/>
  <c r="K149" i="1"/>
  <c r="I149" i="1"/>
  <c r="H149" i="1"/>
  <c r="K148" i="1"/>
  <c r="J148" i="1"/>
  <c r="H148" i="1"/>
  <c r="K147" i="1"/>
  <c r="J147" i="1"/>
  <c r="H147" i="1"/>
  <c r="J146" i="1"/>
  <c r="H146" i="1"/>
  <c r="J145" i="1"/>
  <c r="H145" i="1"/>
  <c r="K144" i="1"/>
  <c r="H144" i="1"/>
  <c r="K143" i="1"/>
  <c r="H143" i="1"/>
  <c r="N142" i="1"/>
  <c r="K142" i="1"/>
  <c r="H142" i="1"/>
  <c r="N141" i="1"/>
  <c r="J141" i="1"/>
  <c r="H141" i="1"/>
  <c r="N140" i="1"/>
  <c r="J140" i="1"/>
  <c r="H140" i="1"/>
  <c r="N139" i="1"/>
  <c r="J139" i="1"/>
  <c r="H139" i="1"/>
  <c r="N138" i="1"/>
  <c r="J138" i="1"/>
  <c r="H138" i="1"/>
  <c r="H134" i="1"/>
  <c r="G134" i="1"/>
  <c r="F134" i="1"/>
  <c r="H133" i="1"/>
  <c r="G133" i="1"/>
  <c r="F133" i="1"/>
  <c r="H132" i="1"/>
  <c r="G132" i="1"/>
  <c r="F132" i="1"/>
  <c r="H131" i="1"/>
  <c r="G131" i="1"/>
  <c r="F131" i="1"/>
  <c r="H130" i="1"/>
  <c r="J126" i="1"/>
  <c r="I126" i="1"/>
  <c r="H126" i="1"/>
  <c r="G126" i="1"/>
  <c r="F126" i="1"/>
  <c r="I125" i="1"/>
  <c r="H125" i="1"/>
  <c r="G125" i="1"/>
  <c r="F125" i="1"/>
  <c r="J124" i="1"/>
  <c r="I124" i="1"/>
  <c r="H124" i="1"/>
  <c r="G124" i="1"/>
  <c r="F124" i="1"/>
  <c r="I123" i="1"/>
  <c r="J122" i="1"/>
  <c r="I122" i="1"/>
  <c r="H122" i="1"/>
  <c r="G122" i="1"/>
  <c r="F122" i="1"/>
  <c r="I121" i="1"/>
  <c r="J120" i="1"/>
  <c r="I120" i="1"/>
  <c r="H120" i="1"/>
  <c r="G120" i="1"/>
  <c r="F120" i="1"/>
  <c r="I119" i="1"/>
  <c r="J118" i="1"/>
  <c r="I118" i="1"/>
  <c r="H118" i="1"/>
  <c r="G118" i="1"/>
  <c r="F118" i="1"/>
  <c r="I117" i="1"/>
  <c r="J116" i="1"/>
  <c r="I116" i="1"/>
  <c r="H116" i="1"/>
  <c r="G116" i="1"/>
  <c r="F116" i="1"/>
  <c r="I115" i="1"/>
  <c r="J114" i="1"/>
  <c r="I114" i="1"/>
  <c r="H114" i="1"/>
  <c r="G114" i="1"/>
  <c r="F114" i="1"/>
  <c r="I113" i="1"/>
  <c r="H113" i="1"/>
  <c r="G113" i="1"/>
  <c r="F113" i="1"/>
  <c r="J112" i="1"/>
  <c r="I112" i="1"/>
  <c r="H112" i="1"/>
  <c r="G112" i="1"/>
  <c r="F112" i="1"/>
  <c r="I111" i="1"/>
  <c r="J110" i="1"/>
  <c r="I110" i="1"/>
  <c r="H110" i="1"/>
  <c r="G110" i="1"/>
  <c r="F110" i="1"/>
  <c r="I109" i="1"/>
  <c r="J108" i="1"/>
  <c r="I108" i="1"/>
  <c r="H108" i="1"/>
  <c r="G108" i="1"/>
  <c r="F108" i="1"/>
  <c r="I107" i="1"/>
  <c r="J106" i="1"/>
  <c r="I106" i="1"/>
  <c r="H106" i="1"/>
  <c r="G106" i="1"/>
  <c r="F106" i="1"/>
  <c r="I105" i="1"/>
  <c r="H105" i="1"/>
  <c r="G105" i="1"/>
  <c r="F105" i="1"/>
  <c r="J104" i="1"/>
  <c r="I104" i="1"/>
  <c r="H104" i="1"/>
  <c r="G104" i="1"/>
  <c r="F104" i="1"/>
  <c r="I103" i="1"/>
  <c r="J102" i="1"/>
  <c r="I102" i="1"/>
  <c r="H102" i="1"/>
  <c r="G102" i="1"/>
  <c r="F102" i="1"/>
  <c r="I101" i="1"/>
  <c r="J100" i="1"/>
  <c r="I100" i="1"/>
  <c r="H100" i="1"/>
  <c r="G100" i="1"/>
  <c r="F100" i="1"/>
  <c r="I99" i="1"/>
  <c r="J98" i="1"/>
  <c r="I98" i="1"/>
  <c r="H98" i="1"/>
  <c r="G98" i="1"/>
  <c r="F98" i="1"/>
  <c r="I97" i="1"/>
  <c r="J96" i="1"/>
  <c r="I96" i="1"/>
  <c r="H96" i="1"/>
  <c r="G96" i="1"/>
  <c r="F96" i="1"/>
  <c r="I95" i="1"/>
  <c r="H95" i="1"/>
  <c r="G95" i="1"/>
  <c r="F95" i="1"/>
  <c r="J94" i="1"/>
  <c r="I94" i="1"/>
  <c r="H94" i="1"/>
  <c r="G94" i="1"/>
  <c r="F94" i="1"/>
  <c r="I93" i="1"/>
  <c r="J92" i="1"/>
  <c r="I92" i="1"/>
  <c r="H92" i="1"/>
  <c r="G92" i="1"/>
  <c r="F92" i="1"/>
  <c r="I91" i="1"/>
  <c r="J90" i="1"/>
  <c r="I90" i="1"/>
  <c r="H90" i="1"/>
  <c r="G90" i="1"/>
  <c r="F90" i="1"/>
  <c r="I89" i="1"/>
  <c r="J88" i="1"/>
  <c r="I88" i="1"/>
  <c r="H88" i="1"/>
  <c r="G88" i="1"/>
  <c r="F88" i="1"/>
  <c r="I87" i="1"/>
  <c r="J86" i="1"/>
  <c r="I86" i="1"/>
  <c r="H86" i="1"/>
  <c r="G86" i="1"/>
  <c r="F86" i="1"/>
  <c r="I85" i="1"/>
  <c r="H81" i="1"/>
  <c r="G81" i="1"/>
  <c r="F81" i="1"/>
  <c r="H80" i="1"/>
  <c r="G80" i="1"/>
  <c r="F80" i="1"/>
  <c r="H79" i="1"/>
  <c r="G79" i="1"/>
  <c r="F79" i="1"/>
  <c r="H78" i="1"/>
  <c r="G78" i="1"/>
  <c r="F78" i="1"/>
  <c r="J74" i="1"/>
  <c r="I74" i="1"/>
  <c r="H74" i="1"/>
  <c r="G74" i="1"/>
  <c r="F74" i="1"/>
  <c r="I73" i="1"/>
  <c r="H73" i="1"/>
  <c r="G73" i="1"/>
  <c r="F73" i="1"/>
  <c r="I72" i="1"/>
  <c r="H72" i="1"/>
  <c r="G72" i="1"/>
  <c r="F72" i="1"/>
  <c r="I71" i="1"/>
  <c r="H71" i="1"/>
  <c r="G71" i="1"/>
  <c r="F71" i="1"/>
  <c r="J70" i="1"/>
  <c r="I70" i="1"/>
  <c r="H70" i="1"/>
  <c r="G70" i="1"/>
  <c r="F70" i="1"/>
  <c r="J68" i="1"/>
  <c r="I68" i="1"/>
  <c r="H68" i="1"/>
  <c r="G68" i="1"/>
  <c r="F68" i="1"/>
  <c r="J66" i="1"/>
  <c r="I66" i="1"/>
  <c r="H66" i="1"/>
  <c r="G66" i="1"/>
  <c r="F66" i="1"/>
  <c r="J64" i="1"/>
  <c r="I64" i="1"/>
  <c r="H64" i="1"/>
  <c r="G64" i="1"/>
  <c r="F64" i="1"/>
  <c r="I62" i="1"/>
  <c r="H62" i="1"/>
  <c r="G62" i="1"/>
  <c r="F62" i="1"/>
  <c r="I61" i="1"/>
  <c r="H61" i="1"/>
  <c r="G61" i="1"/>
  <c r="F61" i="1"/>
  <c r="J60" i="1"/>
  <c r="I60" i="1"/>
  <c r="H60" i="1"/>
  <c r="G60" i="1"/>
  <c r="F60" i="1"/>
  <c r="J58" i="1"/>
  <c r="I58" i="1"/>
  <c r="H58" i="1"/>
  <c r="G58" i="1"/>
  <c r="F58" i="1"/>
  <c r="J56" i="1"/>
  <c r="I56" i="1"/>
  <c r="H56" i="1"/>
  <c r="G56" i="1"/>
  <c r="F56" i="1"/>
  <c r="J54" i="1"/>
  <c r="I54" i="1"/>
  <c r="H54" i="1"/>
  <c r="G54" i="1"/>
  <c r="F54" i="1"/>
  <c r="I52" i="1"/>
  <c r="H52" i="1"/>
  <c r="G52" i="1"/>
  <c r="F52" i="1"/>
  <c r="I51" i="1"/>
  <c r="H51" i="1"/>
  <c r="G51" i="1"/>
  <c r="F51" i="1"/>
  <c r="J50" i="1"/>
  <c r="I50" i="1"/>
  <c r="H50" i="1"/>
  <c r="G50" i="1"/>
  <c r="F50" i="1"/>
  <c r="J48" i="1"/>
  <c r="I48" i="1"/>
  <c r="H48" i="1"/>
  <c r="G48" i="1"/>
  <c r="F48" i="1"/>
  <c r="I47" i="1"/>
  <c r="J46" i="1"/>
  <c r="I46" i="1"/>
  <c r="H46" i="1"/>
  <c r="G46" i="1"/>
  <c r="F46" i="1"/>
  <c r="I45" i="1"/>
  <c r="H37" i="1"/>
  <c r="G37" i="1"/>
  <c r="F37" i="1"/>
  <c r="K36" i="1"/>
  <c r="J36" i="1"/>
  <c r="I36" i="1"/>
  <c r="H36" i="1"/>
  <c r="G36" i="1"/>
  <c r="F36" i="1"/>
  <c r="E36" i="1"/>
  <c r="M35" i="1"/>
  <c r="L35" i="1"/>
  <c r="I35" i="1"/>
  <c r="H35" i="1"/>
  <c r="G35" i="1"/>
  <c r="F35" i="1"/>
  <c r="O34" i="1"/>
  <c r="K34" i="1"/>
  <c r="J34" i="1"/>
  <c r="I34" i="1"/>
  <c r="H34" i="1"/>
  <c r="G34" i="1"/>
  <c r="F34" i="1"/>
  <c r="E34" i="1"/>
  <c r="M33" i="1"/>
  <c r="L33" i="1"/>
  <c r="H33" i="1"/>
  <c r="G33" i="1"/>
  <c r="F33" i="1"/>
  <c r="O32" i="1"/>
  <c r="K32" i="1"/>
  <c r="J32" i="1"/>
  <c r="I32" i="1"/>
  <c r="H32" i="1"/>
  <c r="G32" i="1"/>
  <c r="F32" i="1"/>
  <c r="E32" i="1"/>
  <c r="I31" i="1"/>
  <c r="H31" i="1"/>
  <c r="G31" i="1"/>
  <c r="F31" i="1"/>
  <c r="K30" i="1"/>
  <c r="J30" i="1"/>
  <c r="I30" i="1"/>
  <c r="H30" i="1"/>
  <c r="G30" i="1"/>
  <c r="F30" i="1"/>
  <c r="E30" i="1"/>
  <c r="M29" i="1"/>
  <c r="L29" i="1"/>
  <c r="I29" i="1"/>
  <c r="H29" i="1"/>
  <c r="G29" i="1"/>
  <c r="F29" i="1"/>
  <c r="K28" i="1"/>
  <c r="J28" i="1"/>
  <c r="I28" i="1"/>
  <c r="H28" i="1"/>
  <c r="G28" i="1"/>
  <c r="F28" i="1"/>
  <c r="E28" i="1"/>
  <c r="I27" i="1"/>
  <c r="H27" i="1"/>
  <c r="G27" i="1"/>
  <c r="F27" i="1"/>
  <c r="K26" i="1"/>
  <c r="J26" i="1"/>
  <c r="I26" i="1"/>
  <c r="H26" i="1"/>
  <c r="G26" i="1"/>
  <c r="F26" i="1"/>
  <c r="E26" i="1"/>
  <c r="I25" i="1"/>
  <c r="H25" i="1"/>
  <c r="G25" i="1"/>
  <c r="F25" i="1"/>
  <c r="I24" i="1"/>
  <c r="H24" i="1"/>
  <c r="G24" i="1"/>
  <c r="F24" i="1"/>
  <c r="E24" i="1"/>
  <c r="M23" i="1"/>
  <c r="L23" i="1"/>
  <c r="I23" i="1"/>
  <c r="H23" i="1"/>
  <c r="G23" i="1"/>
  <c r="F23" i="1"/>
  <c r="I22" i="1"/>
  <c r="M21" i="1"/>
  <c r="I21" i="1"/>
  <c r="I20" i="1"/>
  <c r="H20" i="1"/>
  <c r="G20" i="1"/>
  <c r="F20" i="1"/>
  <c r="E20" i="1"/>
  <c r="I19" i="1"/>
  <c r="H19" i="1"/>
  <c r="G19" i="1"/>
  <c r="F19" i="1"/>
  <c r="I18" i="1"/>
  <c r="H18" i="1"/>
  <c r="G18" i="1"/>
  <c r="F18" i="1"/>
  <c r="E18" i="1"/>
  <c r="M17" i="1"/>
  <c r="L17" i="1"/>
  <c r="I17" i="1"/>
  <c r="H17" i="1"/>
  <c r="G17" i="1"/>
  <c r="F17" i="1"/>
  <c r="I16" i="1"/>
  <c r="M15" i="1"/>
  <c r="I15" i="1"/>
  <c r="I14" i="1"/>
  <c r="H14" i="1"/>
  <c r="G14" i="1"/>
  <c r="F14" i="1"/>
  <c r="E14" i="1"/>
  <c r="I13" i="1"/>
  <c r="H13" i="1"/>
  <c r="G13" i="1"/>
  <c r="F13" i="1"/>
  <c r="L12" i="1"/>
  <c r="K12" i="1"/>
  <c r="J12" i="1"/>
  <c r="I12" i="1"/>
  <c r="H12" i="1"/>
  <c r="G12" i="1"/>
  <c r="F12" i="1"/>
  <c r="E12" i="1"/>
  <c r="M11" i="1"/>
  <c r="L11" i="1"/>
  <c r="I11" i="1"/>
  <c r="H11" i="1"/>
  <c r="G11" i="1"/>
  <c r="F11" i="1"/>
  <c r="K10" i="1"/>
  <c r="I10" i="1"/>
  <c r="I9" i="1"/>
  <c r="I8" i="1"/>
  <c r="H8" i="1"/>
  <c r="G8" i="1"/>
  <c r="F8" i="1"/>
  <c r="E8" i="1"/>
  <c r="M362" i="31"/>
  <c r="N362" i="31" s="1"/>
  <c r="M361" i="31"/>
  <c r="N361" i="31" s="1"/>
  <c r="N360" i="31"/>
  <c r="L358" i="31"/>
  <c r="K358" i="31"/>
  <c r="J358" i="31"/>
  <c r="I358" i="31"/>
  <c r="H358" i="31"/>
  <c r="G358" i="31"/>
  <c r="F358" i="31"/>
  <c r="E358" i="31"/>
  <c r="D358" i="31"/>
  <c r="N358" i="31" s="1"/>
  <c r="C358" i="31"/>
  <c r="M358" i="31" s="1"/>
  <c r="N357" i="31"/>
  <c r="M357" i="31"/>
  <c r="N356" i="31"/>
  <c r="M356" i="31"/>
  <c r="N355" i="31"/>
  <c r="M355" i="31"/>
  <c r="N354" i="31"/>
  <c r="M354" i="31"/>
  <c r="N353" i="31"/>
  <c r="M353" i="31"/>
  <c r="N352" i="31"/>
  <c r="M352" i="31"/>
  <c r="N351" i="31"/>
  <c r="M351" i="31"/>
  <c r="A299" i="31"/>
  <c r="A298" i="31"/>
  <c r="A297" i="31"/>
  <c r="A296" i="31"/>
  <c r="A295" i="31"/>
  <c r="A294" i="31"/>
  <c r="A289" i="31"/>
  <c r="A288" i="31"/>
  <c r="A287" i="31"/>
  <c r="A286" i="31"/>
  <c r="A285" i="31"/>
  <c r="N258" i="31"/>
  <c r="N245" i="31"/>
  <c r="N244" i="31"/>
  <c r="N230" i="31"/>
  <c r="N229" i="31"/>
  <c r="N228" i="31"/>
  <c r="N210" i="31"/>
  <c r="N209" i="31"/>
  <c r="N208" i="31"/>
  <c r="N207" i="31"/>
  <c r="G192" i="31" a="1"/>
  <c r="G192" i="31" s="1"/>
  <c r="F192" i="31" a="1"/>
  <c r="F192" i="31" s="1"/>
  <c r="E192" i="31" a="1"/>
  <c r="E192" i="31" s="1"/>
  <c r="G186" i="31" a="1"/>
  <c r="G186" i="31" s="1"/>
  <c r="F186" i="31" a="1"/>
  <c r="F186" i="31" s="1"/>
  <c r="E186" i="31" a="1"/>
  <c r="E186" i="31" s="1"/>
  <c r="G184" i="31" a="1"/>
  <c r="G184" i="31" s="1"/>
  <c r="F184" i="31" a="1"/>
  <c r="F184" i="31" s="1"/>
  <c r="E184" i="31" a="1"/>
  <c r="E184" i="31" s="1"/>
  <c r="G182" i="31" a="1"/>
  <c r="G182" i="31" s="1"/>
  <c r="F182" i="31" a="1"/>
  <c r="F182" i="31" s="1"/>
  <c r="E182" i="31" a="1"/>
  <c r="E182" i="31" s="1"/>
  <c r="G180" i="31" a="1"/>
  <c r="G180" i="31" s="1"/>
  <c r="F180" i="31" a="1"/>
  <c r="F180" i="31" s="1"/>
  <c r="E180" i="31" a="1"/>
  <c r="E180" i="31" s="1"/>
  <c r="G178" i="31" a="1"/>
  <c r="G178" i="31" s="1"/>
  <c r="F178" i="31" a="1"/>
  <c r="F178" i="31" s="1"/>
  <c r="E178" i="31" a="1"/>
  <c r="E178" i="31" s="1"/>
  <c r="G176" i="31" a="1"/>
  <c r="G176" i="31" s="1"/>
  <c r="F176" i="31" a="1"/>
  <c r="F176" i="31" s="1"/>
  <c r="E176" i="31" a="1"/>
  <c r="E176" i="31" s="1"/>
  <c r="G174" i="31" a="1"/>
  <c r="G174" i="31" s="1"/>
  <c r="F174" i="31" a="1"/>
  <c r="F174" i="31" s="1"/>
  <c r="E174" i="31" a="1"/>
  <c r="E174" i="31" s="1"/>
  <c r="G170" i="31" a="1"/>
  <c r="G170" i="31" s="1"/>
  <c r="F170" i="31" a="1"/>
  <c r="F170" i="31" s="1"/>
  <c r="E170" i="31" a="1"/>
  <c r="E170" i="31" s="1"/>
  <c r="G168" i="31" a="1"/>
  <c r="G168" i="31" s="1"/>
  <c r="F168" i="31" a="1"/>
  <c r="F168" i="31" s="1"/>
  <c r="E168" i="31" a="1"/>
  <c r="E168" i="31" s="1"/>
  <c r="G166" i="31" a="1"/>
  <c r="G166" i="31" s="1"/>
  <c r="F166" i="31" a="1"/>
  <c r="F166" i="31" s="1"/>
  <c r="E166" i="31" a="1"/>
  <c r="E166" i="31" s="1"/>
  <c r="G164" i="31" a="1"/>
  <c r="G164" i="31" s="1"/>
  <c r="F164" i="31" a="1"/>
  <c r="F164" i="31" s="1"/>
  <c r="E164" i="31" a="1"/>
  <c r="E164" i="31" s="1"/>
  <c r="G162" i="31" a="1"/>
  <c r="G162" i="31" s="1"/>
  <c r="F162" i="31" a="1"/>
  <c r="F162" i="31" s="1"/>
  <c r="E162" i="31" a="1"/>
  <c r="E162" i="31" s="1"/>
  <c r="G160" i="31" a="1"/>
  <c r="G160" i="31" s="1"/>
  <c r="F160" i="31" a="1"/>
  <c r="F160" i="31" s="1"/>
  <c r="E160" i="31" a="1"/>
  <c r="E160" i="31" s="1"/>
  <c r="G158" i="31" a="1"/>
  <c r="G158" i="31" s="1"/>
  <c r="F158" i="31" a="1"/>
  <c r="F158" i="31" s="1"/>
  <c r="E158" i="31" a="1"/>
  <c r="E158" i="31" s="1"/>
  <c r="G154" i="31" a="1"/>
  <c r="G154" i="31" s="1"/>
  <c r="F154" i="31" a="1"/>
  <c r="F154" i="31" s="1"/>
  <c r="E154" i="31" a="1"/>
  <c r="E154" i="31" s="1"/>
  <c r="G152" i="31" a="1"/>
  <c r="G152" i="31" s="1"/>
  <c r="F152" i="31" a="1"/>
  <c r="F152" i="31" s="1"/>
  <c r="E152" i="31" a="1"/>
  <c r="E152" i="31" s="1"/>
  <c r="G150" i="31" a="1"/>
  <c r="G150" i="31" s="1"/>
  <c r="F150" i="31" a="1"/>
  <c r="F150" i="31" s="1"/>
  <c r="E150" i="31" a="1"/>
  <c r="E150" i="31" s="1"/>
  <c r="G148" i="31" a="1"/>
  <c r="G148" i="31" s="1"/>
  <c r="F148" i="31" a="1"/>
  <c r="F148" i="31" s="1"/>
  <c r="E148" i="31" a="1"/>
  <c r="E148" i="31" s="1"/>
  <c r="G146" i="31" a="1"/>
  <c r="G146" i="31" s="1"/>
  <c r="F146" i="31" a="1"/>
  <c r="F146" i="31" s="1"/>
  <c r="E146" i="31" a="1"/>
  <c r="E146" i="31" s="1"/>
  <c r="G144" i="31" a="1"/>
  <c r="G144" i="31" s="1"/>
  <c r="F144" i="31" a="1"/>
  <c r="F144" i="31" s="1"/>
  <c r="E144" i="31" a="1"/>
  <c r="E144" i="31" s="1"/>
  <c r="G142" i="31" a="1"/>
  <c r="G142" i="31" s="1"/>
  <c r="F142" i="31" a="1"/>
  <c r="F142" i="31" s="1"/>
  <c r="E142" i="31" a="1"/>
  <c r="E142" i="31" s="1"/>
  <c r="G138" i="31" a="1"/>
  <c r="G138" i="31" s="1"/>
  <c r="F138" i="31" a="1"/>
  <c r="F138" i="31" s="1"/>
  <c r="E138" i="31" a="1"/>
  <c r="E138" i="31" s="1"/>
  <c r="G134" i="31" a="1"/>
  <c r="G134" i="31" s="1"/>
  <c r="F134" i="31" a="1"/>
  <c r="F134" i="31" s="1"/>
  <c r="E134" i="31" a="1"/>
  <c r="E134" i="31" s="1"/>
  <c r="G132" i="31" a="1"/>
  <c r="G132" i="31" s="1"/>
  <c r="F132" i="31" a="1"/>
  <c r="F132" i="31" s="1"/>
  <c r="E132" i="31" a="1"/>
  <c r="E132" i="31" s="1"/>
  <c r="G130" i="31" a="1"/>
  <c r="G130" i="31" s="1"/>
  <c r="F130" i="31" a="1"/>
  <c r="F130" i="31" s="1"/>
  <c r="E130" i="31" a="1"/>
  <c r="E130" i="31" s="1"/>
  <c r="G128" i="31" a="1"/>
  <c r="G128" i="31" s="1"/>
  <c r="F128" i="31" a="1"/>
  <c r="F128" i="31" s="1"/>
  <c r="E128" i="31" a="1"/>
  <c r="E128" i="31" s="1"/>
  <c r="G126" i="31" a="1"/>
  <c r="G126" i="31" s="1"/>
  <c r="F126" i="31" a="1"/>
  <c r="F126" i="31" s="1"/>
  <c r="E126" i="31" a="1"/>
  <c r="E126" i="31" s="1"/>
  <c r="G122" i="31" a="1"/>
  <c r="G122" i="31" s="1"/>
  <c r="F122" i="31" a="1"/>
  <c r="F122" i="31" s="1"/>
  <c r="E122" i="31" a="1"/>
  <c r="E122" i="31" s="1"/>
  <c r="G120" i="31" a="1"/>
  <c r="G120" i="31" s="1"/>
  <c r="F120" i="31" a="1"/>
  <c r="F120" i="31" s="1"/>
  <c r="E120" i="31" a="1"/>
  <c r="E120" i="31" s="1"/>
  <c r="G118" i="31" a="1"/>
  <c r="G118" i="31" s="1"/>
  <c r="F118" i="31" a="1"/>
  <c r="F118" i="31" s="1"/>
  <c r="E118" i="31" a="1"/>
  <c r="E118" i="31" s="1"/>
  <c r="G116" i="31" a="1"/>
  <c r="G116" i="31" s="1"/>
  <c r="F116" i="31" a="1"/>
  <c r="F116" i="31" s="1"/>
  <c r="E116" i="31" a="1"/>
  <c r="E116" i="31" s="1"/>
  <c r="G114" i="31" a="1"/>
  <c r="G114" i="31" s="1"/>
  <c r="F114" i="31" a="1"/>
  <c r="F114" i="31" s="1"/>
  <c r="E114" i="31" a="1"/>
  <c r="E114" i="31" s="1"/>
  <c r="G112" i="31" a="1"/>
  <c r="G112" i="31" s="1"/>
  <c r="F112" i="31" a="1"/>
  <c r="F112" i="31" s="1"/>
  <c r="E112" i="31" a="1"/>
  <c r="E112" i="31" s="1"/>
  <c r="G110" i="31" a="1"/>
  <c r="G110" i="31" s="1"/>
  <c r="F110" i="31" a="1"/>
  <c r="F110" i="31" s="1"/>
  <c r="E110" i="31" a="1"/>
  <c r="E110" i="31" s="1"/>
  <c r="G108" i="31" a="1"/>
  <c r="G108" i="31" s="1"/>
  <c r="F108" i="31" a="1"/>
  <c r="F108" i="31" s="1"/>
  <c r="E108" i="31" a="1"/>
  <c r="E108" i="31" s="1"/>
  <c r="G106" i="31" a="1"/>
  <c r="G106" i="31" s="1"/>
  <c r="F106" i="31" a="1"/>
  <c r="F106" i="31" s="1"/>
  <c r="E106" i="31" a="1"/>
  <c r="E106" i="31" s="1"/>
  <c r="G86" i="31" a="1"/>
  <c r="G86" i="31" s="1"/>
  <c r="F86" i="31" a="1"/>
  <c r="F86" i="31" s="1"/>
  <c r="E86" i="31" a="1"/>
  <c r="E86" i="31" s="1"/>
  <c r="G84" i="31" a="1"/>
  <c r="G84" i="31" s="1"/>
  <c r="F84" i="31" a="1"/>
  <c r="F84" i="31" s="1"/>
  <c r="E84" i="31" a="1"/>
  <c r="E84" i="31" s="1"/>
  <c r="G82" i="31" a="1"/>
  <c r="G82" i="31" s="1"/>
  <c r="F82" i="31" a="1"/>
  <c r="F82" i="31" s="1"/>
  <c r="E82" i="31" a="1"/>
  <c r="E82" i="31" s="1"/>
  <c r="G74" i="31" a="1"/>
  <c r="G74" i="31" s="1"/>
  <c r="F74" i="31" a="1"/>
  <c r="F74" i="31" s="1"/>
  <c r="E74" i="31" a="1"/>
  <c r="E74" i="31" s="1"/>
  <c r="G72" i="31" a="1"/>
  <c r="G72" i="31" s="1"/>
  <c r="F72" i="31" a="1"/>
  <c r="F72" i="31" s="1"/>
  <c r="E72" i="31" a="1"/>
  <c r="E72" i="31" s="1"/>
  <c r="G70" i="31" a="1"/>
  <c r="G70" i="31" s="1"/>
  <c r="F70" i="31" a="1"/>
  <c r="F70" i="31" s="1"/>
  <c r="E70" i="31" a="1"/>
  <c r="E70" i="31" s="1"/>
  <c r="G66" i="31" a="1"/>
  <c r="G66" i="31" s="1"/>
  <c r="F66" i="31" a="1"/>
  <c r="F66" i="31" s="1"/>
  <c r="E66" i="31" a="1"/>
  <c r="E66" i="31" s="1"/>
  <c r="G64" i="31" a="1"/>
  <c r="G64" i="31" s="1"/>
  <c r="F64" i="31" a="1"/>
  <c r="F64" i="31" s="1"/>
  <c r="E64" i="31" a="1"/>
  <c r="E64" i="31" s="1"/>
  <c r="G62" i="31" a="1"/>
  <c r="G62" i="31" s="1"/>
  <c r="F62" i="31" a="1"/>
  <c r="F62" i="31" s="1"/>
  <c r="E62" i="31" a="1"/>
  <c r="E62" i="31" s="1"/>
  <c r="G60" i="31" a="1"/>
  <c r="G60" i="31" s="1"/>
  <c r="F60" i="31" a="1"/>
  <c r="F60" i="31" s="1"/>
  <c r="E60" i="31" a="1"/>
  <c r="E60" i="31" s="1"/>
  <c r="G58" i="31" a="1"/>
  <c r="G58" i="31" s="1"/>
  <c r="F58" i="31" a="1"/>
  <c r="F58" i="31" s="1"/>
  <c r="E58" i="31" a="1"/>
  <c r="E58" i="31" s="1"/>
  <c r="G56" i="31" a="1"/>
  <c r="G56" i="31" s="1"/>
  <c r="F56" i="31" a="1"/>
  <c r="F56" i="31" s="1"/>
  <c r="E56" i="31" a="1"/>
  <c r="E56" i="31" s="1"/>
  <c r="G54" i="31" a="1"/>
  <c r="G54" i="31" s="1"/>
  <c r="F54" i="31" a="1"/>
  <c r="F54" i="31" s="1"/>
  <c r="E54" i="31" a="1"/>
  <c r="E54" i="31" s="1"/>
  <c r="G52" i="31" a="1"/>
  <c r="G52" i="31" s="1"/>
  <c r="F52" i="31" a="1"/>
  <c r="F52" i="31" s="1"/>
  <c r="E52" i="31" a="1"/>
  <c r="E52" i="31" s="1"/>
  <c r="L37" i="31"/>
  <c r="N30" i="31"/>
  <c r="J30" i="31"/>
  <c r="N29" i="31"/>
  <c r="J29" i="31"/>
  <c r="N28" i="31"/>
  <c r="J28" i="31"/>
  <c r="N27" i="31"/>
  <c r="J27" i="31"/>
  <c r="N24" i="31"/>
  <c r="J24" i="31"/>
  <c r="N23" i="31"/>
  <c r="J23" i="31"/>
  <c r="N22" i="31"/>
  <c r="J22" i="31"/>
  <c r="N21" i="31"/>
  <c r="J21" i="31"/>
  <c r="N18" i="31"/>
  <c r="J18" i="31"/>
  <c r="N17" i="31"/>
  <c r="J17" i="31"/>
  <c r="N16" i="31"/>
  <c r="J16" i="31"/>
  <c r="N15" i="31"/>
  <c r="J15" i="31"/>
  <c r="N12" i="31"/>
  <c r="J12" i="31"/>
  <c r="N11" i="31"/>
  <c r="J11" i="31"/>
  <c r="N10" i="31"/>
  <c r="J10" i="31"/>
  <c r="N9" i="31"/>
  <c r="J9" i="31"/>
  <c r="H29" i="31"/>
  <c r="L16" i="31"/>
  <c r="V34" i="25"/>
  <c r="Q34" i="25"/>
  <c r="L34" i="25"/>
  <c r="G34" i="25"/>
  <c r="B34" i="25"/>
  <c r="Z33" i="25"/>
  <c r="Y33" i="25"/>
  <c r="X33" i="25"/>
  <c r="W33" i="25"/>
  <c r="V33" i="25"/>
  <c r="U33" i="25"/>
  <c r="T33" i="25"/>
  <c r="S33" i="25"/>
  <c r="R33" i="25"/>
  <c r="Q33" i="25"/>
  <c r="P33" i="25"/>
  <c r="O33" i="25"/>
  <c r="N33" i="25"/>
  <c r="M33" i="25"/>
  <c r="L33" i="25"/>
  <c r="K33" i="25"/>
  <c r="J33" i="25"/>
  <c r="I33" i="25"/>
  <c r="H33" i="25"/>
  <c r="G33" i="25"/>
  <c r="F33" i="25"/>
  <c r="E33" i="25"/>
  <c r="D33" i="25"/>
  <c r="C33" i="25"/>
  <c r="B33" i="25"/>
  <c r="K26" i="25"/>
  <c r="J26" i="25"/>
  <c r="I26" i="25"/>
  <c r="H26" i="25"/>
  <c r="G26" i="25"/>
  <c r="F26" i="25"/>
  <c r="E26" i="25"/>
  <c r="D26" i="25"/>
  <c r="C26" i="25"/>
  <c r="B26" i="25"/>
  <c r="U25" i="25"/>
  <c r="T25" i="25"/>
  <c r="S25" i="25"/>
  <c r="R25" i="25"/>
  <c r="Q25" i="25"/>
  <c r="P25" i="25"/>
  <c r="O25" i="25"/>
  <c r="N25" i="25"/>
  <c r="M25" i="25"/>
  <c r="L25" i="25"/>
  <c r="K25" i="25"/>
  <c r="J25" i="25"/>
  <c r="I25" i="25"/>
  <c r="H25" i="25"/>
  <c r="G25" i="25"/>
  <c r="F25" i="25"/>
  <c r="E25" i="25"/>
  <c r="D25" i="25"/>
  <c r="C25" i="25"/>
  <c r="B25" i="25"/>
  <c r="P24" i="25"/>
  <c r="O24" i="25"/>
  <c r="N24" i="25"/>
  <c r="M24" i="25"/>
  <c r="L24" i="25"/>
  <c r="K24" i="25"/>
  <c r="J24" i="25"/>
  <c r="I24" i="25"/>
  <c r="H24" i="25"/>
  <c r="G24" i="25"/>
  <c r="F24" i="25"/>
  <c r="E24" i="25"/>
  <c r="D24" i="25"/>
  <c r="C24" i="25"/>
  <c r="B24" i="25"/>
  <c r="K23" i="25"/>
  <c r="J23" i="25"/>
  <c r="I23" i="25"/>
  <c r="H23" i="25"/>
  <c r="G23" i="25"/>
  <c r="F23" i="25"/>
  <c r="E23" i="25"/>
  <c r="D23" i="25"/>
  <c r="C23" i="25"/>
  <c r="B23" i="25"/>
  <c r="F22" i="25"/>
  <c r="E22" i="25"/>
  <c r="D22" i="25"/>
  <c r="C22" i="25"/>
  <c r="B22" i="25"/>
  <c r="P21" i="25"/>
  <c r="O21" i="25"/>
  <c r="N21" i="25"/>
  <c r="L21" i="25"/>
  <c r="I13" i="25"/>
  <c r="F13" i="25"/>
  <c r="D13" i="25"/>
  <c r="C13" i="25"/>
  <c r="J12" i="25"/>
  <c r="I12" i="25"/>
  <c r="H12" i="25"/>
  <c r="G12" i="25"/>
  <c r="F12" i="25"/>
  <c r="E12" i="25"/>
  <c r="D12" i="25"/>
  <c r="C12" i="25"/>
  <c r="J11" i="25"/>
  <c r="I11" i="25"/>
  <c r="H11" i="25"/>
  <c r="G11" i="25"/>
  <c r="F11" i="25"/>
  <c r="E11" i="25"/>
  <c r="D11" i="25"/>
  <c r="C11" i="25"/>
  <c r="J10" i="25"/>
  <c r="I10" i="25"/>
  <c r="H10" i="25"/>
  <c r="G10" i="25"/>
  <c r="F10" i="25"/>
  <c r="E10" i="25"/>
  <c r="D10" i="25"/>
  <c r="C10" i="25"/>
  <c r="G9" i="25"/>
  <c r="J8" i="25"/>
  <c r="I8" i="25"/>
  <c r="H8" i="25"/>
  <c r="G8" i="25"/>
  <c r="F8" i="25"/>
  <c r="E8" i="25"/>
  <c r="D8" i="25"/>
  <c r="C8" i="25"/>
  <c r="J7" i="25"/>
  <c r="I7" i="25"/>
  <c r="H7" i="25"/>
  <c r="G7" i="25"/>
  <c r="F7" i="25"/>
  <c r="E7" i="25"/>
  <c r="D7" i="25"/>
  <c r="C7" i="25"/>
  <c r="V34" i="3"/>
  <c r="Q34" i="3"/>
  <c r="L34" i="3"/>
  <c r="G34" i="3"/>
  <c r="B34" i="3"/>
  <c r="Z33" i="3"/>
  <c r="Y33" i="3"/>
  <c r="X33" i="3"/>
  <c r="W33" i="3"/>
  <c r="V33" i="3"/>
  <c r="U33" i="3"/>
  <c r="T33" i="3"/>
  <c r="S33" i="3"/>
  <c r="R33" i="3"/>
  <c r="Q33" i="3"/>
  <c r="P33" i="3"/>
  <c r="O33" i="3"/>
  <c r="N33" i="3"/>
  <c r="M33" i="3"/>
  <c r="L33" i="3"/>
  <c r="K33" i="3"/>
  <c r="J33" i="3"/>
  <c r="I33" i="3"/>
  <c r="H33" i="3"/>
  <c r="G33" i="3"/>
  <c r="F33" i="3"/>
  <c r="E33" i="3"/>
  <c r="D33" i="3"/>
  <c r="C33" i="3"/>
  <c r="B33" i="3"/>
  <c r="K26" i="3"/>
  <c r="J26" i="3"/>
  <c r="I26" i="3"/>
  <c r="H26" i="3"/>
  <c r="G26" i="3"/>
  <c r="F26" i="3"/>
  <c r="E26" i="3"/>
  <c r="D26" i="3"/>
  <c r="C26" i="3"/>
  <c r="B26" i="3"/>
  <c r="U25" i="3"/>
  <c r="T25" i="3"/>
  <c r="S25" i="3"/>
  <c r="R25" i="3"/>
  <c r="Q25" i="3"/>
  <c r="P25" i="3"/>
  <c r="O25" i="3"/>
  <c r="N25" i="3"/>
  <c r="M25" i="3"/>
  <c r="L25" i="3"/>
  <c r="K25" i="3"/>
  <c r="J25" i="3"/>
  <c r="I25" i="3"/>
  <c r="H25" i="3"/>
  <c r="G25" i="3"/>
  <c r="F25" i="3"/>
  <c r="E25" i="3"/>
  <c r="D25" i="3"/>
  <c r="C25" i="3"/>
  <c r="B25" i="3"/>
  <c r="P24" i="3"/>
  <c r="O24" i="3"/>
  <c r="N24" i="3"/>
  <c r="M24" i="3"/>
  <c r="L24" i="3"/>
  <c r="K24" i="3"/>
  <c r="J24" i="3"/>
  <c r="I24" i="3"/>
  <c r="H24" i="3"/>
  <c r="G24" i="3"/>
  <c r="F24" i="3"/>
  <c r="E24" i="3"/>
  <c r="D24" i="3"/>
  <c r="C24" i="3"/>
  <c r="B24" i="3"/>
  <c r="K23" i="3"/>
  <c r="J23" i="3"/>
  <c r="I23" i="3"/>
  <c r="H23" i="3"/>
  <c r="G23" i="3"/>
  <c r="F23" i="3"/>
  <c r="E23" i="3"/>
  <c r="D23" i="3"/>
  <c r="C23" i="3"/>
  <c r="B23" i="3"/>
  <c r="F22" i="3"/>
  <c r="E22" i="3"/>
  <c r="D22" i="3"/>
  <c r="C22" i="3"/>
  <c r="B22" i="3"/>
  <c r="P21" i="3"/>
  <c r="O21" i="3"/>
  <c r="N21" i="3"/>
  <c r="L21" i="3"/>
  <c r="J12" i="3"/>
  <c r="I12" i="3"/>
  <c r="H12" i="3"/>
  <c r="G12" i="3"/>
  <c r="F12" i="3"/>
  <c r="E12" i="3"/>
  <c r="D12" i="3"/>
  <c r="C12" i="3"/>
  <c r="J11" i="3"/>
  <c r="I11" i="3"/>
  <c r="H11" i="3"/>
  <c r="G11" i="3"/>
  <c r="F11" i="3"/>
  <c r="E11" i="3"/>
  <c r="D11" i="3"/>
  <c r="C11" i="3"/>
  <c r="J10" i="3"/>
  <c r="I10" i="3"/>
  <c r="H10" i="3"/>
  <c r="G10" i="3"/>
  <c r="F10" i="3"/>
  <c r="E10" i="3"/>
  <c r="D10" i="3"/>
  <c r="C10" i="3"/>
  <c r="G9" i="3"/>
  <c r="J8" i="3"/>
  <c r="I8" i="3"/>
  <c r="H8" i="3"/>
  <c r="G8" i="3"/>
  <c r="F8" i="3"/>
  <c r="E8" i="3"/>
  <c r="D8" i="3"/>
  <c r="C8" i="3"/>
  <c r="J7" i="3"/>
  <c r="I7" i="3"/>
  <c r="H7" i="3"/>
  <c r="G7" i="3"/>
  <c r="F7" i="3"/>
  <c r="E7" i="3"/>
  <c r="D7" i="3"/>
  <c r="C7" i="3"/>
  <c r="H78" i="6"/>
  <c r="G78" i="6"/>
  <c r="F78" i="6"/>
  <c r="H77" i="6"/>
  <c r="G77" i="6"/>
  <c r="F77" i="6"/>
  <c r="H76" i="6"/>
  <c r="G76" i="6"/>
  <c r="F76" i="6"/>
  <c r="H75" i="6"/>
  <c r="G75" i="6"/>
  <c r="F75" i="6"/>
  <c r="H71" i="6"/>
  <c r="G71" i="6"/>
  <c r="F71" i="6"/>
  <c r="E71" i="6"/>
  <c r="D71" i="6"/>
  <c r="Y70" i="6"/>
  <c r="X70" i="6"/>
  <c r="W70" i="6"/>
  <c r="V70" i="6"/>
  <c r="U70" i="6"/>
  <c r="T70" i="6"/>
  <c r="S70" i="6"/>
  <c r="R70" i="6"/>
  <c r="Q70" i="6"/>
  <c r="P70" i="6"/>
  <c r="O70" i="6"/>
  <c r="N70" i="6"/>
  <c r="M70" i="6"/>
  <c r="G70" i="6"/>
  <c r="F70" i="6"/>
  <c r="E70" i="6"/>
  <c r="D70" i="6"/>
  <c r="Y69" i="6"/>
  <c r="Y68" i="6"/>
  <c r="H68" i="6"/>
  <c r="G68" i="6"/>
  <c r="F68" i="6"/>
  <c r="E68" i="6"/>
  <c r="D68" i="6"/>
  <c r="Y67" i="6"/>
  <c r="G67" i="6"/>
  <c r="F67" i="6"/>
  <c r="E67" i="6"/>
  <c r="D67" i="6"/>
  <c r="Y66" i="6"/>
  <c r="Q66" i="6"/>
  <c r="M66" i="6"/>
  <c r="Y65" i="6"/>
  <c r="M65" i="6"/>
  <c r="H65" i="6"/>
  <c r="G65" i="6"/>
  <c r="F65" i="6"/>
  <c r="E65" i="6"/>
  <c r="D65" i="6"/>
  <c r="Y64" i="6"/>
  <c r="Q64" i="6"/>
  <c r="M64" i="6"/>
  <c r="G64" i="6"/>
  <c r="F64" i="6"/>
  <c r="E64" i="6"/>
  <c r="D64" i="6"/>
  <c r="Y63" i="6"/>
  <c r="Q63" i="6"/>
  <c r="M63" i="6"/>
  <c r="Y62" i="6"/>
  <c r="Q62" i="6"/>
  <c r="M62" i="6"/>
  <c r="H62" i="6"/>
  <c r="G62" i="6"/>
  <c r="F62" i="6"/>
  <c r="E62" i="6"/>
  <c r="D62" i="6"/>
  <c r="Y61" i="6"/>
  <c r="Q61" i="6"/>
  <c r="M61" i="6"/>
  <c r="G61" i="6"/>
  <c r="F61" i="6"/>
  <c r="E61" i="6"/>
  <c r="D61" i="6"/>
  <c r="Y60" i="6"/>
  <c r="Q60" i="6"/>
  <c r="M60" i="6"/>
  <c r="Y59" i="6"/>
  <c r="Q59" i="6"/>
  <c r="M59" i="6"/>
  <c r="H59" i="6"/>
  <c r="G59" i="6"/>
  <c r="F59" i="6"/>
  <c r="E59" i="6"/>
  <c r="D59" i="6"/>
  <c r="Y58" i="6"/>
  <c r="Q58" i="6"/>
  <c r="M58" i="6"/>
  <c r="G58" i="6"/>
  <c r="F58" i="6"/>
  <c r="E58" i="6"/>
  <c r="D58" i="6"/>
  <c r="Y57" i="6"/>
  <c r="Q57" i="6"/>
  <c r="M57" i="6"/>
  <c r="Y56" i="6"/>
  <c r="Q56" i="6"/>
  <c r="M56" i="6"/>
  <c r="H56" i="6"/>
  <c r="G56" i="6"/>
  <c r="F56" i="6"/>
  <c r="E56" i="6"/>
  <c r="D56" i="6"/>
  <c r="Y55" i="6"/>
  <c r="Q55" i="6"/>
  <c r="M55" i="6"/>
  <c r="G55" i="6"/>
  <c r="F55" i="6"/>
  <c r="E55" i="6"/>
  <c r="D55" i="6"/>
  <c r="H53" i="6"/>
  <c r="G53" i="6"/>
  <c r="F53" i="6"/>
  <c r="E53" i="6"/>
  <c r="D53" i="6"/>
  <c r="G52" i="6"/>
  <c r="F52" i="6"/>
  <c r="E52" i="6"/>
  <c r="D52" i="6"/>
  <c r="Y51" i="6"/>
  <c r="R51" i="6"/>
  <c r="Q51" i="6"/>
  <c r="O51" i="6"/>
  <c r="N51" i="6"/>
  <c r="M51" i="6"/>
  <c r="Y50" i="6"/>
  <c r="R50" i="6"/>
  <c r="Q50" i="6"/>
  <c r="O50" i="6"/>
  <c r="N50" i="6"/>
  <c r="M50" i="6"/>
  <c r="H50" i="6"/>
  <c r="G50" i="6"/>
  <c r="F50" i="6"/>
  <c r="E50" i="6"/>
  <c r="D50" i="6"/>
  <c r="Y49" i="6"/>
  <c r="R49" i="6"/>
  <c r="Q49" i="6"/>
  <c r="O49" i="6"/>
  <c r="N49" i="6"/>
  <c r="M49" i="6"/>
  <c r="G49" i="6"/>
  <c r="F49" i="6"/>
  <c r="E49" i="6"/>
  <c r="D49" i="6"/>
  <c r="Y48" i="6"/>
  <c r="R48" i="6"/>
  <c r="Q48" i="6"/>
  <c r="O48" i="6"/>
  <c r="Y47" i="6"/>
  <c r="R47" i="6"/>
  <c r="Q47" i="6"/>
  <c r="O47" i="6"/>
  <c r="H47" i="6"/>
  <c r="G47" i="6"/>
  <c r="F47" i="6"/>
  <c r="E47" i="6"/>
  <c r="D47" i="6"/>
  <c r="Y46" i="6"/>
  <c r="R46" i="6"/>
  <c r="Q46" i="6"/>
  <c r="O46" i="6"/>
  <c r="G46" i="6"/>
  <c r="F46" i="6"/>
  <c r="E46" i="6"/>
  <c r="D46" i="6"/>
  <c r="Y45" i="6"/>
  <c r="R45" i="6"/>
  <c r="Q45" i="6"/>
  <c r="O45" i="6"/>
  <c r="Y44" i="6"/>
  <c r="Q44" i="6"/>
  <c r="H44" i="6"/>
  <c r="G44" i="6"/>
  <c r="F44" i="6"/>
  <c r="E44" i="6"/>
  <c r="D44" i="6"/>
  <c r="Y43" i="6"/>
  <c r="R43" i="6"/>
  <c r="Q43" i="6"/>
  <c r="O43" i="6"/>
  <c r="G43" i="6"/>
  <c r="F43" i="6"/>
  <c r="E43" i="6"/>
  <c r="D43" i="6"/>
  <c r="Y42" i="6"/>
  <c r="R42" i="6"/>
  <c r="Q42" i="6"/>
  <c r="O42" i="6"/>
  <c r="N42" i="6"/>
  <c r="Y41" i="6"/>
  <c r="Q41" i="6"/>
  <c r="N41" i="6"/>
  <c r="H41" i="6"/>
  <c r="G41" i="6"/>
  <c r="F41" i="6"/>
  <c r="E41" i="6"/>
  <c r="D41" i="6"/>
  <c r="Y40" i="6"/>
  <c r="R40" i="6"/>
  <c r="Q40" i="6"/>
  <c r="O40" i="6"/>
  <c r="N40" i="6"/>
  <c r="G40" i="6"/>
  <c r="F40" i="6"/>
  <c r="E40" i="6"/>
  <c r="D40" i="6"/>
  <c r="Y39" i="6"/>
  <c r="R39" i="6"/>
  <c r="Q39" i="6"/>
  <c r="O39" i="6"/>
  <c r="Y38" i="6"/>
  <c r="R38" i="6"/>
  <c r="Q38" i="6"/>
  <c r="O38" i="6"/>
  <c r="H38" i="6"/>
  <c r="G38" i="6"/>
  <c r="F38" i="6"/>
  <c r="E38" i="6"/>
  <c r="D38" i="6"/>
  <c r="Y37" i="6"/>
  <c r="R37" i="6"/>
  <c r="Q37" i="6"/>
  <c r="O37" i="6"/>
  <c r="G37" i="6"/>
  <c r="F37" i="6"/>
  <c r="E37" i="6"/>
  <c r="D37" i="6"/>
  <c r="Y36" i="6"/>
  <c r="R36" i="6"/>
  <c r="Q36" i="6"/>
  <c r="O36" i="6"/>
  <c r="M36" i="6"/>
  <c r="Y35" i="6"/>
  <c r="Q35" i="6"/>
  <c r="M35" i="6"/>
  <c r="H35" i="6"/>
  <c r="G35" i="6"/>
  <c r="F35" i="6"/>
  <c r="E35" i="6"/>
  <c r="D35" i="6"/>
  <c r="Y34" i="6"/>
  <c r="R34" i="6"/>
  <c r="Q34" i="6"/>
  <c r="O34" i="6"/>
  <c r="M34" i="6"/>
  <c r="G34" i="6"/>
  <c r="F34" i="6"/>
  <c r="E34" i="6"/>
  <c r="D34" i="6"/>
  <c r="Y33" i="6"/>
  <c r="R33" i="6"/>
  <c r="Q33" i="6"/>
  <c r="O33" i="6"/>
  <c r="N33" i="6"/>
  <c r="M33" i="6"/>
  <c r="Y32" i="6"/>
  <c r="Q32" i="6"/>
  <c r="N32" i="6"/>
  <c r="M32" i="6"/>
  <c r="H32" i="6"/>
  <c r="G32" i="6"/>
  <c r="F32" i="6"/>
  <c r="E32" i="6"/>
  <c r="D32" i="6"/>
  <c r="Y31" i="6"/>
  <c r="R31" i="6"/>
  <c r="Q31" i="6"/>
  <c r="O31" i="6"/>
  <c r="N31" i="6"/>
  <c r="M31" i="6"/>
  <c r="G31" i="6"/>
  <c r="F31" i="6"/>
  <c r="E31" i="6"/>
  <c r="D31" i="6"/>
  <c r="Y30" i="6"/>
  <c r="Y29" i="6"/>
  <c r="H29" i="6"/>
  <c r="G29" i="6"/>
  <c r="F29" i="6"/>
  <c r="E29" i="6"/>
  <c r="D29" i="6"/>
  <c r="Y28" i="6"/>
  <c r="G28" i="6"/>
  <c r="F28" i="6"/>
  <c r="E28" i="6"/>
  <c r="D28" i="6"/>
  <c r="Y27" i="6"/>
  <c r="R27" i="6"/>
  <c r="Q27" i="6"/>
  <c r="O27" i="6"/>
  <c r="N27" i="6"/>
  <c r="M27" i="6"/>
  <c r="Y26" i="6"/>
  <c r="R26" i="6"/>
  <c r="Q26" i="6"/>
  <c r="O26" i="6"/>
  <c r="N26" i="6"/>
  <c r="M26" i="6"/>
  <c r="H26" i="6"/>
  <c r="G26" i="6"/>
  <c r="F26" i="6"/>
  <c r="E26" i="6"/>
  <c r="D26" i="6"/>
  <c r="Y25" i="6"/>
  <c r="R25" i="6"/>
  <c r="Q25" i="6"/>
  <c r="O25" i="6"/>
  <c r="N25" i="6"/>
  <c r="M25" i="6"/>
  <c r="G25" i="6"/>
  <c r="F25" i="6"/>
  <c r="E25" i="6"/>
  <c r="D25" i="6"/>
  <c r="H23" i="6"/>
  <c r="G23" i="6"/>
  <c r="F23" i="6"/>
  <c r="E23" i="6"/>
  <c r="D23" i="6"/>
  <c r="G22" i="6"/>
  <c r="F22" i="6"/>
  <c r="E22" i="6"/>
  <c r="D22" i="6"/>
  <c r="Y21" i="6"/>
  <c r="Q21" i="6"/>
  <c r="Y20" i="6"/>
  <c r="Q20" i="6"/>
  <c r="H20" i="6"/>
  <c r="G20" i="6"/>
  <c r="F20" i="6"/>
  <c r="E20" i="6"/>
  <c r="D20" i="6"/>
  <c r="Y19" i="6"/>
  <c r="Q19" i="6"/>
  <c r="G19" i="6"/>
  <c r="F19" i="6"/>
  <c r="E19" i="6"/>
  <c r="D19" i="6"/>
  <c r="Y18" i="6"/>
  <c r="Q18" i="6"/>
  <c r="O18" i="6"/>
  <c r="M18" i="6"/>
  <c r="Y17" i="6"/>
  <c r="Q17" i="6"/>
  <c r="M17" i="6"/>
  <c r="H17" i="6"/>
  <c r="G17" i="6"/>
  <c r="F17" i="6"/>
  <c r="E17" i="6"/>
  <c r="D17" i="6"/>
  <c r="Y16" i="6"/>
  <c r="Q16" i="6"/>
  <c r="O16" i="6"/>
  <c r="M16" i="6"/>
  <c r="G16" i="6"/>
  <c r="F16" i="6"/>
  <c r="E16" i="6"/>
  <c r="D16" i="6"/>
  <c r="Y15" i="6"/>
  <c r="O15" i="6"/>
  <c r="M15" i="6"/>
  <c r="Y14" i="6"/>
  <c r="M14" i="6"/>
  <c r="H14" i="6"/>
  <c r="G14" i="6"/>
  <c r="F14" i="6"/>
  <c r="E14" i="6"/>
  <c r="D14" i="6"/>
  <c r="Y13" i="6"/>
  <c r="O13" i="6"/>
  <c r="M13" i="6"/>
  <c r="G13" i="6"/>
  <c r="F13" i="6"/>
  <c r="E13" i="6"/>
  <c r="D13" i="6"/>
  <c r="Y12" i="6"/>
  <c r="Y11" i="6"/>
  <c r="H11" i="6"/>
  <c r="G11" i="6"/>
  <c r="F11" i="6"/>
  <c r="E11" i="6"/>
  <c r="D11" i="6"/>
  <c r="Y10" i="6"/>
  <c r="G10" i="6"/>
  <c r="F10" i="6"/>
  <c r="E10" i="6"/>
  <c r="D10" i="6"/>
  <c r="Y9" i="6"/>
  <c r="Q9" i="6"/>
  <c r="O9" i="6"/>
  <c r="M9" i="6"/>
  <c r="Y8" i="6"/>
  <c r="Q8" i="6"/>
  <c r="O8" i="6"/>
  <c r="M8" i="6"/>
  <c r="H8" i="6"/>
  <c r="G8" i="6"/>
  <c r="F8" i="6"/>
  <c r="E8" i="6"/>
  <c r="D8" i="6"/>
  <c r="Y7" i="6"/>
  <c r="Q7" i="6"/>
  <c r="O7" i="6"/>
  <c r="M7" i="6"/>
  <c r="G7" i="6"/>
  <c r="F7" i="6"/>
  <c r="E7" i="6"/>
  <c r="D7" i="6"/>
  <c r="H137" i="17"/>
  <c r="G137" i="17"/>
  <c r="F137" i="17"/>
  <c r="H136" i="17"/>
  <c r="G136" i="17"/>
  <c r="F136" i="17"/>
  <c r="H135" i="17"/>
  <c r="G135" i="17"/>
  <c r="F135" i="17"/>
  <c r="H134" i="17"/>
  <c r="F134" i="17"/>
  <c r="H133" i="17"/>
  <c r="F133" i="17"/>
  <c r="H132" i="17"/>
  <c r="F132" i="17"/>
  <c r="H128" i="17"/>
  <c r="G128" i="17"/>
  <c r="F128" i="17"/>
  <c r="E128" i="17"/>
  <c r="D128" i="17"/>
  <c r="Y127" i="17"/>
  <c r="X127" i="17"/>
  <c r="W127" i="17"/>
  <c r="V127" i="17"/>
  <c r="U127" i="17"/>
  <c r="T127" i="17"/>
  <c r="S127" i="17"/>
  <c r="R127" i="17"/>
  <c r="Q127" i="17"/>
  <c r="P127" i="17"/>
  <c r="O127" i="17"/>
  <c r="N127" i="17"/>
  <c r="M127" i="17"/>
  <c r="G127" i="17"/>
  <c r="F127" i="17"/>
  <c r="E127" i="17"/>
  <c r="D127" i="17"/>
  <c r="Y126" i="17"/>
  <c r="Y125" i="17"/>
  <c r="G125" i="17"/>
  <c r="F125" i="17"/>
  <c r="E125" i="17"/>
  <c r="D125" i="17"/>
  <c r="Y124" i="17"/>
  <c r="G124" i="17"/>
  <c r="F124" i="17"/>
  <c r="E124" i="17"/>
  <c r="D124" i="17"/>
  <c r="Y123" i="17"/>
  <c r="Q123" i="17"/>
  <c r="Y122" i="17"/>
  <c r="Q122" i="17"/>
  <c r="G122" i="17"/>
  <c r="F122" i="17"/>
  <c r="E122" i="17"/>
  <c r="D122" i="17"/>
  <c r="Y121" i="17"/>
  <c r="Q121" i="17"/>
  <c r="H121" i="17"/>
  <c r="G121" i="17"/>
  <c r="F121" i="17"/>
  <c r="E121" i="17"/>
  <c r="D121" i="17"/>
  <c r="Y120" i="17"/>
  <c r="Q120" i="17"/>
  <c r="Y119" i="17"/>
  <c r="Q119" i="17"/>
  <c r="G119" i="17"/>
  <c r="F119" i="17"/>
  <c r="E119" i="17"/>
  <c r="D119" i="17"/>
  <c r="Y118" i="17"/>
  <c r="Q118" i="17"/>
  <c r="H118" i="17"/>
  <c r="G118" i="17"/>
  <c r="F118" i="17"/>
  <c r="E118" i="17"/>
  <c r="D118" i="17"/>
  <c r="Y117" i="17"/>
  <c r="Q117" i="17"/>
  <c r="M117" i="17"/>
  <c r="Y116" i="17"/>
  <c r="Q116" i="17"/>
  <c r="M116" i="17"/>
  <c r="G116" i="17"/>
  <c r="F116" i="17"/>
  <c r="E116" i="17"/>
  <c r="D116" i="17"/>
  <c r="Y115" i="17"/>
  <c r="Q115" i="17"/>
  <c r="M115" i="17"/>
  <c r="H115" i="17"/>
  <c r="G115" i="17"/>
  <c r="F115" i="17"/>
  <c r="E115" i="17"/>
  <c r="D115" i="17"/>
  <c r="Y114" i="17"/>
  <c r="Q114" i="17"/>
  <c r="M114" i="17"/>
  <c r="Y113" i="17"/>
  <c r="M113" i="17"/>
  <c r="G113" i="17"/>
  <c r="F113" i="17"/>
  <c r="E113" i="17"/>
  <c r="D113" i="17"/>
  <c r="Y112" i="17"/>
  <c r="Q112" i="17"/>
  <c r="M112" i="17"/>
  <c r="H112" i="17"/>
  <c r="G112" i="17"/>
  <c r="F112" i="17"/>
  <c r="E112" i="17"/>
  <c r="D112" i="17"/>
  <c r="Y111" i="17"/>
  <c r="Q111" i="17"/>
  <c r="M111" i="17"/>
  <c r="Y110" i="17"/>
  <c r="M110" i="17"/>
  <c r="G110" i="17"/>
  <c r="F110" i="17"/>
  <c r="E110" i="17"/>
  <c r="D110" i="17"/>
  <c r="Y109" i="17"/>
  <c r="Q109" i="17"/>
  <c r="M109" i="17"/>
  <c r="H109" i="17"/>
  <c r="G109" i="17"/>
  <c r="F109" i="17"/>
  <c r="E109" i="17"/>
  <c r="D109" i="17"/>
  <c r="Y108" i="17"/>
  <c r="Q108" i="17"/>
  <c r="M108" i="17"/>
  <c r="Y107" i="17"/>
  <c r="M107" i="17"/>
  <c r="G107" i="17"/>
  <c r="F107" i="17"/>
  <c r="E107" i="17"/>
  <c r="D107" i="17"/>
  <c r="Y106" i="17"/>
  <c r="Q106" i="17"/>
  <c r="M106" i="17"/>
  <c r="H106" i="17"/>
  <c r="G106" i="17"/>
  <c r="F106" i="17"/>
  <c r="E106" i="17"/>
  <c r="D106" i="17"/>
  <c r="Y105" i="17"/>
  <c r="Q105" i="17"/>
  <c r="M105" i="17"/>
  <c r="Y104" i="17"/>
  <c r="M104" i="17"/>
  <c r="G104" i="17"/>
  <c r="F104" i="17"/>
  <c r="E104" i="17"/>
  <c r="D104" i="17"/>
  <c r="Y103" i="17"/>
  <c r="Q103" i="17"/>
  <c r="M103" i="17"/>
  <c r="H103" i="17"/>
  <c r="G103" i="17"/>
  <c r="F103" i="17"/>
  <c r="E103" i="17"/>
  <c r="D103" i="17"/>
  <c r="Y102" i="17"/>
  <c r="Y101" i="17"/>
  <c r="G101" i="17"/>
  <c r="F101" i="17"/>
  <c r="E101" i="17"/>
  <c r="D101" i="17"/>
  <c r="Y100" i="17"/>
  <c r="G100" i="17"/>
  <c r="F100" i="17"/>
  <c r="E100" i="17"/>
  <c r="D100" i="17"/>
  <c r="Y99" i="17"/>
  <c r="Q99" i="17"/>
  <c r="Y98" i="17"/>
  <c r="G98" i="17"/>
  <c r="F98" i="17"/>
  <c r="E98" i="17"/>
  <c r="D98" i="17"/>
  <c r="Y97" i="17"/>
  <c r="Q97" i="17"/>
  <c r="H97" i="17"/>
  <c r="G97" i="17"/>
  <c r="F97" i="17"/>
  <c r="E97" i="17"/>
  <c r="D97" i="17"/>
  <c r="Y96" i="17"/>
  <c r="Q96" i="17"/>
  <c r="M96" i="17"/>
  <c r="Y95" i="17"/>
  <c r="M95" i="17"/>
  <c r="G95" i="17"/>
  <c r="F95" i="17"/>
  <c r="E95" i="17"/>
  <c r="D95" i="17"/>
  <c r="Y94" i="17"/>
  <c r="Q94" i="17"/>
  <c r="M94" i="17"/>
  <c r="H94" i="17"/>
  <c r="G94" i="17"/>
  <c r="F94" i="17"/>
  <c r="E94" i="17"/>
  <c r="D94" i="17"/>
  <c r="Y93" i="17"/>
  <c r="Q93" i="17"/>
  <c r="M93" i="17"/>
  <c r="Y92" i="17"/>
  <c r="M92" i="17"/>
  <c r="G92" i="17"/>
  <c r="F92" i="17"/>
  <c r="E92" i="17"/>
  <c r="D92" i="17"/>
  <c r="Y91" i="17"/>
  <c r="Q91" i="17"/>
  <c r="M91" i="17"/>
  <c r="H91" i="17"/>
  <c r="G91" i="17"/>
  <c r="F91" i="17"/>
  <c r="E91" i="17"/>
  <c r="D91" i="17"/>
  <c r="Y90" i="17"/>
  <c r="Q90" i="17"/>
  <c r="M90" i="17"/>
  <c r="Y89" i="17"/>
  <c r="M89" i="17"/>
  <c r="G89" i="17"/>
  <c r="F89" i="17"/>
  <c r="E89" i="17"/>
  <c r="D89" i="17"/>
  <c r="Y88" i="17"/>
  <c r="Q88" i="17"/>
  <c r="M88" i="17"/>
  <c r="H88" i="17"/>
  <c r="G88" i="17"/>
  <c r="F88" i="17"/>
  <c r="E88" i="17"/>
  <c r="D88" i="17"/>
  <c r="Y87" i="17"/>
  <c r="Q87" i="17"/>
  <c r="M87" i="17"/>
  <c r="Y86" i="17"/>
  <c r="Q86" i="17"/>
  <c r="M86" i="17"/>
  <c r="G86" i="17"/>
  <c r="F86" i="17"/>
  <c r="E86" i="17"/>
  <c r="D86" i="17"/>
  <c r="Y85" i="17"/>
  <c r="Q85" i="17"/>
  <c r="M85" i="17"/>
  <c r="H85" i="17"/>
  <c r="G85" i="17"/>
  <c r="F85" i="17"/>
  <c r="E85" i="17"/>
  <c r="D85" i="17"/>
  <c r="Y84" i="17"/>
  <c r="Y83" i="17"/>
  <c r="G83" i="17"/>
  <c r="F83" i="17"/>
  <c r="E83" i="17"/>
  <c r="D83" i="17"/>
  <c r="Y82" i="17"/>
  <c r="G82" i="17"/>
  <c r="F82" i="17"/>
  <c r="E82" i="17"/>
  <c r="D82" i="17"/>
  <c r="Y81" i="17"/>
  <c r="Q81" i="17"/>
  <c r="Y80" i="17"/>
  <c r="H80" i="17"/>
  <c r="G80" i="17"/>
  <c r="F80" i="17"/>
  <c r="E80" i="17"/>
  <c r="D80" i="17"/>
  <c r="Y79" i="17"/>
  <c r="Q79" i="17"/>
  <c r="G79" i="17"/>
  <c r="F79" i="17"/>
  <c r="E79" i="17"/>
  <c r="D79" i="17"/>
  <c r="Y78" i="17"/>
  <c r="Q78" i="17"/>
  <c r="M78" i="17"/>
  <c r="Y77" i="17"/>
  <c r="M77" i="17"/>
  <c r="H77" i="17"/>
  <c r="G77" i="17"/>
  <c r="F77" i="17"/>
  <c r="E77" i="17"/>
  <c r="D77" i="17"/>
  <c r="Y76" i="17"/>
  <c r="Q76" i="17"/>
  <c r="M76" i="17"/>
  <c r="G76" i="17"/>
  <c r="F76" i="17"/>
  <c r="E76" i="17"/>
  <c r="D76" i="17"/>
  <c r="Y75" i="17"/>
  <c r="Q75" i="17"/>
  <c r="M75" i="17"/>
  <c r="Y74" i="17"/>
  <c r="M74" i="17"/>
  <c r="H74" i="17"/>
  <c r="G74" i="17"/>
  <c r="F74" i="17"/>
  <c r="E74" i="17"/>
  <c r="D74" i="17"/>
  <c r="Y73" i="17"/>
  <c r="Q73" i="17"/>
  <c r="M73" i="17"/>
  <c r="G73" i="17"/>
  <c r="F73" i="17"/>
  <c r="E73" i="17"/>
  <c r="D73" i="17"/>
  <c r="Y72" i="17"/>
  <c r="Q72" i="17"/>
  <c r="M72" i="17"/>
  <c r="Y71" i="17"/>
  <c r="M71" i="17"/>
  <c r="H71" i="17"/>
  <c r="G71" i="17"/>
  <c r="F71" i="17"/>
  <c r="E71" i="17"/>
  <c r="D71" i="17"/>
  <c r="Y70" i="17"/>
  <c r="Q70" i="17"/>
  <c r="M70" i="17"/>
  <c r="G70" i="17"/>
  <c r="F70" i="17"/>
  <c r="E70" i="17"/>
  <c r="D70" i="17"/>
  <c r="Y69" i="17"/>
  <c r="Y68" i="17"/>
  <c r="G68" i="17"/>
  <c r="F68" i="17"/>
  <c r="E68" i="17"/>
  <c r="D68" i="17"/>
  <c r="Y67" i="17"/>
  <c r="G67" i="17"/>
  <c r="F67" i="17"/>
  <c r="E67" i="17"/>
  <c r="D67" i="17"/>
  <c r="Y66" i="17"/>
  <c r="Q66" i="17"/>
  <c r="Y65" i="17"/>
  <c r="H65" i="17"/>
  <c r="G65" i="17"/>
  <c r="F65" i="17"/>
  <c r="E65" i="17"/>
  <c r="D65" i="17"/>
  <c r="Y64" i="17"/>
  <c r="Q64" i="17"/>
  <c r="G64" i="17"/>
  <c r="F64" i="17"/>
  <c r="E64" i="17"/>
  <c r="D64" i="17"/>
  <c r="Y63" i="17"/>
  <c r="Q63" i="17"/>
  <c r="Y62" i="17"/>
  <c r="H62" i="17"/>
  <c r="G62" i="17"/>
  <c r="F62" i="17"/>
  <c r="E62" i="17"/>
  <c r="D62" i="17"/>
  <c r="Y61" i="17"/>
  <c r="Q61" i="17"/>
  <c r="G61" i="17"/>
  <c r="F61" i="17"/>
  <c r="E61" i="17"/>
  <c r="D61" i="17"/>
  <c r="Y60" i="17"/>
  <c r="Y59" i="17"/>
  <c r="H59" i="17"/>
  <c r="G59" i="17"/>
  <c r="F59" i="17"/>
  <c r="E59" i="17"/>
  <c r="D59" i="17"/>
  <c r="Y58" i="17"/>
  <c r="G58" i="17"/>
  <c r="F58" i="17"/>
  <c r="E58" i="17"/>
  <c r="D58" i="17"/>
  <c r="Y57" i="17"/>
  <c r="Y56" i="17"/>
  <c r="H56" i="17"/>
  <c r="G56" i="17"/>
  <c r="F56" i="17"/>
  <c r="E56" i="17"/>
  <c r="D56" i="17"/>
  <c r="Y55" i="17"/>
  <c r="G55" i="17"/>
  <c r="F55" i="17"/>
  <c r="E55" i="17"/>
  <c r="D55" i="17"/>
  <c r="Y54" i="17"/>
  <c r="Y53" i="17"/>
  <c r="H53" i="17"/>
  <c r="G53" i="17"/>
  <c r="F53" i="17"/>
  <c r="E53" i="17"/>
  <c r="D53" i="17"/>
  <c r="Y52" i="17"/>
  <c r="G52" i="17"/>
  <c r="F52" i="17"/>
  <c r="E52" i="17"/>
  <c r="D52" i="17"/>
  <c r="Y51" i="17"/>
  <c r="Q51" i="17"/>
  <c r="M51" i="17"/>
  <c r="Y50" i="17"/>
  <c r="M50" i="17"/>
  <c r="H50" i="17"/>
  <c r="G50" i="17"/>
  <c r="F50" i="17"/>
  <c r="E50" i="17"/>
  <c r="D50" i="17"/>
  <c r="Y49" i="17"/>
  <c r="Q49" i="17"/>
  <c r="M49" i="17"/>
  <c r="G49" i="17"/>
  <c r="F49" i="17"/>
  <c r="E49" i="17"/>
  <c r="D49" i="17"/>
  <c r="Y48" i="17"/>
  <c r="M48" i="17"/>
  <c r="Y47" i="17"/>
  <c r="M47" i="17"/>
  <c r="H47" i="17"/>
  <c r="G47" i="17"/>
  <c r="F47" i="17"/>
  <c r="E47" i="17"/>
  <c r="D47" i="17"/>
  <c r="Y46" i="17"/>
  <c r="M46" i="17"/>
  <c r="G46" i="17"/>
  <c r="F46" i="17"/>
  <c r="E46" i="17"/>
  <c r="D46" i="17"/>
  <c r="Y45" i="17"/>
  <c r="Q45" i="17"/>
  <c r="M45" i="17"/>
  <c r="Y44" i="17"/>
  <c r="M44" i="17"/>
  <c r="H44" i="17"/>
  <c r="G44" i="17"/>
  <c r="F44" i="17"/>
  <c r="E44" i="17"/>
  <c r="D44" i="17"/>
  <c r="Y43" i="17"/>
  <c r="Q43" i="17"/>
  <c r="M43" i="17"/>
  <c r="G43" i="17"/>
  <c r="F43" i="17"/>
  <c r="E43" i="17"/>
  <c r="D43" i="17"/>
  <c r="Y42" i="17"/>
  <c r="Q42" i="17"/>
  <c r="M42" i="17"/>
  <c r="Y41" i="17"/>
  <c r="M41" i="17"/>
  <c r="H41" i="17"/>
  <c r="G41" i="17"/>
  <c r="F41" i="17"/>
  <c r="E41" i="17"/>
  <c r="D41" i="17"/>
  <c r="Y40" i="17"/>
  <c r="Q40" i="17"/>
  <c r="M40" i="17"/>
  <c r="G40" i="17"/>
  <c r="F40" i="17"/>
  <c r="E40" i="17"/>
  <c r="D40" i="17"/>
  <c r="Y39" i="17"/>
  <c r="Y38" i="17"/>
  <c r="G38" i="17"/>
  <c r="F38" i="17"/>
  <c r="E38" i="17"/>
  <c r="D38" i="17"/>
  <c r="Y37" i="17"/>
  <c r="G37" i="17"/>
  <c r="F37" i="17"/>
  <c r="E37" i="17"/>
  <c r="D37" i="17"/>
  <c r="Y36" i="17"/>
  <c r="Y35" i="17"/>
  <c r="H35" i="17"/>
  <c r="G35" i="17"/>
  <c r="F35" i="17"/>
  <c r="E35" i="17"/>
  <c r="D35" i="17"/>
  <c r="Y34" i="17"/>
  <c r="G34" i="17"/>
  <c r="F34" i="17"/>
  <c r="E34" i="17"/>
  <c r="D34" i="17"/>
  <c r="Y33" i="17"/>
  <c r="R33" i="17"/>
  <c r="Y32" i="17"/>
  <c r="H32" i="17"/>
  <c r="G32" i="17"/>
  <c r="F32" i="17"/>
  <c r="E32" i="17"/>
  <c r="D32" i="17"/>
  <c r="Y31" i="17"/>
  <c r="R31" i="17"/>
  <c r="G31" i="17"/>
  <c r="F31" i="17"/>
  <c r="E31" i="17"/>
  <c r="D31" i="17"/>
  <c r="Y30" i="17"/>
  <c r="R30" i="17"/>
  <c r="Y29" i="17"/>
  <c r="H29" i="17"/>
  <c r="G29" i="17"/>
  <c r="F29" i="17"/>
  <c r="E29" i="17"/>
  <c r="D29" i="17"/>
  <c r="Y28" i="17"/>
  <c r="R28" i="17"/>
  <c r="G28" i="17"/>
  <c r="F28" i="17"/>
  <c r="E28" i="17"/>
  <c r="D28" i="17"/>
  <c r="Y27" i="17"/>
  <c r="R27" i="17"/>
  <c r="O27" i="17"/>
  <c r="Y26" i="17"/>
  <c r="O26" i="17"/>
  <c r="H26" i="17"/>
  <c r="G26" i="17"/>
  <c r="F26" i="17"/>
  <c r="E26" i="17"/>
  <c r="D26" i="17"/>
  <c r="Y25" i="17"/>
  <c r="R25" i="17"/>
  <c r="O25" i="17"/>
  <c r="G25" i="17"/>
  <c r="F25" i="17"/>
  <c r="E25" i="17"/>
  <c r="D25" i="17"/>
  <c r="Y24" i="17"/>
  <c r="R24" i="17"/>
  <c r="O24" i="17"/>
  <c r="Y23" i="17"/>
  <c r="H23" i="17"/>
  <c r="G23" i="17"/>
  <c r="F23" i="17"/>
  <c r="E23" i="17"/>
  <c r="D23" i="17"/>
  <c r="Y22" i="17"/>
  <c r="R22" i="17"/>
  <c r="O22" i="17"/>
  <c r="G22" i="17"/>
  <c r="F22" i="17"/>
  <c r="E22" i="17"/>
  <c r="D22" i="17"/>
  <c r="Y21" i="17"/>
  <c r="O21" i="17"/>
  <c r="Y20" i="17"/>
  <c r="H20" i="17"/>
  <c r="G20" i="17"/>
  <c r="F20" i="17"/>
  <c r="E20" i="17"/>
  <c r="D20" i="17"/>
  <c r="Y19" i="17"/>
  <c r="O19" i="17"/>
  <c r="G19" i="17"/>
  <c r="F19" i="17"/>
  <c r="E19" i="17"/>
  <c r="D19" i="17"/>
  <c r="Y18" i="17"/>
  <c r="R18" i="17"/>
  <c r="Q18" i="17"/>
  <c r="O18" i="17"/>
  <c r="Y17" i="17"/>
  <c r="H17" i="17"/>
  <c r="G17" i="17"/>
  <c r="F17" i="17"/>
  <c r="E17" i="17"/>
  <c r="D17" i="17"/>
  <c r="Y16" i="17"/>
  <c r="R16" i="17"/>
  <c r="Q16" i="17"/>
  <c r="O16" i="17"/>
  <c r="G16" i="17"/>
  <c r="F16" i="17"/>
  <c r="E16" i="17"/>
  <c r="D16" i="17"/>
  <c r="Y15" i="17"/>
  <c r="R15" i="17"/>
  <c r="Q15" i="17"/>
  <c r="O15" i="17"/>
  <c r="Y14" i="17"/>
  <c r="H14" i="17"/>
  <c r="G14" i="17"/>
  <c r="F14" i="17"/>
  <c r="E14" i="17"/>
  <c r="D14" i="17"/>
  <c r="Y13" i="17"/>
  <c r="R13" i="17"/>
  <c r="Q13" i="17"/>
  <c r="O13" i="17"/>
  <c r="G13" i="17"/>
  <c r="F13" i="17"/>
  <c r="E13" i="17"/>
  <c r="D13" i="17"/>
  <c r="Y12" i="17"/>
  <c r="R12" i="17"/>
  <c r="O12" i="17"/>
  <c r="Y11" i="17"/>
  <c r="O11" i="17"/>
  <c r="H11" i="17"/>
  <c r="G11" i="17"/>
  <c r="F11" i="17"/>
  <c r="E11" i="17"/>
  <c r="D11" i="17"/>
  <c r="Y10" i="17"/>
  <c r="R10" i="17"/>
  <c r="O10" i="17"/>
  <c r="G10" i="17"/>
  <c r="F10" i="17"/>
  <c r="E10" i="17"/>
  <c r="D10" i="17"/>
  <c r="Y9" i="17"/>
  <c r="R9" i="17"/>
  <c r="Q9" i="17"/>
  <c r="O9" i="17"/>
  <c r="Y8" i="17"/>
  <c r="O8" i="17"/>
  <c r="H8" i="17"/>
  <c r="G8" i="17"/>
  <c r="F8" i="17"/>
  <c r="E8" i="17"/>
  <c r="D8" i="17"/>
  <c r="Y7" i="17"/>
  <c r="R7" i="17"/>
  <c r="Q7" i="17"/>
  <c r="O7" i="17"/>
  <c r="G7" i="17"/>
  <c r="F7" i="17"/>
  <c r="E7" i="17"/>
  <c r="D7" i="17"/>
  <c r="H540" i="24"/>
  <c r="G540" i="24"/>
  <c r="F540" i="24"/>
  <c r="I539" i="24"/>
  <c r="H539" i="24"/>
  <c r="G539" i="24"/>
  <c r="F539" i="24"/>
  <c r="E539" i="24"/>
  <c r="M538" i="24"/>
  <c r="I538" i="24"/>
  <c r="H538" i="24"/>
  <c r="G538" i="24"/>
  <c r="F538" i="24"/>
  <c r="K537" i="24"/>
  <c r="J537" i="24"/>
  <c r="I537" i="24"/>
  <c r="H537" i="24"/>
  <c r="G537" i="24"/>
  <c r="F537" i="24"/>
  <c r="E537" i="24"/>
  <c r="H536" i="24"/>
  <c r="G536" i="24"/>
  <c r="F536" i="24"/>
  <c r="K535" i="24"/>
  <c r="J535" i="24"/>
  <c r="I535" i="24"/>
  <c r="H535" i="24"/>
  <c r="G535" i="24"/>
  <c r="F535" i="24"/>
  <c r="E535" i="24"/>
  <c r="M534" i="24"/>
  <c r="I534" i="24"/>
  <c r="H534" i="24"/>
  <c r="G534" i="24"/>
  <c r="F534" i="24"/>
  <c r="K533" i="24"/>
  <c r="J533" i="24"/>
  <c r="I533" i="24"/>
  <c r="H533" i="24"/>
  <c r="G533" i="24"/>
  <c r="F533" i="24"/>
  <c r="E533" i="24"/>
  <c r="J532" i="24"/>
  <c r="H532" i="24"/>
  <c r="G532" i="24"/>
  <c r="F532" i="24"/>
  <c r="E532" i="24"/>
  <c r="K531" i="24"/>
  <c r="J531" i="24"/>
  <c r="I531" i="24"/>
  <c r="H531" i="24"/>
  <c r="G531" i="24"/>
  <c r="F531" i="24"/>
  <c r="E531" i="24"/>
  <c r="M530" i="24"/>
  <c r="I530" i="24"/>
  <c r="K529" i="24"/>
  <c r="J529" i="24"/>
  <c r="I529" i="24"/>
  <c r="H529" i="24"/>
  <c r="G529" i="24"/>
  <c r="F529" i="24"/>
  <c r="E529" i="24"/>
  <c r="I528" i="24"/>
  <c r="K527" i="24"/>
  <c r="J527" i="24"/>
  <c r="I527" i="24"/>
  <c r="H527" i="24"/>
  <c r="G527" i="24"/>
  <c r="F527" i="24"/>
  <c r="E527" i="24"/>
  <c r="M526" i="24"/>
  <c r="I526" i="24"/>
  <c r="M525" i="24"/>
  <c r="I525" i="24"/>
  <c r="H525" i="24"/>
  <c r="G525" i="24"/>
  <c r="F525" i="24"/>
  <c r="E525" i="24"/>
  <c r="I523" i="24"/>
  <c r="H523" i="24"/>
  <c r="G523" i="24"/>
  <c r="F523" i="24"/>
  <c r="E523" i="24"/>
  <c r="M522" i="24"/>
  <c r="I522" i="24"/>
  <c r="I521" i="24"/>
  <c r="H521" i="24"/>
  <c r="G521" i="24"/>
  <c r="F521" i="24"/>
  <c r="E521" i="24"/>
  <c r="I519" i="24"/>
  <c r="H519" i="24"/>
  <c r="G519" i="24"/>
  <c r="F519" i="24"/>
  <c r="E519" i="24"/>
  <c r="M518" i="24"/>
  <c r="I518" i="24"/>
  <c r="I517" i="24"/>
  <c r="H517" i="24"/>
  <c r="G517" i="24"/>
  <c r="F517" i="24"/>
  <c r="E517" i="24"/>
  <c r="I515" i="24"/>
  <c r="H515" i="24"/>
  <c r="G515" i="24"/>
  <c r="F515" i="24"/>
  <c r="E515" i="24"/>
  <c r="M514" i="24"/>
  <c r="I514" i="24"/>
  <c r="I513" i="24"/>
  <c r="H513" i="24"/>
  <c r="G513" i="24"/>
  <c r="F513" i="24"/>
  <c r="E513" i="24"/>
  <c r="I511" i="24"/>
  <c r="H511" i="24"/>
  <c r="G511" i="24"/>
  <c r="F511" i="24"/>
  <c r="E511" i="24"/>
  <c r="M510" i="24"/>
  <c r="I510" i="24"/>
  <c r="I509" i="24"/>
  <c r="H509" i="24"/>
  <c r="G509" i="24"/>
  <c r="F509" i="24"/>
  <c r="E509" i="24"/>
  <c r="I507" i="24"/>
  <c r="H507" i="24"/>
  <c r="G507" i="24"/>
  <c r="F507" i="24"/>
  <c r="E507" i="24"/>
  <c r="M506" i="24"/>
  <c r="I506" i="24"/>
  <c r="I505" i="24"/>
  <c r="H505" i="24"/>
  <c r="G505" i="24"/>
  <c r="F505" i="24"/>
  <c r="E505" i="24"/>
  <c r="I503" i="24"/>
  <c r="H503" i="24"/>
  <c r="G503" i="24"/>
  <c r="F503" i="24"/>
  <c r="E503" i="24"/>
  <c r="M502" i="24"/>
  <c r="I502" i="24"/>
  <c r="J501" i="24"/>
  <c r="I501" i="24"/>
  <c r="H501" i="24"/>
  <c r="G501" i="24"/>
  <c r="F501" i="24"/>
  <c r="E501" i="24"/>
  <c r="I500" i="24"/>
  <c r="J499" i="24"/>
  <c r="I499" i="24"/>
  <c r="H499" i="24"/>
  <c r="G499" i="24"/>
  <c r="F499" i="24"/>
  <c r="E499" i="24"/>
  <c r="M498" i="24"/>
  <c r="I498" i="24"/>
  <c r="I497" i="24"/>
  <c r="H497" i="24"/>
  <c r="G497" i="24"/>
  <c r="F497" i="24"/>
  <c r="E497" i="24"/>
  <c r="I495" i="24"/>
  <c r="H495" i="24"/>
  <c r="G495" i="24"/>
  <c r="F495" i="24"/>
  <c r="E495" i="24"/>
  <c r="M494" i="24"/>
  <c r="I494" i="24"/>
  <c r="I493" i="24"/>
  <c r="H493" i="24"/>
  <c r="G493" i="24"/>
  <c r="F493" i="24"/>
  <c r="E493" i="24"/>
  <c r="I491" i="24"/>
  <c r="H491" i="24"/>
  <c r="G491" i="24"/>
  <c r="F491" i="24"/>
  <c r="E491" i="24"/>
  <c r="M490" i="24"/>
  <c r="I490" i="24"/>
  <c r="I489" i="24"/>
  <c r="H489" i="24"/>
  <c r="G489" i="24"/>
  <c r="F489" i="24"/>
  <c r="E489" i="24"/>
  <c r="I487" i="24"/>
  <c r="H487" i="24"/>
  <c r="G487" i="24"/>
  <c r="F487" i="24"/>
  <c r="E487" i="24"/>
  <c r="M486" i="24"/>
  <c r="I486" i="24"/>
  <c r="I485" i="24"/>
  <c r="H485" i="24"/>
  <c r="G485" i="24"/>
  <c r="F485" i="24"/>
  <c r="E485" i="24"/>
  <c r="I483" i="24"/>
  <c r="H483" i="24"/>
  <c r="G483" i="24"/>
  <c r="F483" i="24"/>
  <c r="E483" i="24"/>
  <c r="M482" i="24"/>
  <c r="I482" i="24"/>
  <c r="K481" i="24"/>
  <c r="J481" i="24"/>
  <c r="I481" i="24"/>
  <c r="H481" i="24"/>
  <c r="G481" i="24"/>
  <c r="F481" i="24"/>
  <c r="E481" i="24"/>
  <c r="I480" i="24"/>
  <c r="K479" i="24"/>
  <c r="J479" i="24"/>
  <c r="I479" i="24"/>
  <c r="H479" i="24"/>
  <c r="G479" i="24"/>
  <c r="F479" i="24"/>
  <c r="E479" i="24"/>
  <c r="M478" i="24"/>
  <c r="I478" i="24"/>
  <c r="I477" i="24"/>
  <c r="H477" i="24"/>
  <c r="G477" i="24"/>
  <c r="F477" i="24"/>
  <c r="E477" i="24"/>
  <c r="I475" i="24"/>
  <c r="H475" i="24"/>
  <c r="G475" i="24"/>
  <c r="F475" i="24"/>
  <c r="E475" i="24"/>
  <c r="M474" i="24"/>
  <c r="I474" i="24"/>
  <c r="I473" i="24"/>
  <c r="H473" i="24"/>
  <c r="G473" i="24"/>
  <c r="F473" i="24"/>
  <c r="E473" i="24"/>
  <c r="I471" i="24"/>
  <c r="H471" i="24"/>
  <c r="G471" i="24"/>
  <c r="F471" i="24"/>
  <c r="E471" i="24"/>
  <c r="M470" i="24"/>
  <c r="I470" i="24"/>
  <c r="I469" i="24"/>
  <c r="H469" i="24"/>
  <c r="G469" i="24"/>
  <c r="F469" i="24"/>
  <c r="E469" i="24"/>
  <c r="I467" i="24"/>
  <c r="H467" i="24"/>
  <c r="G467" i="24"/>
  <c r="F467" i="24"/>
  <c r="E467" i="24"/>
  <c r="H463" i="24"/>
  <c r="G463" i="24"/>
  <c r="F463" i="24"/>
  <c r="I462" i="24"/>
  <c r="H462" i="24"/>
  <c r="G462" i="24"/>
  <c r="F462" i="24"/>
  <c r="E462" i="24"/>
  <c r="M461" i="24"/>
  <c r="I461" i="24"/>
  <c r="H461" i="24"/>
  <c r="G461" i="24"/>
  <c r="F461" i="24"/>
  <c r="K460" i="24"/>
  <c r="J460" i="24"/>
  <c r="I460" i="24"/>
  <c r="H460" i="24"/>
  <c r="G460" i="24"/>
  <c r="F460" i="24"/>
  <c r="E460" i="24"/>
  <c r="K459" i="24"/>
  <c r="J459" i="24"/>
  <c r="H459" i="24"/>
  <c r="G459" i="24"/>
  <c r="F459" i="24"/>
  <c r="K458" i="24"/>
  <c r="J458" i="24"/>
  <c r="I458" i="24"/>
  <c r="H458" i="24"/>
  <c r="G458" i="24"/>
  <c r="F458" i="24"/>
  <c r="E458" i="24"/>
  <c r="M457" i="24"/>
  <c r="I457" i="24"/>
  <c r="I456" i="24"/>
  <c r="H456" i="24"/>
  <c r="G456" i="24"/>
  <c r="F456" i="24"/>
  <c r="E456" i="24"/>
  <c r="M455" i="24"/>
  <c r="I454" i="24"/>
  <c r="H454" i="24"/>
  <c r="G454" i="24"/>
  <c r="F454" i="24"/>
  <c r="E454" i="24"/>
  <c r="M453" i="24"/>
  <c r="I453" i="24"/>
  <c r="I452" i="24"/>
  <c r="H452" i="24"/>
  <c r="G452" i="24"/>
  <c r="F452" i="24"/>
  <c r="E452" i="24"/>
  <c r="M451" i="24"/>
  <c r="I450" i="24"/>
  <c r="H450" i="24"/>
  <c r="G450" i="24"/>
  <c r="F450" i="24"/>
  <c r="E450" i="24"/>
  <c r="M449" i="24"/>
  <c r="I449" i="24"/>
  <c r="I448" i="24"/>
  <c r="H448" i="24"/>
  <c r="G448" i="24"/>
  <c r="F448" i="24"/>
  <c r="E448" i="24"/>
  <c r="M447" i="24"/>
  <c r="I446" i="24"/>
  <c r="H446" i="24"/>
  <c r="G446" i="24"/>
  <c r="F446" i="24"/>
  <c r="E446" i="24"/>
  <c r="M445" i="24"/>
  <c r="I445" i="24"/>
  <c r="I444" i="24"/>
  <c r="H444" i="24"/>
  <c r="G444" i="24"/>
  <c r="F444" i="24"/>
  <c r="E444" i="24"/>
  <c r="M443" i="24"/>
  <c r="I442" i="24"/>
  <c r="H442" i="24"/>
  <c r="G442" i="24"/>
  <c r="F442" i="24"/>
  <c r="E442" i="24"/>
  <c r="M441" i="24"/>
  <c r="I441" i="24"/>
  <c r="I440" i="24"/>
  <c r="H440" i="24"/>
  <c r="G440" i="24"/>
  <c r="F440" i="24"/>
  <c r="E440" i="24"/>
  <c r="M439" i="24"/>
  <c r="I438" i="24"/>
  <c r="H438" i="24"/>
  <c r="G438" i="24"/>
  <c r="F438" i="24"/>
  <c r="E438" i="24"/>
  <c r="M437" i="24"/>
  <c r="I437" i="24"/>
  <c r="I436" i="24"/>
  <c r="H436" i="24"/>
  <c r="G436" i="24"/>
  <c r="F436" i="24"/>
  <c r="E436" i="24"/>
  <c r="M435" i="24"/>
  <c r="I434" i="24"/>
  <c r="H434" i="24"/>
  <c r="G434" i="24"/>
  <c r="F434" i="24"/>
  <c r="E434" i="24"/>
  <c r="M433" i="24"/>
  <c r="I433" i="24"/>
  <c r="I432" i="24"/>
  <c r="H432" i="24"/>
  <c r="G432" i="24"/>
  <c r="F432" i="24"/>
  <c r="E432" i="24"/>
  <c r="M431" i="24"/>
  <c r="I430" i="24"/>
  <c r="H430" i="24"/>
  <c r="G430" i="24"/>
  <c r="F430" i="24"/>
  <c r="E430" i="24"/>
  <c r="M429" i="24"/>
  <c r="I429" i="24"/>
  <c r="I428" i="24"/>
  <c r="H428" i="24"/>
  <c r="G428" i="24"/>
  <c r="F428" i="24"/>
  <c r="E428" i="24"/>
  <c r="I426" i="24"/>
  <c r="H426" i="24"/>
  <c r="G426" i="24"/>
  <c r="F426" i="24"/>
  <c r="E426" i="24"/>
  <c r="M425" i="24"/>
  <c r="I425" i="24"/>
  <c r="I424" i="24"/>
  <c r="H424" i="24"/>
  <c r="G424" i="24"/>
  <c r="F424" i="24"/>
  <c r="E424" i="24"/>
  <c r="I422" i="24"/>
  <c r="H422" i="24"/>
  <c r="G422" i="24"/>
  <c r="F422" i="24"/>
  <c r="E422" i="24"/>
  <c r="M421" i="24"/>
  <c r="I421" i="24"/>
  <c r="I420" i="24"/>
  <c r="H420" i="24"/>
  <c r="G420" i="24"/>
  <c r="F420" i="24"/>
  <c r="E420" i="24"/>
  <c r="I418" i="24"/>
  <c r="H418" i="24"/>
  <c r="G418" i="24"/>
  <c r="F418" i="24"/>
  <c r="E418" i="24"/>
  <c r="M417" i="24"/>
  <c r="I417" i="24"/>
  <c r="I416" i="24"/>
  <c r="H416" i="24"/>
  <c r="G416" i="24"/>
  <c r="F416" i="24"/>
  <c r="E416" i="24"/>
  <c r="M414" i="24"/>
  <c r="I414" i="24"/>
  <c r="H414" i="24"/>
  <c r="G414" i="24"/>
  <c r="F414" i="24"/>
  <c r="E414" i="24"/>
  <c r="F357" i="24"/>
  <c r="E357" i="24"/>
  <c r="C357" i="24"/>
  <c r="G350" i="24"/>
  <c r="F350" i="24"/>
  <c r="G349" i="24"/>
  <c r="F349" i="24"/>
  <c r="G348" i="24"/>
  <c r="F348" i="24"/>
  <c r="G347" i="24"/>
  <c r="F347" i="24"/>
  <c r="G346" i="24"/>
  <c r="F346" i="24"/>
  <c r="I345" i="24"/>
  <c r="H345" i="24"/>
  <c r="G345" i="24"/>
  <c r="F345" i="24"/>
  <c r="E329" i="24"/>
  <c r="E328" i="24"/>
  <c r="E327" i="24"/>
  <c r="E326" i="24"/>
  <c r="E312" i="24"/>
  <c r="G311" i="24"/>
  <c r="E311" i="24"/>
  <c r="G301" i="24"/>
  <c r="AE297" i="24"/>
  <c r="V297" i="24"/>
  <c r="U297" i="24"/>
  <c r="T297" i="24"/>
  <c r="S297" i="24"/>
  <c r="Q297" i="24"/>
  <c r="H297" i="24"/>
  <c r="AE296" i="24"/>
  <c r="V296" i="24"/>
  <c r="U296" i="24"/>
  <c r="T296" i="24"/>
  <c r="S296" i="24"/>
  <c r="Q296" i="24"/>
  <c r="I296" i="24"/>
  <c r="H296" i="24"/>
  <c r="G296" i="24"/>
  <c r="AE295" i="24"/>
  <c r="V295" i="24"/>
  <c r="U295" i="24"/>
  <c r="T295" i="24"/>
  <c r="S295" i="24"/>
  <c r="Q295" i="24"/>
  <c r="I295" i="24"/>
  <c r="H295" i="24"/>
  <c r="G295" i="24"/>
  <c r="AE294" i="24"/>
  <c r="V294" i="24"/>
  <c r="U294" i="24"/>
  <c r="T294" i="24"/>
  <c r="S294" i="24"/>
  <c r="Q294" i="24"/>
  <c r="I294" i="24"/>
  <c r="H294" i="24"/>
  <c r="G294" i="24"/>
  <c r="AE293" i="24"/>
  <c r="V293" i="24"/>
  <c r="T293" i="24"/>
  <c r="S293" i="24"/>
  <c r="H293" i="24"/>
  <c r="G293" i="24"/>
  <c r="AE292" i="24"/>
  <c r="V292" i="24"/>
  <c r="U292" i="24"/>
  <c r="T292" i="24"/>
  <c r="S292" i="24"/>
  <c r="Q292" i="24"/>
  <c r="J292" i="24"/>
  <c r="H292" i="24"/>
  <c r="G292" i="24"/>
  <c r="AE291" i="24"/>
  <c r="V291" i="24"/>
  <c r="U291" i="24"/>
  <c r="T291" i="24"/>
  <c r="S291" i="24"/>
  <c r="Q291" i="24"/>
  <c r="I291" i="24"/>
  <c r="H291" i="24"/>
  <c r="G291" i="24"/>
  <c r="AE289" i="24"/>
  <c r="U289" i="24"/>
  <c r="T289" i="24"/>
  <c r="S289" i="24"/>
  <c r="Q289" i="24"/>
  <c r="Q288" i="24"/>
  <c r="AE287" i="24"/>
  <c r="U287" i="24"/>
  <c r="T287" i="24"/>
  <c r="S287" i="24"/>
  <c r="Q287" i="24"/>
  <c r="H287" i="24"/>
  <c r="AE286" i="24"/>
  <c r="V286" i="24"/>
  <c r="U286" i="24"/>
  <c r="T286" i="24"/>
  <c r="S286" i="24"/>
  <c r="Q286" i="24"/>
  <c r="I286" i="24"/>
  <c r="H286" i="24"/>
  <c r="G286" i="24"/>
  <c r="AE285" i="24"/>
  <c r="V285" i="24"/>
  <c r="U285" i="24"/>
  <c r="T285" i="24"/>
  <c r="S285" i="24"/>
  <c r="Q285" i="24"/>
  <c r="I285" i="24"/>
  <c r="H285" i="24"/>
  <c r="G285" i="24"/>
  <c r="AE284" i="24"/>
  <c r="V284" i="24"/>
  <c r="U284" i="24"/>
  <c r="T284" i="24"/>
  <c r="S284" i="24"/>
  <c r="Q284" i="24"/>
  <c r="M284" i="24"/>
  <c r="I284" i="24"/>
  <c r="H284" i="24"/>
  <c r="G284" i="24"/>
  <c r="AE280" i="24"/>
  <c r="U280" i="24"/>
  <c r="Q280" i="24"/>
  <c r="J280" i="24"/>
  <c r="H280" i="24"/>
  <c r="AE279" i="24"/>
  <c r="U279" i="24"/>
  <c r="Q279" i="24"/>
  <c r="I279" i="24"/>
  <c r="H279" i="24"/>
  <c r="G279" i="24"/>
  <c r="AE278" i="24"/>
  <c r="U278" i="24"/>
  <c r="Q278" i="24"/>
  <c r="J278" i="24"/>
  <c r="H278" i="24"/>
  <c r="G278" i="24"/>
  <c r="AE277" i="24"/>
  <c r="Q277" i="24"/>
  <c r="J277" i="24"/>
  <c r="H277" i="24"/>
  <c r="G277" i="24"/>
  <c r="AE276" i="24"/>
  <c r="U276" i="24"/>
  <c r="Q276" i="24"/>
  <c r="J276" i="24"/>
  <c r="H276" i="24"/>
  <c r="G276" i="24"/>
  <c r="AE275" i="24"/>
  <c r="U275" i="24"/>
  <c r="Q275" i="24"/>
  <c r="J275" i="24"/>
  <c r="H275" i="24"/>
  <c r="G275" i="24"/>
  <c r="AE274" i="24"/>
  <c r="U274" i="24"/>
  <c r="Q274" i="24"/>
  <c r="H274" i="24"/>
  <c r="G274" i="24"/>
  <c r="AE273" i="24"/>
  <c r="U273" i="24"/>
  <c r="Q273" i="24"/>
  <c r="J273" i="24"/>
  <c r="H273" i="24"/>
  <c r="G273" i="24"/>
  <c r="AE272" i="24"/>
  <c r="U272" i="24"/>
  <c r="Q272" i="24"/>
  <c r="J272" i="24"/>
  <c r="H272" i="24"/>
  <c r="G272" i="24"/>
  <c r="AE271" i="24"/>
  <c r="U271" i="24"/>
  <c r="Q271" i="24"/>
  <c r="M271" i="24"/>
  <c r="J271" i="24"/>
  <c r="H271" i="24"/>
  <c r="G271" i="24"/>
  <c r="AE270" i="24"/>
  <c r="U270" i="24"/>
  <c r="Q270" i="24"/>
  <c r="M270" i="24"/>
  <c r="I270" i="24"/>
  <c r="H270" i="24"/>
  <c r="G270" i="24"/>
  <c r="AE269" i="24"/>
  <c r="U269" i="24"/>
  <c r="Q269" i="24"/>
  <c r="M269" i="24"/>
  <c r="I269" i="24"/>
  <c r="H269" i="24"/>
  <c r="G269" i="24"/>
  <c r="AE268" i="24"/>
  <c r="U268" i="24"/>
  <c r="Q268" i="24"/>
  <c r="M268" i="24"/>
  <c r="I268" i="24"/>
  <c r="H268" i="24"/>
  <c r="G268" i="24"/>
  <c r="AE265" i="24"/>
  <c r="U265" i="24"/>
  <c r="T265" i="24"/>
  <c r="H265" i="24"/>
  <c r="AE264" i="24"/>
  <c r="Q264" i="24"/>
  <c r="I264" i="24"/>
  <c r="H264" i="24"/>
  <c r="G264" i="24"/>
  <c r="AE263" i="24"/>
  <c r="U263" i="24"/>
  <c r="T263" i="24"/>
  <c r="Q263" i="24"/>
  <c r="I263" i="24"/>
  <c r="H263" i="24"/>
  <c r="G263" i="24"/>
  <c r="AE262" i="24"/>
  <c r="U262" i="24"/>
  <c r="T262" i="24"/>
  <c r="Q262" i="24"/>
  <c r="J262" i="24"/>
  <c r="H262" i="24"/>
  <c r="G262" i="24"/>
  <c r="AE261" i="24"/>
  <c r="T261" i="24"/>
  <c r="Q261" i="24"/>
  <c r="I261" i="24"/>
  <c r="H261" i="24"/>
  <c r="G261" i="24"/>
  <c r="AE260" i="24"/>
  <c r="U260" i="24"/>
  <c r="T260" i="24"/>
  <c r="Q260" i="24"/>
  <c r="J260" i="24"/>
  <c r="H260" i="24"/>
  <c r="G260" i="24"/>
  <c r="AE259" i="24"/>
  <c r="U259" i="24"/>
  <c r="T259" i="24"/>
  <c r="Q259" i="24"/>
  <c r="I259" i="24"/>
  <c r="H259" i="24"/>
  <c r="G259" i="24"/>
  <c r="AE258" i="24"/>
  <c r="U258" i="24"/>
  <c r="T258" i="24"/>
  <c r="Q258" i="24"/>
  <c r="H258" i="24"/>
  <c r="G258" i="24"/>
  <c r="AE257" i="24"/>
  <c r="U257" i="24"/>
  <c r="T257" i="24"/>
  <c r="Q257" i="24"/>
  <c r="I257" i="24"/>
  <c r="H257" i="24"/>
  <c r="G257" i="24"/>
  <c r="AE256" i="24"/>
  <c r="J256" i="24"/>
  <c r="H256" i="24"/>
  <c r="G256" i="24"/>
  <c r="AE255" i="24"/>
  <c r="U255" i="24"/>
  <c r="T255" i="24"/>
  <c r="Q255" i="24"/>
  <c r="J255" i="24"/>
  <c r="H255" i="24"/>
  <c r="G255" i="24"/>
  <c r="AE254" i="24"/>
  <c r="U254" i="24"/>
  <c r="T254" i="24"/>
  <c r="Q254" i="24"/>
  <c r="M254" i="24"/>
  <c r="J254" i="24"/>
  <c r="H254" i="24"/>
  <c r="G254" i="24"/>
  <c r="AE253" i="24"/>
  <c r="U253" i="24"/>
  <c r="T253" i="24"/>
  <c r="Q253" i="24"/>
  <c r="M253" i="24"/>
  <c r="I253" i="24"/>
  <c r="H253" i="24"/>
  <c r="G253" i="24"/>
  <c r="AE252" i="24"/>
  <c r="U252" i="24"/>
  <c r="Q252" i="24"/>
  <c r="M252" i="24"/>
  <c r="I252" i="24"/>
  <c r="H252" i="24"/>
  <c r="G252" i="24"/>
  <c r="AE251" i="24"/>
  <c r="U251" i="24"/>
  <c r="T251" i="24"/>
  <c r="Q251" i="24"/>
  <c r="M251" i="24"/>
  <c r="I251" i="24"/>
  <c r="H251" i="24"/>
  <c r="G251" i="24"/>
  <c r="AE247" i="24"/>
  <c r="V247" i="24"/>
  <c r="U247" i="24"/>
  <c r="T247" i="24"/>
  <c r="S247" i="24"/>
  <c r="I247" i="24"/>
  <c r="H247" i="24"/>
  <c r="G247" i="24"/>
  <c r="AE246" i="24"/>
  <c r="V246" i="24"/>
  <c r="U246" i="24"/>
  <c r="T246" i="24"/>
  <c r="S246" i="24"/>
  <c r="H246" i="24"/>
  <c r="AE245" i="24"/>
  <c r="V245" i="24"/>
  <c r="U245" i="24"/>
  <c r="T245" i="24"/>
  <c r="S245" i="24"/>
  <c r="I245" i="24"/>
  <c r="H245" i="24"/>
  <c r="G245" i="24"/>
  <c r="AE244" i="24"/>
  <c r="V244" i="24"/>
  <c r="U244" i="24"/>
  <c r="T244" i="24"/>
  <c r="S244" i="24"/>
  <c r="I244" i="24"/>
  <c r="H244" i="24"/>
  <c r="G244" i="24"/>
  <c r="AE243" i="24"/>
  <c r="V243" i="24"/>
  <c r="U243" i="24"/>
  <c r="T243" i="24"/>
  <c r="S243" i="24"/>
  <c r="I243" i="24"/>
  <c r="H243" i="24"/>
  <c r="G243" i="24"/>
  <c r="AE242" i="24"/>
  <c r="V242" i="24"/>
  <c r="U242" i="24"/>
  <c r="T242" i="24"/>
  <c r="S242" i="24"/>
  <c r="H242" i="24"/>
  <c r="G242" i="24"/>
  <c r="AE241" i="24"/>
  <c r="V241" i="24"/>
  <c r="U241" i="24"/>
  <c r="T241" i="24"/>
  <c r="S241" i="24"/>
  <c r="I241" i="24"/>
  <c r="H241" i="24"/>
  <c r="G241" i="24"/>
  <c r="AE240" i="24"/>
  <c r="V240" i="24"/>
  <c r="U240" i="24"/>
  <c r="T240" i="24"/>
  <c r="S240" i="24"/>
  <c r="I240" i="24"/>
  <c r="H240" i="24"/>
  <c r="G240" i="24"/>
  <c r="AE239" i="24"/>
  <c r="V239" i="24"/>
  <c r="U239" i="24"/>
  <c r="T239" i="24"/>
  <c r="S239" i="24"/>
  <c r="I239" i="24"/>
  <c r="H239" i="24"/>
  <c r="G239" i="24"/>
  <c r="AE238" i="24"/>
  <c r="V238" i="24"/>
  <c r="U238" i="24"/>
  <c r="T238" i="24"/>
  <c r="S238" i="24"/>
  <c r="I238" i="24"/>
  <c r="H238" i="24"/>
  <c r="G238" i="24"/>
  <c r="AE237" i="24"/>
  <c r="V237" i="24"/>
  <c r="U237" i="24"/>
  <c r="T237" i="24"/>
  <c r="S237" i="24"/>
  <c r="I237" i="24"/>
  <c r="H237" i="24"/>
  <c r="G237" i="24"/>
  <c r="AE236" i="24"/>
  <c r="V236" i="24"/>
  <c r="U236" i="24"/>
  <c r="T236" i="24"/>
  <c r="S236" i="24"/>
  <c r="J236" i="24"/>
  <c r="H236" i="24"/>
  <c r="G236" i="24"/>
  <c r="AE235" i="24"/>
  <c r="V235" i="24"/>
  <c r="U235" i="24"/>
  <c r="T235" i="24"/>
  <c r="S235" i="24"/>
  <c r="I235" i="24"/>
  <c r="H235" i="24"/>
  <c r="G235" i="24"/>
  <c r="AE234" i="24"/>
  <c r="V234" i="24"/>
  <c r="U234" i="24"/>
  <c r="T234" i="24"/>
  <c r="S234" i="24"/>
  <c r="M234" i="24"/>
  <c r="I234" i="24"/>
  <c r="H234" i="24"/>
  <c r="G234" i="24"/>
  <c r="AE233" i="24"/>
  <c r="V233" i="24"/>
  <c r="U233" i="24"/>
  <c r="T233" i="24"/>
  <c r="S233" i="24"/>
  <c r="M233" i="24"/>
  <c r="I233" i="24"/>
  <c r="H233" i="24"/>
  <c r="G233" i="24"/>
  <c r="AE232" i="24"/>
  <c r="V232" i="24"/>
  <c r="U232" i="24"/>
  <c r="T232" i="24"/>
  <c r="S232" i="24"/>
  <c r="M232" i="24"/>
  <c r="I232" i="24"/>
  <c r="H232" i="24"/>
  <c r="G232" i="24"/>
  <c r="AE231" i="24"/>
  <c r="V231" i="24"/>
  <c r="U231" i="24"/>
  <c r="T231" i="24"/>
  <c r="S231" i="24"/>
  <c r="M231" i="24"/>
  <c r="I231" i="24"/>
  <c r="H231" i="24"/>
  <c r="G231" i="24"/>
  <c r="AE230" i="24"/>
  <c r="V230" i="24"/>
  <c r="U230" i="24"/>
  <c r="T230" i="24"/>
  <c r="S230" i="24"/>
  <c r="R230" i="24"/>
  <c r="M230" i="24"/>
  <c r="I230" i="24"/>
  <c r="H230" i="24"/>
  <c r="G230" i="24"/>
  <c r="I226" i="24"/>
  <c r="H226" i="24"/>
  <c r="G226" i="24"/>
  <c r="I225" i="24"/>
  <c r="H225" i="24"/>
  <c r="G225" i="24"/>
  <c r="I224" i="24"/>
  <c r="H224" i="24"/>
  <c r="G224" i="24"/>
  <c r="I223" i="24"/>
  <c r="H223" i="24"/>
  <c r="G223" i="24"/>
  <c r="I222" i="24"/>
  <c r="H222" i="24"/>
  <c r="G222" i="24"/>
  <c r="I221" i="24"/>
  <c r="H221" i="24"/>
  <c r="G221" i="24"/>
  <c r="I217" i="24"/>
  <c r="H217" i="24"/>
  <c r="G217" i="24"/>
  <c r="F217" i="24"/>
  <c r="E217" i="24"/>
  <c r="H216" i="24"/>
  <c r="G216" i="24"/>
  <c r="F216" i="24"/>
  <c r="E216" i="24"/>
  <c r="I215" i="24"/>
  <c r="H215" i="24"/>
  <c r="G215" i="24"/>
  <c r="F215" i="24"/>
  <c r="E215" i="24"/>
  <c r="H214" i="24"/>
  <c r="G214" i="24"/>
  <c r="F214" i="24"/>
  <c r="E214" i="24"/>
  <c r="I213" i="24"/>
  <c r="H213" i="24"/>
  <c r="G213" i="24"/>
  <c r="F213" i="24"/>
  <c r="E213" i="24"/>
  <c r="H212" i="24"/>
  <c r="I211" i="24"/>
  <c r="H211" i="24"/>
  <c r="G211" i="24"/>
  <c r="F211" i="24"/>
  <c r="E211" i="24"/>
  <c r="H210" i="24"/>
  <c r="G210" i="24"/>
  <c r="F210" i="24"/>
  <c r="E210" i="24"/>
  <c r="I209" i="24"/>
  <c r="H209" i="24"/>
  <c r="G209" i="24"/>
  <c r="F209" i="24"/>
  <c r="E209" i="24"/>
  <c r="H208" i="24"/>
  <c r="G208" i="24"/>
  <c r="F208" i="24"/>
  <c r="E208" i="24"/>
  <c r="I207" i="24"/>
  <c r="H207" i="24"/>
  <c r="G207" i="24"/>
  <c r="F207" i="24"/>
  <c r="E207" i="24"/>
  <c r="H206" i="24"/>
  <c r="I205" i="24"/>
  <c r="H205" i="24"/>
  <c r="G205" i="24"/>
  <c r="F205" i="24"/>
  <c r="E205" i="24"/>
  <c r="H204" i="24"/>
  <c r="I203" i="24"/>
  <c r="H203" i="24"/>
  <c r="G203" i="24"/>
  <c r="F203" i="24"/>
  <c r="E203" i="24"/>
  <c r="H202" i="24"/>
  <c r="I201" i="24"/>
  <c r="H201" i="24"/>
  <c r="G201" i="24"/>
  <c r="F201" i="24"/>
  <c r="E201" i="24"/>
  <c r="H200" i="24"/>
  <c r="G200" i="24"/>
  <c r="F200" i="24"/>
  <c r="E200" i="24"/>
  <c r="I199" i="24"/>
  <c r="H199" i="24"/>
  <c r="G199" i="24"/>
  <c r="F199" i="24"/>
  <c r="E199" i="24"/>
  <c r="I197" i="24"/>
  <c r="H197" i="24"/>
  <c r="G197" i="24"/>
  <c r="F197" i="24"/>
  <c r="E197" i="24"/>
  <c r="H196" i="24"/>
  <c r="G196" i="24"/>
  <c r="F196" i="24"/>
  <c r="E196" i="24"/>
  <c r="I195" i="24"/>
  <c r="H195" i="24"/>
  <c r="G195" i="24"/>
  <c r="F195" i="24"/>
  <c r="E195" i="24"/>
  <c r="H194" i="24"/>
  <c r="G194" i="24"/>
  <c r="F194" i="24"/>
  <c r="E194" i="24"/>
  <c r="I193" i="24"/>
  <c r="H193" i="24"/>
  <c r="G193" i="24"/>
  <c r="F193" i="24"/>
  <c r="E193" i="24"/>
  <c r="H192" i="24"/>
  <c r="G192" i="24"/>
  <c r="F192" i="24"/>
  <c r="E192" i="24"/>
  <c r="I191" i="24"/>
  <c r="H191" i="24"/>
  <c r="G191" i="24"/>
  <c r="F191" i="24"/>
  <c r="E191" i="24"/>
  <c r="H190" i="24"/>
  <c r="I189" i="24"/>
  <c r="H189" i="24"/>
  <c r="G189" i="24"/>
  <c r="F189" i="24"/>
  <c r="E189" i="24"/>
  <c r="H188" i="24"/>
  <c r="G188" i="24"/>
  <c r="F188" i="24"/>
  <c r="E188" i="24"/>
  <c r="I187" i="24"/>
  <c r="H187" i="24"/>
  <c r="G187" i="24"/>
  <c r="F187" i="24"/>
  <c r="E187" i="24"/>
  <c r="H186" i="24"/>
  <c r="G186" i="24"/>
  <c r="F186" i="24"/>
  <c r="E186" i="24"/>
  <c r="I185" i="24"/>
  <c r="H185" i="24"/>
  <c r="G185" i="24"/>
  <c r="F185" i="24"/>
  <c r="E185" i="24"/>
  <c r="H184" i="24"/>
  <c r="G184" i="24"/>
  <c r="F184" i="24"/>
  <c r="E184" i="24"/>
  <c r="I183" i="24"/>
  <c r="H183" i="24"/>
  <c r="G183" i="24"/>
  <c r="F183" i="24"/>
  <c r="E183" i="24"/>
  <c r="H182" i="24"/>
  <c r="G182" i="24"/>
  <c r="F182" i="24"/>
  <c r="E182" i="24"/>
  <c r="I181" i="24"/>
  <c r="H181" i="24"/>
  <c r="G181" i="24"/>
  <c r="F181" i="24"/>
  <c r="E181" i="24"/>
  <c r="H180" i="24"/>
  <c r="I179" i="24"/>
  <c r="H179" i="24"/>
  <c r="G179" i="24"/>
  <c r="F179" i="24"/>
  <c r="E179" i="24"/>
  <c r="H178" i="24"/>
  <c r="G178" i="24"/>
  <c r="F178" i="24"/>
  <c r="E178" i="24"/>
  <c r="I177" i="24"/>
  <c r="H177" i="24"/>
  <c r="G177" i="24"/>
  <c r="F177" i="24"/>
  <c r="E177" i="24"/>
  <c r="H176" i="24"/>
  <c r="I175" i="24"/>
  <c r="H175" i="24"/>
  <c r="G175" i="24"/>
  <c r="F175" i="24"/>
  <c r="E175" i="24"/>
  <c r="H174" i="24"/>
  <c r="I173" i="24"/>
  <c r="H173" i="24"/>
  <c r="G173" i="24"/>
  <c r="F173" i="24"/>
  <c r="E173" i="24"/>
  <c r="H172" i="24"/>
  <c r="G172" i="24"/>
  <c r="F172" i="24"/>
  <c r="E172" i="24"/>
  <c r="I171" i="24"/>
  <c r="H171" i="24"/>
  <c r="G171" i="24"/>
  <c r="F171" i="24"/>
  <c r="E171" i="24"/>
  <c r="H170" i="24"/>
  <c r="G170" i="24"/>
  <c r="F170" i="24"/>
  <c r="E170" i="24"/>
  <c r="I169" i="24"/>
  <c r="H169" i="24"/>
  <c r="G169" i="24"/>
  <c r="F169" i="24"/>
  <c r="E169" i="24"/>
  <c r="H168" i="24"/>
  <c r="G168" i="24"/>
  <c r="F168" i="24"/>
  <c r="E168" i="24"/>
  <c r="I167" i="24"/>
  <c r="H167" i="24"/>
  <c r="G167" i="24"/>
  <c r="F167" i="24"/>
  <c r="E167" i="24"/>
  <c r="H166" i="24"/>
  <c r="G166" i="24"/>
  <c r="F166" i="24"/>
  <c r="E166" i="24"/>
  <c r="I165" i="24"/>
  <c r="H165" i="24"/>
  <c r="G165" i="24"/>
  <c r="F165" i="24"/>
  <c r="E165" i="24"/>
  <c r="H164" i="24"/>
  <c r="I163" i="24"/>
  <c r="H163" i="24"/>
  <c r="G163" i="24"/>
  <c r="F163" i="24"/>
  <c r="E163" i="24"/>
  <c r="H162" i="24"/>
  <c r="G162" i="24"/>
  <c r="F162" i="24"/>
  <c r="E162" i="24"/>
  <c r="I161" i="24"/>
  <c r="H161" i="24"/>
  <c r="G161" i="24"/>
  <c r="F161" i="24"/>
  <c r="E161" i="24"/>
  <c r="H160" i="24"/>
  <c r="G160" i="24"/>
  <c r="F160" i="24"/>
  <c r="E160" i="24"/>
  <c r="I159" i="24"/>
  <c r="H159" i="24"/>
  <c r="G159" i="24"/>
  <c r="F159" i="24"/>
  <c r="E159" i="24"/>
  <c r="H158" i="24"/>
  <c r="I157" i="24"/>
  <c r="H157" i="24"/>
  <c r="G157" i="24"/>
  <c r="F157" i="24"/>
  <c r="E157" i="24"/>
  <c r="H156" i="24"/>
  <c r="G156" i="24"/>
  <c r="F156" i="24"/>
  <c r="E156" i="24"/>
  <c r="I155" i="24"/>
  <c r="H155" i="24"/>
  <c r="G155" i="24"/>
  <c r="F155" i="24"/>
  <c r="E155" i="24"/>
  <c r="H154" i="24"/>
  <c r="I153" i="24"/>
  <c r="H153" i="24"/>
  <c r="G153" i="24"/>
  <c r="F153" i="24"/>
  <c r="E153" i="24"/>
  <c r="H152" i="24"/>
  <c r="G152" i="24"/>
  <c r="F152" i="24"/>
  <c r="E152" i="24"/>
  <c r="I151" i="24"/>
  <c r="H151" i="24"/>
  <c r="G151" i="24"/>
  <c r="F151" i="24"/>
  <c r="E151" i="24"/>
  <c r="H150" i="24"/>
  <c r="I149" i="24"/>
  <c r="H149" i="24"/>
  <c r="G149" i="24"/>
  <c r="F149" i="24"/>
  <c r="E149" i="24"/>
  <c r="H148" i="24"/>
  <c r="I147" i="24"/>
  <c r="H147" i="24"/>
  <c r="G147" i="24"/>
  <c r="F147" i="24"/>
  <c r="E147" i="24"/>
  <c r="H146" i="24"/>
  <c r="G146" i="24"/>
  <c r="F146" i="24"/>
  <c r="E146" i="24"/>
  <c r="I142" i="24"/>
  <c r="H142" i="24"/>
  <c r="G142" i="24"/>
  <c r="I141" i="24"/>
  <c r="H141" i="24"/>
  <c r="G141" i="24"/>
  <c r="I140" i="24"/>
  <c r="H140" i="24"/>
  <c r="G140" i="24"/>
  <c r="I139" i="24"/>
  <c r="H139" i="24"/>
  <c r="G139" i="24"/>
  <c r="AL137" i="24"/>
  <c r="AK137" i="24"/>
  <c r="AJ137" i="24"/>
  <c r="AI137" i="24"/>
  <c r="AH137" i="24"/>
  <c r="AG137" i="24"/>
  <c r="AF137" i="24"/>
  <c r="AE137" i="24"/>
  <c r="AB137" i="24"/>
  <c r="AA137" i="24"/>
  <c r="Z137" i="24"/>
  <c r="Y137" i="24"/>
  <c r="X137" i="24"/>
  <c r="W137" i="24"/>
  <c r="V137" i="24"/>
  <c r="U137" i="24"/>
  <c r="T137" i="24"/>
  <c r="S137" i="24"/>
  <c r="AK136" i="24"/>
  <c r="AI136" i="24"/>
  <c r="Y136" i="24"/>
  <c r="W136" i="24"/>
  <c r="I136" i="24"/>
  <c r="H136" i="24"/>
  <c r="G136" i="24"/>
  <c r="F136" i="24"/>
  <c r="E136" i="24"/>
  <c r="AK135" i="24"/>
  <c r="AI135" i="24"/>
  <c r="Y135" i="24"/>
  <c r="W135" i="24"/>
  <c r="H135" i="24"/>
  <c r="G135" i="24"/>
  <c r="F135" i="24"/>
  <c r="E135" i="24"/>
  <c r="AK134" i="24"/>
  <c r="AI134" i="24"/>
  <c r="Y134" i="24"/>
  <c r="W134" i="24"/>
  <c r="I134" i="24"/>
  <c r="H134" i="24"/>
  <c r="G134" i="24"/>
  <c r="F134" i="24"/>
  <c r="E134" i="24"/>
  <c r="AK133" i="24"/>
  <c r="AI133" i="24"/>
  <c r="Y133" i="24"/>
  <c r="W133" i="24"/>
  <c r="H133" i="24"/>
  <c r="G133" i="24"/>
  <c r="F133" i="24"/>
  <c r="E133" i="24"/>
  <c r="AK132" i="24"/>
  <c r="AI132" i="24"/>
  <c r="Y132" i="24"/>
  <c r="W132" i="24"/>
  <c r="I132" i="24"/>
  <c r="H132" i="24"/>
  <c r="G132" i="24"/>
  <c r="F132" i="24"/>
  <c r="E132" i="24"/>
  <c r="AK131" i="24"/>
  <c r="AI131" i="24"/>
  <c r="Y131" i="24"/>
  <c r="W131" i="24"/>
  <c r="H131" i="24"/>
  <c r="G131" i="24"/>
  <c r="F131" i="24"/>
  <c r="E131" i="24"/>
  <c r="AL130" i="24"/>
  <c r="AK130" i="24"/>
  <c r="AJ130" i="24"/>
  <c r="AI130" i="24"/>
  <c r="AH130" i="24"/>
  <c r="AG130" i="24"/>
  <c r="AF130" i="24"/>
  <c r="AE130" i="24"/>
  <c r="AB130" i="24"/>
  <c r="AA130" i="24"/>
  <c r="Z130" i="24"/>
  <c r="Y130" i="24"/>
  <c r="X130" i="24"/>
  <c r="W130" i="24"/>
  <c r="V130" i="24"/>
  <c r="U130" i="24"/>
  <c r="T130" i="24"/>
  <c r="S130" i="24"/>
  <c r="I130" i="24"/>
  <c r="H130" i="24"/>
  <c r="G130" i="24"/>
  <c r="F130" i="24"/>
  <c r="E130" i="24"/>
  <c r="AL129" i="24"/>
  <c r="AK129" i="24"/>
  <c r="AJ129" i="24"/>
  <c r="AI129" i="24"/>
  <c r="AH129" i="24"/>
  <c r="AG129" i="24"/>
  <c r="AF129" i="24"/>
  <c r="AE129" i="24"/>
  <c r="AA129" i="24"/>
  <c r="Z129" i="24"/>
  <c r="Y129" i="24"/>
  <c r="X129" i="24"/>
  <c r="W129" i="24"/>
  <c r="V129" i="24"/>
  <c r="U129" i="24"/>
  <c r="T129" i="24"/>
  <c r="S129" i="24"/>
  <c r="H129" i="24"/>
  <c r="G129" i="24"/>
  <c r="F129" i="24"/>
  <c r="E129" i="24"/>
  <c r="AK128" i="24"/>
  <c r="AJ128" i="24"/>
  <c r="AI128" i="24"/>
  <c r="AH128" i="24"/>
  <c r="AG128" i="24"/>
  <c r="AF128" i="24"/>
  <c r="AE128" i="24"/>
  <c r="AB128" i="24"/>
  <c r="AA128" i="24"/>
  <c r="Z128" i="24"/>
  <c r="Y128" i="24"/>
  <c r="X128" i="24"/>
  <c r="W128" i="24"/>
  <c r="V128" i="24"/>
  <c r="U128" i="24"/>
  <c r="T128" i="24"/>
  <c r="S128" i="24"/>
  <c r="I128" i="24"/>
  <c r="H128" i="24"/>
  <c r="G128" i="24"/>
  <c r="F128" i="24"/>
  <c r="E128" i="24"/>
  <c r="AL127" i="24"/>
  <c r="AK127" i="24"/>
  <c r="AJ127" i="24"/>
  <c r="AI127" i="24"/>
  <c r="AH127" i="24"/>
  <c r="AG127" i="24"/>
  <c r="AF127" i="24"/>
  <c r="AE127" i="24"/>
  <c r="AB127" i="24"/>
  <c r="AA127" i="24"/>
  <c r="Z127" i="24"/>
  <c r="Y127" i="24"/>
  <c r="X127" i="24"/>
  <c r="W127" i="24"/>
  <c r="V127" i="24"/>
  <c r="U127" i="24"/>
  <c r="T127" i="24"/>
  <c r="S127" i="24"/>
  <c r="H127" i="24"/>
  <c r="G127" i="24"/>
  <c r="F127" i="24"/>
  <c r="E127" i="24"/>
  <c r="AI126" i="24"/>
  <c r="W126" i="24"/>
  <c r="I126" i="24"/>
  <c r="H126" i="24"/>
  <c r="G126" i="24"/>
  <c r="F126" i="24"/>
  <c r="E126" i="24"/>
  <c r="W125" i="24"/>
  <c r="H125" i="24"/>
  <c r="G125" i="24"/>
  <c r="F125" i="24"/>
  <c r="E125" i="24"/>
  <c r="I124" i="24"/>
  <c r="H124" i="24"/>
  <c r="G124" i="24"/>
  <c r="F124" i="24"/>
  <c r="E124" i="24"/>
  <c r="H123" i="24"/>
  <c r="G123" i="24"/>
  <c r="F123" i="24"/>
  <c r="E123" i="24"/>
  <c r="AK122" i="24"/>
  <c r="AJ122" i="24"/>
  <c r="AI122" i="24"/>
  <c r="AH122" i="24"/>
  <c r="AG122" i="24"/>
  <c r="AF122" i="24"/>
  <c r="AE122" i="24"/>
  <c r="AB122" i="24"/>
  <c r="AA122" i="24"/>
  <c r="Z122" i="24"/>
  <c r="Y122" i="24"/>
  <c r="X122" i="24"/>
  <c r="W122" i="24"/>
  <c r="V122" i="24"/>
  <c r="U122" i="24"/>
  <c r="T122" i="24"/>
  <c r="S122" i="24"/>
  <c r="I122" i="24"/>
  <c r="H122" i="24"/>
  <c r="G122" i="24"/>
  <c r="F122" i="24"/>
  <c r="E122" i="24"/>
  <c r="AK121" i="24"/>
  <c r="AJ121" i="24"/>
  <c r="AI121" i="24"/>
  <c r="AH121" i="24"/>
  <c r="AG121" i="24"/>
  <c r="AF121" i="24"/>
  <c r="AE121" i="24"/>
  <c r="AB121" i="24"/>
  <c r="AA121" i="24"/>
  <c r="Z121" i="24"/>
  <c r="Y121" i="24"/>
  <c r="X121" i="24"/>
  <c r="W121" i="24"/>
  <c r="V121" i="24"/>
  <c r="U121" i="24"/>
  <c r="T121" i="24"/>
  <c r="S121" i="24"/>
  <c r="H121" i="24"/>
  <c r="G121" i="24"/>
  <c r="F121" i="24"/>
  <c r="E121" i="24"/>
  <c r="AL120" i="24"/>
  <c r="AK120" i="24"/>
  <c r="AJ120" i="24"/>
  <c r="AI120" i="24"/>
  <c r="AH120" i="24"/>
  <c r="AG120" i="24"/>
  <c r="AF120" i="24"/>
  <c r="AE120" i="24"/>
  <c r="AB120" i="24"/>
  <c r="AA120" i="24"/>
  <c r="Z120" i="24"/>
  <c r="Y120" i="24"/>
  <c r="X120" i="24"/>
  <c r="W120" i="24"/>
  <c r="V120" i="24"/>
  <c r="U120" i="24"/>
  <c r="T120" i="24"/>
  <c r="S120" i="24"/>
  <c r="I120" i="24"/>
  <c r="H120" i="24"/>
  <c r="G120" i="24"/>
  <c r="F120" i="24"/>
  <c r="E120" i="24"/>
  <c r="AI119" i="24"/>
  <c r="W119" i="24"/>
  <c r="H119" i="24"/>
  <c r="G119" i="24"/>
  <c r="F119" i="24"/>
  <c r="E119" i="24"/>
  <c r="AI118" i="24"/>
  <c r="W118" i="24"/>
  <c r="I118" i="24"/>
  <c r="H118" i="24"/>
  <c r="G118" i="24"/>
  <c r="F118" i="24"/>
  <c r="E118" i="24"/>
  <c r="AI117" i="24"/>
  <c r="W117" i="24"/>
  <c r="H117" i="24"/>
  <c r="G117" i="24"/>
  <c r="F117" i="24"/>
  <c r="E117" i="24"/>
  <c r="AI116" i="24"/>
  <c r="W116" i="24"/>
  <c r="I116" i="24"/>
  <c r="H116" i="24"/>
  <c r="G116" i="24"/>
  <c r="F116" i="24"/>
  <c r="E116" i="24"/>
  <c r="AI115" i="24"/>
  <c r="W115" i="24"/>
  <c r="H115" i="24"/>
  <c r="G115" i="24"/>
  <c r="F115" i="24"/>
  <c r="E115" i="24"/>
  <c r="AI114" i="24"/>
  <c r="W114" i="24"/>
  <c r="I114" i="24"/>
  <c r="H114" i="24"/>
  <c r="G114" i="24"/>
  <c r="F114" i="24"/>
  <c r="E114" i="24"/>
  <c r="AI113" i="24"/>
  <c r="W113" i="24"/>
  <c r="H113" i="24"/>
  <c r="G113" i="24"/>
  <c r="F113" i="24"/>
  <c r="E113" i="24"/>
  <c r="AI112" i="24"/>
  <c r="W112" i="24"/>
  <c r="I112" i="24"/>
  <c r="H112" i="24"/>
  <c r="G112" i="24"/>
  <c r="F112" i="24"/>
  <c r="E112" i="24"/>
  <c r="AI111" i="24"/>
  <c r="W111" i="24"/>
  <c r="H111" i="24"/>
  <c r="G111" i="24"/>
  <c r="F111" i="24"/>
  <c r="E111" i="24"/>
  <c r="AI110" i="24"/>
  <c r="W110" i="24"/>
  <c r="I110" i="24"/>
  <c r="H110" i="24"/>
  <c r="G110" i="24"/>
  <c r="F110" i="24"/>
  <c r="E110" i="24"/>
  <c r="AI109" i="24"/>
  <c r="W109" i="24"/>
  <c r="H109" i="24"/>
  <c r="G109" i="24"/>
  <c r="F109" i="24"/>
  <c r="E109" i="24"/>
  <c r="AI108" i="24"/>
  <c r="W108" i="24"/>
  <c r="I108" i="24"/>
  <c r="H108" i="24"/>
  <c r="G108" i="24"/>
  <c r="F108" i="24"/>
  <c r="E108" i="24"/>
  <c r="AI107" i="24"/>
  <c r="H107" i="24"/>
  <c r="G107" i="24"/>
  <c r="F107" i="24"/>
  <c r="E107" i="24"/>
  <c r="I106" i="24"/>
  <c r="H106" i="24"/>
  <c r="G106" i="24"/>
  <c r="F106" i="24"/>
  <c r="E106" i="24"/>
  <c r="AI105" i="24"/>
  <c r="Y105" i="24"/>
  <c r="X105" i="24"/>
  <c r="W105" i="24"/>
  <c r="V105" i="24"/>
  <c r="U105" i="24"/>
  <c r="T105" i="24"/>
  <c r="H105" i="24"/>
  <c r="G105" i="24"/>
  <c r="F105" i="24"/>
  <c r="E105" i="24"/>
  <c r="AL104" i="24"/>
  <c r="AK104" i="24"/>
  <c r="AJ104" i="24"/>
  <c r="AI104" i="24"/>
  <c r="AH104" i="24"/>
  <c r="AG104" i="24"/>
  <c r="AF104" i="24"/>
  <c r="AE104" i="24"/>
  <c r="AB104" i="24"/>
  <c r="AA104" i="24"/>
  <c r="Z104" i="24"/>
  <c r="Y104" i="24"/>
  <c r="X104" i="24"/>
  <c r="W104" i="24"/>
  <c r="V104" i="24"/>
  <c r="U104" i="24"/>
  <c r="T104" i="24"/>
  <c r="S104" i="24"/>
  <c r="I104" i="24"/>
  <c r="H104" i="24"/>
  <c r="G104" i="24"/>
  <c r="F104" i="24"/>
  <c r="E104" i="24"/>
  <c r="AI103" i="24"/>
  <c r="W103" i="24"/>
  <c r="H103" i="24"/>
  <c r="G103" i="24"/>
  <c r="F103" i="24"/>
  <c r="E103" i="24"/>
  <c r="AI102" i="24"/>
  <c r="W102" i="24"/>
  <c r="I102" i="24"/>
  <c r="H102" i="24"/>
  <c r="G102" i="24"/>
  <c r="F102" i="24"/>
  <c r="E102" i="24"/>
  <c r="AI101" i="24"/>
  <c r="W101" i="24"/>
  <c r="H101" i="24"/>
  <c r="G101" i="24"/>
  <c r="F101" i="24"/>
  <c r="E101" i="24"/>
  <c r="AI100" i="24"/>
  <c r="W100" i="24"/>
  <c r="I100" i="24"/>
  <c r="H100" i="24"/>
  <c r="G100" i="24"/>
  <c r="F100" i="24"/>
  <c r="E100" i="24"/>
  <c r="H99" i="24"/>
  <c r="G99" i="24"/>
  <c r="F99" i="24"/>
  <c r="E99" i="24"/>
  <c r="AK93" i="24"/>
  <c r="AJ93" i="24"/>
  <c r="AI93" i="24"/>
  <c r="AH93" i="24"/>
  <c r="AG93" i="24"/>
  <c r="AF93" i="24"/>
  <c r="AE93" i="24"/>
  <c r="AB93" i="24"/>
  <c r="AA93" i="24"/>
  <c r="Z93" i="24"/>
  <c r="Y93" i="24"/>
  <c r="X93" i="24"/>
  <c r="W93" i="24"/>
  <c r="V93" i="24"/>
  <c r="U93" i="24"/>
  <c r="T93" i="24"/>
  <c r="S93" i="24"/>
  <c r="AK92" i="24"/>
  <c r="AJ92" i="24"/>
  <c r="AI92" i="24"/>
  <c r="AH92" i="24"/>
  <c r="AG92" i="24"/>
  <c r="AF92" i="24"/>
  <c r="AE92" i="24"/>
  <c r="AB92" i="24"/>
  <c r="AA92" i="24"/>
  <c r="Z92" i="24"/>
  <c r="Y92" i="24"/>
  <c r="X92" i="24"/>
  <c r="W92" i="24"/>
  <c r="V92" i="24"/>
  <c r="U92" i="24"/>
  <c r="T92" i="24"/>
  <c r="S92" i="24"/>
  <c r="AK91" i="24"/>
  <c r="AJ91" i="24"/>
  <c r="AI91" i="24"/>
  <c r="AH91" i="24"/>
  <c r="AG91" i="24"/>
  <c r="AF91" i="24"/>
  <c r="AE91" i="24"/>
  <c r="AB91" i="24"/>
  <c r="AA91" i="24"/>
  <c r="Z91" i="24"/>
  <c r="Y91" i="24"/>
  <c r="X91" i="24"/>
  <c r="W91" i="24"/>
  <c r="V91" i="24"/>
  <c r="U91" i="24"/>
  <c r="T91" i="24"/>
  <c r="S91" i="24"/>
  <c r="AI90" i="24"/>
  <c r="W90" i="24"/>
  <c r="AI89" i="24"/>
  <c r="W89" i="24"/>
  <c r="AI88" i="24"/>
  <c r="W88" i="24"/>
  <c r="AI87" i="24"/>
  <c r="W87" i="24"/>
  <c r="AI86" i="24"/>
  <c r="W86" i="24"/>
  <c r="I84" i="24"/>
  <c r="G84" i="24"/>
  <c r="F84" i="24"/>
  <c r="E84" i="24"/>
  <c r="H84" i="24" s="1"/>
  <c r="D84" i="24"/>
  <c r="I83" i="24"/>
  <c r="G83" i="24"/>
  <c r="F83" i="24"/>
  <c r="E83" i="24"/>
  <c r="H83" i="24" s="1"/>
  <c r="D83" i="24"/>
  <c r="I82" i="24"/>
  <c r="G82" i="24"/>
  <c r="F82" i="24"/>
  <c r="E82" i="24"/>
  <c r="H82" i="24" s="1"/>
  <c r="D82" i="24"/>
  <c r="I81" i="24"/>
  <c r="I85" i="24" s="1"/>
  <c r="I86" i="24" s="1"/>
  <c r="G81" i="24"/>
  <c r="G85" i="24" s="1"/>
  <c r="G86" i="24" s="1"/>
  <c r="F81" i="24"/>
  <c r="F85" i="24" s="1"/>
  <c r="F86" i="24" s="1"/>
  <c r="E81" i="24"/>
  <c r="E85" i="24" s="1"/>
  <c r="E86" i="24" s="1"/>
  <c r="D81" i="24"/>
  <c r="D85" i="24" s="1"/>
  <c r="D86" i="24" s="1"/>
  <c r="AI77" i="24"/>
  <c r="W77" i="24"/>
  <c r="AI76" i="24"/>
  <c r="Y76" i="24"/>
  <c r="W76" i="24"/>
  <c r="I76" i="24"/>
  <c r="H76" i="24"/>
  <c r="G76" i="24"/>
  <c r="F76" i="24"/>
  <c r="E76" i="24"/>
  <c r="D76" i="24"/>
  <c r="AI75" i="24"/>
  <c r="Y75" i="24"/>
  <c r="W75" i="24"/>
  <c r="I75" i="24"/>
  <c r="H75" i="24"/>
  <c r="G75" i="24"/>
  <c r="F75" i="24"/>
  <c r="E75" i="24"/>
  <c r="D75" i="24"/>
  <c r="AI74" i="24"/>
  <c r="Y74" i="24"/>
  <c r="W74" i="24"/>
  <c r="I74" i="24"/>
  <c r="H74" i="24"/>
  <c r="G74" i="24"/>
  <c r="F74" i="24"/>
  <c r="E74" i="24"/>
  <c r="D74" i="24"/>
  <c r="AI73" i="24"/>
  <c r="Y73" i="24"/>
  <c r="W73" i="24"/>
  <c r="AI72" i="24"/>
  <c r="Y72" i="24"/>
  <c r="W72" i="24"/>
  <c r="I72" i="24"/>
  <c r="H72" i="24"/>
  <c r="G72" i="24"/>
  <c r="F72" i="24"/>
  <c r="E72" i="24"/>
  <c r="D72" i="24"/>
  <c r="AI71" i="24"/>
  <c r="Y71" i="24"/>
  <c r="W71" i="24"/>
  <c r="AI70" i="24"/>
  <c r="Y70" i="24"/>
  <c r="W70" i="24"/>
  <c r="AI69" i="24"/>
  <c r="Y69" i="24"/>
  <c r="W69" i="24"/>
  <c r="I69" i="24"/>
  <c r="H69" i="24"/>
  <c r="G69" i="24"/>
  <c r="F69" i="24"/>
  <c r="E69" i="24"/>
  <c r="D69" i="24"/>
  <c r="AI68" i="24"/>
  <c r="Y68" i="24"/>
  <c r="X68" i="24"/>
  <c r="W68" i="24"/>
  <c r="V68" i="24"/>
  <c r="U68" i="24"/>
  <c r="T68" i="24"/>
  <c r="AK67" i="24"/>
  <c r="AJ67" i="24"/>
  <c r="AI67" i="24"/>
  <c r="AH67" i="24"/>
  <c r="AG67" i="24"/>
  <c r="AF67" i="24"/>
  <c r="AE67" i="24"/>
  <c r="AB67" i="24"/>
  <c r="AA67" i="24"/>
  <c r="Z67" i="24"/>
  <c r="Y67" i="24"/>
  <c r="X67" i="24"/>
  <c r="W67" i="24"/>
  <c r="V67" i="24"/>
  <c r="U67" i="24"/>
  <c r="T67" i="24"/>
  <c r="S67" i="24"/>
  <c r="Y66" i="24"/>
  <c r="W66" i="24"/>
  <c r="AK65" i="24"/>
  <c r="AJ65" i="24"/>
  <c r="AI65" i="24"/>
  <c r="AH65" i="24"/>
  <c r="AG65" i="24"/>
  <c r="AF65" i="24"/>
  <c r="AE65" i="24"/>
  <c r="AB65" i="24"/>
  <c r="AA65" i="24"/>
  <c r="Z65" i="24"/>
  <c r="Y65" i="24"/>
  <c r="X65" i="24"/>
  <c r="W65" i="24"/>
  <c r="V65" i="24"/>
  <c r="U65" i="24"/>
  <c r="T65" i="24"/>
  <c r="S65" i="24"/>
  <c r="AI64" i="24"/>
  <c r="W64" i="24"/>
  <c r="AI63" i="24"/>
  <c r="W63" i="24"/>
  <c r="L63" i="24"/>
  <c r="L63" i="24" a="1"/>
  <c r="K63" i="24"/>
  <c r="H63" i="24"/>
  <c r="G63" i="24"/>
  <c r="F63" i="24"/>
  <c r="E63" i="24"/>
  <c r="AL62" i="24"/>
  <c r="AK62" i="24"/>
  <c r="AJ62" i="24"/>
  <c r="AI62" i="24"/>
  <c r="AH62" i="24"/>
  <c r="AG62" i="24"/>
  <c r="AF62" i="24"/>
  <c r="AE62" i="24"/>
  <c r="AB62" i="24"/>
  <c r="AA62" i="24"/>
  <c r="Z62" i="24"/>
  <c r="Y62" i="24"/>
  <c r="X62" i="24"/>
  <c r="W62" i="24"/>
  <c r="V62" i="24"/>
  <c r="U62" i="24"/>
  <c r="T62" i="24"/>
  <c r="S62" i="24"/>
  <c r="I62" i="24"/>
  <c r="H62" i="24"/>
  <c r="G62" i="24"/>
  <c r="F62" i="24"/>
  <c r="E62" i="24"/>
  <c r="D62" i="24"/>
  <c r="AL61" i="24"/>
  <c r="AK61" i="24"/>
  <c r="AJ61" i="24"/>
  <c r="AI61" i="24"/>
  <c r="AH61" i="24"/>
  <c r="AG61" i="24"/>
  <c r="AF61" i="24"/>
  <c r="AE61" i="24"/>
  <c r="AB61" i="24"/>
  <c r="Y61" i="24"/>
  <c r="X61" i="24"/>
  <c r="W61" i="24"/>
  <c r="V61" i="24"/>
  <c r="U61" i="24"/>
  <c r="T61" i="24"/>
  <c r="S61" i="24"/>
  <c r="L61" i="24"/>
  <c r="H61" i="24"/>
  <c r="G61" i="24"/>
  <c r="F61" i="24"/>
  <c r="E61" i="24"/>
  <c r="I60" i="24"/>
  <c r="H60" i="24"/>
  <c r="G60" i="24"/>
  <c r="F60" i="24"/>
  <c r="E60" i="24"/>
  <c r="D60" i="24"/>
  <c r="AL58" i="24"/>
  <c r="AK58" i="24"/>
  <c r="AJ58" i="24"/>
  <c r="AI58" i="24"/>
  <c r="AH58" i="24"/>
  <c r="AB58" i="24"/>
  <c r="Y58" i="24"/>
  <c r="X58" i="24"/>
  <c r="W58" i="24"/>
  <c r="V58" i="24"/>
  <c r="U58" i="24"/>
  <c r="T58" i="24"/>
  <c r="S58" i="24"/>
  <c r="G58" i="24"/>
  <c r="F58" i="24"/>
  <c r="E58" i="24"/>
  <c r="D58" i="24"/>
  <c r="AI57" i="24"/>
  <c r="W57" i="24"/>
  <c r="H57" i="24"/>
  <c r="G57" i="24"/>
  <c r="F57" i="24"/>
  <c r="E57" i="24"/>
  <c r="D57" i="24"/>
  <c r="AI56" i="24"/>
  <c r="W56" i="24"/>
  <c r="L56" i="24"/>
  <c r="K56" i="24"/>
  <c r="H56" i="24"/>
  <c r="G56" i="24"/>
  <c r="F56" i="24"/>
  <c r="E56" i="24"/>
  <c r="N55" i="24"/>
  <c r="M55" i="24"/>
  <c r="L55" i="24"/>
  <c r="J55" i="24"/>
  <c r="I55" i="24"/>
  <c r="H55" i="24"/>
  <c r="G55" i="24"/>
  <c r="F55" i="24"/>
  <c r="E55" i="24"/>
  <c r="D55" i="24"/>
  <c r="L54" i="24"/>
  <c r="H54" i="24"/>
  <c r="G54" i="24"/>
  <c r="F54" i="24"/>
  <c r="E54" i="24"/>
  <c r="AI53" i="24"/>
  <c r="AH53" i="24"/>
  <c r="AA53" i="24"/>
  <c r="Z53" i="24"/>
  <c r="Y53" i="24"/>
  <c r="X53" i="24"/>
  <c r="W53" i="24"/>
  <c r="V53" i="24"/>
  <c r="U53" i="24"/>
  <c r="T53" i="24"/>
  <c r="J53" i="24"/>
  <c r="I53" i="24"/>
  <c r="H53" i="24"/>
  <c r="G53" i="24"/>
  <c r="F53" i="24"/>
  <c r="E53" i="24"/>
  <c r="D53" i="24"/>
  <c r="L52" i="24"/>
  <c r="K52" i="24"/>
  <c r="H52" i="24"/>
  <c r="G52" i="24"/>
  <c r="F52" i="24"/>
  <c r="E52" i="24"/>
  <c r="L51" i="24"/>
  <c r="K51" i="24"/>
  <c r="J51" i="24"/>
  <c r="I51" i="24"/>
  <c r="H51" i="24"/>
  <c r="G51" i="24"/>
  <c r="F51" i="24"/>
  <c r="E51" i="24"/>
  <c r="D51" i="24"/>
  <c r="L50" i="24"/>
  <c r="H50" i="24"/>
  <c r="J49" i="24"/>
  <c r="I49" i="24"/>
  <c r="H49" i="24"/>
  <c r="G49" i="24"/>
  <c r="F49" i="24"/>
  <c r="E49" i="24"/>
  <c r="D49" i="24"/>
  <c r="AI48" i="24"/>
  <c r="AH48" i="24"/>
  <c r="AA48" i="24"/>
  <c r="Z48" i="24"/>
  <c r="Y48" i="24"/>
  <c r="X48" i="24"/>
  <c r="W48" i="24"/>
  <c r="V48" i="24"/>
  <c r="U48" i="24"/>
  <c r="T48" i="24"/>
  <c r="L48" i="24"/>
  <c r="K48" i="24"/>
  <c r="H48" i="24"/>
  <c r="G48" i="24"/>
  <c r="F48" i="24"/>
  <c r="E48" i="24"/>
  <c r="AI47" i="24"/>
  <c r="AH47" i="24"/>
  <c r="AA47" i="24"/>
  <c r="Z47" i="24"/>
  <c r="Y47" i="24"/>
  <c r="X47" i="24"/>
  <c r="W47" i="24"/>
  <c r="V47" i="24"/>
  <c r="U47" i="24"/>
  <c r="T47" i="24"/>
  <c r="N47" i="24"/>
  <c r="M47" i="24"/>
  <c r="L47" i="24"/>
  <c r="J47" i="24"/>
  <c r="I47" i="24"/>
  <c r="H47" i="24"/>
  <c r="G47" i="24"/>
  <c r="F47" i="24"/>
  <c r="E47" i="24"/>
  <c r="D47" i="24"/>
  <c r="AK46" i="24"/>
  <c r="AJ46" i="24"/>
  <c r="AI46" i="24"/>
  <c r="AH46" i="24"/>
  <c r="AG46" i="24"/>
  <c r="AF46" i="24"/>
  <c r="AE46" i="24"/>
  <c r="AB46" i="24"/>
  <c r="AA46" i="24"/>
  <c r="Z46" i="24"/>
  <c r="Y46" i="24"/>
  <c r="X46" i="24"/>
  <c r="W46" i="24"/>
  <c r="V46" i="24"/>
  <c r="U46" i="24"/>
  <c r="T46" i="24"/>
  <c r="S46" i="24"/>
  <c r="L46" i="24"/>
  <c r="H46" i="24"/>
  <c r="AI45" i="24"/>
  <c r="W45" i="24"/>
  <c r="J45" i="24"/>
  <c r="I45" i="24"/>
  <c r="H45" i="24"/>
  <c r="G45" i="24"/>
  <c r="F45" i="24"/>
  <c r="E45" i="24"/>
  <c r="D45" i="24"/>
  <c r="AI44" i="24"/>
  <c r="W44" i="24"/>
  <c r="L44" i="24"/>
  <c r="K44" i="24"/>
  <c r="H44" i="24"/>
  <c r="G44" i="24"/>
  <c r="F44" i="24"/>
  <c r="E44" i="24"/>
  <c r="AI43" i="24"/>
  <c r="W43" i="24"/>
  <c r="N43" i="24"/>
  <c r="M43" i="24"/>
  <c r="L43" i="24"/>
  <c r="J43" i="24"/>
  <c r="I43" i="24"/>
  <c r="H43" i="24"/>
  <c r="G43" i="24"/>
  <c r="F43" i="24"/>
  <c r="E43" i="24"/>
  <c r="D43" i="24"/>
  <c r="AI42" i="24"/>
  <c r="W42" i="24"/>
  <c r="L42" i="24"/>
  <c r="H42" i="24"/>
  <c r="AI41" i="24"/>
  <c r="W41" i="24"/>
  <c r="J41" i="24"/>
  <c r="I41" i="24"/>
  <c r="H41" i="24"/>
  <c r="G41" i="24"/>
  <c r="F41" i="24"/>
  <c r="E41" i="24"/>
  <c r="D41" i="24"/>
  <c r="L40" i="24"/>
  <c r="K40" i="24"/>
  <c r="H40" i="24"/>
  <c r="G40" i="24"/>
  <c r="F40" i="24"/>
  <c r="E40" i="24"/>
  <c r="L39" i="24"/>
  <c r="K39" i="24"/>
  <c r="J39" i="24"/>
  <c r="I39" i="24"/>
  <c r="H39" i="24"/>
  <c r="G39" i="24"/>
  <c r="F39" i="24"/>
  <c r="E39" i="24"/>
  <c r="D39" i="24"/>
  <c r="L38" i="24"/>
  <c r="H38" i="24"/>
  <c r="J37" i="24"/>
  <c r="I37" i="24"/>
  <c r="H37" i="24"/>
  <c r="G37" i="24"/>
  <c r="F37" i="24"/>
  <c r="E37" i="24"/>
  <c r="D37" i="24"/>
  <c r="AI36" i="24"/>
  <c r="W36" i="24"/>
  <c r="L36" i="24"/>
  <c r="K36" i="24"/>
  <c r="H36" i="24"/>
  <c r="G36" i="24"/>
  <c r="F36" i="24"/>
  <c r="E36" i="24"/>
  <c r="AI35" i="24"/>
  <c r="W35" i="24"/>
  <c r="N35" i="24"/>
  <c r="M35" i="24"/>
  <c r="L35" i="24"/>
  <c r="J35" i="24"/>
  <c r="I35" i="24"/>
  <c r="H35" i="24"/>
  <c r="G35" i="24"/>
  <c r="F35" i="24"/>
  <c r="E35" i="24"/>
  <c r="D35" i="24"/>
  <c r="AI34" i="24"/>
  <c r="W34" i="24"/>
  <c r="L34" i="24"/>
  <c r="H34" i="24"/>
  <c r="AI33" i="24"/>
  <c r="W33" i="24"/>
  <c r="J33" i="24"/>
  <c r="I33" i="24"/>
  <c r="H33" i="24"/>
  <c r="G33" i="24"/>
  <c r="F33" i="24"/>
  <c r="E33" i="24"/>
  <c r="D33" i="24"/>
  <c r="AI32" i="24"/>
  <c r="W32" i="24"/>
  <c r="L32" i="24"/>
  <c r="K32" i="24"/>
  <c r="H32" i="24"/>
  <c r="G32" i="24"/>
  <c r="F32" i="24"/>
  <c r="E32" i="24"/>
  <c r="AI31" i="24"/>
  <c r="W31" i="24"/>
  <c r="N31" i="24"/>
  <c r="M31" i="24"/>
  <c r="L31" i="24"/>
  <c r="J31" i="24"/>
  <c r="I31" i="24"/>
  <c r="H31" i="24"/>
  <c r="G31" i="24"/>
  <c r="F31" i="24"/>
  <c r="E31" i="24"/>
  <c r="D31" i="24"/>
  <c r="AI30" i="24"/>
  <c r="W30" i="24"/>
  <c r="L30" i="24"/>
  <c r="H30" i="24"/>
  <c r="AI29" i="24"/>
  <c r="W29" i="24"/>
  <c r="N29" i="24"/>
  <c r="J29" i="24"/>
  <c r="I29" i="24"/>
  <c r="H29" i="24"/>
  <c r="G29" i="24"/>
  <c r="F29" i="24"/>
  <c r="E29" i="24"/>
  <c r="D29" i="24"/>
  <c r="AI28" i="24"/>
  <c r="W28" i="24"/>
  <c r="L28" i="24"/>
  <c r="K28" i="24"/>
  <c r="H28" i="24"/>
  <c r="G28" i="24"/>
  <c r="F28" i="24"/>
  <c r="E28" i="24"/>
  <c r="AI27" i="24"/>
  <c r="W27" i="24"/>
  <c r="N27" i="24"/>
  <c r="M27" i="24"/>
  <c r="L27" i="24"/>
  <c r="J27" i="24"/>
  <c r="I27" i="24"/>
  <c r="H27" i="24"/>
  <c r="G27" i="24"/>
  <c r="F27" i="24"/>
  <c r="E27" i="24"/>
  <c r="D27" i="24"/>
  <c r="AI26" i="24"/>
  <c r="W26" i="24"/>
  <c r="L26" i="24"/>
  <c r="H26" i="24"/>
  <c r="G26" i="24"/>
  <c r="F26" i="24"/>
  <c r="AI25" i="24"/>
  <c r="W25" i="24"/>
  <c r="N25" i="24"/>
  <c r="J25" i="24"/>
  <c r="I25" i="24"/>
  <c r="H25" i="24"/>
  <c r="G25" i="24"/>
  <c r="F25" i="24"/>
  <c r="E25" i="24"/>
  <c r="D25" i="24"/>
  <c r="AI24" i="24"/>
  <c r="W24" i="24"/>
  <c r="AI23" i="24"/>
  <c r="W23" i="24"/>
  <c r="AI22" i="24"/>
  <c r="W22" i="24"/>
  <c r="AK21" i="24"/>
  <c r="AJ21" i="24"/>
  <c r="AI21" i="24"/>
  <c r="AH21" i="24"/>
  <c r="AG21" i="24"/>
  <c r="AF21" i="24"/>
  <c r="AE21" i="24"/>
  <c r="AB21" i="24"/>
  <c r="AA21" i="24"/>
  <c r="Z21" i="24"/>
  <c r="Y21" i="24"/>
  <c r="X21" i="24"/>
  <c r="W21" i="24"/>
  <c r="V21" i="24"/>
  <c r="U21" i="24"/>
  <c r="T21" i="24"/>
  <c r="S21" i="24"/>
  <c r="AI20" i="24"/>
  <c r="Y20" i="24"/>
  <c r="X20" i="24"/>
  <c r="W20" i="24"/>
  <c r="V20" i="24"/>
  <c r="U20" i="24"/>
  <c r="T20" i="24"/>
  <c r="AI19" i="24"/>
  <c r="Y19" i="24"/>
  <c r="X19" i="24"/>
  <c r="W19" i="24"/>
  <c r="V19" i="24"/>
  <c r="U19" i="24"/>
  <c r="T19" i="24"/>
  <c r="AL18" i="24"/>
  <c r="AK18" i="24"/>
  <c r="AJ18" i="24"/>
  <c r="AI18" i="24"/>
  <c r="AH18" i="24"/>
  <c r="AG18" i="24"/>
  <c r="AF18" i="24"/>
  <c r="AE18" i="24"/>
  <c r="AB18" i="24"/>
  <c r="AA18" i="24"/>
  <c r="Z18" i="24"/>
  <c r="Y18" i="24"/>
  <c r="X18" i="24"/>
  <c r="W18" i="24"/>
  <c r="V18" i="24"/>
  <c r="U18" i="24"/>
  <c r="T18" i="24"/>
  <c r="S18" i="24"/>
  <c r="AI17" i="24"/>
  <c r="W17" i="24"/>
  <c r="AI16" i="24"/>
  <c r="Y16" i="24"/>
  <c r="X16" i="24"/>
  <c r="W16" i="24"/>
  <c r="V16" i="24"/>
  <c r="U16" i="24"/>
  <c r="T16" i="24"/>
  <c r="G16" i="24"/>
  <c r="F16" i="24"/>
  <c r="E16" i="24"/>
  <c r="D16" i="24"/>
  <c r="AK15" i="24"/>
  <c r="AJ15" i="24"/>
  <c r="AI15" i="24"/>
  <c r="AH15" i="24"/>
  <c r="AG15" i="24"/>
  <c r="AF15" i="24"/>
  <c r="AE15" i="24"/>
  <c r="AB15" i="24"/>
  <c r="AA15" i="24"/>
  <c r="Z15" i="24"/>
  <c r="Y15" i="24"/>
  <c r="X15" i="24"/>
  <c r="W15" i="24"/>
  <c r="V15" i="24"/>
  <c r="U15" i="24"/>
  <c r="T15" i="24"/>
  <c r="S15" i="24"/>
  <c r="N15" i="24"/>
  <c r="H15" i="24"/>
  <c r="G15" i="24"/>
  <c r="F15" i="24"/>
  <c r="E15" i="24"/>
  <c r="D15" i="24"/>
  <c r="AI14" i="24"/>
  <c r="W14" i="24"/>
  <c r="L14" i="24"/>
  <c r="K14" i="24"/>
  <c r="H14" i="24"/>
  <c r="G14" i="24"/>
  <c r="F14" i="24"/>
  <c r="E14" i="24"/>
  <c r="AI13" i="24"/>
  <c r="Y13" i="24"/>
  <c r="X13" i="24"/>
  <c r="W13" i="24"/>
  <c r="V13" i="24"/>
  <c r="U13" i="24"/>
  <c r="T13" i="24"/>
  <c r="N13" i="24"/>
  <c r="M13" i="24"/>
  <c r="L13" i="24"/>
  <c r="J13" i="24"/>
  <c r="I13" i="24"/>
  <c r="H13" i="24"/>
  <c r="G13" i="24"/>
  <c r="F13" i="24"/>
  <c r="E13" i="24"/>
  <c r="D13" i="24"/>
  <c r="AL12" i="24"/>
  <c r="AK12" i="24"/>
  <c r="AJ12" i="24"/>
  <c r="AI12" i="24"/>
  <c r="AH12" i="24"/>
  <c r="AG12" i="24"/>
  <c r="AF12" i="24"/>
  <c r="AE12" i="24"/>
  <c r="AB12" i="24"/>
  <c r="AA12" i="24"/>
  <c r="Z12" i="24"/>
  <c r="Y12" i="24"/>
  <c r="X12" i="24"/>
  <c r="W12" i="24"/>
  <c r="V12" i="24"/>
  <c r="U12" i="24"/>
  <c r="T12" i="24"/>
  <c r="S12" i="24"/>
  <c r="L12" i="24"/>
  <c r="AI11" i="24"/>
  <c r="W11" i="24"/>
  <c r="N11" i="24"/>
  <c r="J11" i="24"/>
  <c r="I11" i="24"/>
  <c r="H11" i="24"/>
  <c r="G11" i="24"/>
  <c r="F11" i="24"/>
  <c r="E11" i="24"/>
  <c r="D11" i="24"/>
  <c r="AI10" i="24"/>
  <c r="W10" i="24"/>
  <c r="AL9" i="24"/>
  <c r="AK9" i="24"/>
  <c r="AJ9" i="24"/>
  <c r="AI9" i="24"/>
  <c r="AH9" i="24"/>
  <c r="AG9" i="24"/>
  <c r="AF9" i="24"/>
  <c r="AE9" i="24"/>
  <c r="AB9" i="24"/>
  <c r="AA9" i="24"/>
  <c r="Z9" i="24"/>
  <c r="Y9" i="24"/>
  <c r="X9" i="24"/>
  <c r="W9" i="24"/>
  <c r="V9" i="24"/>
  <c r="U9" i="24"/>
  <c r="T9" i="24"/>
  <c r="S9" i="24"/>
  <c r="W8" i="24"/>
  <c r="V8" i="24"/>
  <c r="U8" i="24"/>
  <c r="T8" i="24"/>
  <c r="W7" i="24"/>
  <c r="V7" i="24"/>
  <c r="U7" i="24"/>
  <c r="T7" i="24"/>
  <c r="AL6" i="24"/>
  <c r="AK6" i="24"/>
  <c r="AJ6" i="24"/>
  <c r="AI6" i="24"/>
  <c r="AH6" i="24"/>
  <c r="AG6" i="24"/>
  <c r="AF6" i="24"/>
  <c r="AE6" i="24"/>
  <c r="AB6" i="24"/>
  <c r="AA6" i="24"/>
  <c r="Z6" i="24"/>
  <c r="X6" i="24"/>
  <c r="W6" i="24"/>
  <c r="V6" i="24"/>
  <c r="U6" i="24"/>
  <c r="T6" i="24"/>
  <c r="S6" i="24"/>
  <c r="G381" i="2"/>
  <c r="C381" i="2"/>
  <c r="G344" i="2"/>
  <c r="C344" i="2"/>
  <c r="G338" i="2"/>
  <c r="F338" i="2"/>
  <c r="G337" i="2"/>
  <c r="F337" i="2"/>
  <c r="G336" i="2"/>
  <c r="F336" i="2"/>
  <c r="G335" i="2"/>
  <c r="F335" i="2"/>
  <c r="G334" i="2"/>
  <c r="F334" i="2"/>
  <c r="G333" i="2"/>
  <c r="F333" i="2"/>
  <c r="H332" i="2"/>
  <c r="G332" i="2"/>
  <c r="F332" i="2"/>
  <c r="I331" i="2"/>
  <c r="H331" i="2"/>
  <c r="G331" i="2"/>
  <c r="F331" i="2"/>
  <c r="E315" i="2"/>
  <c r="E314" i="2"/>
  <c r="E313" i="2"/>
  <c r="G312" i="2"/>
  <c r="E312" i="2"/>
  <c r="E297" i="2"/>
  <c r="G296" i="2"/>
  <c r="E296" i="2"/>
  <c r="G285" i="2"/>
  <c r="E285" i="2"/>
  <c r="AE280" i="2"/>
  <c r="U280" i="2"/>
  <c r="T280" i="2"/>
  <c r="S280" i="2"/>
  <c r="Q280" i="2"/>
  <c r="H280" i="2"/>
  <c r="AE279" i="2"/>
  <c r="U279" i="2"/>
  <c r="T279" i="2"/>
  <c r="S279" i="2"/>
  <c r="Q279" i="2"/>
  <c r="I279" i="2"/>
  <c r="H279" i="2"/>
  <c r="G279" i="2"/>
  <c r="AE278" i="2"/>
  <c r="U278" i="2"/>
  <c r="T278" i="2"/>
  <c r="S278" i="2"/>
  <c r="Q278" i="2"/>
  <c r="I278" i="2"/>
  <c r="H278" i="2"/>
  <c r="G278" i="2"/>
  <c r="AE277" i="2"/>
  <c r="U277" i="2"/>
  <c r="T277" i="2"/>
  <c r="S277" i="2"/>
  <c r="Q277" i="2"/>
  <c r="I277" i="2"/>
  <c r="H277" i="2"/>
  <c r="G277" i="2"/>
  <c r="AE276" i="2"/>
  <c r="T276" i="2"/>
  <c r="S276" i="2"/>
  <c r="AE275" i="2"/>
  <c r="U275" i="2"/>
  <c r="T275" i="2"/>
  <c r="S275" i="2"/>
  <c r="Q275" i="2"/>
  <c r="J275" i="2"/>
  <c r="H275" i="2"/>
  <c r="G275" i="2"/>
  <c r="AE274" i="2"/>
  <c r="U274" i="2"/>
  <c r="T274" i="2"/>
  <c r="S274" i="2"/>
  <c r="Q274" i="2"/>
  <c r="I274" i="2"/>
  <c r="H274" i="2"/>
  <c r="G274" i="2"/>
  <c r="AE273" i="2"/>
  <c r="U273" i="2"/>
  <c r="T273" i="2"/>
  <c r="S273" i="2"/>
  <c r="Q273" i="2"/>
  <c r="I273" i="2"/>
  <c r="H273" i="2"/>
  <c r="G273" i="2"/>
  <c r="AE272" i="2"/>
  <c r="U272" i="2"/>
  <c r="T272" i="2"/>
  <c r="S272" i="2"/>
  <c r="Q272" i="2"/>
  <c r="I272" i="2"/>
  <c r="H272" i="2"/>
  <c r="G272" i="2"/>
  <c r="AE271" i="2"/>
  <c r="V271" i="2"/>
  <c r="U271" i="2"/>
  <c r="T271" i="2"/>
  <c r="S271" i="2"/>
  <c r="Q271" i="2"/>
  <c r="J271" i="2"/>
  <c r="H271" i="2"/>
  <c r="G271" i="2"/>
  <c r="AE270" i="2"/>
  <c r="V270" i="2"/>
  <c r="U270" i="2"/>
  <c r="T270" i="2"/>
  <c r="S270" i="2"/>
  <c r="Q270" i="2"/>
  <c r="J270" i="2"/>
  <c r="H270" i="2"/>
  <c r="G270" i="2"/>
  <c r="AE269" i="2"/>
  <c r="V269" i="2"/>
  <c r="U269" i="2"/>
  <c r="T269" i="2"/>
  <c r="S269" i="2"/>
  <c r="Q269" i="2"/>
  <c r="M269" i="2"/>
  <c r="I269" i="2"/>
  <c r="H269" i="2"/>
  <c r="G269" i="2"/>
  <c r="AE265" i="2"/>
  <c r="Q265" i="2"/>
  <c r="J265" i="2"/>
  <c r="H265" i="2"/>
  <c r="AE264" i="2"/>
  <c r="Q264" i="2"/>
  <c r="I264" i="2"/>
  <c r="H264" i="2"/>
  <c r="G264" i="2"/>
  <c r="AE263" i="2"/>
  <c r="Q263" i="2"/>
  <c r="I263" i="2"/>
  <c r="H263" i="2"/>
  <c r="G263" i="2"/>
  <c r="AE262" i="2"/>
  <c r="Q262" i="2"/>
  <c r="J262" i="2"/>
  <c r="H262" i="2"/>
  <c r="G262" i="2"/>
  <c r="AE261" i="2"/>
  <c r="Q261" i="2"/>
  <c r="J261" i="2"/>
  <c r="H261" i="2"/>
  <c r="G261" i="2"/>
  <c r="AE260" i="2"/>
  <c r="Q260" i="2"/>
  <c r="I260" i="2"/>
  <c r="H260" i="2"/>
  <c r="G260" i="2"/>
  <c r="AE259" i="2"/>
  <c r="Q259" i="2"/>
  <c r="I259" i="2"/>
  <c r="H259" i="2"/>
  <c r="G259" i="2"/>
  <c r="AE258" i="2"/>
  <c r="Q258" i="2"/>
  <c r="I258" i="2"/>
  <c r="H258" i="2"/>
  <c r="G258" i="2"/>
  <c r="AE257" i="2"/>
  <c r="Q257" i="2"/>
  <c r="J257" i="2"/>
  <c r="H257" i="2"/>
  <c r="G257" i="2"/>
  <c r="AE256" i="2"/>
  <c r="Q256" i="2"/>
  <c r="H256" i="2"/>
  <c r="G256" i="2"/>
  <c r="AE255" i="2"/>
  <c r="Q255" i="2"/>
  <c r="M255" i="2"/>
  <c r="J255" i="2"/>
  <c r="I255" i="2"/>
  <c r="H255" i="2"/>
  <c r="G255" i="2"/>
  <c r="AE254" i="2"/>
  <c r="Q254" i="2"/>
  <c r="M254" i="2"/>
  <c r="I254" i="2"/>
  <c r="H254" i="2"/>
  <c r="G254" i="2"/>
  <c r="AE253" i="2"/>
  <c r="Q253" i="2"/>
  <c r="M253" i="2"/>
  <c r="I253" i="2"/>
  <c r="H253" i="2"/>
  <c r="G253" i="2"/>
  <c r="AE250" i="2"/>
  <c r="U250" i="2"/>
  <c r="T250" i="2"/>
  <c r="Q250" i="2"/>
  <c r="H250" i="2"/>
  <c r="AE249" i="2"/>
  <c r="Q249" i="2"/>
  <c r="I249" i="2"/>
  <c r="H249" i="2"/>
  <c r="G249" i="2"/>
  <c r="AE248" i="2"/>
  <c r="U248" i="2"/>
  <c r="T248" i="2"/>
  <c r="Q248" i="2"/>
  <c r="I248" i="2"/>
  <c r="H248" i="2"/>
  <c r="G248" i="2"/>
  <c r="AE247" i="2"/>
  <c r="U247" i="2"/>
  <c r="T247" i="2"/>
  <c r="Q247" i="2"/>
  <c r="I247" i="2"/>
  <c r="H247" i="2"/>
  <c r="G247" i="2"/>
  <c r="AE246" i="2"/>
  <c r="T246" i="2"/>
  <c r="Q246" i="2"/>
  <c r="I246" i="2"/>
  <c r="H246" i="2"/>
  <c r="G246" i="2"/>
  <c r="AE245" i="2"/>
  <c r="U245" i="2"/>
  <c r="T245" i="2"/>
  <c r="Q245" i="2"/>
  <c r="J245" i="2"/>
  <c r="H245" i="2"/>
  <c r="G245" i="2"/>
  <c r="AE244" i="2"/>
  <c r="U244" i="2"/>
  <c r="T244" i="2"/>
  <c r="Q244" i="2"/>
  <c r="I244" i="2"/>
  <c r="H244" i="2"/>
  <c r="G244" i="2"/>
  <c r="AE243" i="2"/>
  <c r="U243" i="2"/>
  <c r="T243" i="2"/>
  <c r="Q243" i="2"/>
  <c r="I243" i="2"/>
  <c r="H243" i="2"/>
  <c r="G243" i="2"/>
  <c r="AE242" i="2"/>
  <c r="U242" i="2"/>
  <c r="T242" i="2"/>
  <c r="Q242" i="2"/>
  <c r="I242" i="2"/>
  <c r="H242" i="2"/>
  <c r="G242" i="2"/>
  <c r="AE241" i="2"/>
  <c r="Q241" i="2"/>
  <c r="J241" i="2"/>
  <c r="H241" i="2"/>
  <c r="G241" i="2"/>
  <c r="AE240" i="2"/>
  <c r="U240" i="2"/>
  <c r="T240" i="2"/>
  <c r="Q240" i="2"/>
  <c r="J240" i="2"/>
  <c r="H240" i="2"/>
  <c r="G240" i="2"/>
  <c r="AE239" i="2"/>
  <c r="U239" i="2"/>
  <c r="T239" i="2"/>
  <c r="Q239" i="2"/>
  <c r="M239" i="2"/>
  <c r="J239" i="2"/>
  <c r="H239" i="2"/>
  <c r="G239" i="2"/>
  <c r="AE238" i="2"/>
  <c r="U238" i="2"/>
  <c r="Q238" i="2"/>
  <c r="M238" i="2"/>
  <c r="I238" i="2"/>
  <c r="H238" i="2"/>
  <c r="G238" i="2"/>
  <c r="AE237" i="2"/>
  <c r="U237" i="2"/>
  <c r="T237" i="2"/>
  <c r="Q237" i="2"/>
  <c r="M237" i="2"/>
  <c r="I237" i="2"/>
  <c r="H237" i="2"/>
  <c r="G237" i="2"/>
  <c r="AE236" i="2"/>
  <c r="U236" i="2"/>
  <c r="T236" i="2"/>
  <c r="Q236" i="2"/>
  <c r="M236" i="2"/>
  <c r="I236" i="2"/>
  <c r="H236" i="2"/>
  <c r="G236" i="2"/>
  <c r="AE233" i="2"/>
  <c r="V233" i="2"/>
  <c r="U233" i="2"/>
  <c r="T233" i="2"/>
  <c r="S233" i="2"/>
  <c r="I233" i="2"/>
  <c r="H233" i="2"/>
  <c r="G233" i="2"/>
  <c r="AE232" i="2"/>
  <c r="V232" i="2"/>
  <c r="U232" i="2"/>
  <c r="T232" i="2"/>
  <c r="S232" i="2"/>
  <c r="H232" i="2"/>
  <c r="G232" i="2"/>
  <c r="AE231" i="2"/>
  <c r="V231" i="2"/>
  <c r="U231" i="2"/>
  <c r="T231" i="2"/>
  <c r="S231" i="2"/>
  <c r="I231" i="2"/>
  <c r="H231" i="2"/>
  <c r="G231" i="2"/>
  <c r="AE230" i="2"/>
  <c r="V230" i="2"/>
  <c r="U230" i="2"/>
  <c r="T230" i="2"/>
  <c r="S230" i="2"/>
  <c r="I230" i="2"/>
  <c r="H230" i="2"/>
  <c r="G230" i="2"/>
  <c r="AE229" i="2"/>
  <c r="V229" i="2"/>
  <c r="U229" i="2"/>
  <c r="T229" i="2"/>
  <c r="S229" i="2"/>
  <c r="I229" i="2"/>
  <c r="H229" i="2"/>
  <c r="G229" i="2"/>
  <c r="AE228" i="2"/>
  <c r="V228" i="2"/>
  <c r="U228" i="2"/>
  <c r="T228" i="2"/>
  <c r="S228" i="2"/>
  <c r="H228" i="2"/>
  <c r="G228" i="2"/>
  <c r="AE227" i="2"/>
  <c r="V227" i="2"/>
  <c r="U227" i="2"/>
  <c r="T227" i="2"/>
  <c r="S227" i="2"/>
  <c r="H227" i="2"/>
  <c r="G227" i="2"/>
  <c r="AE226" i="2"/>
  <c r="V226" i="2"/>
  <c r="U226" i="2"/>
  <c r="T226" i="2"/>
  <c r="S226" i="2"/>
  <c r="I226" i="2"/>
  <c r="H226" i="2"/>
  <c r="G226" i="2"/>
  <c r="AE225" i="2"/>
  <c r="V225" i="2"/>
  <c r="U225" i="2"/>
  <c r="T225" i="2"/>
  <c r="S225" i="2"/>
  <c r="I225" i="2"/>
  <c r="H225" i="2"/>
  <c r="G225" i="2"/>
  <c r="AE224" i="2"/>
  <c r="V224" i="2"/>
  <c r="U224" i="2"/>
  <c r="T224" i="2"/>
  <c r="S224" i="2"/>
  <c r="I224" i="2"/>
  <c r="H224" i="2"/>
  <c r="G224" i="2"/>
  <c r="AE223" i="2"/>
  <c r="V223" i="2"/>
  <c r="U223" i="2"/>
  <c r="T223" i="2"/>
  <c r="S223" i="2"/>
  <c r="I223" i="2"/>
  <c r="H223" i="2"/>
  <c r="G223" i="2"/>
  <c r="AE222" i="2"/>
  <c r="V222" i="2"/>
  <c r="U222" i="2"/>
  <c r="T222" i="2"/>
  <c r="S222" i="2"/>
  <c r="J222" i="2"/>
  <c r="H222" i="2"/>
  <c r="G222" i="2"/>
  <c r="AE221" i="2"/>
  <c r="V221" i="2"/>
  <c r="U221" i="2"/>
  <c r="T221" i="2"/>
  <c r="S221" i="2"/>
  <c r="J221" i="2"/>
  <c r="H221" i="2"/>
  <c r="G221" i="2"/>
  <c r="AE220" i="2"/>
  <c r="V220" i="2"/>
  <c r="U220" i="2"/>
  <c r="T220" i="2"/>
  <c r="S220" i="2"/>
  <c r="M220" i="2"/>
  <c r="J220" i="2"/>
  <c r="H220" i="2"/>
  <c r="G220" i="2"/>
  <c r="AE219" i="2"/>
  <c r="V219" i="2"/>
  <c r="U219" i="2"/>
  <c r="T219" i="2"/>
  <c r="S219" i="2"/>
  <c r="M219" i="2"/>
  <c r="I219" i="2"/>
  <c r="H219" i="2"/>
  <c r="G219" i="2"/>
  <c r="AE218" i="2"/>
  <c r="V218" i="2"/>
  <c r="U218" i="2"/>
  <c r="T218" i="2"/>
  <c r="S218" i="2"/>
  <c r="M218" i="2"/>
  <c r="I218" i="2"/>
  <c r="H218" i="2"/>
  <c r="G218" i="2"/>
  <c r="AE217" i="2"/>
  <c r="V217" i="2"/>
  <c r="U217" i="2"/>
  <c r="T217" i="2"/>
  <c r="S217" i="2"/>
  <c r="M217" i="2"/>
  <c r="I217" i="2"/>
  <c r="H217" i="2"/>
  <c r="G217" i="2"/>
  <c r="AE216" i="2"/>
  <c r="V216" i="2"/>
  <c r="U216" i="2"/>
  <c r="T216" i="2"/>
  <c r="S216" i="2"/>
  <c r="R216" i="2"/>
  <c r="M216" i="2"/>
  <c r="I216" i="2"/>
  <c r="H216" i="2"/>
  <c r="G216" i="2"/>
  <c r="I211" i="2"/>
  <c r="H211" i="2"/>
  <c r="G211" i="2"/>
  <c r="I210" i="2"/>
  <c r="H210" i="2"/>
  <c r="G210" i="2"/>
  <c r="I209" i="2"/>
  <c r="H209" i="2"/>
  <c r="G209" i="2"/>
  <c r="I208" i="2"/>
  <c r="H208" i="2"/>
  <c r="G208" i="2"/>
  <c r="I207" i="2"/>
  <c r="H207" i="2"/>
  <c r="G207" i="2"/>
  <c r="I206" i="2"/>
  <c r="H206" i="2"/>
  <c r="G206" i="2"/>
  <c r="I202" i="2"/>
  <c r="H202" i="2"/>
  <c r="G202" i="2"/>
  <c r="F202" i="2"/>
  <c r="E202" i="2"/>
  <c r="H201" i="2"/>
  <c r="G201" i="2"/>
  <c r="F201" i="2"/>
  <c r="E201" i="2"/>
  <c r="I200" i="2"/>
  <c r="H200" i="2"/>
  <c r="G200" i="2"/>
  <c r="F200" i="2"/>
  <c r="E200" i="2"/>
  <c r="H199" i="2"/>
  <c r="G199" i="2"/>
  <c r="F199" i="2"/>
  <c r="E199" i="2"/>
  <c r="I198" i="2"/>
  <c r="H198" i="2"/>
  <c r="G198" i="2"/>
  <c r="F198" i="2"/>
  <c r="E198" i="2"/>
  <c r="H197" i="2"/>
  <c r="I196" i="2"/>
  <c r="H196" i="2"/>
  <c r="G196" i="2"/>
  <c r="F196" i="2"/>
  <c r="E196" i="2"/>
  <c r="H195" i="2"/>
  <c r="G195" i="2"/>
  <c r="F195" i="2"/>
  <c r="E195" i="2"/>
  <c r="I194" i="2"/>
  <c r="H194" i="2"/>
  <c r="G194" i="2"/>
  <c r="F194" i="2"/>
  <c r="E194" i="2"/>
  <c r="H193" i="2"/>
  <c r="G193" i="2"/>
  <c r="F193" i="2"/>
  <c r="E193" i="2"/>
  <c r="I192" i="2"/>
  <c r="H192" i="2"/>
  <c r="G192" i="2"/>
  <c r="F192" i="2"/>
  <c r="E192" i="2"/>
  <c r="H191" i="2"/>
  <c r="I190" i="2"/>
  <c r="H190" i="2"/>
  <c r="G190" i="2"/>
  <c r="F190" i="2"/>
  <c r="E190" i="2"/>
  <c r="H189" i="2"/>
  <c r="I188" i="2"/>
  <c r="H188" i="2"/>
  <c r="G188" i="2"/>
  <c r="F188" i="2"/>
  <c r="E188" i="2"/>
  <c r="H187" i="2"/>
  <c r="I186" i="2"/>
  <c r="H186" i="2"/>
  <c r="G186" i="2"/>
  <c r="F186" i="2"/>
  <c r="E186" i="2"/>
  <c r="H185" i="2"/>
  <c r="G185" i="2"/>
  <c r="F185" i="2"/>
  <c r="E185" i="2"/>
  <c r="I184" i="2"/>
  <c r="H184" i="2"/>
  <c r="G184" i="2"/>
  <c r="F184" i="2"/>
  <c r="E184" i="2"/>
  <c r="I182" i="2"/>
  <c r="H182" i="2"/>
  <c r="G182" i="2"/>
  <c r="F182" i="2"/>
  <c r="E182" i="2"/>
  <c r="H181" i="2"/>
  <c r="G181" i="2"/>
  <c r="F181" i="2"/>
  <c r="E181" i="2"/>
  <c r="I180" i="2"/>
  <c r="H180" i="2"/>
  <c r="G180" i="2"/>
  <c r="F180" i="2"/>
  <c r="E180" i="2"/>
  <c r="H179" i="2"/>
  <c r="G179" i="2"/>
  <c r="F179" i="2"/>
  <c r="E179" i="2"/>
  <c r="I178" i="2"/>
  <c r="H178" i="2"/>
  <c r="G178" i="2"/>
  <c r="F178" i="2"/>
  <c r="E178" i="2"/>
  <c r="H177" i="2"/>
  <c r="G177" i="2"/>
  <c r="F177" i="2"/>
  <c r="E177" i="2"/>
  <c r="I176" i="2"/>
  <c r="H176" i="2"/>
  <c r="G176" i="2"/>
  <c r="F176" i="2"/>
  <c r="E176" i="2"/>
  <c r="H175" i="2"/>
  <c r="I174" i="2"/>
  <c r="H174" i="2"/>
  <c r="G174" i="2"/>
  <c r="F174" i="2"/>
  <c r="E174" i="2"/>
  <c r="H173" i="2"/>
  <c r="G173" i="2"/>
  <c r="F173" i="2"/>
  <c r="E173" i="2"/>
  <c r="I172" i="2"/>
  <c r="H172" i="2"/>
  <c r="G172" i="2"/>
  <c r="F172" i="2"/>
  <c r="E172" i="2"/>
  <c r="H171" i="2"/>
  <c r="G171" i="2"/>
  <c r="F171" i="2"/>
  <c r="E171" i="2"/>
  <c r="I170" i="2"/>
  <c r="H170" i="2"/>
  <c r="G170" i="2"/>
  <c r="F170" i="2"/>
  <c r="E170" i="2"/>
  <c r="H169" i="2"/>
  <c r="G169" i="2"/>
  <c r="F169" i="2"/>
  <c r="E169" i="2"/>
  <c r="I168" i="2"/>
  <c r="H168" i="2"/>
  <c r="G168" i="2"/>
  <c r="F168" i="2"/>
  <c r="E168" i="2"/>
  <c r="H167" i="2"/>
  <c r="G167" i="2"/>
  <c r="F167" i="2"/>
  <c r="E167" i="2"/>
  <c r="I166" i="2"/>
  <c r="H166" i="2"/>
  <c r="G166" i="2"/>
  <c r="F166" i="2"/>
  <c r="E166" i="2"/>
  <c r="H165" i="2"/>
  <c r="I164" i="2"/>
  <c r="H164" i="2"/>
  <c r="G164" i="2"/>
  <c r="F164" i="2"/>
  <c r="E164" i="2"/>
  <c r="H163" i="2"/>
  <c r="G163" i="2"/>
  <c r="F163" i="2"/>
  <c r="E163" i="2"/>
  <c r="I162" i="2"/>
  <c r="H162" i="2"/>
  <c r="G162" i="2"/>
  <c r="F162" i="2"/>
  <c r="E162" i="2"/>
  <c r="H161" i="2"/>
  <c r="I160" i="2"/>
  <c r="H160" i="2"/>
  <c r="G160" i="2"/>
  <c r="F160" i="2"/>
  <c r="E160" i="2"/>
  <c r="H159" i="2"/>
  <c r="I158" i="2"/>
  <c r="H158" i="2"/>
  <c r="G158" i="2"/>
  <c r="F158" i="2"/>
  <c r="E158" i="2"/>
  <c r="H157" i="2"/>
  <c r="G157" i="2"/>
  <c r="F157" i="2"/>
  <c r="E157" i="2"/>
  <c r="I156" i="2"/>
  <c r="H156" i="2"/>
  <c r="G156" i="2"/>
  <c r="F156" i="2"/>
  <c r="E156" i="2"/>
  <c r="H155" i="2"/>
  <c r="G155" i="2"/>
  <c r="F155" i="2"/>
  <c r="E155" i="2"/>
  <c r="I154" i="2"/>
  <c r="H154" i="2"/>
  <c r="G154" i="2"/>
  <c r="F154" i="2"/>
  <c r="E154" i="2"/>
  <c r="H153" i="2"/>
  <c r="G153" i="2"/>
  <c r="F153" i="2"/>
  <c r="E153" i="2"/>
  <c r="I152" i="2"/>
  <c r="H152" i="2"/>
  <c r="G152" i="2"/>
  <c r="F152" i="2"/>
  <c r="E152" i="2"/>
  <c r="H151" i="2"/>
  <c r="G151" i="2"/>
  <c r="F151" i="2"/>
  <c r="E151" i="2"/>
  <c r="I150" i="2"/>
  <c r="H150" i="2"/>
  <c r="G150" i="2"/>
  <c r="F150" i="2"/>
  <c r="E150" i="2"/>
  <c r="H149" i="2"/>
  <c r="I148" i="2"/>
  <c r="H148" i="2"/>
  <c r="G148" i="2"/>
  <c r="F148" i="2"/>
  <c r="E148" i="2"/>
  <c r="H147" i="2"/>
  <c r="G147" i="2"/>
  <c r="F147" i="2"/>
  <c r="E147" i="2"/>
  <c r="I146" i="2"/>
  <c r="H146" i="2"/>
  <c r="G146" i="2"/>
  <c r="F146" i="2"/>
  <c r="E146" i="2"/>
  <c r="H145" i="2"/>
  <c r="G145" i="2"/>
  <c r="F145" i="2"/>
  <c r="E145" i="2"/>
  <c r="I144" i="2"/>
  <c r="H144" i="2"/>
  <c r="G144" i="2"/>
  <c r="F144" i="2"/>
  <c r="E144" i="2"/>
  <c r="H143" i="2"/>
  <c r="I142" i="2"/>
  <c r="H142" i="2"/>
  <c r="G142" i="2"/>
  <c r="F142" i="2"/>
  <c r="E142" i="2"/>
  <c r="H141" i="2"/>
  <c r="G141" i="2"/>
  <c r="F141" i="2"/>
  <c r="E141" i="2"/>
  <c r="I140" i="2"/>
  <c r="H140" i="2"/>
  <c r="G140" i="2"/>
  <c r="F140" i="2"/>
  <c r="E140" i="2"/>
  <c r="H139" i="2"/>
  <c r="I138" i="2"/>
  <c r="H138" i="2"/>
  <c r="G138" i="2"/>
  <c r="F138" i="2"/>
  <c r="E138" i="2"/>
  <c r="H137" i="2"/>
  <c r="G137" i="2"/>
  <c r="F137" i="2"/>
  <c r="E137" i="2"/>
  <c r="I136" i="2"/>
  <c r="H136" i="2"/>
  <c r="G136" i="2"/>
  <c r="F136" i="2"/>
  <c r="E136" i="2"/>
  <c r="H135" i="2"/>
  <c r="I134" i="2"/>
  <c r="H134" i="2"/>
  <c r="G134" i="2"/>
  <c r="F134" i="2"/>
  <c r="E134" i="2"/>
  <c r="H133" i="2"/>
  <c r="I132" i="2"/>
  <c r="H132" i="2"/>
  <c r="G132" i="2"/>
  <c r="F132" i="2"/>
  <c r="E132" i="2"/>
  <c r="H131" i="2"/>
  <c r="G131" i="2"/>
  <c r="F131" i="2"/>
  <c r="E131" i="2"/>
  <c r="I126" i="2"/>
  <c r="H126" i="2"/>
  <c r="G126" i="2"/>
  <c r="I125" i="2"/>
  <c r="H125" i="2"/>
  <c r="G125" i="2"/>
  <c r="I124" i="2"/>
  <c r="H124" i="2"/>
  <c r="G124" i="2"/>
  <c r="I123" i="2"/>
  <c r="H123" i="2"/>
  <c r="G123" i="2"/>
  <c r="AL121" i="2"/>
  <c r="AK121" i="2"/>
  <c r="AJ121" i="2"/>
  <c r="AI121" i="2"/>
  <c r="AH121" i="2"/>
  <c r="AG121" i="2"/>
  <c r="AF121" i="2"/>
  <c r="AE121" i="2"/>
  <c r="AB121" i="2"/>
  <c r="AA121" i="2"/>
  <c r="Z121" i="2"/>
  <c r="Y121" i="2"/>
  <c r="X121" i="2"/>
  <c r="W121" i="2"/>
  <c r="V121" i="2"/>
  <c r="U121" i="2"/>
  <c r="T121" i="2"/>
  <c r="S121" i="2"/>
  <c r="AK120" i="2"/>
  <c r="AI120" i="2"/>
  <c r="Y120" i="2"/>
  <c r="W120" i="2"/>
  <c r="I120" i="2"/>
  <c r="H120" i="2"/>
  <c r="G120" i="2"/>
  <c r="F120" i="2"/>
  <c r="E120" i="2"/>
  <c r="AK119" i="2"/>
  <c r="AI119" i="2"/>
  <c r="Y119" i="2"/>
  <c r="W119" i="2"/>
  <c r="H119" i="2"/>
  <c r="G119" i="2"/>
  <c r="F119" i="2"/>
  <c r="E119" i="2"/>
  <c r="AK118" i="2"/>
  <c r="AI118" i="2"/>
  <c r="Y118" i="2"/>
  <c r="W118" i="2"/>
  <c r="I118" i="2"/>
  <c r="H118" i="2"/>
  <c r="G118" i="2"/>
  <c r="F118" i="2"/>
  <c r="E118" i="2"/>
  <c r="AK117" i="2"/>
  <c r="AI117" i="2"/>
  <c r="Y117" i="2"/>
  <c r="W117" i="2"/>
  <c r="H117" i="2"/>
  <c r="G117" i="2"/>
  <c r="F117" i="2"/>
  <c r="E117" i="2"/>
  <c r="AK116" i="2"/>
  <c r="AI116" i="2"/>
  <c r="Y116" i="2"/>
  <c r="W116" i="2"/>
  <c r="I116" i="2"/>
  <c r="H116" i="2"/>
  <c r="G116" i="2"/>
  <c r="F116" i="2"/>
  <c r="E116" i="2"/>
  <c r="AK115" i="2"/>
  <c r="AI115" i="2"/>
  <c r="Y115" i="2"/>
  <c r="W115" i="2"/>
  <c r="H115" i="2"/>
  <c r="G115" i="2"/>
  <c r="F115" i="2"/>
  <c r="E115" i="2"/>
  <c r="AL114" i="2"/>
  <c r="AK114" i="2"/>
  <c r="AJ114" i="2"/>
  <c r="AI114" i="2"/>
  <c r="AH114" i="2"/>
  <c r="AG114" i="2"/>
  <c r="AF114" i="2"/>
  <c r="AE114" i="2"/>
  <c r="AB114" i="2"/>
  <c r="AA114" i="2"/>
  <c r="Z114" i="2"/>
  <c r="Y114" i="2"/>
  <c r="X114" i="2"/>
  <c r="W114" i="2"/>
  <c r="V114" i="2"/>
  <c r="U114" i="2"/>
  <c r="T114" i="2"/>
  <c r="S114" i="2"/>
  <c r="I114" i="2"/>
  <c r="H114" i="2"/>
  <c r="G114" i="2"/>
  <c r="F114" i="2"/>
  <c r="E114" i="2"/>
  <c r="AL113" i="2"/>
  <c r="AK113" i="2"/>
  <c r="AJ113" i="2"/>
  <c r="AI113" i="2"/>
  <c r="AH113" i="2"/>
  <c r="AG113" i="2"/>
  <c r="AF113" i="2"/>
  <c r="AE113" i="2"/>
  <c r="AA113" i="2"/>
  <c r="Z113" i="2"/>
  <c r="Y113" i="2"/>
  <c r="X113" i="2"/>
  <c r="W113" i="2"/>
  <c r="V113" i="2"/>
  <c r="U113" i="2"/>
  <c r="T113" i="2"/>
  <c r="S113" i="2"/>
  <c r="H113" i="2"/>
  <c r="G113" i="2"/>
  <c r="F113" i="2"/>
  <c r="E113" i="2"/>
  <c r="AK112" i="2"/>
  <c r="AJ112" i="2"/>
  <c r="AI112" i="2"/>
  <c r="AH112" i="2"/>
  <c r="AG112" i="2"/>
  <c r="AF112" i="2"/>
  <c r="AE112" i="2"/>
  <c r="AB112" i="2"/>
  <c r="AA112" i="2"/>
  <c r="Z112" i="2"/>
  <c r="Y112" i="2"/>
  <c r="X112" i="2"/>
  <c r="W112" i="2"/>
  <c r="V112" i="2"/>
  <c r="U112" i="2"/>
  <c r="T112" i="2"/>
  <c r="S112" i="2"/>
  <c r="I112" i="2"/>
  <c r="H112" i="2"/>
  <c r="G112" i="2"/>
  <c r="F112" i="2"/>
  <c r="E112" i="2"/>
  <c r="AL111" i="2"/>
  <c r="AK111" i="2"/>
  <c r="AJ111" i="2"/>
  <c r="AI111" i="2"/>
  <c r="AH111" i="2"/>
  <c r="AG111" i="2"/>
  <c r="AF111" i="2"/>
  <c r="AE111" i="2"/>
  <c r="AB111" i="2"/>
  <c r="AA111" i="2"/>
  <c r="Z111" i="2"/>
  <c r="Y111" i="2"/>
  <c r="X111" i="2"/>
  <c r="W111" i="2"/>
  <c r="V111" i="2"/>
  <c r="U111" i="2"/>
  <c r="T111" i="2"/>
  <c r="S111" i="2"/>
  <c r="H111" i="2"/>
  <c r="G111" i="2"/>
  <c r="F111" i="2"/>
  <c r="E111" i="2"/>
  <c r="AI110" i="2"/>
  <c r="W110" i="2"/>
  <c r="I110" i="2"/>
  <c r="H110" i="2"/>
  <c r="G110" i="2"/>
  <c r="F110" i="2"/>
  <c r="E110" i="2"/>
  <c r="W109" i="2"/>
  <c r="H109" i="2"/>
  <c r="G109" i="2"/>
  <c r="F109" i="2"/>
  <c r="E109" i="2"/>
  <c r="I108" i="2"/>
  <c r="H108" i="2"/>
  <c r="G108" i="2"/>
  <c r="F108" i="2"/>
  <c r="E108" i="2"/>
  <c r="H107" i="2"/>
  <c r="G107" i="2"/>
  <c r="F107" i="2"/>
  <c r="E107" i="2"/>
  <c r="AK106" i="2"/>
  <c r="AJ106" i="2"/>
  <c r="AI106" i="2"/>
  <c r="AH106" i="2"/>
  <c r="AG106" i="2"/>
  <c r="AF106" i="2"/>
  <c r="AE106" i="2"/>
  <c r="AB106" i="2"/>
  <c r="AA106" i="2"/>
  <c r="Z106" i="2"/>
  <c r="Y106" i="2"/>
  <c r="X106" i="2"/>
  <c r="W106" i="2"/>
  <c r="V106" i="2"/>
  <c r="U106" i="2"/>
  <c r="T106" i="2"/>
  <c r="S106" i="2"/>
  <c r="I106" i="2"/>
  <c r="H106" i="2"/>
  <c r="G106" i="2"/>
  <c r="F106" i="2"/>
  <c r="E106" i="2"/>
  <c r="AK105" i="2"/>
  <c r="AJ105" i="2"/>
  <c r="AI105" i="2"/>
  <c r="AH105" i="2"/>
  <c r="AG105" i="2"/>
  <c r="AF105" i="2"/>
  <c r="AE105" i="2"/>
  <c r="AB105" i="2"/>
  <c r="AA105" i="2"/>
  <c r="Z105" i="2"/>
  <c r="Y105" i="2"/>
  <c r="X105" i="2"/>
  <c r="W105" i="2"/>
  <c r="V105" i="2"/>
  <c r="U105" i="2"/>
  <c r="T105" i="2"/>
  <c r="S105" i="2"/>
  <c r="H105" i="2"/>
  <c r="G105" i="2"/>
  <c r="F105" i="2"/>
  <c r="E105" i="2"/>
  <c r="AL104" i="2"/>
  <c r="AK104" i="2"/>
  <c r="AJ104" i="2"/>
  <c r="AI104" i="2"/>
  <c r="AH104" i="2"/>
  <c r="AG104" i="2"/>
  <c r="AF104" i="2"/>
  <c r="AE104" i="2"/>
  <c r="AB104" i="2"/>
  <c r="AA104" i="2"/>
  <c r="Z104" i="2"/>
  <c r="Y104" i="2"/>
  <c r="X104" i="2"/>
  <c r="W104" i="2"/>
  <c r="V104" i="2"/>
  <c r="U104" i="2"/>
  <c r="T104" i="2"/>
  <c r="S104" i="2"/>
  <c r="I104" i="2"/>
  <c r="H104" i="2"/>
  <c r="G104" i="2"/>
  <c r="F104" i="2"/>
  <c r="E104" i="2"/>
  <c r="AI103" i="2"/>
  <c r="W103" i="2"/>
  <c r="H103" i="2"/>
  <c r="G103" i="2"/>
  <c r="F103" i="2"/>
  <c r="E103" i="2"/>
  <c r="AI102" i="2"/>
  <c r="W102" i="2"/>
  <c r="I102" i="2"/>
  <c r="H102" i="2"/>
  <c r="G102" i="2"/>
  <c r="F102" i="2"/>
  <c r="E102" i="2"/>
  <c r="AI101" i="2"/>
  <c r="W101" i="2"/>
  <c r="H101" i="2"/>
  <c r="G101" i="2"/>
  <c r="F101" i="2"/>
  <c r="E101" i="2"/>
  <c r="AI100" i="2"/>
  <c r="W100" i="2"/>
  <c r="I100" i="2"/>
  <c r="H100" i="2"/>
  <c r="G100" i="2"/>
  <c r="F100" i="2"/>
  <c r="E100" i="2"/>
  <c r="AI99" i="2"/>
  <c r="W99" i="2"/>
  <c r="H99" i="2"/>
  <c r="G99" i="2"/>
  <c r="F99" i="2"/>
  <c r="E99" i="2"/>
  <c r="AI98" i="2"/>
  <c r="W98" i="2"/>
  <c r="I98" i="2"/>
  <c r="H98" i="2"/>
  <c r="G98" i="2"/>
  <c r="F98" i="2"/>
  <c r="E98" i="2"/>
  <c r="AI97" i="2"/>
  <c r="W97" i="2"/>
  <c r="H97" i="2"/>
  <c r="G97" i="2"/>
  <c r="F97" i="2"/>
  <c r="E97" i="2"/>
  <c r="AI96" i="2"/>
  <c r="W96" i="2"/>
  <c r="I96" i="2"/>
  <c r="H96" i="2"/>
  <c r="G96" i="2"/>
  <c r="F96" i="2"/>
  <c r="E96" i="2"/>
  <c r="AI95" i="2"/>
  <c r="W95" i="2"/>
  <c r="H95" i="2"/>
  <c r="G95" i="2"/>
  <c r="F95" i="2"/>
  <c r="E95" i="2"/>
  <c r="AI94" i="2"/>
  <c r="W94" i="2"/>
  <c r="I94" i="2"/>
  <c r="H94" i="2"/>
  <c r="G94" i="2"/>
  <c r="F94" i="2"/>
  <c r="E94" i="2"/>
  <c r="AI93" i="2"/>
  <c r="W93" i="2"/>
  <c r="H93" i="2"/>
  <c r="G93" i="2"/>
  <c r="F93" i="2"/>
  <c r="E93" i="2"/>
  <c r="AI92" i="2"/>
  <c r="W92" i="2"/>
  <c r="I92" i="2"/>
  <c r="H92" i="2"/>
  <c r="G92" i="2"/>
  <c r="F92" i="2"/>
  <c r="E92" i="2"/>
  <c r="AI91" i="2"/>
  <c r="H91" i="2"/>
  <c r="G91" i="2"/>
  <c r="F91" i="2"/>
  <c r="E91" i="2"/>
  <c r="I90" i="2"/>
  <c r="H90" i="2"/>
  <c r="G90" i="2"/>
  <c r="F90" i="2"/>
  <c r="E90" i="2"/>
  <c r="AI89" i="2"/>
  <c r="Y89" i="2"/>
  <c r="X89" i="2"/>
  <c r="W89" i="2"/>
  <c r="V89" i="2"/>
  <c r="U89" i="2"/>
  <c r="T89" i="2"/>
  <c r="H89" i="2"/>
  <c r="G89" i="2"/>
  <c r="F89" i="2"/>
  <c r="E89" i="2"/>
  <c r="AL88" i="2"/>
  <c r="AK88" i="2"/>
  <c r="AJ88" i="2"/>
  <c r="AI88" i="2"/>
  <c r="AH88" i="2"/>
  <c r="AG88" i="2"/>
  <c r="AF88" i="2"/>
  <c r="AE88" i="2"/>
  <c r="AB88" i="2"/>
  <c r="AA88" i="2"/>
  <c r="Z88" i="2"/>
  <c r="Y88" i="2"/>
  <c r="X88" i="2"/>
  <c r="W88" i="2"/>
  <c r="V88" i="2"/>
  <c r="U88" i="2"/>
  <c r="T88" i="2"/>
  <c r="S88" i="2"/>
  <c r="I88" i="2"/>
  <c r="H88" i="2"/>
  <c r="G88" i="2"/>
  <c r="F88" i="2"/>
  <c r="E88" i="2"/>
  <c r="AI87" i="2"/>
  <c r="W87" i="2"/>
  <c r="H87" i="2"/>
  <c r="G87" i="2"/>
  <c r="F87" i="2"/>
  <c r="E87" i="2"/>
  <c r="AI86" i="2"/>
  <c r="W86" i="2"/>
  <c r="I86" i="2"/>
  <c r="H86" i="2"/>
  <c r="G86" i="2"/>
  <c r="F86" i="2"/>
  <c r="E86" i="2"/>
  <c r="AI85" i="2"/>
  <c r="W85" i="2"/>
  <c r="H85" i="2"/>
  <c r="G85" i="2"/>
  <c r="F85" i="2"/>
  <c r="E85" i="2"/>
  <c r="AI84" i="2"/>
  <c r="W84" i="2"/>
  <c r="I84" i="2"/>
  <c r="H84" i="2"/>
  <c r="G84" i="2"/>
  <c r="F84" i="2"/>
  <c r="E84" i="2"/>
  <c r="H83" i="2"/>
  <c r="G83" i="2"/>
  <c r="F83" i="2"/>
  <c r="E83" i="2"/>
  <c r="AK77" i="2"/>
  <c r="AJ77" i="2"/>
  <c r="AI77" i="2"/>
  <c r="AH77" i="2"/>
  <c r="AG77" i="2"/>
  <c r="AF77" i="2"/>
  <c r="AE77" i="2"/>
  <c r="AB77" i="2"/>
  <c r="AA77" i="2"/>
  <c r="Z77" i="2"/>
  <c r="Y77" i="2"/>
  <c r="X77" i="2"/>
  <c r="W77" i="2"/>
  <c r="V77" i="2"/>
  <c r="U77" i="2"/>
  <c r="T77" i="2"/>
  <c r="S77" i="2"/>
  <c r="AK76" i="2"/>
  <c r="AJ76" i="2"/>
  <c r="AI76" i="2"/>
  <c r="AH76" i="2"/>
  <c r="AG76" i="2"/>
  <c r="AF76" i="2"/>
  <c r="AE76" i="2"/>
  <c r="AB76" i="2"/>
  <c r="AA76" i="2"/>
  <c r="Z76" i="2"/>
  <c r="Y76" i="2"/>
  <c r="X76" i="2"/>
  <c r="W76" i="2"/>
  <c r="V76" i="2"/>
  <c r="U76" i="2"/>
  <c r="T76" i="2"/>
  <c r="S76" i="2"/>
  <c r="AK75" i="2"/>
  <c r="AJ75" i="2"/>
  <c r="AI75" i="2"/>
  <c r="AH75" i="2"/>
  <c r="AG75" i="2"/>
  <c r="AF75" i="2"/>
  <c r="AE75" i="2"/>
  <c r="AB75" i="2"/>
  <c r="AA75" i="2"/>
  <c r="Z75" i="2"/>
  <c r="Y75" i="2"/>
  <c r="X75" i="2"/>
  <c r="W75" i="2"/>
  <c r="V75" i="2"/>
  <c r="U75" i="2"/>
  <c r="T75" i="2"/>
  <c r="S75" i="2"/>
  <c r="AI74" i="2"/>
  <c r="W74" i="2"/>
  <c r="AI73" i="2"/>
  <c r="W73" i="2"/>
  <c r="AI72" i="2"/>
  <c r="W72" i="2"/>
  <c r="AI71" i="2"/>
  <c r="W71" i="2"/>
  <c r="AI70" i="2"/>
  <c r="W70" i="2"/>
  <c r="AI69" i="2"/>
  <c r="W69" i="2"/>
  <c r="AI68" i="2"/>
  <c r="W68" i="2"/>
  <c r="I68" i="2"/>
  <c r="H68" i="2"/>
  <c r="G68" i="2"/>
  <c r="F68" i="2"/>
  <c r="E68" i="2"/>
  <c r="D68" i="2"/>
  <c r="AI67" i="2"/>
  <c r="W67" i="2"/>
  <c r="I67" i="2"/>
  <c r="H67" i="2"/>
  <c r="G67" i="2"/>
  <c r="F67" i="2"/>
  <c r="E67" i="2"/>
  <c r="D67" i="2"/>
  <c r="AI66" i="2"/>
  <c r="W66" i="2"/>
  <c r="I66" i="2"/>
  <c r="H66" i="2"/>
  <c r="G66" i="2"/>
  <c r="F66" i="2"/>
  <c r="E66" i="2"/>
  <c r="D66" i="2"/>
  <c r="AI65" i="2"/>
  <c r="W65" i="2"/>
  <c r="AI64" i="2"/>
  <c r="W64" i="2"/>
  <c r="I64" i="2"/>
  <c r="H64" i="2"/>
  <c r="G64" i="2"/>
  <c r="F64" i="2"/>
  <c r="E64" i="2"/>
  <c r="D64" i="2"/>
  <c r="AI63" i="2"/>
  <c r="W63" i="2"/>
  <c r="AI62" i="2"/>
  <c r="W62" i="2"/>
  <c r="AI61" i="2"/>
  <c r="W61" i="2"/>
  <c r="I61" i="2"/>
  <c r="H61" i="2"/>
  <c r="G61" i="2"/>
  <c r="F61" i="2"/>
  <c r="E61" i="2"/>
  <c r="D61" i="2"/>
  <c r="AI60" i="2"/>
  <c r="Y60" i="2"/>
  <c r="X60" i="2"/>
  <c r="W60" i="2"/>
  <c r="V60" i="2"/>
  <c r="U60" i="2"/>
  <c r="T60" i="2"/>
  <c r="AK59" i="2"/>
  <c r="AJ59" i="2"/>
  <c r="AI59" i="2"/>
  <c r="AH59" i="2"/>
  <c r="AG59" i="2"/>
  <c r="AF59" i="2"/>
  <c r="AE59" i="2"/>
  <c r="AB59" i="2"/>
  <c r="AA59" i="2"/>
  <c r="Z59" i="2"/>
  <c r="Y59" i="2"/>
  <c r="X59" i="2"/>
  <c r="W59" i="2"/>
  <c r="V59" i="2"/>
  <c r="U59" i="2"/>
  <c r="T59" i="2"/>
  <c r="S59" i="2"/>
  <c r="W58" i="2"/>
  <c r="AK57" i="2"/>
  <c r="AJ57" i="2"/>
  <c r="AI57" i="2"/>
  <c r="AH57" i="2"/>
  <c r="AG57" i="2"/>
  <c r="AF57" i="2"/>
  <c r="AE57" i="2"/>
  <c r="AB57" i="2"/>
  <c r="AA57" i="2"/>
  <c r="Z57" i="2"/>
  <c r="Y57" i="2"/>
  <c r="X57" i="2"/>
  <c r="W57" i="2"/>
  <c r="V57" i="2"/>
  <c r="U57" i="2"/>
  <c r="T57" i="2"/>
  <c r="S57" i="2"/>
  <c r="AI56" i="2"/>
  <c r="W56" i="2"/>
  <c r="AI55" i="2"/>
  <c r="W55" i="2"/>
  <c r="L55" i="2"/>
  <c r="L55" i="2" a="1"/>
  <c r="K55" i="2"/>
  <c r="H55" i="2"/>
  <c r="G55" i="2"/>
  <c r="F55" i="2"/>
  <c r="E55" i="2"/>
  <c r="AL54" i="2"/>
  <c r="AK54" i="2"/>
  <c r="AJ54" i="2"/>
  <c r="AI54" i="2"/>
  <c r="AH54" i="2"/>
  <c r="AG54" i="2"/>
  <c r="AF54" i="2"/>
  <c r="AE54" i="2"/>
  <c r="AB54" i="2"/>
  <c r="AA54" i="2"/>
  <c r="Z54" i="2"/>
  <c r="Y54" i="2"/>
  <c r="X54" i="2"/>
  <c r="W54" i="2"/>
  <c r="V54" i="2"/>
  <c r="U54" i="2"/>
  <c r="T54" i="2"/>
  <c r="S54" i="2"/>
  <c r="I54" i="2"/>
  <c r="H54" i="2"/>
  <c r="G54" i="2"/>
  <c r="F54" i="2"/>
  <c r="E54" i="2"/>
  <c r="D54" i="2"/>
  <c r="AL53" i="2"/>
  <c r="AK53" i="2"/>
  <c r="AJ53" i="2"/>
  <c r="AI53" i="2"/>
  <c r="AH53" i="2"/>
  <c r="AG53" i="2"/>
  <c r="AF53" i="2"/>
  <c r="AE53" i="2"/>
  <c r="AB53" i="2"/>
  <c r="Y53" i="2"/>
  <c r="X53" i="2"/>
  <c r="W53" i="2"/>
  <c r="V53" i="2"/>
  <c r="U53" i="2"/>
  <c r="T53" i="2"/>
  <c r="S53" i="2"/>
  <c r="L53" i="2"/>
  <c r="H53" i="2"/>
  <c r="G53" i="2"/>
  <c r="F53" i="2"/>
  <c r="E53" i="2"/>
  <c r="I52" i="2"/>
  <c r="H52" i="2"/>
  <c r="G52" i="2"/>
  <c r="F52" i="2"/>
  <c r="E52" i="2"/>
  <c r="D52" i="2"/>
  <c r="AL50" i="2"/>
  <c r="AK50" i="2"/>
  <c r="AJ50" i="2"/>
  <c r="AI50" i="2"/>
  <c r="AH50" i="2"/>
  <c r="AB50" i="2"/>
  <c r="Y50" i="2"/>
  <c r="X50" i="2"/>
  <c r="W50" i="2"/>
  <c r="V50" i="2"/>
  <c r="U50" i="2"/>
  <c r="T50" i="2"/>
  <c r="S50" i="2"/>
  <c r="G50" i="2"/>
  <c r="F50" i="2"/>
  <c r="E50" i="2"/>
  <c r="D50" i="2"/>
  <c r="AI49" i="2"/>
  <c r="W49" i="2"/>
  <c r="H49" i="2"/>
  <c r="G49" i="2"/>
  <c r="F49" i="2"/>
  <c r="E49" i="2"/>
  <c r="D49" i="2"/>
  <c r="AI48" i="2"/>
  <c r="W48" i="2"/>
  <c r="L48" i="2"/>
  <c r="K48" i="2"/>
  <c r="H48" i="2"/>
  <c r="G48" i="2"/>
  <c r="F48" i="2"/>
  <c r="E48" i="2"/>
  <c r="N47" i="2"/>
  <c r="M47" i="2"/>
  <c r="L47" i="2"/>
  <c r="J47" i="2"/>
  <c r="I47" i="2"/>
  <c r="H47" i="2"/>
  <c r="G47" i="2"/>
  <c r="F47" i="2"/>
  <c r="E47" i="2"/>
  <c r="D47" i="2"/>
  <c r="L46" i="2"/>
  <c r="H46" i="2"/>
  <c r="G46" i="2"/>
  <c r="F46" i="2"/>
  <c r="E46" i="2"/>
  <c r="AI45" i="2"/>
  <c r="AH45" i="2"/>
  <c r="AA45" i="2"/>
  <c r="Z45" i="2"/>
  <c r="Y45" i="2"/>
  <c r="X45" i="2"/>
  <c r="W45" i="2"/>
  <c r="V45" i="2"/>
  <c r="U45" i="2"/>
  <c r="T45" i="2"/>
  <c r="J45" i="2"/>
  <c r="I45" i="2"/>
  <c r="H45" i="2"/>
  <c r="G45" i="2"/>
  <c r="F45" i="2"/>
  <c r="E45" i="2"/>
  <c r="D45" i="2"/>
  <c r="AI44" i="2"/>
  <c r="AH44" i="2"/>
  <c r="AA44" i="2"/>
  <c r="Z44" i="2"/>
  <c r="Y44" i="2"/>
  <c r="X44" i="2"/>
  <c r="W44" i="2"/>
  <c r="V44" i="2"/>
  <c r="U44" i="2"/>
  <c r="T44" i="2"/>
  <c r="L44" i="2"/>
  <c r="K44" i="2"/>
  <c r="H44" i="2"/>
  <c r="G44" i="2"/>
  <c r="F44" i="2"/>
  <c r="E44" i="2"/>
  <c r="AI43" i="2"/>
  <c r="AH43" i="2"/>
  <c r="AA43" i="2"/>
  <c r="Z43" i="2"/>
  <c r="Y43" i="2"/>
  <c r="X43" i="2"/>
  <c r="W43" i="2"/>
  <c r="V43" i="2"/>
  <c r="U43" i="2"/>
  <c r="T43" i="2"/>
  <c r="N43" i="2"/>
  <c r="M43" i="2"/>
  <c r="L43" i="2"/>
  <c r="J43" i="2"/>
  <c r="I43" i="2"/>
  <c r="H43" i="2"/>
  <c r="G43" i="2"/>
  <c r="F43" i="2"/>
  <c r="E43" i="2"/>
  <c r="D43" i="2"/>
  <c r="AK42" i="2"/>
  <c r="AJ42" i="2"/>
  <c r="AI42" i="2"/>
  <c r="AH42" i="2"/>
  <c r="AG42" i="2"/>
  <c r="AF42" i="2"/>
  <c r="AE42" i="2"/>
  <c r="AB42" i="2"/>
  <c r="AA42" i="2"/>
  <c r="Z42" i="2"/>
  <c r="Y42" i="2"/>
  <c r="X42" i="2"/>
  <c r="W42" i="2"/>
  <c r="V42" i="2"/>
  <c r="U42" i="2"/>
  <c r="T42" i="2"/>
  <c r="S42" i="2"/>
  <c r="L42" i="2"/>
  <c r="H42" i="2"/>
  <c r="AI41" i="2"/>
  <c r="W41" i="2"/>
  <c r="J41" i="2"/>
  <c r="I41" i="2"/>
  <c r="H41" i="2"/>
  <c r="G41" i="2"/>
  <c r="F41" i="2"/>
  <c r="E41" i="2"/>
  <c r="D41" i="2"/>
  <c r="AI40" i="2"/>
  <c r="W40" i="2"/>
  <c r="L40" i="2"/>
  <c r="K40" i="2"/>
  <c r="H40" i="2"/>
  <c r="G40" i="2"/>
  <c r="F40" i="2"/>
  <c r="E40" i="2"/>
  <c r="AI39" i="2"/>
  <c r="W39" i="2"/>
  <c r="N39" i="2"/>
  <c r="M39" i="2"/>
  <c r="L39" i="2"/>
  <c r="J39" i="2"/>
  <c r="I39" i="2"/>
  <c r="H39" i="2"/>
  <c r="G39" i="2"/>
  <c r="F39" i="2"/>
  <c r="E39" i="2"/>
  <c r="D39" i="2"/>
  <c r="AI38" i="2"/>
  <c r="W38" i="2"/>
  <c r="L38" i="2"/>
  <c r="H38" i="2"/>
  <c r="AI37" i="2"/>
  <c r="W37" i="2"/>
  <c r="J37" i="2"/>
  <c r="I37" i="2"/>
  <c r="H37" i="2"/>
  <c r="G37" i="2"/>
  <c r="F37" i="2"/>
  <c r="E37" i="2"/>
  <c r="D37" i="2"/>
  <c r="AI36" i="2"/>
  <c r="W36" i="2"/>
  <c r="L36" i="2"/>
  <c r="K36" i="2"/>
  <c r="H36" i="2"/>
  <c r="G36" i="2"/>
  <c r="F36" i="2"/>
  <c r="E36" i="2"/>
  <c r="AI35" i="2"/>
  <c r="W35" i="2"/>
  <c r="N35" i="2"/>
  <c r="M35" i="2"/>
  <c r="L35" i="2"/>
  <c r="J35" i="2"/>
  <c r="I35" i="2"/>
  <c r="H35" i="2"/>
  <c r="G35" i="2"/>
  <c r="F35" i="2"/>
  <c r="E35" i="2"/>
  <c r="D35" i="2"/>
  <c r="AI34" i="2"/>
  <c r="W34" i="2"/>
  <c r="L34" i="2"/>
  <c r="H34" i="2"/>
  <c r="AI33" i="2"/>
  <c r="W33" i="2"/>
  <c r="J33" i="2"/>
  <c r="I33" i="2"/>
  <c r="H33" i="2"/>
  <c r="G33" i="2"/>
  <c r="F33" i="2"/>
  <c r="E33" i="2"/>
  <c r="D33" i="2"/>
  <c r="AI32" i="2"/>
  <c r="W32" i="2"/>
  <c r="L32" i="2"/>
  <c r="K32" i="2"/>
  <c r="H32" i="2"/>
  <c r="G32" i="2"/>
  <c r="F32" i="2"/>
  <c r="E32" i="2"/>
  <c r="AI31" i="2"/>
  <c r="W31" i="2"/>
  <c r="N31" i="2"/>
  <c r="M31" i="2"/>
  <c r="L31" i="2"/>
  <c r="J31" i="2"/>
  <c r="I31" i="2"/>
  <c r="H31" i="2"/>
  <c r="G31" i="2"/>
  <c r="F31" i="2"/>
  <c r="E31" i="2"/>
  <c r="D31" i="2"/>
  <c r="AI30" i="2"/>
  <c r="W30" i="2"/>
  <c r="L30" i="2"/>
  <c r="H30" i="2"/>
  <c r="AI29" i="2"/>
  <c r="W29" i="2"/>
  <c r="N29" i="2"/>
  <c r="J29" i="2"/>
  <c r="I29" i="2"/>
  <c r="H29" i="2"/>
  <c r="G29" i="2"/>
  <c r="F29" i="2"/>
  <c r="E29" i="2"/>
  <c r="D29" i="2"/>
  <c r="AI28" i="2"/>
  <c r="W28" i="2"/>
  <c r="L28" i="2"/>
  <c r="K28" i="2"/>
  <c r="H28" i="2"/>
  <c r="G28" i="2"/>
  <c r="F28" i="2"/>
  <c r="E28" i="2"/>
  <c r="AI27" i="2"/>
  <c r="W27" i="2"/>
  <c r="N27" i="2"/>
  <c r="M27" i="2"/>
  <c r="L27" i="2"/>
  <c r="J27" i="2"/>
  <c r="I27" i="2"/>
  <c r="H27" i="2"/>
  <c r="G27" i="2"/>
  <c r="F27" i="2"/>
  <c r="E27" i="2"/>
  <c r="D27" i="2"/>
  <c r="AI26" i="2"/>
  <c r="W26" i="2"/>
  <c r="L26" i="2"/>
  <c r="H26" i="2"/>
  <c r="G26" i="2"/>
  <c r="F26" i="2"/>
  <c r="AI25" i="2"/>
  <c r="W25" i="2"/>
  <c r="N25" i="2"/>
  <c r="J25" i="2"/>
  <c r="I25" i="2"/>
  <c r="H25" i="2"/>
  <c r="G25" i="2"/>
  <c r="F25" i="2"/>
  <c r="E25" i="2"/>
  <c r="D25" i="2"/>
  <c r="AI24" i="2"/>
  <c r="W24" i="2"/>
  <c r="AI23" i="2"/>
  <c r="W23" i="2"/>
  <c r="AI22" i="2"/>
  <c r="W22" i="2"/>
  <c r="AK21" i="2"/>
  <c r="AJ21" i="2"/>
  <c r="AI21" i="2"/>
  <c r="AH21" i="2"/>
  <c r="AG21" i="2"/>
  <c r="AF21" i="2"/>
  <c r="AE21" i="2"/>
  <c r="AB21" i="2"/>
  <c r="AA21" i="2"/>
  <c r="Z21" i="2"/>
  <c r="Y21" i="2"/>
  <c r="X21" i="2"/>
  <c r="W21" i="2"/>
  <c r="V21" i="2"/>
  <c r="U21" i="2"/>
  <c r="T21" i="2"/>
  <c r="S21" i="2"/>
  <c r="AI20" i="2"/>
  <c r="Y20" i="2"/>
  <c r="X20" i="2"/>
  <c r="W20" i="2"/>
  <c r="V20" i="2"/>
  <c r="U20" i="2"/>
  <c r="T20" i="2"/>
  <c r="AI19" i="2"/>
  <c r="Y19" i="2"/>
  <c r="X19" i="2"/>
  <c r="W19" i="2"/>
  <c r="V19" i="2"/>
  <c r="U19" i="2"/>
  <c r="T19" i="2"/>
  <c r="AL18" i="2"/>
  <c r="AK18" i="2"/>
  <c r="AJ18" i="2"/>
  <c r="AI18" i="2"/>
  <c r="AH18" i="2"/>
  <c r="AG18" i="2"/>
  <c r="AF18" i="2"/>
  <c r="AE18" i="2"/>
  <c r="AB18" i="2"/>
  <c r="AA18" i="2"/>
  <c r="Z18" i="2"/>
  <c r="Y18" i="2"/>
  <c r="X18" i="2"/>
  <c r="W18" i="2"/>
  <c r="V18" i="2"/>
  <c r="U18" i="2"/>
  <c r="T18" i="2"/>
  <c r="S18" i="2"/>
  <c r="AI17" i="2"/>
  <c r="W17" i="2"/>
  <c r="AI16" i="2"/>
  <c r="Y16" i="2"/>
  <c r="X16" i="2"/>
  <c r="W16" i="2"/>
  <c r="V16" i="2"/>
  <c r="U16" i="2"/>
  <c r="T16" i="2"/>
  <c r="G16" i="2"/>
  <c r="F16" i="2"/>
  <c r="E16" i="2"/>
  <c r="D16" i="2"/>
  <c r="AK15" i="2"/>
  <c r="AJ15" i="2"/>
  <c r="AI15" i="2"/>
  <c r="AH15" i="2"/>
  <c r="AG15" i="2"/>
  <c r="AF15" i="2"/>
  <c r="AE15" i="2"/>
  <c r="AB15" i="2"/>
  <c r="AA15" i="2"/>
  <c r="Z15" i="2"/>
  <c r="Y15" i="2"/>
  <c r="X15" i="2"/>
  <c r="W15" i="2"/>
  <c r="V15" i="2"/>
  <c r="U15" i="2"/>
  <c r="T15" i="2"/>
  <c r="S15" i="2"/>
  <c r="N15" i="2"/>
  <c r="H15" i="2"/>
  <c r="G15" i="2"/>
  <c r="F15" i="2"/>
  <c r="E15" i="2"/>
  <c r="D15" i="2"/>
  <c r="AI14" i="2"/>
  <c r="W14" i="2"/>
  <c r="L14" i="2"/>
  <c r="K14" i="2"/>
  <c r="H14" i="2"/>
  <c r="G14" i="2"/>
  <c r="F14" i="2"/>
  <c r="E14" i="2"/>
  <c r="AI13" i="2"/>
  <c r="Y13" i="2"/>
  <c r="X13" i="2"/>
  <c r="W13" i="2"/>
  <c r="V13" i="2"/>
  <c r="U13" i="2"/>
  <c r="T13" i="2"/>
  <c r="N13" i="2"/>
  <c r="M13" i="2"/>
  <c r="L13" i="2"/>
  <c r="J13" i="2"/>
  <c r="I13" i="2"/>
  <c r="H13" i="2"/>
  <c r="G13" i="2"/>
  <c r="F13" i="2"/>
  <c r="E13" i="2"/>
  <c r="D13" i="2"/>
  <c r="AL12" i="2"/>
  <c r="AK12" i="2"/>
  <c r="AJ12" i="2"/>
  <c r="AI12" i="2"/>
  <c r="AH12" i="2"/>
  <c r="AG12" i="2"/>
  <c r="AF12" i="2"/>
  <c r="AE12" i="2"/>
  <c r="AB12" i="2"/>
  <c r="AA12" i="2"/>
  <c r="Z12" i="2"/>
  <c r="Y12" i="2"/>
  <c r="X12" i="2"/>
  <c r="W12" i="2"/>
  <c r="V12" i="2"/>
  <c r="U12" i="2"/>
  <c r="T12" i="2"/>
  <c r="S12" i="2"/>
  <c r="L12" i="2"/>
  <c r="AI11" i="2"/>
  <c r="W11" i="2"/>
  <c r="N11" i="2"/>
  <c r="J11" i="2"/>
  <c r="I11" i="2"/>
  <c r="H11" i="2"/>
  <c r="G11" i="2"/>
  <c r="F11" i="2"/>
  <c r="E11" i="2"/>
  <c r="D11" i="2"/>
  <c r="AI10" i="2"/>
  <c r="W10" i="2"/>
  <c r="AL9" i="2"/>
  <c r="AK9" i="2"/>
  <c r="AJ9" i="2"/>
  <c r="AI9" i="2"/>
  <c r="AH9" i="2"/>
  <c r="AG9" i="2"/>
  <c r="AF9" i="2"/>
  <c r="AE9" i="2"/>
  <c r="AB9" i="2"/>
  <c r="AA9" i="2"/>
  <c r="Z9" i="2"/>
  <c r="Y9" i="2"/>
  <c r="X9" i="2"/>
  <c r="W9" i="2"/>
  <c r="V9" i="2"/>
  <c r="U9" i="2"/>
  <c r="T9" i="2"/>
  <c r="S9" i="2"/>
  <c r="W8" i="2"/>
  <c r="V8" i="2"/>
  <c r="U8" i="2"/>
  <c r="T8" i="2"/>
  <c r="W7" i="2"/>
  <c r="V7" i="2"/>
  <c r="U7" i="2"/>
  <c r="T7" i="2"/>
  <c r="AL6" i="2"/>
  <c r="AK6" i="2"/>
  <c r="AJ6" i="2"/>
  <c r="AI6" i="2"/>
  <c r="AH6" i="2"/>
  <c r="AG6" i="2"/>
  <c r="AF6" i="2"/>
  <c r="AE6" i="2"/>
  <c r="AB6" i="2"/>
  <c r="AA6" i="2"/>
  <c r="Z6" i="2"/>
  <c r="X6" i="2"/>
  <c r="W6" i="2"/>
  <c r="V6" i="2"/>
  <c r="U6" i="2"/>
  <c r="T6" i="2"/>
  <c r="S6" i="2"/>
  <c r="H81" i="24" l="1"/>
  <c r="H85" i="24" s="1"/>
  <c r="H86" i="24" s="1"/>
  <c r="G13" i="25"/>
  <c r="G92" i="31"/>
  <c r="F92" i="31"/>
  <c r="E92" i="31"/>
  <c r="R5" i="26"/>
  <c r="R16" i="26"/>
  <c r="R21" i="26"/>
  <c r="R29" i="26"/>
  <c r="R35" i="26"/>
  <c r="R11" i="26"/>
  <c r="R37" i="26"/>
  <c r="R43" i="26"/>
  <c r="R10" i="26"/>
  <c r="R34" i="26"/>
  <c r="R7" i="26"/>
  <c r="R12" i="26"/>
  <c r="R23" i="26"/>
  <c r="R31" i="26"/>
  <c r="R44" i="26"/>
  <c r="R42" i="26"/>
  <c r="R9" i="26"/>
  <c r="R33" i="26"/>
  <c r="R39" i="26"/>
  <c r="O10" i="31"/>
  <c r="R48" i="26"/>
  <c r="O24" i="31"/>
  <c r="R14" i="26"/>
  <c r="R17" i="26"/>
  <c r="R36" i="26"/>
  <c r="R46" i="26"/>
  <c r="O11" i="31"/>
  <c r="R49" i="26"/>
  <c r="O21" i="31"/>
  <c r="R26" i="26"/>
  <c r="O18" i="31"/>
  <c r="O23" i="31"/>
  <c r="R8" i="26"/>
  <c r="R13" i="26"/>
  <c r="R24" i="26"/>
  <c r="R32" i="26"/>
  <c r="R45" i="26"/>
  <c r="O15" i="31"/>
  <c r="R6" i="26"/>
  <c r="R22" i="26"/>
  <c r="R30" i="26"/>
  <c r="O16" i="31"/>
  <c r="O30" i="31"/>
  <c r="O22" i="31"/>
  <c r="R3" i="26"/>
  <c r="R18" i="26"/>
  <c r="R19" i="26"/>
  <c r="R25" i="26"/>
  <c r="R27" i="26"/>
  <c r="R40" i="26"/>
  <c r="O12" i="31"/>
  <c r="R50" i="26"/>
  <c r="O17" i="31"/>
  <c r="O27" i="31"/>
  <c r="R4" i="26"/>
  <c r="R15" i="26"/>
  <c r="R20" i="26"/>
  <c r="R28" i="26"/>
  <c r="R38" i="26"/>
  <c r="R41" i="26"/>
  <c r="O9" i="31"/>
  <c r="R47" i="26"/>
  <c r="O28" i="31"/>
  <c r="E10" i="31"/>
  <c r="H16" i="31"/>
  <c r="G17" i="31"/>
  <c r="H10" i="31"/>
  <c r="G11" i="31"/>
  <c r="L17" i="31"/>
  <c r="E23" i="31"/>
  <c r="K27" i="31"/>
  <c r="K30" i="31"/>
  <c r="K9" i="31"/>
  <c r="H11" i="31"/>
  <c r="K12" i="31"/>
  <c r="M17" i="31"/>
  <c r="G22" i="31"/>
  <c r="E24" i="31"/>
  <c r="K28" i="31"/>
  <c r="L10" i="31"/>
  <c r="L11" i="31"/>
  <c r="E17" i="31"/>
  <c r="L9" i="31"/>
  <c r="K10" i="31"/>
  <c r="E16" i="31"/>
  <c r="H22" i="31"/>
  <c r="L28" i="31"/>
  <c r="L29" i="31"/>
  <c r="K21" i="31"/>
  <c r="H23" i="31"/>
  <c r="K24" i="31"/>
  <c r="M29" i="31"/>
  <c r="L332" i="31"/>
  <c r="N329" i="31"/>
  <c r="O329" i="31"/>
  <c r="M11" i="31"/>
  <c r="G16" i="31"/>
  <c r="F17" i="31"/>
  <c r="E18" i="31"/>
  <c r="L21" i="31"/>
  <c r="K22" i="31"/>
  <c r="E28" i="31"/>
  <c r="L22" i="31"/>
  <c r="L23" i="31"/>
  <c r="F28" i="31"/>
  <c r="E29" i="31"/>
  <c r="F10" i="31"/>
  <c r="E11" i="31"/>
  <c r="K15" i="31"/>
  <c r="K18" i="31"/>
  <c r="M23" i="31"/>
  <c r="G28" i="31"/>
  <c r="E30" i="31"/>
  <c r="E12" i="31"/>
  <c r="M15" i="31"/>
  <c r="K16" i="31"/>
  <c r="E22" i="31"/>
  <c r="H28" i="31"/>
  <c r="G29" i="31"/>
  <c r="L329" i="31"/>
  <c r="N316" i="31"/>
  <c r="L331" i="31"/>
  <c r="Q332" i="31"/>
  <c r="L314" i="31"/>
  <c r="Q315" i="31"/>
  <c r="Q314" i="31"/>
  <c r="N332" i="31"/>
  <c r="N315" i="31"/>
  <c r="O314" i="31"/>
  <c r="N314" i="31"/>
  <c r="L330" i="31"/>
  <c r="L316" i="31"/>
  <c r="Q329" i="31"/>
  <c r="L315" i="31"/>
  <c r="Q330" i="31"/>
  <c r="O332" i="31"/>
  <c r="O317" i="31"/>
  <c r="N331" i="31"/>
  <c r="O331" i="31"/>
  <c r="O330" i="31"/>
  <c r="N330" i="31"/>
  <c r="L317" i="31"/>
  <c r="M337" i="31"/>
  <c r="D294" i="31" a="1"/>
  <c r="D294" i="31" s="1"/>
  <c r="E194" i="31"/>
  <c r="F194" i="31"/>
  <c r="G194" i="31"/>
  <c r="G80" i="31"/>
  <c r="F80" i="31"/>
  <c r="E80" i="31"/>
  <c r="H13" i="25"/>
  <c r="E13" i="25"/>
  <c r="H78" i="31"/>
  <c r="H76" i="31"/>
  <c r="G77" i="31" s="1"/>
  <c r="J13" i="25"/>
  <c r="O29" i="31"/>
  <c r="H52" i="31"/>
  <c r="G53" i="31" s="1"/>
  <c r="M16" i="31"/>
  <c r="J25" i="31"/>
  <c r="L15" i="31"/>
  <c r="M22" i="31"/>
  <c r="M10" i="31"/>
  <c r="M28" i="31"/>
  <c r="J31" i="31"/>
  <c r="M21" i="31"/>
  <c r="G23" i="31"/>
  <c r="L27" i="31"/>
  <c r="M27" i="31"/>
  <c r="F22" i="31"/>
  <c r="G10" i="31"/>
  <c r="F16" i="31"/>
  <c r="H17" i="31"/>
  <c r="F23" i="31"/>
  <c r="F29" i="31"/>
  <c r="F11" i="31"/>
  <c r="J13" i="31"/>
  <c r="M9" i="31"/>
  <c r="J33" i="31"/>
  <c r="J39" i="31" s="1"/>
  <c r="J35" i="31"/>
  <c r="J19" i="31"/>
  <c r="H56" i="31"/>
  <c r="E57" i="31" s="1"/>
  <c r="H60" i="31"/>
  <c r="G61" i="31" s="1"/>
  <c r="F140" i="31"/>
  <c r="H62" i="31"/>
  <c r="G63" i="31" s="1"/>
  <c r="H58" i="31"/>
  <c r="F59" i="31" s="1"/>
  <c r="H162" i="31"/>
  <c r="E163" i="31" s="1"/>
  <c r="H126" i="31"/>
  <c r="G127" i="31" s="1"/>
  <c r="H116" i="31"/>
  <c r="F117" i="31" s="1"/>
  <c r="H154" i="31"/>
  <c r="E155" i="31" s="1"/>
  <c r="G156" i="31"/>
  <c r="H180" i="31"/>
  <c r="F181" i="31" s="1"/>
  <c r="H122" i="31"/>
  <c r="E123" i="31" s="1"/>
  <c r="H72" i="31"/>
  <c r="E73" i="31" s="1"/>
  <c r="H86" i="31"/>
  <c r="G87" i="31" s="1"/>
  <c r="H108" i="31"/>
  <c r="G109" i="31" s="1"/>
  <c r="F124" i="31"/>
  <c r="G124" i="31"/>
  <c r="H110" i="31"/>
  <c r="G111" i="31" s="1"/>
  <c r="H118" i="31"/>
  <c r="G119" i="31" s="1"/>
  <c r="H148" i="31"/>
  <c r="F149" i="31" s="1"/>
  <c r="H150" i="31"/>
  <c r="G151" i="31" s="1"/>
  <c r="F172" i="31"/>
  <c r="H158" i="31"/>
  <c r="G159" i="31" s="1"/>
  <c r="H166" i="31"/>
  <c r="G167" i="31" s="1"/>
  <c r="H182" i="31"/>
  <c r="G183" i="31" s="1"/>
  <c r="H64" i="31"/>
  <c r="G65" i="31" s="1"/>
  <c r="H74" i="31"/>
  <c r="E75" i="31" s="1"/>
  <c r="H170" i="31"/>
  <c r="G171" i="31" s="1"/>
  <c r="E124" i="31"/>
  <c r="H106" i="31"/>
  <c r="F107" i="31" s="1"/>
  <c r="H82" i="31"/>
  <c r="G83" i="31" s="1"/>
  <c r="H134" i="31"/>
  <c r="E135" i="31" s="1"/>
  <c r="H186" i="31"/>
  <c r="E187" i="31" s="1"/>
  <c r="H174" i="31"/>
  <c r="H142" i="31"/>
  <c r="G143" i="31" s="1"/>
  <c r="E68" i="31"/>
  <c r="H66" i="31"/>
  <c r="E67" i="31" s="1"/>
  <c r="H130" i="31"/>
  <c r="E131" i="31" s="1"/>
  <c r="H132" i="31"/>
  <c r="G133" i="31" s="1"/>
  <c r="F156" i="31"/>
  <c r="H152" i="31"/>
  <c r="F153" i="31" s="1"/>
  <c r="G68" i="31"/>
  <c r="H84" i="31"/>
  <c r="H164" i="31"/>
  <c r="E165" i="31" s="1"/>
  <c r="H178" i="31"/>
  <c r="H184" i="31"/>
  <c r="G185" i="31" s="1"/>
  <c r="H192" i="31"/>
  <c r="E193" i="31" s="1"/>
  <c r="H114" i="31"/>
  <c r="G115" i="31" s="1"/>
  <c r="H120" i="31"/>
  <c r="G121" i="31" s="1"/>
  <c r="H138" i="31"/>
  <c r="G139" i="31" s="1"/>
  <c r="F68" i="31"/>
  <c r="H54" i="31"/>
  <c r="H70" i="31"/>
  <c r="H112" i="31"/>
  <c r="H128" i="31"/>
  <c r="E140" i="31"/>
  <c r="G140" i="31"/>
  <c r="H144" i="31"/>
  <c r="E156" i="31"/>
  <c r="H146" i="31"/>
  <c r="H160" i="31"/>
  <c r="E172" i="31"/>
  <c r="G172" i="31"/>
  <c r="H168" i="31"/>
  <c r="H176" i="31"/>
  <c r="E87" i="31" l="1"/>
  <c r="E35" i="31"/>
  <c r="E41" i="31" s="1"/>
  <c r="I22" i="31"/>
  <c r="I16" i="31"/>
  <c r="I10" i="31"/>
  <c r="G59" i="31"/>
  <c r="G290" i="31"/>
  <c r="K300" i="31"/>
  <c r="O300" i="31"/>
  <c r="M300" i="31"/>
  <c r="H290" i="31"/>
  <c r="N300" i="31"/>
  <c r="I300" i="31"/>
  <c r="J290" i="31"/>
  <c r="N290" i="31"/>
  <c r="I290" i="31"/>
  <c r="P290" i="31"/>
  <c r="H300" i="31"/>
  <c r="P300" i="31"/>
  <c r="M290" i="31"/>
  <c r="K290" i="31"/>
  <c r="Q300" i="31"/>
  <c r="L300" i="31"/>
  <c r="J300" i="31"/>
  <c r="E53" i="31"/>
  <c r="F53" i="31"/>
  <c r="A314" i="31"/>
  <c r="N325" i="31"/>
  <c r="M325" i="31"/>
  <c r="P325" i="31"/>
  <c r="J325" i="31"/>
  <c r="K325" i="31"/>
  <c r="J337" i="31"/>
  <c r="P337" i="31"/>
  <c r="K337" i="31"/>
  <c r="G337" i="31"/>
  <c r="I337" i="31"/>
  <c r="A332" i="31"/>
  <c r="H337" i="31"/>
  <c r="A329" i="31"/>
  <c r="A333" i="31"/>
  <c r="N337" i="31"/>
  <c r="A334" i="31"/>
  <c r="H92" i="31"/>
  <c r="F93" i="31" s="1"/>
  <c r="H194" i="31"/>
  <c r="I188" i="31" s="1"/>
  <c r="E159" i="31"/>
  <c r="H80" i="31"/>
  <c r="E175" i="31"/>
  <c r="F163" i="31"/>
  <c r="L325" i="31"/>
  <c r="L337" i="31"/>
  <c r="Q325" i="31"/>
  <c r="O325" i="31"/>
  <c r="O337" i="31"/>
  <c r="G163" i="31"/>
  <c r="O35" i="31"/>
  <c r="G79" i="31"/>
  <c r="F79" i="31"/>
  <c r="E79" i="31"/>
  <c r="E77" i="31"/>
  <c r="F77" i="31"/>
  <c r="E151" i="31"/>
  <c r="G57" i="31"/>
  <c r="E181" i="31"/>
  <c r="G181" i="31"/>
  <c r="E59" i="31"/>
  <c r="G155" i="31"/>
  <c r="F155" i="31"/>
  <c r="F57" i="31"/>
  <c r="G135" i="31"/>
  <c r="Q337" i="31"/>
  <c r="I28" i="31"/>
  <c r="G30" i="31"/>
  <c r="G32" i="31" s="1"/>
  <c r="F30" i="31"/>
  <c r="F32" i="31" s="1"/>
  <c r="F24" i="31"/>
  <c r="F26" i="31" s="1"/>
  <c r="J37" i="31"/>
  <c r="J41" i="31"/>
  <c r="J43" i="31" s="1"/>
  <c r="I17" i="31"/>
  <c r="I11" i="31"/>
  <c r="I29" i="31"/>
  <c r="G35" i="31"/>
  <c r="F35" i="31"/>
  <c r="F41" i="31" s="1"/>
  <c r="I23" i="31"/>
  <c r="H35" i="31"/>
  <c r="G187" i="31"/>
  <c r="F61" i="31"/>
  <c r="E61" i="31"/>
  <c r="E119" i="31"/>
  <c r="F65" i="31"/>
  <c r="E183" i="31"/>
  <c r="F183" i="31"/>
  <c r="E171" i="31"/>
  <c r="F187" i="31"/>
  <c r="E107" i="31"/>
  <c r="G107" i="31"/>
  <c r="F87" i="31"/>
  <c r="F127" i="31"/>
  <c r="F175" i="31"/>
  <c r="E127" i="31"/>
  <c r="G149" i="31"/>
  <c r="E65" i="31"/>
  <c r="E139" i="31"/>
  <c r="F83" i="31"/>
  <c r="E83" i="31"/>
  <c r="F167" i="31"/>
  <c r="F123" i="31"/>
  <c r="F75" i="31"/>
  <c r="E121" i="31"/>
  <c r="F119" i="31"/>
  <c r="E109" i="31"/>
  <c r="G75" i="31"/>
  <c r="G123" i="31"/>
  <c r="G131" i="31"/>
  <c r="F143" i="31"/>
  <c r="F63" i="31"/>
  <c r="F185" i="31"/>
  <c r="E133" i="31"/>
  <c r="F131" i="31"/>
  <c r="E117" i="31"/>
  <c r="E63" i="31"/>
  <c r="E149" i="31"/>
  <c r="G117" i="31"/>
  <c r="F109" i="31"/>
  <c r="F133" i="31"/>
  <c r="H124" i="31"/>
  <c r="I110" i="31" s="1"/>
  <c r="F139" i="31"/>
  <c r="F171" i="31"/>
  <c r="F111" i="31"/>
  <c r="G175" i="31"/>
  <c r="E185" i="31"/>
  <c r="F159" i="31"/>
  <c r="G73" i="31"/>
  <c r="F121" i="31"/>
  <c r="F73" i="31"/>
  <c r="F135" i="31"/>
  <c r="F67" i="31"/>
  <c r="F151" i="31"/>
  <c r="G67" i="31"/>
  <c r="E143" i="31"/>
  <c r="E167" i="31"/>
  <c r="F115" i="31"/>
  <c r="E115" i="31"/>
  <c r="G193" i="31"/>
  <c r="F193" i="31"/>
  <c r="G179" i="31"/>
  <c r="E179" i="31"/>
  <c r="F179" i="31"/>
  <c r="G165" i="31"/>
  <c r="F165" i="31"/>
  <c r="E85" i="31"/>
  <c r="G85" i="31"/>
  <c r="F85" i="31"/>
  <c r="G153" i="31"/>
  <c r="E153" i="31"/>
  <c r="E111" i="31"/>
  <c r="G169" i="31"/>
  <c r="G161" i="31"/>
  <c r="E161" i="31"/>
  <c r="F161" i="31"/>
  <c r="G113" i="31"/>
  <c r="G71" i="31"/>
  <c r="F71" i="31"/>
  <c r="E71" i="31"/>
  <c r="G147" i="31"/>
  <c r="F147" i="31"/>
  <c r="E147" i="31"/>
  <c r="E55" i="31"/>
  <c r="F55" i="31"/>
  <c r="G177" i="31"/>
  <c r="G145" i="31"/>
  <c r="G55" i="31"/>
  <c r="H156" i="31"/>
  <c r="I144" i="31" s="1"/>
  <c r="G129" i="31"/>
  <c r="E129" i="31"/>
  <c r="F129" i="31"/>
  <c r="H68" i="31"/>
  <c r="F69" i="31" s="1"/>
  <c r="F177" i="31"/>
  <c r="E177" i="31"/>
  <c r="F169" i="31"/>
  <c r="E169" i="31"/>
  <c r="H172" i="31"/>
  <c r="I160" i="31" s="1"/>
  <c r="F145" i="31"/>
  <c r="E145" i="31"/>
  <c r="H140" i="31"/>
  <c r="I136" i="31" s="1"/>
  <c r="F113" i="31"/>
  <c r="E113" i="31"/>
  <c r="L290" i="31" l="1"/>
  <c r="G24" i="31"/>
  <c r="G26" i="31" s="1"/>
  <c r="H18" i="31"/>
  <c r="H20" i="31" s="1"/>
  <c r="G12" i="31"/>
  <c r="G14" i="31" s="1"/>
  <c r="G18" i="31"/>
  <c r="G20" i="31" s="1"/>
  <c r="H12" i="31"/>
  <c r="H14" i="31" s="1"/>
  <c r="F101" i="31"/>
  <c r="E93" i="31"/>
  <c r="G93" i="31"/>
  <c r="A317" i="31"/>
  <c r="A318" i="31"/>
  <c r="Q290" i="31"/>
  <c r="A331" i="31"/>
  <c r="A330" i="31"/>
  <c r="A315" i="31"/>
  <c r="A316" i="31"/>
  <c r="O290" i="31"/>
  <c r="I190" i="31"/>
  <c r="F202" i="31"/>
  <c r="H24" i="31"/>
  <c r="H26" i="31" s="1"/>
  <c r="H30" i="31"/>
  <c r="H32" i="31" s="1"/>
  <c r="I30" i="31"/>
  <c r="I32" i="31" s="1"/>
  <c r="H41" i="31"/>
  <c r="K23" i="31"/>
  <c r="K25" i="31" s="1"/>
  <c r="G41" i="31"/>
  <c r="L30" i="31"/>
  <c r="M30" i="31"/>
  <c r="K11" i="31"/>
  <c r="K13" i="31" s="1"/>
  <c r="F18" i="31"/>
  <c r="F20" i="31" s="1"/>
  <c r="L18" i="31"/>
  <c r="M18" i="31"/>
  <c r="L24" i="31"/>
  <c r="M24" i="31"/>
  <c r="K29" i="31"/>
  <c r="K31" i="31" s="1"/>
  <c r="I35" i="31"/>
  <c r="I24" i="31"/>
  <c r="F12" i="31"/>
  <c r="F14" i="31" s="1"/>
  <c r="I12" i="31"/>
  <c r="L12" i="31"/>
  <c r="M12" i="31"/>
  <c r="K17" i="31"/>
  <c r="K19" i="31" s="1"/>
  <c r="N231" i="31" a="1"/>
  <c r="N231" i="31" s="1"/>
  <c r="I192" i="31"/>
  <c r="I186" i="31"/>
  <c r="I176" i="31"/>
  <c r="I180" i="31"/>
  <c r="F195" i="31"/>
  <c r="I184" i="31"/>
  <c r="G195" i="31"/>
  <c r="I182" i="31"/>
  <c r="E195" i="31"/>
  <c r="I174" i="31"/>
  <c r="I178" i="31"/>
  <c r="I120" i="31"/>
  <c r="I112" i="31"/>
  <c r="I106" i="31"/>
  <c r="G125" i="31"/>
  <c r="I122" i="31"/>
  <c r="I116" i="31"/>
  <c r="I118" i="31"/>
  <c r="I108" i="31"/>
  <c r="E125" i="31"/>
  <c r="F125" i="31"/>
  <c r="I114" i="31"/>
  <c r="F198" i="31"/>
  <c r="I134" i="31"/>
  <c r="F199" i="31"/>
  <c r="F141" i="31"/>
  <c r="I138" i="31"/>
  <c r="I130" i="31"/>
  <c r="I126" i="31"/>
  <c r="I132" i="31"/>
  <c r="I128" i="31"/>
  <c r="E141" i="31"/>
  <c r="G173" i="31"/>
  <c r="I168" i="31"/>
  <c r="G141" i="31"/>
  <c r="F201" i="31"/>
  <c r="I166" i="31"/>
  <c r="F173" i="31"/>
  <c r="I162" i="31"/>
  <c r="I170" i="31"/>
  <c r="I158" i="31"/>
  <c r="I164" i="31"/>
  <c r="F200" i="31"/>
  <c r="I152" i="31"/>
  <c r="I148" i="31"/>
  <c r="I142" i="31"/>
  <c r="I150" i="31"/>
  <c r="F157" i="31"/>
  <c r="I154" i="31"/>
  <c r="G157" i="31"/>
  <c r="E173" i="31"/>
  <c r="F99" i="31"/>
  <c r="G69" i="31"/>
  <c r="E69" i="31"/>
  <c r="E157" i="31"/>
  <c r="I146" i="31"/>
  <c r="O258" i="31" l="1"/>
  <c r="O246" i="31"/>
  <c r="G101" i="31"/>
  <c r="G202" i="31"/>
  <c r="I18" i="31"/>
  <c r="K35" i="31"/>
  <c r="L36" i="31"/>
  <c r="M36" i="31" s="1"/>
  <c r="I41" i="31"/>
  <c r="G42" i="31" s="1"/>
  <c r="G198" i="31"/>
  <c r="G36" i="31"/>
  <c r="F36" i="31"/>
  <c r="H36" i="31"/>
  <c r="M229" i="31"/>
  <c r="G201" i="31"/>
  <c r="O245" i="31"/>
  <c r="O244" i="31"/>
  <c r="G200" i="31"/>
  <c r="G99" i="31"/>
  <c r="M230" i="31"/>
  <c r="G199" i="31"/>
  <c r="F203" i="31"/>
  <c r="M228" i="31"/>
  <c r="M231" i="31" s="1"/>
  <c r="G203" i="31" l="1"/>
  <c r="H200" i="31"/>
  <c r="O247" i="31"/>
  <c r="H42" i="31"/>
  <c r="I36" i="31"/>
  <c r="L42" i="31"/>
  <c r="M42" i="31" s="1"/>
  <c r="K41" i="31"/>
  <c r="F42" i="31"/>
  <c r="H199" i="31"/>
  <c r="O230" i="31" s="1"/>
  <c r="H198" i="31"/>
  <c r="H202" i="31"/>
  <c r="H201" i="31"/>
  <c r="I42" i="31" l="1"/>
  <c r="O228" i="31"/>
  <c r="O231" i="31" s="1"/>
  <c r="O229" i="31"/>
  <c r="H203" i="31"/>
  <c r="F94" i="31" l="1"/>
  <c r="G94" i="31"/>
  <c r="E94" i="31" l="1"/>
  <c r="H94" i="31" s="1"/>
  <c r="F100" i="31"/>
  <c r="E81" i="31"/>
  <c r="F81" i="31"/>
  <c r="G81" i="31"/>
  <c r="I88" i="31" l="1"/>
  <c r="I90" i="31"/>
  <c r="I78" i="31"/>
  <c r="I58" i="31"/>
  <c r="I56" i="31"/>
  <c r="E95" i="31"/>
  <c r="I93" i="31"/>
  <c r="F95" i="31"/>
  <c r="I70" i="31"/>
  <c r="I76" i="31"/>
  <c r="I54" i="31"/>
  <c r="I60" i="31"/>
  <c r="I86" i="31"/>
  <c r="I74" i="31"/>
  <c r="I52" i="31"/>
  <c r="G95" i="31"/>
  <c r="I72" i="31"/>
  <c r="I66" i="31"/>
  <c r="I84" i="31"/>
  <c r="I64" i="31"/>
  <c r="I82" i="31"/>
  <c r="I92" i="31"/>
  <c r="I62" i="31"/>
  <c r="G100" i="31"/>
  <c r="G102" i="31" s="1"/>
  <c r="F102" i="31"/>
  <c r="H101" i="31" l="1"/>
  <c r="H99" i="31"/>
  <c r="H100" i="31"/>
  <c r="H102" i="31" l="1"/>
  <c r="A305" i="31"/>
  <c r="A306" i="31"/>
  <c r="A307" i="31"/>
  <c r="A308" i="31"/>
  <c r="A309" i="31"/>
  <c r="A304" i="31"/>
  <c r="D304" i="31" a="1"/>
  <c r="K310" i="31" s="1"/>
  <c r="H310" i="31" l="1"/>
  <c r="J310" i="31"/>
  <c r="M310" i="31"/>
  <c r="O310" i="31"/>
  <c r="Q310" i="31"/>
  <c r="I310" i="31"/>
  <c r="P310" i="31"/>
  <c r="G310" i="31"/>
  <c r="N310" i="31"/>
  <c r="D304" i="31"/>
  <c r="L310" i="31"/>
  <c r="A274" i="31"/>
  <c r="A273" i="31"/>
  <c r="A275" i="31"/>
  <c r="A276" i="31"/>
  <c r="A277" i="31"/>
  <c r="D273" i="31" a="1"/>
  <c r="M279" i="31" s="1"/>
  <c r="A278" i="31"/>
  <c r="D273" i="31" l="1"/>
  <c r="N279" i="31"/>
  <c r="K279" i="31"/>
  <c r="P279" i="31"/>
  <c r="H279" i="31"/>
  <c r="I279" i="31"/>
  <c r="J279" i="31"/>
  <c r="Q279" i="31" l="1"/>
  <c r="O279" i="31"/>
  <c r="L279" i="31"/>
  <c r="I9" i="31" l="1"/>
  <c r="I13" i="31" s="1"/>
  <c r="E9" i="31" l="1"/>
  <c r="E13" i="31" s="1"/>
  <c r="F9" i="31"/>
  <c r="F13" i="31" s="1"/>
  <c r="G9" i="31"/>
  <c r="G13" i="31" s="1"/>
  <c r="H9" i="31"/>
  <c r="H13" i="31" s="1"/>
  <c r="E21" i="31"/>
  <c r="H21" i="31"/>
  <c r="I21" i="31"/>
  <c r="G21" i="31"/>
  <c r="F21" i="31"/>
  <c r="G25" i="31" l="1"/>
  <c r="E25" i="31"/>
  <c r="F25" i="31"/>
  <c r="I25" i="31"/>
  <c r="H25" i="31"/>
  <c r="E15" i="31" l="1"/>
  <c r="I15" i="31"/>
  <c r="H15" i="31"/>
  <c r="G15" i="31"/>
  <c r="F15" i="31"/>
  <c r="G19" i="31" l="1"/>
  <c r="H19" i="31"/>
  <c r="F19" i="31"/>
  <c r="G27" i="31"/>
  <c r="G31" i="31" s="1"/>
  <c r="I27" i="31"/>
  <c r="I31" i="31" s="1"/>
  <c r="I19" i="31"/>
  <c r="E19" i="31"/>
  <c r="E27" i="31"/>
  <c r="E31" i="31" s="1"/>
  <c r="H27" i="31"/>
  <c r="H31" i="31" s="1"/>
  <c r="F27" i="31"/>
  <c r="F31" i="31" s="1"/>
  <c r="E33" i="31" l="1"/>
  <c r="H33" i="31"/>
  <c r="I33" i="31"/>
  <c r="F33" i="31"/>
  <c r="G33" i="31"/>
  <c r="I39" i="31" l="1"/>
  <c r="K33" i="31"/>
  <c r="K37" i="31" s="1"/>
  <c r="I37" i="31"/>
  <c r="L34" i="31"/>
  <c r="M34" i="31" s="1"/>
  <c r="F37" i="31"/>
  <c r="F39" i="31"/>
  <c r="F34" i="31"/>
  <c r="H34" i="31"/>
  <c r="H38" i="31" s="1"/>
  <c r="H37" i="31"/>
  <c r="H39" i="31"/>
  <c r="G34" i="31"/>
  <c r="G38" i="31" s="1"/>
  <c r="G37" i="31"/>
  <c r="G39" i="31"/>
  <c r="E39" i="31"/>
  <c r="E43" i="31" s="1"/>
  <c r="E37" i="31"/>
  <c r="F38" i="31" l="1"/>
  <c r="I34" i="31"/>
  <c r="H40" i="31"/>
  <c r="H44" i="31" s="1"/>
  <c r="H43" i="31"/>
  <c r="F43" i="31"/>
  <c r="F40" i="31"/>
  <c r="G40" i="31"/>
  <c r="G44" i="31" s="1"/>
  <c r="G43" i="31"/>
  <c r="I43" i="31"/>
  <c r="K39" i="31"/>
  <c r="K43" i="31" s="1"/>
  <c r="L40" i="31"/>
  <c r="M40" i="31" s="1"/>
  <c r="F44" i="31" l="1"/>
  <c r="I40" i="31"/>
  <c r="H62" i="28" l="1"/>
  <c r="L62" i="28"/>
  <c r="L58" i="28"/>
  <c r="H58" i="28"/>
  <c r="J58" i="28" s="1"/>
  <c r="L54" i="28"/>
  <c r="H54" i="28"/>
  <c r="J54" i="28" s="1"/>
  <c r="L56" i="28"/>
  <c r="H56" i="28"/>
  <c r="K56" i="28" s="1"/>
  <c r="L55" i="28"/>
  <c r="H55" i="28"/>
  <c r="J55" i="28" s="1"/>
  <c r="L61" i="28"/>
  <c r="H61" i="28"/>
  <c r="K61" i="28" s="1"/>
  <c r="L57" i="28"/>
  <c r="H57" i="28"/>
  <c r="K57" i="28" s="1"/>
  <c r="H53" i="28"/>
  <c r="L53" i="28"/>
  <c r="H52" i="28"/>
  <c r="L52" i="28"/>
  <c r="F215" i="31" a="1"/>
  <c r="F215" i="31" s="1"/>
  <c r="M247" i="31" s="1"/>
  <c r="J241" i="31" a="1"/>
  <c r="J241" i="31" s="1"/>
  <c r="H239" i="31" a="1"/>
  <c r="H239" i="31" s="1"/>
  <c r="J238" i="31" a="1"/>
  <c r="J238" i="31" s="1"/>
  <c r="H237" i="31" a="1"/>
  <c r="H237" i="31" s="1"/>
  <c r="H238" i="31" a="1"/>
  <c r="H238" i="31" s="1"/>
  <c r="H241" i="31" a="1"/>
  <c r="H241" i="31" s="1"/>
  <c r="J234" i="31" a="1"/>
  <c r="J234" i="31" s="1"/>
  <c r="I241" i="31" a="1"/>
  <c r="I241" i="31" s="1"/>
  <c r="G241" i="31" a="1"/>
  <c r="G241" i="31" s="1"/>
  <c r="H236" i="31" a="1"/>
  <c r="H236" i="31" s="1"/>
  <c r="J240" i="31" a="1"/>
  <c r="J240" i="31" s="1"/>
  <c r="F240" i="31" a="1"/>
  <c r="F240" i="31" s="1"/>
  <c r="F241" i="31" a="1"/>
  <c r="F241" i="31" s="1"/>
  <c r="H235" i="31" a="1"/>
  <c r="H235" i="31" s="1"/>
  <c r="H240" i="31" a="1"/>
  <c r="H240" i="31" s="1"/>
  <c r="G239" i="31" a="1"/>
  <c r="G239" i="31" s="1"/>
  <c r="J237" i="31" a="1"/>
  <c r="J237" i="31" s="1"/>
  <c r="G237" i="31" a="1"/>
  <c r="G237" i="31" s="1"/>
  <c r="I237" i="31" a="1"/>
  <c r="I237" i="31" s="1"/>
  <c r="F267" i="31" a="1"/>
  <c r="F267" i="31" s="1"/>
  <c r="F259" i="31" a="1"/>
  <c r="F259" i="31" s="1"/>
  <c r="F250" i="31" a="1"/>
  <c r="F250" i="31" s="1"/>
  <c r="L51" i="28"/>
  <c r="G213" i="31" a="1"/>
  <c r="G213" i="31" s="1"/>
  <c r="F210" i="31" a="1"/>
  <c r="F210" i="31" s="1"/>
  <c r="G268" i="31" a="1"/>
  <c r="G268" i="31" s="1"/>
  <c r="G248" i="31" a="1"/>
  <c r="G248" i="31" s="1"/>
  <c r="H266" i="31" a="1"/>
  <c r="H266" i="31" s="1"/>
  <c r="H262" i="31" a="1"/>
  <c r="H262" i="31" s="1"/>
  <c r="G255" i="31" a="1"/>
  <c r="G255" i="31" s="1"/>
  <c r="H251" i="31" a="1"/>
  <c r="H251" i="31" s="1"/>
  <c r="F235" i="31" a="1"/>
  <c r="F235" i="31" s="1"/>
  <c r="G232" i="31" a="1"/>
  <c r="G232" i="31" s="1"/>
  <c r="J228" i="31" a="1"/>
  <c r="J228" i="31" s="1"/>
  <c r="F221" i="31" a="1"/>
  <c r="F221" i="31" s="1"/>
  <c r="F211" i="31" a="1"/>
  <c r="F211" i="31" s="1"/>
  <c r="G266" i="31" a="1"/>
  <c r="G266" i="31" s="1"/>
  <c r="F266" i="31" a="1"/>
  <c r="F266" i="31" s="1"/>
  <c r="F260" i="31" a="1"/>
  <c r="F260" i="31" s="1"/>
  <c r="F249" i="31" a="1"/>
  <c r="F249" i="31" s="1"/>
  <c r="F237" i="31" a="1"/>
  <c r="F237" i="31" s="1"/>
  <c r="G231" i="31" a="1"/>
  <c r="G231" i="31" s="1"/>
  <c r="I228" i="31" a="1"/>
  <c r="I228" i="31" s="1"/>
  <c r="F216" i="31" a="1"/>
  <c r="F216" i="31" s="1"/>
  <c r="H209" i="31" a="1"/>
  <c r="H209" i="31" s="1"/>
  <c r="G244" i="31" a="1"/>
  <c r="G244" i="31" s="1"/>
  <c r="H265" i="31" a="1"/>
  <c r="H265" i="31" s="1"/>
  <c r="H254" i="31" a="1"/>
  <c r="H254" i="31" s="1"/>
  <c r="H248" i="31" a="1"/>
  <c r="H248" i="31" s="1"/>
  <c r="J235" i="31" a="1"/>
  <c r="J235" i="31" s="1"/>
  <c r="I236" i="31" a="1"/>
  <c r="I236" i="31" s="1"/>
  <c r="G238" i="31" a="1"/>
  <c r="G238" i="31" s="1"/>
  <c r="I238" i="31" a="1"/>
  <c r="I238" i="31" s="1"/>
  <c r="G254" i="31" a="1"/>
  <c r="G254" i="31" s="1"/>
  <c r="F261" i="31" a="1"/>
  <c r="F261" i="31" s="1"/>
  <c r="F252" i="31" a="1"/>
  <c r="F252" i="31" s="1"/>
  <c r="F245" i="31" a="1"/>
  <c r="F245" i="31" s="1"/>
  <c r="G235" i="31" a="1"/>
  <c r="G235" i="31" s="1"/>
  <c r="G233" i="31" a="1"/>
  <c r="G233" i="31" s="1"/>
  <c r="I231" i="31" a="1"/>
  <c r="I231" i="31" s="1"/>
  <c r="I229" i="31" a="1"/>
  <c r="I229" i="31" s="1"/>
  <c r="H223" i="31" a="1"/>
  <c r="H223" i="31" s="1"/>
  <c r="F219" i="31" a="1"/>
  <c r="F219" i="31" s="1"/>
  <c r="F246" i="31" a="1"/>
  <c r="F246" i="31" s="1"/>
  <c r="F234" i="31" a="1"/>
  <c r="F234" i="31" s="1"/>
  <c r="F230" i="31" a="1"/>
  <c r="F230" i="31" s="1"/>
  <c r="F228" i="31" a="1"/>
  <c r="F228" i="31" s="1"/>
  <c r="H214" i="31" a="1"/>
  <c r="H214" i="31" s="1"/>
  <c r="H208" i="31" a="1"/>
  <c r="H208" i="31" s="1"/>
  <c r="G250" i="31" a="1"/>
  <c r="G250" i="31" s="1"/>
  <c r="F264" i="31" a="1"/>
  <c r="F264" i="31" s="1"/>
  <c r="F253" i="31" a="1"/>
  <c r="F253" i="31" s="1"/>
  <c r="G247" i="31" a="1"/>
  <c r="G247" i="31" s="1"/>
  <c r="J232" i="31" a="1"/>
  <c r="J232" i="31" s="1"/>
  <c r="I230" i="31" a="1"/>
  <c r="I230" i="31" s="1"/>
  <c r="H220" i="31" a="1"/>
  <c r="H220" i="31" s="1"/>
  <c r="F214" i="31" a="1"/>
  <c r="F214" i="31" s="1"/>
  <c r="H210" i="31" a="1"/>
  <c r="H210" i="31" s="1"/>
  <c r="I251" i="31" a="1"/>
  <c r="I251" i="31" s="1"/>
  <c r="H259" i="31" a="1"/>
  <c r="H259" i="31" s="1"/>
  <c r="H252" i="31" a="1"/>
  <c r="H252" i="31" s="1"/>
  <c r="F244" i="31" a="1"/>
  <c r="F244" i="31" s="1"/>
  <c r="I239" i="31" a="1"/>
  <c r="I239" i="31" s="1"/>
  <c r="J239" i="31" a="1"/>
  <c r="J239" i="31" s="1"/>
  <c r="I235" i="31" a="1"/>
  <c r="I235" i="31" s="1"/>
  <c r="I240" i="31" a="1"/>
  <c r="I240" i="31" s="1"/>
  <c r="F265" i="31" a="1"/>
  <c r="F265" i="31" s="1"/>
  <c r="H255" i="31" a="1"/>
  <c r="H255" i="31" s="1"/>
  <c r="F248" i="31" a="1"/>
  <c r="F248" i="31" s="1"/>
  <c r="H51" i="28"/>
  <c r="K51" i="28" s="1"/>
  <c r="H211" i="31" a="1"/>
  <c r="H211" i="31" s="1"/>
  <c r="H207" i="31" a="1"/>
  <c r="H207" i="31" s="1"/>
  <c r="F209" i="31" a="1"/>
  <c r="F209" i="31" s="1"/>
  <c r="H268" i="31" a="1"/>
  <c r="H268" i="31" s="1"/>
  <c r="H264" i="31" a="1"/>
  <c r="H264" i="31" s="1"/>
  <c r="H260" i="31" a="1"/>
  <c r="H260" i="31" s="1"/>
  <c r="H253" i="31" a="1"/>
  <c r="H253" i="31" s="1"/>
  <c r="H249" i="31" a="1"/>
  <c r="H249" i="31" s="1"/>
  <c r="F238" i="31" a="1"/>
  <c r="F238" i="31" s="1"/>
  <c r="H231" i="31" a="1"/>
  <c r="H231" i="31" s="1"/>
  <c r="H229" i="31" a="1"/>
  <c r="H229" i="31" s="1"/>
  <c r="H218" i="31" a="1"/>
  <c r="H218" i="31" s="1"/>
  <c r="F213" i="31" a="1"/>
  <c r="F213" i="31" s="1"/>
  <c r="G212" i="31" a="1"/>
  <c r="G212" i="31" s="1"/>
  <c r="F268" i="31" a="1"/>
  <c r="F268" i="31" s="1"/>
  <c r="H258" i="31" a="1"/>
  <c r="H258" i="31" s="1"/>
  <c r="F251" i="31" a="1"/>
  <c r="F251" i="31" s="1"/>
  <c r="I234" i="31" a="1"/>
  <c r="I234" i="31" s="1"/>
  <c r="F232" i="31" a="1"/>
  <c r="F232" i="31" s="1"/>
  <c r="H224" i="31" a="1"/>
  <c r="H224" i="31" s="1"/>
  <c r="F218" i="31" a="1"/>
  <c r="F218" i="31" s="1"/>
  <c r="F208" i="31" a="1"/>
  <c r="F208" i="31" s="1"/>
  <c r="I255" i="31" a="1"/>
  <c r="I255" i="31" s="1"/>
  <c r="H263" i="31" a="1"/>
  <c r="H263" i="31" s="1"/>
  <c r="F258" i="31" a="1"/>
  <c r="F258" i="31" s="1"/>
  <c r="F247" i="31" a="1"/>
  <c r="F247" i="31" s="1"/>
  <c r="G236" i="31" a="1"/>
  <c r="G236" i="31" s="1"/>
  <c r="J233" i="31" a="1"/>
  <c r="J233" i="31" s="1"/>
  <c r="G240" i="31" a="1"/>
  <c r="G240" i="31" s="1"/>
  <c r="J236" i="31" a="1"/>
  <c r="J236" i="31" s="1"/>
  <c r="G246" i="31" a="1"/>
  <c r="G246" i="31" s="1"/>
  <c r="F263" i="31" a="1"/>
  <c r="F263" i="31" s="1"/>
  <c r="F254" i="31" a="1"/>
  <c r="F254" i="31" s="1"/>
  <c r="H246" i="31" a="1"/>
  <c r="H246" i="31" s="1"/>
  <c r="F239" i="31" a="1"/>
  <c r="F239" i="31" s="1"/>
  <c r="G234" i="31" a="1"/>
  <c r="G234" i="31" s="1"/>
  <c r="H232" i="31" a="1"/>
  <c r="H232" i="31" s="1"/>
  <c r="G230" i="31" a="1"/>
  <c r="G230" i="31" s="1"/>
  <c r="G228" i="31" a="1"/>
  <c r="G228" i="31" s="1"/>
  <c r="H221" i="31" a="1"/>
  <c r="H221" i="31" s="1"/>
  <c r="F217" i="31" a="1"/>
  <c r="F217" i="31" s="1"/>
  <c r="H247" i="31" a="1"/>
  <c r="H247" i="31" s="1"/>
  <c r="F233" i="31" a="1"/>
  <c r="F233" i="31" s="1"/>
  <c r="J230" i="31" a="1"/>
  <c r="J230" i="31" s="1"/>
  <c r="F223" i="31" a="1"/>
  <c r="F223" i="31" s="1"/>
  <c r="H216" i="31" a="1"/>
  <c r="H216" i="31" s="1"/>
  <c r="F207" i="31" a="1"/>
  <c r="F207" i="31" s="1"/>
  <c r="J255" i="31" a="1"/>
  <c r="J255" i="31" s="1"/>
  <c r="F262" i="31" a="1"/>
  <c r="F262" i="31" s="1"/>
  <c r="F255" i="31" a="1"/>
  <c r="F255" i="31" s="1"/>
  <c r="H244" i="31" a="1"/>
  <c r="H244" i="31" s="1"/>
  <c r="I233" i="31" a="1"/>
  <c r="I233" i="31" s="1"/>
  <c r="G229" i="31" a="1"/>
  <c r="G229" i="31" s="1"/>
  <c r="H222" i="31" a="1"/>
  <c r="H222" i="31" s="1"/>
  <c r="H212" i="31" a="1"/>
  <c r="H212" i="31" s="1"/>
  <c r="G264" i="31" a="1"/>
  <c r="G264" i="31" s="1"/>
  <c r="H267" i="31" a="1"/>
  <c r="H267" i="31" s="1"/>
  <c r="H261" i="31" a="1"/>
  <c r="H261" i="31" s="1"/>
  <c r="H250" i="31" a="1"/>
  <c r="H250" i="31" s="1"/>
  <c r="H245" i="31" a="1"/>
  <c r="H245" i="31" s="1"/>
  <c r="I232" i="31" a="1"/>
  <c r="I232" i="31" s="1"/>
  <c r="H230" i="31" a="1"/>
  <c r="H230" i="31" s="1"/>
  <c r="F222" i="31" a="1"/>
  <c r="F222" i="31" s="1"/>
  <c r="H215" i="31" a="1"/>
  <c r="H215" i="31" s="1"/>
  <c r="I222" i="31" a="1"/>
  <c r="I222" i="31" s="1"/>
  <c r="J217" i="31" a="1"/>
  <c r="J217" i="31" s="1"/>
  <c r="I246" i="31" a="1"/>
  <c r="I246" i="31" s="1"/>
  <c r="I268" i="31" a="1"/>
  <c r="I268" i="31" s="1"/>
  <c r="G220" i="31" a="1"/>
  <c r="G220" i="31" s="1"/>
  <c r="G260" i="31" a="1"/>
  <c r="G260" i="31" s="1"/>
  <c r="J253" i="31" a="1"/>
  <c r="J253" i="31" s="1"/>
  <c r="G249" i="31" a="1"/>
  <c r="G249" i="31" s="1"/>
  <c r="J245" i="31" a="1"/>
  <c r="J245" i="31" s="1"/>
  <c r="G215" i="31" a="1"/>
  <c r="G215" i="31" s="1"/>
  <c r="I210" i="31" a="1"/>
  <c r="I210" i="31" s="1"/>
  <c r="G217" i="31" a="1"/>
  <c r="G217" i="31" s="1"/>
  <c r="G218" i="31" a="1"/>
  <c r="G218" i="31" s="1"/>
  <c r="G216" i="31" a="1"/>
  <c r="G216" i="31" s="1"/>
  <c r="I254" i="31" a="1"/>
  <c r="I254" i="31" s="1"/>
  <c r="G209" i="31" a="1"/>
  <c r="G209" i="31" s="1"/>
  <c r="I217" i="31" a="1"/>
  <c r="I217" i="31" s="1"/>
  <c r="I214" i="31" a="1"/>
  <c r="I214" i="31" s="1"/>
  <c r="I224" i="31" a="1"/>
  <c r="I224" i="31" s="1"/>
  <c r="H219" i="31" a="1"/>
  <c r="H219" i="31" s="1"/>
  <c r="J244" i="31" a="1"/>
  <c r="J244" i="31" s="1"/>
  <c r="J207" i="31" a="1"/>
  <c r="J207" i="31" s="1"/>
  <c r="I220" i="31" a="1"/>
  <c r="I220" i="31" s="1"/>
  <c r="I209" i="31" a="1"/>
  <c r="I209" i="31" s="1"/>
  <c r="G210" i="31" a="1"/>
  <c r="G210" i="31" s="1"/>
  <c r="I264" i="31" a="1"/>
  <c r="I264" i="31" s="1"/>
  <c r="I219" i="31" a="1"/>
  <c r="I219" i="31" s="1"/>
  <c r="H234" i="31" a="1"/>
  <c r="H234" i="31" s="1"/>
  <c r="J231" i="31" a="1"/>
  <c r="J231" i="31" s="1"/>
  <c r="H228" i="31" a="1"/>
  <c r="H228" i="31" s="1"/>
  <c r="F220" i="31" a="1"/>
  <c r="F220" i="31" s="1"/>
  <c r="G251" i="31" a="1"/>
  <c r="G251" i="31" s="1"/>
  <c r="J247" i="31" a="1"/>
  <c r="J247" i="31" s="1"/>
  <c r="I250" i="31" a="1"/>
  <c r="I250" i="31" s="1"/>
  <c r="G207" i="31" a="1"/>
  <c r="G207" i="31" s="1"/>
  <c r="I258" i="31" a="1"/>
  <c r="I258" i="31" s="1"/>
  <c r="I208" i="31" a="1"/>
  <c r="I208" i="31" s="1"/>
  <c r="I259" i="31" a="1"/>
  <c r="I259" i="31" s="1"/>
  <c r="G258" i="31" a="1"/>
  <c r="G258" i="31" s="1"/>
  <c r="J266" i="31" a="1"/>
  <c r="J266" i="31" s="1"/>
  <c r="J246" i="31" a="1"/>
  <c r="J246" i="31" s="1"/>
  <c r="I215" i="31" a="1"/>
  <c r="I215" i="31" s="1"/>
  <c r="I212" i="31" a="1"/>
  <c r="I212" i="31" s="1"/>
  <c r="G224" i="31" a="1"/>
  <c r="G224" i="31" s="1"/>
  <c r="J248" i="31" a="1"/>
  <c r="J248" i="31" s="1"/>
  <c r="J224" i="31" a="1"/>
  <c r="J224" i="31" s="1"/>
  <c r="I253" i="31" a="1"/>
  <c r="I253" i="31" s="1"/>
  <c r="J260" i="31" a="1"/>
  <c r="J260" i="31" s="1"/>
  <c r="I266" i="31" a="1"/>
  <c r="I266" i="31" s="1"/>
  <c r="G211" i="31" a="1"/>
  <c r="G211" i="31" s="1"/>
  <c r="G263" i="31" a="1"/>
  <c r="G263" i="31" s="1"/>
  <c r="I248" i="31" a="1"/>
  <c r="I248" i="31" s="1"/>
  <c r="I252" i="31" a="1"/>
  <c r="I252" i="31" s="1"/>
  <c r="J250" i="31" a="1"/>
  <c r="J250" i="31" s="1"/>
  <c r="J214" i="31" a="1"/>
  <c r="J214" i="31" s="1"/>
  <c r="G219" i="31" a="1"/>
  <c r="G219" i="31" s="1"/>
  <c r="G208" i="31" a="1"/>
  <c r="G208" i="31" s="1"/>
  <c r="I223" i="31" a="1"/>
  <c r="I223" i="31" s="1"/>
  <c r="H233" i="31" a="1"/>
  <c r="H233" i="31" s="1"/>
  <c r="J229" i="31" a="1"/>
  <c r="J229" i="31" s="1"/>
  <c r="F224" i="31" a="1"/>
  <c r="F224" i="31" s="1"/>
  <c r="H213" i="31" a="1"/>
  <c r="H213" i="31" s="1"/>
  <c r="G214" i="31" a="1"/>
  <c r="G214" i="31" s="1"/>
  <c r="I244" i="31" a="1"/>
  <c r="I244" i="31" s="1"/>
  <c r="G253" i="31" a="1"/>
  <c r="G253" i="31" s="1"/>
  <c r="J262" i="31" a="1"/>
  <c r="J262" i="31" s="1"/>
  <c r="I261" i="31" a="1"/>
  <c r="I261" i="31" s="1"/>
  <c r="J267" i="31" a="1"/>
  <c r="J267" i="31" s="1"/>
  <c r="I265" i="31" a="1"/>
  <c r="I265" i="31" s="1"/>
  <c r="G252" i="31" a="1"/>
  <c r="G252" i="31" s="1"/>
  <c r="J249" i="31" a="1"/>
  <c r="J249" i="31" s="1"/>
  <c r="I267" i="31" a="1"/>
  <c r="I267" i="31" s="1"/>
  <c r="J265" i="31" a="1"/>
  <c r="J265" i="31" s="1"/>
  <c r="G262" i="31" a="1"/>
  <c r="G262" i="31" s="1"/>
  <c r="I263" i="31" a="1"/>
  <c r="I263" i="31" s="1"/>
  <c r="J252" i="31" a="1"/>
  <c r="J252" i="31" s="1"/>
  <c r="J215" i="31" a="1"/>
  <c r="J215" i="31" s="1"/>
  <c r="G267" i="31" a="1"/>
  <c r="G267" i="31" s="1"/>
  <c r="J210" i="31" a="1"/>
  <c r="J210" i="31" s="1"/>
  <c r="J223" i="31" a="1"/>
  <c r="J223" i="31" s="1"/>
  <c r="G222" i="31" a="1"/>
  <c r="G222" i="31" s="1"/>
  <c r="J213" i="31" a="1"/>
  <c r="J213" i="31" s="1"/>
  <c r="J212" i="31" a="1"/>
  <c r="J212" i="31" s="1"/>
  <c r="G245" i="31" a="1"/>
  <c r="G245" i="31" s="1"/>
  <c r="I260" i="31" a="1"/>
  <c r="I260" i="31" s="1"/>
  <c r="I218" i="31" a="1"/>
  <c r="I218" i="31" s="1"/>
  <c r="J258" i="31" a="1"/>
  <c r="J258" i="31" s="1"/>
  <c r="G259" i="31" a="1"/>
  <c r="G259" i="31" s="1"/>
  <c r="I207" i="31" a="1"/>
  <c r="I207" i="31" s="1"/>
  <c r="I216" i="31" a="1"/>
  <c r="I216" i="31" s="1"/>
  <c r="F236" i="31" a="1"/>
  <c r="F236" i="31" s="1"/>
  <c r="F231" i="31" a="1"/>
  <c r="F231" i="31" s="1"/>
  <c r="F229" i="31" a="1"/>
  <c r="F229" i="31" s="1"/>
  <c r="H217" i="31" a="1"/>
  <c r="H217" i="31" s="1"/>
  <c r="F212" i="31" a="1"/>
  <c r="F212" i="31" s="1"/>
  <c r="I249" i="31" a="1"/>
  <c r="I249" i="31" s="1"/>
  <c r="G261" i="31" a="1"/>
  <c r="G261" i="31" s="1"/>
  <c r="J222" i="31" a="1"/>
  <c r="J222" i="31" s="1"/>
  <c r="J208" i="31" a="1"/>
  <c r="J208" i="31" s="1"/>
  <c r="J268" i="31" a="1"/>
  <c r="J268" i="31" s="1"/>
  <c r="J218" i="31" a="1"/>
  <c r="J218" i="31" s="1"/>
  <c r="J220" i="31" a="1"/>
  <c r="J220" i="31" s="1"/>
  <c r="J251" i="31" a="1"/>
  <c r="J251" i="31" s="1"/>
  <c r="J263" i="31" a="1"/>
  <c r="J263" i="31" s="1"/>
  <c r="I213" i="31" a="1"/>
  <c r="I213" i="31" s="1"/>
  <c r="J261" i="31" a="1"/>
  <c r="J261" i="31" s="1"/>
  <c r="I211" i="31" a="1"/>
  <c r="I211" i="31" s="1"/>
  <c r="J264" i="31" a="1"/>
  <c r="J264" i="31" s="1"/>
  <c r="I247" i="31" a="1"/>
  <c r="I247" i="31" s="1"/>
  <c r="J254" i="31" a="1"/>
  <c r="J254" i="31" s="1"/>
  <c r="I221" i="31" a="1"/>
  <c r="I221" i="31" s="1"/>
  <c r="J216" i="31" a="1"/>
  <c r="J216" i="31" s="1"/>
  <c r="I262" i="31" a="1"/>
  <c r="I262" i="31" s="1"/>
  <c r="G265" i="31" a="1"/>
  <c r="G265" i="31" s="1"/>
  <c r="G221" i="31" a="1"/>
  <c r="G221" i="31" s="1"/>
  <c r="J209" i="31" a="1"/>
  <c r="J209" i="31" s="1"/>
  <c r="I245" i="31" a="1"/>
  <c r="I245" i="31" s="1"/>
  <c r="J211" i="31" a="1"/>
  <c r="J211" i="31" s="1"/>
  <c r="J221" i="31" a="1"/>
  <c r="J221" i="31" s="1"/>
  <c r="G223" i="31" a="1"/>
  <c r="G223" i="31" s="1"/>
  <c r="J259" i="31" a="1"/>
  <c r="J259" i="31" s="1"/>
  <c r="J219" i="31" a="1"/>
  <c r="J219" i="31" s="1"/>
  <c r="L60" i="28"/>
  <c r="H60" i="28"/>
  <c r="J60" i="28" s="1"/>
  <c r="L59" i="28"/>
  <c r="H59" i="28"/>
  <c r="K59" i="28" s="1"/>
  <c r="J59" i="28" l="1"/>
  <c r="K53" i="28"/>
  <c r="J53" i="28"/>
  <c r="K52" i="28"/>
  <c r="J52" i="28"/>
  <c r="J57" i="28"/>
  <c r="J61" i="28"/>
  <c r="K60" i="28"/>
  <c r="K55" i="28"/>
  <c r="K54" i="28"/>
  <c r="K58" i="28"/>
  <c r="J51" i="28"/>
  <c r="J56" i="28"/>
  <c r="K62" i="28"/>
  <c r="I59" i="26"/>
  <c r="J59" i="26"/>
  <c r="H59" i="26"/>
  <c r="G59" i="26"/>
  <c r="I67" i="26"/>
  <c r="G67" i="26"/>
  <c r="H67" i="26"/>
  <c r="J67" i="26"/>
  <c r="H44" i="23"/>
  <c r="H42" i="23"/>
  <c r="F26" i="23"/>
  <c r="F44" i="23"/>
  <c r="G32" i="23"/>
  <c r="G30" i="23"/>
  <c r="F44" i="22"/>
  <c r="H38" i="22"/>
  <c r="H36" i="22"/>
  <c r="F26" i="22"/>
  <c r="H20" i="22"/>
  <c r="H18" i="22"/>
  <c r="G38" i="23"/>
  <c r="G36" i="23"/>
  <c r="F32" i="23"/>
  <c r="G38" i="22"/>
  <c r="G36" i="22"/>
  <c r="H26" i="22"/>
  <c r="H24" i="22"/>
  <c r="F38" i="23"/>
  <c r="H32" i="23"/>
  <c r="H30" i="23"/>
  <c r="H26" i="23"/>
  <c r="H24" i="23"/>
  <c r="G32" i="22"/>
  <c r="G30" i="22"/>
  <c r="G44" i="22"/>
  <c r="G42" i="22"/>
  <c r="H32" i="22"/>
  <c r="H30" i="22"/>
  <c r="F32" i="22"/>
  <c r="I38" i="23"/>
  <c r="F38" i="22"/>
  <c r="I26" i="23"/>
  <c r="I26" i="22"/>
  <c r="F30" i="22"/>
  <c r="I30" i="22"/>
  <c r="I32" i="22"/>
  <c r="H34" i="23"/>
  <c r="F34" i="23"/>
  <c r="I34" i="23"/>
  <c r="G34" i="23"/>
  <c r="H34" i="22"/>
  <c r="F34" i="22"/>
  <c r="I34" i="22"/>
  <c r="G34" i="22"/>
  <c r="F30" i="23"/>
  <c r="I30" i="23"/>
  <c r="I32" i="23"/>
  <c r="I20" i="22"/>
  <c r="I18" i="22"/>
  <c r="G18" i="22"/>
  <c r="G20" i="22"/>
  <c r="F36" i="23"/>
  <c r="I36" i="23"/>
  <c r="H36" i="23"/>
  <c r="H38" i="23"/>
  <c r="F42" i="23"/>
  <c r="I42" i="23"/>
  <c r="G42" i="23"/>
  <c r="G44" i="23"/>
  <c r="F36" i="22"/>
  <c r="I36" i="22"/>
  <c r="I38" i="22"/>
  <c r="F24" i="23"/>
  <c r="I24" i="23"/>
  <c r="G24" i="23"/>
  <c r="G26" i="23"/>
  <c r="F24" i="22"/>
  <c r="I24" i="22"/>
  <c r="G24" i="22"/>
  <c r="G26" i="22"/>
  <c r="F42" i="22"/>
  <c r="I42" i="22"/>
  <c r="H42" i="22"/>
  <c r="H44"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Dell</author>
    <author>Microsoft Office User</author>
  </authors>
  <commentList>
    <comment ref="S12" authorId="0" shapeId="0" xr:uid="{88D67D74-A172-5D45-B95F-75C2625DFC38}">
      <text>
        <r>
          <rPr>
            <b/>
            <sz val="9"/>
            <color rgb="FF000000"/>
            <rFont val="Tahoma"/>
            <family val="2"/>
          </rPr>
          <t>Dell:</t>
        </r>
        <r>
          <rPr>
            <sz val="9"/>
            <color rgb="FF000000"/>
            <rFont val="Tahoma"/>
            <family val="2"/>
          </rPr>
          <t xml:space="preserve">
</t>
        </r>
        <r>
          <rPr>
            <sz val="9"/>
            <color rgb="FF000000"/>
            <rFont val="Tahoma"/>
            <family val="2"/>
          </rPr>
          <t xml:space="preserve">bảng báo cáo ngày
</t>
        </r>
      </text>
    </comment>
    <comment ref="X12" authorId="1" shapeId="0" xr:uid="{BE774B43-12A7-954E-AC2B-339E2EA87F02}">
      <text>
        <r>
          <rPr>
            <b/>
            <sz val="10"/>
            <color rgb="FF000000"/>
            <rFont val="Tahoma"/>
            <family val="2"/>
          </rPr>
          <t>Microsoft Office User:</t>
        </r>
        <r>
          <rPr>
            <sz val="10"/>
            <color rgb="FF000000"/>
            <rFont val="Tahoma"/>
            <family val="2"/>
          </rPr>
          <t xml:space="preserve">
</t>
        </r>
        <r>
          <rPr>
            <sz val="10"/>
            <color rgb="FF000000"/>
            <rFont val="Tahoma"/>
            <family val="2"/>
          </rPr>
          <t>nhập vào</t>
        </r>
      </text>
    </comment>
    <comment ref="AJ12" authorId="1" shapeId="0" xr:uid="{6FC8E30D-F6A0-0F48-B86A-4C6821E8E4EA}">
      <text>
        <r>
          <rPr>
            <b/>
            <sz val="10"/>
            <color rgb="FF000000"/>
            <rFont val="Tahoma"/>
            <family val="2"/>
          </rPr>
          <t>Microsoft Office User:</t>
        </r>
        <r>
          <rPr>
            <sz val="10"/>
            <color rgb="FF000000"/>
            <rFont val="Tahoma"/>
            <family val="2"/>
          </rPr>
          <t xml:space="preserve">
</t>
        </r>
        <r>
          <rPr>
            <sz val="10"/>
            <color rgb="FF000000"/>
            <rFont val="Tahoma"/>
            <family val="2"/>
          </rPr>
          <t>nhập vào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Dell</author>
    <author>Microsoft Office User</author>
  </authors>
  <commentList>
    <comment ref="S12" authorId="0" shapeId="0" xr:uid="{85022F02-2C9B-AA41-A378-0CD34F276954}">
      <text>
        <r>
          <rPr>
            <b/>
            <sz val="9"/>
            <color rgb="FF000000"/>
            <rFont val="Tahoma"/>
            <family val="2"/>
          </rPr>
          <t>Dell:</t>
        </r>
        <r>
          <rPr>
            <sz val="9"/>
            <color rgb="FF000000"/>
            <rFont val="Tahoma"/>
            <family val="2"/>
          </rPr>
          <t xml:space="preserve">
</t>
        </r>
        <r>
          <rPr>
            <sz val="9"/>
            <color rgb="FF000000"/>
            <rFont val="Tahoma"/>
            <family val="2"/>
          </rPr>
          <t xml:space="preserve">bảng báo cáo ngày
</t>
        </r>
      </text>
    </comment>
    <comment ref="X12" authorId="1" shapeId="0" xr:uid="{20A3F923-8AD0-A549-8CEE-98B1AC511913}">
      <text>
        <r>
          <rPr>
            <b/>
            <sz val="10"/>
            <color rgb="FF000000"/>
            <rFont val="Tahoma"/>
            <family val="2"/>
          </rPr>
          <t>Microsoft Office User:</t>
        </r>
        <r>
          <rPr>
            <sz val="10"/>
            <color rgb="FF000000"/>
            <rFont val="Tahoma"/>
            <family val="2"/>
          </rPr>
          <t xml:space="preserve">
</t>
        </r>
        <r>
          <rPr>
            <sz val="10"/>
            <color rgb="FF000000"/>
            <rFont val="Tahoma"/>
            <family val="2"/>
          </rPr>
          <t>nhập vào</t>
        </r>
      </text>
    </comment>
    <comment ref="AJ12" authorId="1" shapeId="0" xr:uid="{5DFF8049-BEB4-9C46-8ABC-485379AF2F21}">
      <text>
        <r>
          <rPr>
            <b/>
            <sz val="10"/>
            <color rgb="FF000000"/>
            <rFont val="Tahoma"/>
            <family val="2"/>
          </rPr>
          <t>Microsoft Office User:</t>
        </r>
        <r>
          <rPr>
            <sz val="10"/>
            <color rgb="FF000000"/>
            <rFont val="Tahoma"/>
            <family val="2"/>
          </rPr>
          <t xml:space="preserve">
</t>
        </r>
        <r>
          <rPr>
            <sz val="10"/>
            <color rgb="FF000000"/>
            <rFont val="Tahoma"/>
            <family val="2"/>
          </rPr>
          <t>nhập vào</t>
        </r>
      </text>
    </comment>
    <comment ref="J414" authorId="0" shapeId="0" xr:uid="{AD079AFD-AF64-6D44-B6EC-0E940151FBE0}">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K414" authorId="0" shapeId="0" xr:uid="{5D5A8250-221F-5E43-BCF8-19AA649BCDE4}">
      <text>
        <r>
          <rPr>
            <b/>
            <sz val="9"/>
            <color rgb="FF000000"/>
            <rFont val="Tahoma"/>
            <family val="2"/>
          </rPr>
          <t>Dell:</t>
        </r>
        <r>
          <rPr>
            <sz val="9"/>
            <color rgb="FF000000"/>
            <rFont val="Tahoma"/>
            <family val="2"/>
          </rPr>
          <t xml:space="preserve">
</t>
        </r>
        <r>
          <rPr>
            <sz val="9"/>
            <color rgb="FF000000"/>
            <rFont val="Tahoma"/>
            <family val="2"/>
          </rPr>
          <t>nhập</t>
        </r>
      </text>
    </comment>
    <comment ref="O417" authorId="0" shapeId="0" xr:uid="{25A7F051-3883-F144-80D6-09A30CD72ECE}">
      <text>
        <r>
          <rPr>
            <b/>
            <sz val="9"/>
            <color rgb="FF000000"/>
            <rFont val="Tahoma"/>
            <family val="2"/>
          </rPr>
          <t>Dell:</t>
        </r>
        <r>
          <rPr>
            <sz val="9"/>
            <color rgb="FF000000"/>
            <rFont val="Tahoma"/>
            <family val="2"/>
          </rPr>
          <t xml:space="preserve">
</t>
        </r>
        <r>
          <rPr>
            <sz val="9"/>
            <color rgb="FF000000"/>
            <rFont val="Tahoma"/>
            <family val="2"/>
          </rPr>
          <t>BC NGÀY</t>
        </r>
      </text>
    </comment>
    <comment ref="J418" authorId="0" shapeId="0" xr:uid="{D18BBC82-8764-284F-873D-239BC228C6F6}">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K418" authorId="0" shapeId="0" xr:uid="{F32627D3-081B-7B4A-8655-FE2FFD5C205B}">
      <text>
        <r>
          <rPr>
            <b/>
            <sz val="9"/>
            <color rgb="FF000000"/>
            <rFont val="Tahoma"/>
            <family val="2"/>
          </rPr>
          <t>Dell:</t>
        </r>
        <r>
          <rPr>
            <sz val="9"/>
            <color rgb="FF000000"/>
            <rFont val="Tahoma"/>
            <family val="2"/>
          </rPr>
          <t xml:space="preserve">
</t>
        </r>
        <r>
          <rPr>
            <sz val="9"/>
            <color rgb="FF000000"/>
            <rFont val="Tahoma"/>
            <family val="2"/>
          </rPr>
          <t>nhập</t>
        </r>
      </text>
    </comment>
    <comment ref="O421" authorId="0" shapeId="0" xr:uid="{84C3CFAD-03BB-274D-8F15-FDBEB31E679D}">
      <text>
        <r>
          <rPr>
            <b/>
            <sz val="9"/>
            <color rgb="FF000000"/>
            <rFont val="Tahoma"/>
            <family val="2"/>
          </rPr>
          <t>Dell:</t>
        </r>
        <r>
          <rPr>
            <sz val="9"/>
            <color rgb="FF000000"/>
            <rFont val="Tahoma"/>
            <family val="2"/>
          </rPr>
          <t xml:space="preserve">
</t>
        </r>
        <r>
          <rPr>
            <sz val="9"/>
            <color rgb="FF000000"/>
            <rFont val="Tahoma"/>
            <family val="2"/>
          </rPr>
          <t>BC NGÀY</t>
        </r>
      </text>
    </comment>
    <comment ref="J422" authorId="0" shapeId="0" xr:uid="{AE76F100-F7B2-284D-B9A9-3AE6F07670B1}">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K422" authorId="0" shapeId="0" xr:uid="{16369D5F-3406-D14E-BF4F-A85759D09994}">
      <text>
        <r>
          <rPr>
            <b/>
            <sz val="9"/>
            <color rgb="FF000000"/>
            <rFont val="Tahoma"/>
            <family val="2"/>
          </rPr>
          <t>Dell:</t>
        </r>
        <r>
          <rPr>
            <sz val="9"/>
            <color rgb="FF000000"/>
            <rFont val="Tahoma"/>
            <family val="2"/>
          </rPr>
          <t xml:space="preserve">
</t>
        </r>
        <r>
          <rPr>
            <sz val="9"/>
            <color rgb="FF000000"/>
            <rFont val="Tahoma"/>
            <family val="2"/>
          </rPr>
          <t>nhập</t>
        </r>
      </text>
    </comment>
    <comment ref="O425" authorId="0" shapeId="0" xr:uid="{F1A3538E-953E-BA4E-A62F-0C975ECF8A18}">
      <text>
        <r>
          <rPr>
            <b/>
            <sz val="9"/>
            <color rgb="FF000000"/>
            <rFont val="Tahoma"/>
            <family val="2"/>
          </rPr>
          <t>Dell:</t>
        </r>
        <r>
          <rPr>
            <sz val="9"/>
            <color rgb="FF000000"/>
            <rFont val="Tahoma"/>
            <family val="2"/>
          </rPr>
          <t xml:space="preserve">
</t>
        </r>
        <r>
          <rPr>
            <sz val="9"/>
            <color rgb="FF000000"/>
            <rFont val="Tahoma"/>
            <family val="2"/>
          </rPr>
          <t>BC NGÀY</t>
        </r>
      </text>
    </comment>
    <comment ref="J426" authorId="0" shapeId="0" xr:uid="{46981C7B-1B5B-1D4B-9559-27428769CF85}">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K426" authorId="0" shapeId="0" xr:uid="{482AA198-88C7-4548-A431-DB751B7F165A}">
      <text>
        <r>
          <rPr>
            <b/>
            <sz val="9"/>
            <color rgb="FF000000"/>
            <rFont val="Tahoma"/>
            <family val="2"/>
          </rPr>
          <t>Dell:</t>
        </r>
        <r>
          <rPr>
            <sz val="9"/>
            <color rgb="FF000000"/>
            <rFont val="Tahoma"/>
            <family val="2"/>
          </rPr>
          <t xml:space="preserve">
</t>
        </r>
        <r>
          <rPr>
            <sz val="9"/>
            <color rgb="FF000000"/>
            <rFont val="Tahoma"/>
            <family val="2"/>
          </rPr>
          <t>nhập</t>
        </r>
      </text>
    </comment>
    <comment ref="O429" authorId="0" shapeId="0" xr:uid="{785E88C2-B3FB-8943-B026-F72CCAAAB444}">
      <text>
        <r>
          <rPr>
            <b/>
            <sz val="9"/>
            <color rgb="FF000000"/>
            <rFont val="Tahoma"/>
            <family val="2"/>
          </rPr>
          <t>Dell:</t>
        </r>
        <r>
          <rPr>
            <sz val="9"/>
            <color rgb="FF000000"/>
            <rFont val="Tahoma"/>
            <family val="2"/>
          </rPr>
          <t xml:space="preserve">
</t>
        </r>
        <r>
          <rPr>
            <sz val="9"/>
            <color rgb="FF000000"/>
            <rFont val="Tahoma"/>
            <family val="2"/>
          </rPr>
          <t>BC NGÀY</t>
        </r>
      </text>
    </comment>
    <comment ref="J430" authorId="0" shapeId="0" xr:uid="{435889AA-18DD-1646-9713-5B1253091CC5}">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K430" authorId="0" shapeId="0" xr:uid="{12A2E316-B9E2-9E4B-B20A-EC1DB00696F9}">
      <text>
        <r>
          <rPr>
            <b/>
            <sz val="9"/>
            <color rgb="FF000000"/>
            <rFont val="Tahoma"/>
            <family val="2"/>
          </rPr>
          <t>Dell:</t>
        </r>
        <r>
          <rPr>
            <sz val="9"/>
            <color rgb="FF000000"/>
            <rFont val="Tahoma"/>
            <family val="2"/>
          </rPr>
          <t xml:space="preserve">
</t>
        </r>
        <r>
          <rPr>
            <sz val="9"/>
            <color rgb="FF000000"/>
            <rFont val="Tahoma"/>
            <family val="2"/>
          </rPr>
          <t>nhập</t>
        </r>
      </text>
    </comment>
    <comment ref="O433" authorId="0" shapeId="0" xr:uid="{5B57580D-AD1C-9E4B-9AE4-F7A509AA1F77}">
      <text>
        <r>
          <rPr>
            <b/>
            <sz val="9"/>
            <color rgb="FF000000"/>
            <rFont val="Tahoma"/>
            <family val="2"/>
          </rPr>
          <t>Dell:</t>
        </r>
        <r>
          <rPr>
            <sz val="9"/>
            <color rgb="FF000000"/>
            <rFont val="Tahoma"/>
            <family val="2"/>
          </rPr>
          <t xml:space="preserve">
</t>
        </r>
        <r>
          <rPr>
            <sz val="9"/>
            <color rgb="FF000000"/>
            <rFont val="Tahoma"/>
            <family val="2"/>
          </rPr>
          <t>BC NGÀY</t>
        </r>
      </text>
    </comment>
    <comment ref="J434" authorId="0" shapeId="0" xr:uid="{076555E2-400B-5546-91E5-E65105A83B9A}">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K434" authorId="0" shapeId="0" xr:uid="{C3DFE839-64BD-4B4E-986E-6395E549B709}">
      <text>
        <r>
          <rPr>
            <b/>
            <sz val="9"/>
            <color rgb="FF000000"/>
            <rFont val="Tahoma"/>
            <family val="2"/>
          </rPr>
          <t>Dell:</t>
        </r>
        <r>
          <rPr>
            <sz val="9"/>
            <color rgb="FF000000"/>
            <rFont val="Tahoma"/>
            <family val="2"/>
          </rPr>
          <t xml:space="preserve">
</t>
        </r>
        <r>
          <rPr>
            <sz val="9"/>
            <color rgb="FF000000"/>
            <rFont val="Tahoma"/>
            <family val="2"/>
          </rPr>
          <t>nhập</t>
        </r>
      </text>
    </comment>
    <comment ref="O437" authorId="0" shapeId="0" xr:uid="{598437A5-85C8-E04C-B0D1-A6259B59C03C}">
      <text>
        <r>
          <rPr>
            <b/>
            <sz val="9"/>
            <color rgb="FF000000"/>
            <rFont val="Tahoma"/>
            <family val="2"/>
          </rPr>
          <t>Dell:</t>
        </r>
        <r>
          <rPr>
            <sz val="9"/>
            <color rgb="FF000000"/>
            <rFont val="Tahoma"/>
            <family val="2"/>
          </rPr>
          <t xml:space="preserve">
</t>
        </r>
        <r>
          <rPr>
            <sz val="9"/>
            <color rgb="FF000000"/>
            <rFont val="Tahoma"/>
            <family val="2"/>
          </rPr>
          <t>BC NGÀY</t>
        </r>
      </text>
    </comment>
    <comment ref="J438" authorId="0" shapeId="0" xr:uid="{ED23097F-A24A-084A-92D9-AA10C00A4151}">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K438" authorId="0" shapeId="0" xr:uid="{7F120790-1395-204F-B665-02726382120A}">
      <text>
        <r>
          <rPr>
            <b/>
            <sz val="9"/>
            <color rgb="FF000000"/>
            <rFont val="Tahoma"/>
            <family val="2"/>
          </rPr>
          <t>Dell:</t>
        </r>
        <r>
          <rPr>
            <sz val="9"/>
            <color rgb="FF000000"/>
            <rFont val="Tahoma"/>
            <family val="2"/>
          </rPr>
          <t xml:space="preserve">
</t>
        </r>
        <r>
          <rPr>
            <sz val="9"/>
            <color rgb="FF000000"/>
            <rFont val="Tahoma"/>
            <family val="2"/>
          </rPr>
          <t>nhập</t>
        </r>
      </text>
    </comment>
    <comment ref="O441" authorId="0" shapeId="0" xr:uid="{7A9F384D-7076-CB4A-92ED-0FE0B78DDB01}">
      <text>
        <r>
          <rPr>
            <b/>
            <sz val="9"/>
            <color rgb="FF000000"/>
            <rFont val="Tahoma"/>
            <family val="2"/>
          </rPr>
          <t>Dell:</t>
        </r>
        <r>
          <rPr>
            <sz val="9"/>
            <color rgb="FF000000"/>
            <rFont val="Tahoma"/>
            <family val="2"/>
          </rPr>
          <t xml:space="preserve">
</t>
        </r>
        <r>
          <rPr>
            <sz val="9"/>
            <color rgb="FF000000"/>
            <rFont val="Tahoma"/>
            <family val="2"/>
          </rPr>
          <t>BC NGÀY</t>
        </r>
      </text>
    </comment>
    <comment ref="J442" authorId="0" shapeId="0" xr:uid="{5967EF86-C542-FE44-A173-23090ADB6185}">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K442" authorId="0" shapeId="0" xr:uid="{25CA69EB-8606-CB43-B6F2-2E44A2C42808}">
      <text>
        <r>
          <rPr>
            <b/>
            <sz val="9"/>
            <color rgb="FF000000"/>
            <rFont val="Tahoma"/>
            <family val="2"/>
          </rPr>
          <t>Dell:</t>
        </r>
        <r>
          <rPr>
            <sz val="9"/>
            <color rgb="FF000000"/>
            <rFont val="Tahoma"/>
            <family val="2"/>
          </rPr>
          <t xml:space="preserve">
</t>
        </r>
        <r>
          <rPr>
            <sz val="9"/>
            <color rgb="FF000000"/>
            <rFont val="Tahoma"/>
            <family val="2"/>
          </rPr>
          <t>nhập</t>
        </r>
      </text>
    </comment>
    <comment ref="O445" authorId="0" shapeId="0" xr:uid="{7955DBC7-0475-E64E-BB61-C8A244FFC39B}">
      <text>
        <r>
          <rPr>
            <b/>
            <sz val="9"/>
            <color rgb="FF000000"/>
            <rFont val="Tahoma"/>
            <family val="2"/>
          </rPr>
          <t>Dell:</t>
        </r>
        <r>
          <rPr>
            <sz val="9"/>
            <color rgb="FF000000"/>
            <rFont val="Tahoma"/>
            <family val="2"/>
          </rPr>
          <t xml:space="preserve">
</t>
        </r>
        <r>
          <rPr>
            <sz val="9"/>
            <color rgb="FF000000"/>
            <rFont val="Tahoma"/>
            <family val="2"/>
          </rPr>
          <t>BC NGÀY</t>
        </r>
      </text>
    </comment>
    <comment ref="J446" authorId="0" shapeId="0" xr:uid="{4D90DF4D-8A37-BE44-9C3D-FB924AB20305}">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K446" authorId="0" shapeId="0" xr:uid="{4B58ACDF-58B6-CC4D-A317-4547A7FCC985}">
      <text>
        <r>
          <rPr>
            <b/>
            <sz val="9"/>
            <color rgb="FF000000"/>
            <rFont val="Tahoma"/>
            <family val="2"/>
          </rPr>
          <t>Dell:</t>
        </r>
        <r>
          <rPr>
            <sz val="9"/>
            <color rgb="FF000000"/>
            <rFont val="Tahoma"/>
            <family val="2"/>
          </rPr>
          <t xml:space="preserve">
</t>
        </r>
        <r>
          <rPr>
            <sz val="9"/>
            <color rgb="FF000000"/>
            <rFont val="Tahoma"/>
            <family val="2"/>
          </rPr>
          <t>nhập</t>
        </r>
      </text>
    </comment>
    <comment ref="O449" authorId="0" shapeId="0" xr:uid="{7F3F2653-519E-DE40-8845-95061EF31176}">
      <text>
        <r>
          <rPr>
            <b/>
            <sz val="9"/>
            <color rgb="FF000000"/>
            <rFont val="Tahoma"/>
            <family val="2"/>
          </rPr>
          <t>Dell:</t>
        </r>
        <r>
          <rPr>
            <sz val="9"/>
            <color rgb="FF000000"/>
            <rFont val="Tahoma"/>
            <family val="2"/>
          </rPr>
          <t xml:space="preserve">
</t>
        </r>
        <r>
          <rPr>
            <sz val="9"/>
            <color rgb="FF000000"/>
            <rFont val="Tahoma"/>
            <family val="2"/>
          </rPr>
          <t>BC NGÀY</t>
        </r>
      </text>
    </comment>
    <comment ref="K450" authorId="0" shapeId="0" xr:uid="{74E45C79-23A4-A840-A77E-DE2632A83851}">
      <text>
        <r>
          <rPr>
            <b/>
            <sz val="9"/>
            <color rgb="FF000000"/>
            <rFont val="Tahoma"/>
            <family val="2"/>
          </rPr>
          <t>Dell:</t>
        </r>
        <r>
          <rPr>
            <sz val="9"/>
            <color rgb="FF000000"/>
            <rFont val="Tahoma"/>
            <family val="2"/>
          </rPr>
          <t xml:space="preserve">
</t>
        </r>
        <r>
          <rPr>
            <sz val="9"/>
            <color rgb="FF000000"/>
            <rFont val="Tahoma"/>
            <family val="2"/>
          </rPr>
          <t>nhập</t>
        </r>
      </text>
    </comment>
    <comment ref="O453" authorId="0" shapeId="0" xr:uid="{54D1ACDE-3F6E-224C-A4FC-AF6CEF127956}">
      <text>
        <r>
          <rPr>
            <b/>
            <sz val="9"/>
            <color rgb="FF000000"/>
            <rFont val="Tahoma"/>
            <family val="2"/>
          </rPr>
          <t>Dell:</t>
        </r>
        <r>
          <rPr>
            <sz val="9"/>
            <color rgb="FF000000"/>
            <rFont val="Tahoma"/>
            <family val="2"/>
          </rPr>
          <t xml:space="preserve">
</t>
        </r>
        <r>
          <rPr>
            <sz val="9"/>
            <color rgb="FF000000"/>
            <rFont val="Tahoma"/>
            <family val="2"/>
          </rPr>
          <t>BC NGÀY</t>
        </r>
      </text>
    </comment>
    <comment ref="K454" authorId="0" shapeId="0" xr:uid="{340B9730-2966-A440-8E55-C0AB89CE1C7F}">
      <text>
        <r>
          <rPr>
            <b/>
            <sz val="9"/>
            <color rgb="FF000000"/>
            <rFont val="Tahoma"/>
            <family val="2"/>
          </rPr>
          <t>Dell:</t>
        </r>
        <r>
          <rPr>
            <sz val="9"/>
            <color rgb="FF000000"/>
            <rFont val="Tahoma"/>
            <family val="2"/>
          </rPr>
          <t xml:space="preserve">
</t>
        </r>
        <r>
          <rPr>
            <sz val="9"/>
            <color rgb="FF000000"/>
            <rFont val="Tahoma"/>
            <family val="2"/>
          </rPr>
          <t>nhập</t>
        </r>
      </text>
    </comment>
    <comment ref="O457" authorId="0" shapeId="0" xr:uid="{48ECC421-0348-1E49-B01C-AA9DBEA3E2B7}">
      <text>
        <r>
          <rPr>
            <b/>
            <sz val="9"/>
            <color rgb="FF000000"/>
            <rFont val="Tahoma"/>
            <family val="2"/>
          </rPr>
          <t>Dell:</t>
        </r>
        <r>
          <rPr>
            <sz val="9"/>
            <color rgb="FF000000"/>
            <rFont val="Tahoma"/>
            <family val="2"/>
          </rPr>
          <t xml:space="preserve">
</t>
        </r>
        <r>
          <rPr>
            <sz val="9"/>
            <color rgb="FF000000"/>
            <rFont val="Tahoma"/>
            <family val="2"/>
          </rPr>
          <t>BC NGÀY</t>
        </r>
      </text>
    </comment>
    <comment ref="J467" authorId="0" shapeId="0" xr:uid="{B5D952D1-35FF-A547-8175-FD6D77032347}">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K467" authorId="0" shapeId="0" xr:uid="{D295B131-68CB-5A4D-887B-9C00FC5E9FFB}">
      <text>
        <r>
          <rPr>
            <b/>
            <sz val="9"/>
            <color rgb="FF000000"/>
            <rFont val="Tahoma"/>
            <family val="2"/>
          </rPr>
          <t>Dell:</t>
        </r>
        <r>
          <rPr>
            <sz val="9"/>
            <color rgb="FF000000"/>
            <rFont val="Tahoma"/>
            <family val="2"/>
          </rPr>
          <t xml:space="preserve">
</t>
        </r>
        <r>
          <rPr>
            <sz val="9"/>
            <color rgb="FF000000"/>
            <rFont val="Tahoma"/>
            <family val="2"/>
          </rPr>
          <t>nhập</t>
        </r>
      </text>
    </comment>
    <comment ref="O468" authorId="0" shapeId="0" xr:uid="{A4CDDB74-5429-C64F-A538-31D5D4B53A79}">
      <text>
        <r>
          <rPr>
            <b/>
            <sz val="9"/>
            <color rgb="FF000000"/>
            <rFont val="Tahoma"/>
            <family val="2"/>
          </rPr>
          <t>Dell:</t>
        </r>
        <r>
          <rPr>
            <sz val="9"/>
            <color rgb="FF000000"/>
            <rFont val="Tahoma"/>
            <family val="2"/>
          </rPr>
          <t xml:space="preserve">
</t>
        </r>
        <r>
          <rPr>
            <sz val="9"/>
            <color rgb="FF000000"/>
            <rFont val="Tahoma"/>
            <family val="2"/>
          </rPr>
          <t>BC NGÀY</t>
        </r>
      </text>
    </comment>
    <comment ref="O470" authorId="0" shapeId="0" xr:uid="{04CCC86F-A48B-324B-A8FD-7F1ED7EE14F6}">
      <text>
        <r>
          <rPr>
            <b/>
            <sz val="9"/>
            <color rgb="FF000000"/>
            <rFont val="Tahoma"/>
            <family val="2"/>
          </rPr>
          <t>Dell:</t>
        </r>
        <r>
          <rPr>
            <sz val="9"/>
            <color rgb="FF000000"/>
            <rFont val="Tahoma"/>
            <family val="2"/>
          </rPr>
          <t xml:space="preserve">
</t>
        </r>
        <r>
          <rPr>
            <sz val="9"/>
            <color rgb="FF000000"/>
            <rFont val="Tahoma"/>
            <family val="2"/>
          </rPr>
          <t>BC NGÀY</t>
        </r>
      </text>
    </comment>
    <comment ref="J471" authorId="0" shapeId="0" xr:uid="{5BE81E48-F737-7541-9B03-A5C1F9C95FF2}">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K471" authorId="0" shapeId="0" xr:uid="{2D0044EF-91BB-8047-B66C-0270B0CB61D2}">
      <text>
        <r>
          <rPr>
            <b/>
            <sz val="9"/>
            <color rgb="FF000000"/>
            <rFont val="Tahoma"/>
            <family val="2"/>
          </rPr>
          <t>Dell:</t>
        </r>
        <r>
          <rPr>
            <sz val="9"/>
            <color rgb="FF000000"/>
            <rFont val="Tahoma"/>
            <family val="2"/>
          </rPr>
          <t xml:space="preserve">
</t>
        </r>
        <r>
          <rPr>
            <sz val="9"/>
            <color rgb="FF000000"/>
            <rFont val="Tahoma"/>
            <family val="2"/>
          </rPr>
          <t>nhập</t>
        </r>
      </text>
    </comment>
    <comment ref="O472" authorId="0" shapeId="0" xr:uid="{F58EE9D6-6667-3C49-AD82-5692FBBBA858}">
      <text>
        <r>
          <rPr>
            <b/>
            <sz val="9"/>
            <color rgb="FF000000"/>
            <rFont val="Tahoma"/>
            <family val="2"/>
          </rPr>
          <t>Dell:</t>
        </r>
        <r>
          <rPr>
            <sz val="9"/>
            <color rgb="FF000000"/>
            <rFont val="Tahoma"/>
            <family val="2"/>
          </rPr>
          <t xml:space="preserve">
</t>
        </r>
        <r>
          <rPr>
            <sz val="9"/>
            <color rgb="FF000000"/>
            <rFont val="Tahoma"/>
            <family val="2"/>
          </rPr>
          <t>BC NGÀY</t>
        </r>
      </text>
    </comment>
    <comment ref="O474" authorId="0" shapeId="0" xr:uid="{23133A11-14E1-D84B-B0BD-8CB00B969EC4}">
      <text>
        <r>
          <rPr>
            <b/>
            <sz val="9"/>
            <color rgb="FF000000"/>
            <rFont val="Tahoma"/>
            <family val="2"/>
          </rPr>
          <t>Dell:</t>
        </r>
        <r>
          <rPr>
            <sz val="9"/>
            <color rgb="FF000000"/>
            <rFont val="Tahoma"/>
            <family val="2"/>
          </rPr>
          <t xml:space="preserve">
</t>
        </r>
        <r>
          <rPr>
            <sz val="9"/>
            <color rgb="FF000000"/>
            <rFont val="Tahoma"/>
            <family val="2"/>
          </rPr>
          <t>BC NGÀY</t>
        </r>
      </text>
    </comment>
    <comment ref="J475" authorId="0" shapeId="0" xr:uid="{D367600B-B892-A14B-BBD9-918668E1A12C}">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K475" authorId="0" shapeId="0" xr:uid="{066C0D4C-62C2-1A49-AF41-5EDD36CFC0DC}">
      <text>
        <r>
          <rPr>
            <b/>
            <sz val="9"/>
            <color rgb="FF000000"/>
            <rFont val="Tahoma"/>
            <family val="2"/>
          </rPr>
          <t>Dell:</t>
        </r>
        <r>
          <rPr>
            <sz val="9"/>
            <color rgb="FF000000"/>
            <rFont val="Tahoma"/>
            <family val="2"/>
          </rPr>
          <t xml:space="preserve">
</t>
        </r>
        <r>
          <rPr>
            <sz val="9"/>
            <color rgb="FF000000"/>
            <rFont val="Tahoma"/>
            <family val="2"/>
          </rPr>
          <t>nhập</t>
        </r>
      </text>
    </comment>
    <comment ref="O476" authorId="0" shapeId="0" xr:uid="{50171DBC-19AE-8848-A43A-34FDFA92F1E2}">
      <text>
        <r>
          <rPr>
            <b/>
            <sz val="9"/>
            <color rgb="FF000000"/>
            <rFont val="Tahoma"/>
            <family val="2"/>
          </rPr>
          <t>Dell:</t>
        </r>
        <r>
          <rPr>
            <sz val="9"/>
            <color rgb="FF000000"/>
            <rFont val="Tahoma"/>
            <family val="2"/>
          </rPr>
          <t xml:space="preserve">
</t>
        </r>
        <r>
          <rPr>
            <sz val="9"/>
            <color rgb="FF000000"/>
            <rFont val="Tahoma"/>
            <family val="2"/>
          </rPr>
          <t>BC NGÀY</t>
        </r>
      </text>
    </comment>
    <comment ref="O478" authorId="0" shapeId="0" xr:uid="{2FAE7D7A-D983-3D40-A6B0-841B3BA59140}">
      <text>
        <r>
          <rPr>
            <b/>
            <sz val="9"/>
            <color rgb="FF000000"/>
            <rFont val="Tahoma"/>
            <family val="2"/>
          </rPr>
          <t>Dell:</t>
        </r>
        <r>
          <rPr>
            <sz val="9"/>
            <color rgb="FF000000"/>
            <rFont val="Tahoma"/>
            <family val="2"/>
          </rPr>
          <t xml:space="preserve">
</t>
        </r>
        <r>
          <rPr>
            <sz val="9"/>
            <color rgb="FF000000"/>
            <rFont val="Tahoma"/>
            <family val="2"/>
          </rPr>
          <t>BC NGÀY</t>
        </r>
      </text>
    </comment>
    <comment ref="J483" authorId="0" shapeId="0" xr:uid="{46CCA664-C2A4-324C-93DD-E9F3CA91125D}">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K483" authorId="0" shapeId="0" xr:uid="{99AFBB42-BEC7-2B4D-B8C4-CF694E5931D2}">
      <text>
        <r>
          <rPr>
            <b/>
            <sz val="9"/>
            <color rgb="FF000000"/>
            <rFont val="Tahoma"/>
            <family val="2"/>
          </rPr>
          <t>Dell:</t>
        </r>
        <r>
          <rPr>
            <sz val="9"/>
            <color rgb="FF000000"/>
            <rFont val="Tahoma"/>
            <family val="2"/>
          </rPr>
          <t xml:space="preserve">
</t>
        </r>
        <r>
          <rPr>
            <sz val="9"/>
            <color rgb="FF000000"/>
            <rFont val="Tahoma"/>
            <family val="2"/>
          </rPr>
          <t>nhập</t>
        </r>
      </text>
    </comment>
    <comment ref="O484" authorId="0" shapeId="0" xr:uid="{9DD89BE2-51F3-264E-AD5E-9BEA7F9C1D8B}">
      <text>
        <r>
          <rPr>
            <b/>
            <sz val="9"/>
            <color rgb="FF000000"/>
            <rFont val="Tahoma"/>
            <family val="2"/>
          </rPr>
          <t>Dell:</t>
        </r>
        <r>
          <rPr>
            <sz val="9"/>
            <color rgb="FF000000"/>
            <rFont val="Tahoma"/>
            <family val="2"/>
          </rPr>
          <t xml:space="preserve">
</t>
        </r>
        <r>
          <rPr>
            <sz val="9"/>
            <color rgb="FF000000"/>
            <rFont val="Tahoma"/>
            <family val="2"/>
          </rPr>
          <t>BC NGÀY</t>
        </r>
      </text>
    </comment>
    <comment ref="O486" authorId="0" shapeId="0" xr:uid="{7D4996C6-2F75-124D-A9C4-98EC3A6FED30}">
      <text>
        <r>
          <rPr>
            <b/>
            <sz val="9"/>
            <color rgb="FF000000"/>
            <rFont val="Tahoma"/>
            <family val="2"/>
          </rPr>
          <t>Dell:</t>
        </r>
        <r>
          <rPr>
            <sz val="9"/>
            <color rgb="FF000000"/>
            <rFont val="Tahoma"/>
            <family val="2"/>
          </rPr>
          <t xml:space="preserve">
</t>
        </r>
        <r>
          <rPr>
            <sz val="9"/>
            <color rgb="FF000000"/>
            <rFont val="Tahoma"/>
            <family val="2"/>
          </rPr>
          <t>BC NGÀY</t>
        </r>
      </text>
    </comment>
    <comment ref="J487" authorId="0" shapeId="0" xr:uid="{4F691849-8BE0-744A-BAE4-5AA79217167C}">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K487" authorId="0" shapeId="0" xr:uid="{008A5A67-C24F-0846-AC7E-F7C5FFA97B3C}">
      <text>
        <r>
          <rPr>
            <b/>
            <sz val="9"/>
            <color rgb="FF000000"/>
            <rFont val="Tahoma"/>
            <family val="2"/>
          </rPr>
          <t>Dell:</t>
        </r>
        <r>
          <rPr>
            <sz val="9"/>
            <color rgb="FF000000"/>
            <rFont val="Tahoma"/>
            <family val="2"/>
          </rPr>
          <t xml:space="preserve">
</t>
        </r>
        <r>
          <rPr>
            <sz val="9"/>
            <color rgb="FF000000"/>
            <rFont val="Tahoma"/>
            <family val="2"/>
          </rPr>
          <t>nhập</t>
        </r>
      </text>
    </comment>
    <comment ref="O488" authorId="0" shapeId="0" xr:uid="{99652F2E-3B8B-9C4A-B045-8689A67C657D}">
      <text>
        <r>
          <rPr>
            <b/>
            <sz val="9"/>
            <color rgb="FF000000"/>
            <rFont val="Tahoma"/>
            <family val="2"/>
          </rPr>
          <t>Dell:</t>
        </r>
        <r>
          <rPr>
            <sz val="9"/>
            <color rgb="FF000000"/>
            <rFont val="Tahoma"/>
            <family val="2"/>
          </rPr>
          <t xml:space="preserve">
</t>
        </r>
        <r>
          <rPr>
            <sz val="9"/>
            <color rgb="FF000000"/>
            <rFont val="Tahoma"/>
            <family val="2"/>
          </rPr>
          <t>BC NGÀY</t>
        </r>
      </text>
    </comment>
    <comment ref="O490" authorId="0" shapeId="0" xr:uid="{6B15A073-4FAB-9541-822A-EB5C162D9E7D}">
      <text>
        <r>
          <rPr>
            <b/>
            <sz val="9"/>
            <color rgb="FF000000"/>
            <rFont val="Tahoma"/>
            <family val="2"/>
          </rPr>
          <t>Dell:</t>
        </r>
        <r>
          <rPr>
            <sz val="9"/>
            <color rgb="FF000000"/>
            <rFont val="Tahoma"/>
            <family val="2"/>
          </rPr>
          <t xml:space="preserve">
</t>
        </r>
        <r>
          <rPr>
            <sz val="9"/>
            <color rgb="FF000000"/>
            <rFont val="Tahoma"/>
            <family val="2"/>
          </rPr>
          <t>BC NGÀY</t>
        </r>
      </text>
    </comment>
    <comment ref="J491" authorId="0" shapeId="0" xr:uid="{FE287CD1-1234-E84C-BFC9-AC241EF1AD99}">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K491" authorId="0" shapeId="0" xr:uid="{2E73A702-F941-294F-A54F-8F0006F92614}">
      <text>
        <r>
          <rPr>
            <b/>
            <sz val="9"/>
            <color rgb="FF000000"/>
            <rFont val="Tahoma"/>
            <family val="2"/>
          </rPr>
          <t>Dell:</t>
        </r>
        <r>
          <rPr>
            <sz val="9"/>
            <color rgb="FF000000"/>
            <rFont val="Tahoma"/>
            <family val="2"/>
          </rPr>
          <t xml:space="preserve">
</t>
        </r>
        <r>
          <rPr>
            <sz val="9"/>
            <color rgb="FF000000"/>
            <rFont val="Tahoma"/>
            <family val="2"/>
          </rPr>
          <t>nhập</t>
        </r>
      </text>
    </comment>
    <comment ref="O492" authorId="0" shapeId="0" xr:uid="{B05735F7-7297-6340-8EFA-4E1F1F8DA908}">
      <text>
        <r>
          <rPr>
            <b/>
            <sz val="9"/>
            <color rgb="FF000000"/>
            <rFont val="Tahoma"/>
            <family val="2"/>
          </rPr>
          <t>Dell:</t>
        </r>
        <r>
          <rPr>
            <sz val="9"/>
            <color rgb="FF000000"/>
            <rFont val="Tahoma"/>
            <family val="2"/>
          </rPr>
          <t xml:space="preserve">
</t>
        </r>
        <r>
          <rPr>
            <sz val="9"/>
            <color rgb="FF000000"/>
            <rFont val="Tahoma"/>
            <family val="2"/>
          </rPr>
          <t>BC NGÀY</t>
        </r>
      </text>
    </comment>
    <comment ref="O494" authorId="0" shapeId="0" xr:uid="{FB9135FE-3C4E-2145-8FC6-D6ECB601B3BB}">
      <text>
        <r>
          <rPr>
            <b/>
            <sz val="9"/>
            <color rgb="FF000000"/>
            <rFont val="Tahoma"/>
            <family val="2"/>
          </rPr>
          <t>Dell:</t>
        </r>
        <r>
          <rPr>
            <sz val="9"/>
            <color rgb="FF000000"/>
            <rFont val="Tahoma"/>
            <family val="2"/>
          </rPr>
          <t xml:space="preserve">
</t>
        </r>
        <r>
          <rPr>
            <sz val="9"/>
            <color rgb="FF000000"/>
            <rFont val="Tahoma"/>
            <family val="2"/>
          </rPr>
          <t>BC NGÀY</t>
        </r>
      </text>
    </comment>
    <comment ref="J495" authorId="0" shapeId="0" xr:uid="{5E5D89F0-1F7A-4C4B-81CE-C1813F916801}">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K495" authorId="0" shapeId="0" xr:uid="{3F17E218-138A-AA4E-8178-49CD431EA753}">
      <text>
        <r>
          <rPr>
            <b/>
            <sz val="9"/>
            <color rgb="FF000000"/>
            <rFont val="Tahoma"/>
            <family val="2"/>
          </rPr>
          <t>Dell:</t>
        </r>
        <r>
          <rPr>
            <sz val="9"/>
            <color rgb="FF000000"/>
            <rFont val="Tahoma"/>
            <family val="2"/>
          </rPr>
          <t xml:space="preserve">
</t>
        </r>
        <r>
          <rPr>
            <sz val="9"/>
            <color rgb="FF000000"/>
            <rFont val="Tahoma"/>
            <family val="2"/>
          </rPr>
          <t>nhập</t>
        </r>
      </text>
    </comment>
    <comment ref="O496" authorId="0" shapeId="0" xr:uid="{B63B437B-CFAC-FA4B-8401-25A398D43B72}">
      <text>
        <r>
          <rPr>
            <b/>
            <sz val="9"/>
            <color rgb="FF000000"/>
            <rFont val="Tahoma"/>
            <family val="2"/>
          </rPr>
          <t>Dell:</t>
        </r>
        <r>
          <rPr>
            <sz val="9"/>
            <color rgb="FF000000"/>
            <rFont val="Tahoma"/>
            <family val="2"/>
          </rPr>
          <t xml:space="preserve">
</t>
        </r>
        <r>
          <rPr>
            <sz val="9"/>
            <color rgb="FF000000"/>
            <rFont val="Tahoma"/>
            <family val="2"/>
          </rPr>
          <t>BC NGÀY</t>
        </r>
      </text>
    </comment>
    <comment ref="O498" authorId="0" shapeId="0" xr:uid="{12BA99A6-91EC-5243-9B46-C38A2563765D}">
      <text>
        <r>
          <rPr>
            <b/>
            <sz val="9"/>
            <color rgb="FF000000"/>
            <rFont val="Tahoma"/>
            <family val="2"/>
          </rPr>
          <t>Dell:</t>
        </r>
        <r>
          <rPr>
            <sz val="9"/>
            <color rgb="FF000000"/>
            <rFont val="Tahoma"/>
            <family val="2"/>
          </rPr>
          <t xml:space="preserve">
</t>
        </r>
        <r>
          <rPr>
            <sz val="9"/>
            <color rgb="FF000000"/>
            <rFont val="Tahoma"/>
            <family val="2"/>
          </rPr>
          <t>BC NGÀY</t>
        </r>
      </text>
    </comment>
    <comment ref="O500" authorId="0" shapeId="0" xr:uid="{3F0E08C7-48DA-2E4A-B6F7-819F2AD9A8D7}">
      <text>
        <r>
          <rPr>
            <b/>
            <sz val="9"/>
            <color rgb="FF000000"/>
            <rFont val="Tahoma"/>
            <family val="2"/>
          </rPr>
          <t>Dell:</t>
        </r>
        <r>
          <rPr>
            <sz val="9"/>
            <color rgb="FF000000"/>
            <rFont val="Tahoma"/>
            <family val="2"/>
          </rPr>
          <t xml:space="preserve">
</t>
        </r>
        <r>
          <rPr>
            <sz val="9"/>
            <color rgb="FF000000"/>
            <rFont val="Tahoma"/>
            <family val="2"/>
          </rPr>
          <t>BC NGÀY</t>
        </r>
      </text>
    </comment>
    <comment ref="O502" authorId="0" shapeId="0" xr:uid="{08624585-8AC2-354D-98B2-EE8D23E48AE4}">
      <text>
        <r>
          <rPr>
            <b/>
            <sz val="9"/>
            <color rgb="FF000000"/>
            <rFont val="Tahoma"/>
            <family val="2"/>
          </rPr>
          <t>Dell:</t>
        </r>
        <r>
          <rPr>
            <sz val="9"/>
            <color rgb="FF000000"/>
            <rFont val="Tahoma"/>
            <family val="2"/>
          </rPr>
          <t xml:space="preserve">
</t>
        </r>
        <r>
          <rPr>
            <sz val="9"/>
            <color rgb="FF000000"/>
            <rFont val="Tahoma"/>
            <family val="2"/>
          </rPr>
          <t>BC NGÀY</t>
        </r>
      </text>
    </comment>
    <comment ref="J503" authorId="0" shapeId="0" xr:uid="{E824C7E8-80D5-FA42-8301-E0A9B1404368}">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K503" authorId="0" shapeId="0" xr:uid="{3CB5E7D0-805B-3848-8609-C4CD5BC7AC74}">
      <text>
        <r>
          <rPr>
            <b/>
            <sz val="9"/>
            <color rgb="FF000000"/>
            <rFont val="Tahoma"/>
            <family val="2"/>
          </rPr>
          <t>Dell:</t>
        </r>
        <r>
          <rPr>
            <sz val="9"/>
            <color rgb="FF000000"/>
            <rFont val="Tahoma"/>
            <family val="2"/>
          </rPr>
          <t xml:space="preserve">
</t>
        </r>
        <r>
          <rPr>
            <sz val="9"/>
            <color rgb="FF000000"/>
            <rFont val="Tahoma"/>
            <family val="2"/>
          </rPr>
          <t>nhập</t>
        </r>
      </text>
    </comment>
    <comment ref="O504" authorId="0" shapeId="0" xr:uid="{F0D34E30-4364-404E-8757-2D920B869146}">
      <text>
        <r>
          <rPr>
            <b/>
            <sz val="9"/>
            <color rgb="FF000000"/>
            <rFont val="Tahoma"/>
            <family val="2"/>
          </rPr>
          <t>Dell:</t>
        </r>
        <r>
          <rPr>
            <sz val="9"/>
            <color rgb="FF000000"/>
            <rFont val="Tahoma"/>
            <family val="2"/>
          </rPr>
          <t xml:space="preserve">
</t>
        </r>
        <r>
          <rPr>
            <sz val="9"/>
            <color rgb="FF000000"/>
            <rFont val="Tahoma"/>
            <family val="2"/>
          </rPr>
          <t>BC NGÀY</t>
        </r>
      </text>
    </comment>
    <comment ref="O506" authorId="0" shapeId="0" xr:uid="{0EE7FAE3-78EF-7F4D-B355-78541FD72342}">
      <text>
        <r>
          <rPr>
            <b/>
            <sz val="9"/>
            <color rgb="FF000000"/>
            <rFont val="Tahoma"/>
            <family val="2"/>
          </rPr>
          <t>Dell:</t>
        </r>
        <r>
          <rPr>
            <sz val="9"/>
            <color rgb="FF000000"/>
            <rFont val="Tahoma"/>
            <family val="2"/>
          </rPr>
          <t xml:space="preserve">
</t>
        </r>
        <r>
          <rPr>
            <sz val="9"/>
            <color rgb="FF000000"/>
            <rFont val="Tahoma"/>
            <family val="2"/>
          </rPr>
          <t>BC NGÀY</t>
        </r>
      </text>
    </comment>
    <comment ref="J507" authorId="0" shapeId="0" xr:uid="{083C7960-F384-744D-99A5-8160AADF128A}">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K507" authorId="0" shapeId="0" xr:uid="{AEBB03CB-2377-3A42-9CDF-C31AEBA68E9E}">
      <text>
        <r>
          <rPr>
            <b/>
            <sz val="9"/>
            <color rgb="FF000000"/>
            <rFont val="Tahoma"/>
            <family val="2"/>
          </rPr>
          <t>Dell:</t>
        </r>
        <r>
          <rPr>
            <sz val="9"/>
            <color rgb="FF000000"/>
            <rFont val="Tahoma"/>
            <family val="2"/>
          </rPr>
          <t xml:space="preserve">
</t>
        </r>
        <r>
          <rPr>
            <sz val="9"/>
            <color rgb="FF000000"/>
            <rFont val="Tahoma"/>
            <family val="2"/>
          </rPr>
          <t>nhập</t>
        </r>
      </text>
    </comment>
    <comment ref="O508" authorId="0" shapeId="0" xr:uid="{7862E9BD-112A-3A46-BD84-50D13F7C4A06}">
      <text>
        <r>
          <rPr>
            <b/>
            <sz val="9"/>
            <color rgb="FF000000"/>
            <rFont val="Tahoma"/>
            <family val="2"/>
          </rPr>
          <t>Dell:</t>
        </r>
        <r>
          <rPr>
            <sz val="9"/>
            <color rgb="FF000000"/>
            <rFont val="Tahoma"/>
            <family val="2"/>
          </rPr>
          <t xml:space="preserve">
</t>
        </r>
        <r>
          <rPr>
            <sz val="9"/>
            <color rgb="FF000000"/>
            <rFont val="Tahoma"/>
            <family val="2"/>
          </rPr>
          <t>BC NGÀY</t>
        </r>
      </text>
    </comment>
    <comment ref="O510" authorId="0" shapeId="0" xr:uid="{D95E4EDC-7D29-6D48-A1E1-F06C5E9D989F}">
      <text>
        <r>
          <rPr>
            <b/>
            <sz val="9"/>
            <color rgb="FF000000"/>
            <rFont val="Tahoma"/>
            <family val="2"/>
          </rPr>
          <t>Dell:</t>
        </r>
        <r>
          <rPr>
            <sz val="9"/>
            <color rgb="FF000000"/>
            <rFont val="Tahoma"/>
            <family val="2"/>
          </rPr>
          <t xml:space="preserve">
</t>
        </r>
        <r>
          <rPr>
            <sz val="9"/>
            <color rgb="FF000000"/>
            <rFont val="Tahoma"/>
            <family val="2"/>
          </rPr>
          <t>BC NGÀY</t>
        </r>
      </text>
    </comment>
    <comment ref="J511" authorId="0" shapeId="0" xr:uid="{F2BD65A5-76BE-064E-9937-BFB329D7F167}">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K511" authorId="0" shapeId="0" xr:uid="{95F17AFE-C836-9C42-8C6F-E4D7EBA521A2}">
      <text>
        <r>
          <rPr>
            <b/>
            <sz val="9"/>
            <color rgb="FF000000"/>
            <rFont val="Tahoma"/>
            <family val="2"/>
          </rPr>
          <t>Dell:</t>
        </r>
        <r>
          <rPr>
            <sz val="9"/>
            <color rgb="FF000000"/>
            <rFont val="Tahoma"/>
            <family val="2"/>
          </rPr>
          <t xml:space="preserve">
</t>
        </r>
        <r>
          <rPr>
            <sz val="9"/>
            <color rgb="FF000000"/>
            <rFont val="Tahoma"/>
            <family val="2"/>
          </rPr>
          <t>nhập</t>
        </r>
      </text>
    </comment>
    <comment ref="O512" authorId="0" shapeId="0" xr:uid="{F7128139-717C-B944-BD77-7917854A7C88}">
      <text>
        <r>
          <rPr>
            <b/>
            <sz val="9"/>
            <color rgb="FF000000"/>
            <rFont val="Tahoma"/>
            <family val="2"/>
          </rPr>
          <t>Dell:</t>
        </r>
        <r>
          <rPr>
            <sz val="9"/>
            <color rgb="FF000000"/>
            <rFont val="Tahoma"/>
            <family val="2"/>
          </rPr>
          <t xml:space="preserve">
</t>
        </r>
        <r>
          <rPr>
            <sz val="9"/>
            <color rgb="FF000000"/>
            <rFont val="Tahoma"/>
            <family val="2"/>
          </rPr>
          <t>BC NGÀY</t>
        </r>
      </text>
    </comment>
    <comment ref="O514" authorId="0" shapeId="0" xr:uid="{2F58DF46-063E-0540-8566-9EDEB09ECCBA}">
      <text>
        <r>
          <rPr>
            <b/>
            <sz val="9"/>
            <color rgb="FF000000"/>
            <rFont val="Tahoma"/>
            <family val="2"/>
          </rPr>
          <t>Dell:</t>
        </r>
        <r>
          <rPr>
            <sz val="9"/>
            <color rgb="FF000000"/>
            <rFont val="Tahoma"/>
            <family val="2"/>
          </rPr>
          <t xml:space="preserve">
</t>
        </r>
        <r>
          <rPr>
            <sz val="9"/>
            <color rgb="FF000000"/>
            <rFont val="Tahoma"/>
            <family val="2"/>
          </rPr>
          <t>BC NGÀY</t>
        </r>
      </text>
    </comment>
    <comment ref="J515" authorId="0" shapeId="0" xr:uid="{9FC1449A-FDA2-0E4A-8DEF-F2AB3ECC1BF4}">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K515" authorId="0" shapeId="0" xr:uid="{25BFF7F8-6E28-F749-A4ED-0740A4CB61BE}">
      <text>
        <r>
          <rPr>
            <b/>
            <sz val="9"/>
            <color rgb="FF000000"/>
            <rFont val="Tahoma"/>
            <family val="2"/>
          </rPr>
          <t>Dell:</t>
        </r>
        <r>
          <rPr>
            <sz val="9"/>
            <color rgb="FF000000"/>
            <rFont val="Tahoma"/>
            <family val="2"/>
          </rPr>
          <t xml:space="preserve">
</t>
        </r>
        <r>
          <rPr>
            <sz val="9"/>
            <color rgb="FF000000"/>
            <rFont val="Tahoma"/>
            <family val="2"/>
          </rPr>
          <t>nhập</t>
        </r>
      </text>
    </comment>
    <comment ref="O516" authorId="0" shapeId="0" xr:uid="{40BB4109-C333-774D-BAED-67C26A8683B4}">
      <text>
        <r>
          <rPr>
            <b/>
            <sz val="9"/>
            <color rgb="FF000000"/>
            <rFont val="Tahoma"/>
            <family val="2"/>
          </rPr>
          <t>Dell:</t>
        </r>
        <r>
          <rPr>
            <sz val="9"/>
            <color rgb="FF000000"/>
            <rFont val="Tahoma"/>
            <family val="2"/>
          </rPr>
          <t xml:space="preserve">
</t>
        </r>
        <r>
          <rPr>
            <sz val="9"/>
            <color rgb="FF000000"/>
            <rFont val="Tahoma"/>
            <family val="2"/>
          </rPr>
          <t>BC NGÀY</t>
        </r>
      </text>
    </comment>
    <comment ref="O518" authorId="0" shapeId="0" xr:uid="{84DD3A7C-264B-084A-977C-912DE707617D}">
      <text>
        <r>
          <rPr>
            <b/>
            <sz val="9"/>
            <color rgb="FF000000"/>
            <rFont val="Tahoma"/>
            <family val="2"/>
          </rPr>
          <t>Dell:</t>
        </r>
        <r>
          <rPr>
            <sz val="9"/>
            <color rgb="FF000000"/>
            <rFont val="Tahoma"/>
            <family val="2"/>
          </rPr>
          <t xml:space="preserve">
</t>
        </r>
        <r>
          <rPr>
            <sz val="9"/>
            <color rgb="FF000000"/>
            <rFont val="Tahoma"/>
            <family val="2"/>
          </rPr>
          <t>BC NGÀY</t>
        </r>
      </text>
    </comment>
    <comment ref="K519" authorId="0" shapeId="0" xr:uid="{6ED8A59D-7CB4-EF43-9000-642960441760}">
      <text>
        <r>
          <rPr>
            <b/>
            <sz val="9"/>
            <color rgb="FF000000"/>
            <rFont val="Tahoma"/>
            <family val="2"/>
          </rPr>
          <t>Dell:</t>
        </r>
        <r>
          <rPr>
            <sz val="9"/>
            <color rgb="FF000000"/>
            <rFont val="Tahoma"/>
            <family val="2"/>
          </rPr>
          <t xml:space="preserve">
</t>
        </r>
        <r>
          <rPr>
            <sz val="9"/>
            <color rgb="FF000000"/>
            <rFont val="Tahoma"/>
            <family val="2"/>
          </rPr>
          <t>nhập</t>
        </r>
      </text>
    </comment>
    <comment ref="O520" authorId="0" shapeId="0" xr:uid="{9583B022-5E99-AD4C-BD03-F0ABB4B15E49}">
      <text>
        <r>
          <rPr>
            <b/>
            <sz val="9"/>
            <color rgb="FF000000"/>
            <rFont val="Tahoma"/>
            <family val="2"/>
          </rPr>
          <t>Dell:</t>
        </r>
        <r>
          <rPr>
            <sz val="9"/>
            <color rgb="FF000000"/>
            <rFont val="Tahoma"/>
            <family val="2"/>
          </rPr>
          <t xml:space="preserve">
</t>
        </r>
        <r>
          <rPr>
            <sz val="9"/>
            <color rgb="FF000000"/>
            <rFont val="Tahoma"/>
            <family val="2"/>
          </rPr>
          <t>BC NGÀY</t>
        </r>
      </text>
    </comment>
    <comment ref="O522" authorId="0" shapeId="0" xr:uid="{2D44E3C1-F25E-F946-96B7-203FCE8AE548}">
      <text>
        <r>
          <rPr>
            <b/>
            <sz val="9"/>
            <color rgb="FF000000"/>
            <rFont val="Tahoma"/>
            <family val="2"/>
          </rPr>
          <t>Dell:</t>
        </r>
        <r>
          <rPr>
            <sz val="9"/>
            <color rgb="FF000000"/>
            <rFont val="Tahoma"/>
            <family val="2"/>
          </rPr>
          <t xml:space="preserve">
</t>
        </r>
        <r>
          <rPr>
            <sz val="9"/>
            <color rgb="FF000000"/>
            <rFont val="Tahoma"/>
            <family val="2"/>
          </rPr>
          <t>BC NGÀY</t>
        </r>
      </text>
    </comment>
    <comment ref="K523" authorId="0" shapeId="0" xr:uid="{A890F9F7-DCCB-A84F-ABCA-B55430AC8EF7}">
      <text>
        <r>
          <rPr>
            <b/>
            <sz val="9"/>
            <color rgb="FF000000"/>
            <rFont val="Tahoma"/>
            <family val="2"/>
          </rPr>
          <t>Dell:</t>
        </r>
        <r>
          <rPr>
            <sz val="9"/>
            <color rgb="FF000000"/>
            <rFont val="Tahoma"/>
            <family val="2"/>
          </rPr>
          <t xml:space="preserve">
</t>
        </r>
        <r>
          <rPr>
            <sz val="9"/>
            <color rgb="FF000000"/>
            <rFont val="Tahoma"/>
            <family val="2"/>
          </rPr>
          <t>nhập</t>
        </r>
      </text>
    </comment>
    <comment ref="O524" authorId="0" shapeId="0" xr:uid="{941A6460-3985-D748-A3FF-397FCD020EF7}">
      <text>
        <r>
          <rPr>
            <b/>
            <sz val="9"/>
            <color rgb="FF000000"/>
            <rFont val="Tahoma"/>
            <family val="2"/>
          </rPr>
          <t>Dell:</t>
        </r>
        <r>
          <rPr>
            <sz val="9"/>
            <color rgb="FF000000"/>
            <rFont val="Tahoma"/>
            <family val="2"/>
          </rPr>
          <t xml:space="preserve">
</t>
        </r>
        <r>
          <rPr>
            <sz val="9"/>
            <color rgb="FF000000"/>
            <rFont val="Tahoma"/>
            <family val="2"/>
          </rPr>
          <t>BC NGÀY</t>
        </r>
      </text>
    </comment>
    <comment ref="O526" authorId="0" shapeId="0" xr:uid="{025699C5-23AF-7F46-B62B-A8D39BDEEB49}">
      <text>
        <r>
          <rPr>
            <b/>
            <sz val="9"/>
            <color rgb="FF000000"/>
            <rFont val="Tahoma"/>
            <family val="2"/>
          </rPr>
          <t>Dell:</t>
        </r>
        <r>
          <rPr>
            <sz val="9"/>
            <color rgb="FF000000"/>
            <rFont val="Tahoma"/>
            <family val="2"/>
          </rPr>
          <t xml:space="preserve">
</t>
        </r>
        <r>
          <rPr>
            <sz val="9"/>
            <color rgb="FF000000"/>
            <rFont val="Tahoma"/>
            <family val="2"/>
          </rPr>
          <t>BC NGÀY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Dell</author>
  </authors>
  <commentList>
    <comment ref="C236" authorId="0" shapeId="0" xr:uid="{287CFCFF-0E31-4E32-BD11-07C2A17E7C6F}">
      <text>
        <r>
          <rPr>
            <b/>
            <sz val="9"/>
            <color rgb="FF000000"/>
            <rFont val="Tahoma"/>
            <family val="2"/>
          </rPr>
          <t xml:space="preserve">Author:
</t>
        </r>
      </text>
    </comment>
    <comment ref="C238" authorId="0" shapeId="0" xr:uid="{59B85D8F-3C8F-4948-9D63-ED49B045F4B3}">
      <text>
        <r>
          <rPr>
            <b/>
            <sz val="9"/>
            <color rgb="FF000000"/>
            <rFont val="Tahoma"/>
            <family val="2"/>
          </rPr>
          <t xml:space="preserve">Author:
</t>
        </r>
      </text>
    </comment>
    <comment ref="C239" authorId="0" shapeId="0" xr:uid="{6C753A85-1AE0-4547-93F8-AE9EA4515244}">
      <text>
        <r>
          <rPr>
            <b/>
            <sz val="9"/>
            <color rgb="FF000000"/>
            <rFont val="Tahoma"/>
            <family val="2"/>
          </rPr>
          <t xml:space="preserve">Author:
</t>
        </r>
      </text>
    </comment>
    <comment ref="C251" authorId="0" shapeId="0" xr:uid="{AF34D93D-B8CE-4278-9870-DF9A0E304153}">
      <text>
        <r>
          <rPr>
            <b/>
            <sz val="9"/>
            <color rgb="FF000000"/>
            <rFont val="Tahoma"/>
            <family val="2"/>
          </rPr>
          <t xml:space="preserve">Author:
</t>
        </r>
      </text>
    </comment>
    <comment ref="C253" authorId="0" shapeId="0" xr:uid="{1BBEB12E-0684-487D-AF0C-6B2FB90640B8}">
      <text>
        <r>
          <rPr>
            <b/>
            <sz val="9"/>
            <color rgb="FF000000"/>
            <rFont val="Tahoma"/>
            <family val="2"/>
          </rPr>
          <t xml:space="preserve">Author:
</t>
        </r>
      </text>
    </comment>
    <comment ref="C254" authorId="0" shapeId="0" xr:uid="{0A9A62F2-9C5E-4DBD-8850-29E510C6787C}">
      <text>
        <r>
          <rPr>
            <b/>
            <sz val="9"/>
            <color rgb="FF000000"/>
            <rFont val="Tahoma"/>
            <family val="2"/>
          </rPr>
          <t xml:space="preserve">Author:
</t>
        </r>
      </text>
    </comment>
    <comment ref="C263" authorId="0" shapeId="0" xr:uid="{959C9637-B2E5-4BAA-B2BE-480D96B974F6}">
      <text>
        <r>
          <rPr>
            <b/>
            <sz val="9"/>
            <color rgb="FF000000"/>
            <rFont val="Tahoma"/>
            <family val="2"/>
          </rPr>
          <t xml:space="preserve">Author:
</t>
        </r>
      </text>
    </comment>
    <comment ref="C265" authorId="0" shapeId="0" xr:uid="{6D97427E-1ED2-427F-8ED6-F1888F050BE1}">
      <text>
        <r>
          <rPr>
            <b/>
            <sz val="9"/>
            <color rgb="FF000000"/>
            <rFont val="Tahoma"/>
            <family val="2"/>
          </rPr>
          <t xml:space="preserve">Author:
</t>
        </r>
      </text>
    </comment>
    <comment ref="C266" authorId="0" shapeId="0" xr:uid="{04F00FF5-87C4-4F92-85E2-760F5AB4479C}">
      <text>
        <r>
          <rPr>
            <b/>
            <sz val="9"/>
            <color indexed="81"/>
            <rFont val="Tahoma"/>
            <family val="2"/>
          </rPr>
          <t xml:space="preserve">Author:
</t>
        </r>
      </text>
    </comment>
    <comment ref="C267" authorId="0" shapeId="0" xr:uid="{37DA27C2-888F-4C40-A1E1-8F6A558FE615}">
      <text>
        <r>
          <rPr>
            <b/>
            <sz val="9"/>
            <color rgb="FF000000"/>
            <rFont val="Tahoma"/>
            <family val="2"/>
          </rPr>
          <t xml:space="preserve">Author:
</t>
        </r>
      </text>
    </comment>
    <comment ref="I371" authorId="1" shapeId="0" xr:uid="{F012C1F0-1BA6-3C4D-ADC0-BE1E05E177D8}">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J371" authorId="1" shapeId="0" xr:uid="{95DABB2A-4E51-5F4D-BD5C-2A92A9AE3A32}">
      <text>
        <r>
          <rPr>
            <b/>
            <sz val="9"/>
            <color rgb="FF000000"/>
            <rFont val="Tahoma"/>
            <family val="2"/>
          </rPr>
          <t>Dell:</t>
        </r>
        <r>
          <rPr>
            <sz val="9"/>
            <color rgb="FF000000"/>
            <rFont val="Tahoma"/>
            <family val="2"/>
          </rPr>
          <t xml:space="preserve">
</t>
        </r>
        <r>
          <rPr>
            <sz val="9"/>
            <color rgb="FF000000"/>
            <rFont val="Tahoma"/>
            <family val="2"/>
          </rPr>
          <t>nhập</t>
        </r>
      </text>
    </comment>
    <comment ref="I373" authorId="1" shapeId="0" xr:uid="{AD3BFF66-D424-514F-B37B-BEEBF860FA8D}">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J373" authorId="1" shapeId="0" xr:uid="{799B87CE-AB7B-0348-8ABE-28FC67C0D2F8}">
      <text>
        <r>
          <rPr>
            <b/>
            <sz val="9"/>
            <color rgb="FF000000"/>
            <rFont val="Tahoma"/>
            <family val="2"/>
          </rPr>
          <t>Dell:</t>
        </r>
        <r>
          <rPr>
            <sz val="9"/>
            <color rgb="FF000000"/>
            <rFont val="Tahoma"/>
            <family val="2"/>
          </rPr>
          <t xml:space="preserve">
</t>
        </r>
        <r>
          <rPr>
            <sz val="9"/>
            <color rgb="FF000000"/>
            <rFont val="Tahoma"/>
            <family val="2"/>
          </rPr>
          <t>nhập</t>
        </r>
      </text>
    </comment>
    <comment ref="I377" authorId="1" shapeId="0" xr:uid="{575B5901-EF17-4942-85B5-4C751B872037}">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J377" authorId="1" shapeId="0" xr:uid="{5F56A4E1-12D4-B24B-A3E7-BA9AB9A433DC}">
      <text>
        <r>
          <rPr>
            <b/>
            <sz val="9"/>
            <color rgb="FF000000"/>
            <rFont val="Tahoma"/>
            <family val="2"/>
          </rPr>
          <t>Dell:</t>
        </r>
        <r>
          <rPr>
            <sz val="9"/>
            <color rgb="FF000000"/>
            <rFont val="Tahoma"/>
            <family val="2"/>
          </rPr>
          <t xml:space="preserve">
</t>
        </r>
        <r>
          <rPr>
            <sz val="9"/>
            <color rgb="FF000000"/>
            <rFont val="Tahoma"/>
            <family val="2"/>
          </rPr>
          <t>nhập</t>
        </r>
      </text>
    </comment>
    <comment ref="I379" authorId="1" shapeId="0" xr:uid="{E6E0FD1C-26CD-814A-8536-F81B01DC73FF}">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J379" authorId="1" shapeId="0" xr:uid="{D17FB2EB-702A-8746-8834-36ECB04C97E7}">
      <text>
        <r>
          <rPr>
            <b/>
            <sz val="9"/>
            <color rgb="FF000000"/>
            <rFont val="Tahoma"/>
            <family val="2"/>
          </rPr>
          <t>Dell:</t>
        </r>
        <r>
          <rPr>
            <sz val="9"/>
            <color rgb="FF000000"/>
            <rFont val="Tahoma"/>
            <family val="2"/>
          </rPr>
          <t xml:space="preserve">
</t>
        </r>
        <r>
          <rPr>
            <sz val="9"/>
            <color rgb="FF000000"/>
            <rFont val="Tahoma"/>
            <family val="2"/>
          </rPr>
          <t>nhập</t>
        </r>
      </text>
    </comment>
    <comment ref="I381" authorId="1" shapeId="0" xr:uid="{DD208792-05D6-D541-8A1A-384B912BCA4A}">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J381" authorId="1" shapeId="0" xr:uid="{EE6175AC-B2EF-9248-AB7B-E0453BD81724}">
      <text>
        <r>
          <rPr>
            <b/>
            <sz val="9"/>
            <color rgb="FF000000"/>
            <rFont val="Tahoma"/>
            <family val="2"/>
          </rPr>
          <t>Dell:</t>
        </r>
        <r>
          <rPr>
            <sz val="9"/>
            <color rgb="FF000000"/>
            <rFont val="Tahoma"/>
            <family val="2"/>
          </rPr>
          <t xml:space="preserve">
</t>
        </r>
        <r>
          <rPr>
            <sz val="9"/>
            <color rgb="FF000000"/>
            <rFont val="Tahoma"/>
            <family val="2"/>
          </rPr>
          <t>nhập</t>
        </r>
      </text>
    </comment>
    <comment ref="I390" authorId="1" shapeId="0" xr:uid="{916126DF-5094-FD4E-A5EB-C97CF437535D}">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J390" authorId="1" shapeId="0" xr:uid="{051A63A4-01CD-AD42-A55A-0E1F4EFCE989}">
      <text>
        <r>
          <rPr>
            <b/>
            <sz val="9"/>
            <color rgb="FF000000"/>
            <rFont val="Tahoma"/>
            <family val="2"/>
          </rPr>
          <t>Dell:</t>
        </r>
        <r>
          <rPr>
            <sz val="9"/>
            <color rgb="FF000000"/>
            <rFont val="Tahoma"/>
            <family val="2"/>
          </rPr>
          <t xml:space="preserve">
</t>
        </r>
        <r>
          <rPr>
            <sz val="9"/>
            <color rgb="FF000000"/>
            <rFont val="Tahoma"/>
            <family val="2"/>
          </rPr>
          <t>nhập</t>
        </r>
      </text>
    </comment>
    <comment ref="I392" authorId="1" shapeId="0" xr:uid="{5A228C83-7F1B-7043-9669-E17ACECE92D3}">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J392" authorId="1" shapeId="0" xr:uid="{536B29AE-B395-AE4D-928E-DE7A3A9BAAD7}">
      <text>
        <r>
          <rPr>
            <b/>
            <sz val="9"/>
            <color rgb="FF000000"/>
            <rFont val="Tahoma"/>
            <family val="2"/>
          </rPr>
          <t>Dell:</t>
        </r>
        <r>
          <rPr>
            <sz val="9"/>
            <color rgb="FF000000"/>
            <rFont val="Tahoma"/>
            <family val="2"/>
          </rPr>
          <t xml:space="preserve">
</t>
        </r>
        <r>
          <rPr>
            <sz val="9"/>
            <color rgb="FF000000"/>
            <rFont val="Tahoma"/>
            <family val="2"/>
          </rPr>
          <t>nhập</t>
        </r>
      </text>
    </comment>
    <comment ref="I396" authorId="1" shapeId="0" xr:uid="{BFDA144E-169A-8043-AB58-8471CE0C07FB}">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J396" authorId="1" shapeId="0" xr:uid="{C3062B03-ECD7-0D46-8AC9-226F431152D5}">
      <text>
        <r>
          <rPr>
            <b/>
            <sz val="9"/>
            <color rgb="FF000000"/>
            <rFont val="Tahoma"/>
            <family val="2"/>
          </rPr>
          <t>Dell:</t>
        </r>
        <r>
          <rPr>
            <sz val="9"/>
            <color rgb="FF000000"/>
            <rFont val="Tahoma"/>
            <family val="2"/>
          </rPr>
          <t xml:space="preserve">
</t>
        </r>
        <r>
          <rPr>
            <sz val="9"/>
            <color rgb="FF000000"/>
            <rFont val="Tahoma"/>
            <family val="2"/>
          </rPr>
          <t>nhập</t>
        </r>
      </text>
    </comment>
    <comment ref="I398" authorId="1" shapeId="0" xr:uid="{0EFC081C-BD51-8F4D-96B2-666DA5440904}">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J398" authorId="1" shapeId="0" xr:uid="{A75D9E7C-1D60-B24F-A4C8-69916B19655D}">
      <text>
        <r>
          <rPr>
            <b/>
            <sz val="9"/>
            <color rgb="FF000000"/>
            <rFont val="Tahoma"/>
            <family val="2"/>
          </rPr>
          <t>Dell:</t>
        </r>
        <r>
          <rPr>
            <sz val="9"/>
            <color rgb="FF000000"/>
            <rFont val="Tahoma"/>
            <family val="2"/>
          </rPr>
          <t xml:space="preserve">
</t>
        </r>
        <r>
          <rPr>
            <sz val="9"/>
            <color rgb="FF000000"/>
            <rFont val="Tahoma"/>
            <family val="2"/>
          </rPr>
          <t>nhập</t>
        </r>
      </text>
    </comment>
    <comment ref="I400" authorId="1" shapeId="0" xr:uid="{72059A01-37A6-0942-BDB2-847007996E19}">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J400" authorId="1" shapeId="0" xr:uid="{0A29E1E0-D9F0-C746-A45F-754514661131}">
      <text>
        <r>
          <rPr>
            <b/>
            <sz val="9"/>
            <color rgb="FF000000"/>
            <rFont val="Tahoma"/>
            <family val="2"/>
          </rPr>
          <t>Dell:</t>
        </r>
        <r>
          <rPr>
            <sz val="9"/>
            <color rgb="FF000000"/>
            <rFont val="Tahoma"/>
            <family val="2"/>
          </rPr>
          <t xml:space="preserve">
</t>
        </r>
        <r>
          <rPr>
            <sz val="9"/>
            <color rgb="FF000000"/>
            <rFont val="Tahoma"/>
            <family val="2"/>
          </rPr>
          <t>nhập</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J8" authorId="0" shapeId="0" xr:uid="{8C23DB2F-37D1-4628-A5D1-31169261C331}">
      <text>
        <r>
          <rPr>
            <b/>
            <sz val="10"/>
            <color rgb="FF000000"/>
            <rFont val="Tahoma"/>
            <family val="2"/>
          </rPr>
          <t>Microsoft Office User:</t>
        </r>
        <r>
          <rPr>
            <sz val="10"/>
            <color rgb="FF000000"/>
            <rFont val="Tahoma"/>
            <family val="2"/>
          </rPr>
          <t xml:space="preserve">
</t>
        </r>
        <r>
          <rPr>
            <sz val="10"/>
            <color rgb="FF000000"/>
            <rFont val="Tahoma"/>
            <family val="2"/>
          </rPr>
          <t>nhập vào</t>
        </r>
      </text>
    </comment>
    <comment ref="O8" authorId="0" shapeId="0" xr:uid="{74940A5C-1D7C-45F1-BE99-4029D6B24611}">
      <text>
        <r>
          <rPr>
            <b/>
            <sz val="10"/>
            <color rgb="FF000000"/>
            <rFont val="Tahoma"/>
            <family val="2"/>
          </rPr>
          <t>Microsoft Office User:</t>
        </r>
        <r>
          <rPr>
            <sz val="10"/>
            <color rgb="FF000000"/>
            <rFont val="Tahoma"/>
            <family val="2"/>
          </rPr>
          <t xml:space="preserve">
</t>
        </r>
        <r>
          <rPr>
            <sz val="10"/>
            <color rgb="FF000000"/>
            <rFont val="Tahoma"/>
            <family val="2"/>
          </rPr>
          <t>nhập vào</t>
        </r>
      </text>
    </comment>
    <comment ref="E10" authorId="0" shapeId="0" xr:uid="{97A8BC56-DB33-4C10-B9BA-F2F590DABAAD}">
      <text>
        <r>
          <rPr>
            <b/>
            <sz val="10"/>
            <color rgb="FF000000"/>
            <rFont val="Tahoma"/>
            <family val="2"/>
          </rPr>
          <t>Microsoft Office User:</t>
        </r>
        <r>
          <rPr>
            <sz val="10"/>
            <color rgb="FF000000"/>
            <rFont val="Tahoma"/>
            <family val="2"/>
          </rPr>
          <t xml:space="preserve">
</t>
        </r>
        <r>
          <rPr>
            <sz val="10"/>
            <color rgb="FF000000"/>
            <rFont val="Tahoma"/>
            <family val="2"/>
          </rPr>
          <t xml:space="preserve">Nhập vào
</t>
        </r>
        <r>
          <rPr>
            <sz val="10"/>
            <color rgb="FF000000"/>
            <rFont val="Tahoma"/>
            <family val="2"/>
          </rPr>
          <t xml:space="preserve">
</t>
        </r>
      </text>
    </comment>
    <comment ref="F10" authorId="0" shapeId="0" xr:uid="{D4A85575-1EB1-453D-B379-290C5065B58B}">
      <text>
        <r>
          <rPr>
            <b/>
            <sz val="10"/>
            <color rgb="FF000000"/>
            <rFont val="Tahoma"/>
            <family val="2"/>
          </rPr>
          <t>Microsoft Office User:</t>
        </r>
        <r>
          <rPr>
            <sz val="10"/>
            <color rgb="FF000000"/>
            <rFont val="Tahoma"/>
            <family val="2"/>
          </rPr>
          <t xml:space="preserve">
</t>
        </r>
        <r>
          <rPr>
            <sz val="10"/>
            <color rgb="FF000000"/>
            <rFont val="Tahoma"/>
            <family val="2"/>
          </rPr>
          <t>Nhập vào</t>
        </r>
      </text>
    </comment>
    <comment ref="G10" authorId="0" shapeId="0" xr:uid="{AF67EB6C-49D3-4B71-95EE-87D660EF6D2C}">
      <text>
        <r>
          <rPr>
            <b/>
            <sz val="10"/>
            <color rgb="FF000000"/>
            <rFont val="Tahoma"/>
            <family val="2"/>
          </rPr>
          <t>Microsoft Office User:</t>
        </r>
        <r>
          <rPr>
            <sz val="10"/>
            <color rgb="FF000000"/>
            <rFont val="Tahoma"/>
            <family val="2"/>
          </rPr>
          <t xml:space="preserve">
</t>
        </r>
        <r>
          <rPr>
            <sz val="10"/>
            <color rgb="FF000000"/>
            <rFont val="Tahoma"/>
            <family val="2"/>
          </rPr>
          <t>nhập vào</t>
        </r>
      </text>
    </comment>
    <comment ref="H10" authorId="0" shapeId="0" xr:uid="{24CB038D-71F2-44C2-A485-CCC916B0601C}">
      <text>
        <r>
          <rPr>
            <b/>
            <sz val="10"/>
            <color rgb="FF000000"/>
            <rFont val="Tahoma"/>
            <family val="2"/>
          </rPr>
          <t>Microsoft Office User:</t>
        </r>
        <r>
          <rPr>
            <sz val="10"/>
            <color rgb="FF000000"/>
            <rFont val="Tahoma"/>
            <family val="2"/>
          </rPr>
          <t xml:space="preserve">
</t>
        </r>
        <r>
          <rPr>
            <sz val="10"/>
            <color rgb="FF000000"/>
            <rFont val="Tahoma"/>
            <family val="2"/>
          </rPr>
          <t>nhập vào</t>
        </r>
      </text>
    </comment>
    <comment ref="J10" authorId="0" shapeId="0" xr:uid="{6A96B179-73FE-401D-AB29-9653E533D537}">
      <text>
        <r>
          <rPr>
            <b/>
            <sz val="10"/>
            <color rgb="FF000000"/>
            <rFont val="Tahoma"/>
            <family val="2"/>
          </rPr>
          <t>Microsoft Office User:</t>
        </r>
        <r>
          <rPr>
            <sz val="10"/>
            <color rgb="FF000000"/>
            <rFont val="Tahoma"/>
            <family val="2"/>
          </rPr>
          <t xml:space="preserve">
</t>
        </r>
        <r>
          <rPr>
            <sz val="10"/>
            <color rgb="FF000000"/>
            <rFont val="Tahoma"/>
            <family val="2"/>
          </rPr>
          <t>nhập vào</t>
        </r>
      </text>
    </comment>
    <comment ref="M10" authorId="0" shapeId="0" xr:uid="{5F6ADD00-2CED-45A8-A921-AE2CFA9A737C}">
      <text>
        <r>
          <rPr>
            <b/>
            <sz val="10"/>
            <color rgb="FF000000"/>
            <rFont val="Tahoma"/>
            <family val="2"/>
          </rPr>
          <t>Microsoft Office User:</t>
        </r>
        <r>
          <rPr>
            <sz val="10"/>
            <color rgb="FF000000"/>
            <rFont val="Tahoma"/>
            <family val="2"/>
          </rPr>
          <t xml:space="preserve">
</t>
        </r>
        <r>
          <rPr>
            <sz val="10"/>
            <color rgb="FF000000"/>
            <rFont val="Tahoma"/>
            <family val="2"/>
          </rPr>
          <t xml:space="preserve">nhập vào
</t>
        </r>
      </text>
    </comment>
    <comment ref="N10" authorId="0" shapeId="0" xr:uid="{87F183EA-022C-4F2B-BFBD-4065ABDD1298}">
      <text>
        <r>
          <rPr>
            <b/>
            <sz val="10"/>
            <color rgb="FF000000"/>
            <rFont val="Tahoma"/>
            <family val="2"/>
          </rPr>
          <t>Microsoft Office User:</t>
        </r>
        <r>
          <rPr>
            <sz val="10"/>
            <color rgb="FF000000"/>
            <rFont val="Tahoma"/>
            <family val="2"/>
          </rPr>
          <t xml:space="preserve">
</t>
        </r>
        <r>
          <rPr>
            <sz val="10"/>
            <color rgb="FF000000"/>
            <rFont val="Tahoma"/>
            <family val="2"/>
          </rPr>
          <t>nhập vào</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Microsoft Office User</author>
    <author>Dell</author>
  </authors>
  <commentList>
    <comment ref="J9" authorId="0" shapeId="0" xr:uid="{A9C2BADE-AC84-46F8-A4EA-4721E0A3EB35}">
      <text>
        <r>
          <rPr>
            <b/>
            <sz val="10"/>
            <color rgb="FF000000"/>
            <rFont val="Tahoma"/>
            <family val="2"/>
          </rPr>
          <t>Microsoft Office User:</t>
        </r>
        <r>
          <rPr>
            <sz val="10"/>
            <color rgb="FF000000"/>
            <rFont val="Tahoma"/>
            <family val="2"/>
          </rPr>
          <t xml:space="preserve">
</t>
        </r>
        <r>
          <rPr>
            <sz val="10"/>
            <color rgb="FF000000"/>
            <rFont val="Tahoma"/>
            <family val="2"/>
          </rPr>
          <t>nhập vào</t>
        </r>
      </text>
    </comment>
    <comment ref="O9" authorId="0" shapeId="0" xr:uid="{526EAC5B-F51C-42C4-BC8E-EB632ABBCB60}">
      <text>
        <r>
          <rPr>
            <b/>
            <sz val="10"/>
            <color rgb="FF000000"/>
            <rFont val="Tahoma"/>
            <family val="2"/>
          </rPr>
          <t>Microsoft Office User:</t>
        </r>
        <r>
          <rPr>
            <sz val="10"/>
            <color rgb="FF000000"/>
            <rFont val="Tahoma"/>
            <family val="2"/>
          </rPr>
          <t xml:space="preserve">
</t>
        </r>
        <r>
          <rPr>
            <sz val="10"/>
            <color rgb="FF000000"/>
            <rFont val="Tahoma"/>
            <family val="2"/>
          </rPr>
          <t>nhập vào</t>
        </r>
      </text>
    </comment>
    <comment ref="E11" authorId="0" shapeId="0" xr:uid="{269C40D3-C369-41F9-9340-F760436F4D4F}">
      <text>
        <r>
          <rPr>
            <b/>
            <sz val="10"/>
            <color rgb="FF000000"/>
            <rFont val="Tahoma"/>
            <family val="2"/>
          </rPr>
          <t>Microsoft Office User:</t>
        </r>
        <r>
          <rPr>
            <sz val="10"/>
            <color rgb="FF000000"/>
            <rFont val="Tahoma"/>
            <family val="2"/>
          </rPr>
          <t xml:space="preserve">
</t>
        </r>
        <r>
          <rPr>
            <sz val="10"/>
            <color rgb="FF000000"/>
            <rFont val="Tahoma"/>
            <family val="2"/>
          </rPr>
          <t xml:space="preserve">Nhập vào
</t>
        </r>
        <r>
          <rPr>
            <sz val="10"/>
            <color rgb="FF000000"/>
            <rFont val="Tahoma"/>
            <family val="2"/>
          </rPr>
          <t xml:space="preserve">
</t>
        </r>
      </text>
    </comment>
    <comment ref="F11" authorId="0" shapeId="0" xr:uid="{A1E76F0D-A5E8-413E-B9D4-3EA9A4D7C008}">
      <text>
        <r>
          <rPr>
            <b/>
            <sz val="10"/>
            <color rgb="FF000000"/>
            <rFont val="Tahoma"/>
            <family val="2"/>
          </rPr>
          <t>Microsoft Office User:</t>
        </r>
        <r>
          <rPr>
            <sz val="10"/>
            <color rgb="FF000000"/>
            <rFont val="Tahoma"/>
            <family val="2"/>
          </rPr>
          <t xml:space="preserve">
</t>
        </r>
        <r>
          <rPr>
            <sz val="10"/>
            <color rgb="FF000000"/>
            <rFont val="Tahoma"/>
            <family val="2"/>
          </rPr>
          <t>Nhập vào</t>
        </r>
      </text>
    </comment>
    <comment ref="G11" authorId="0" shapeId="0" xr:uid="{1E6152A1-E240-492B-A767-CD9676D96450}">
      <text>
        <r>
          <rPr>
            <b/>
            <sz val="10"/>
            <color rgb="FF000000"/>
            <rFont val="Tahoma"/>
            <family val="2"/>
          </rPr>
          <t>Microsoft Office User:</t>
        </r>
        <r>
          <rPr>
            <sz val="10"/>
            <color rgb="FF000000"/>
            <rFont val="Tahoma"/>
            <family val="2"/>
          </rPr>
          <t xml:space="preserve">
</t>
        </r>
        <r>
          <rPr>
            <sz val="10"/>
            <color rgb="FF000000"/>
            <rFont val="Tahoma"/>
            <family val="2"/>
          </rPr>
          <t>nhập vào</t>
        </r>
      </text>
    </comment>
    <comment ref="H11" authorId="0" shapeId="0" xr:uid="{DC128337-2B34-4217-95C1-503A5CA57EC0}">
      <text>
        <r>
          <rPr>
            <b/>
            <sz val="10"/>
            <color rgb="FF000000"/>
            <rFont val="Tahoma"/>
            <family val="2"/>
          </rPr>
          <t>Microsoft Office User:</t>
        </r>
        <r>
          <rPr>
            <sz val="10"/>
            <color rgb="FF000000"/>
            <rFont val="Tahoma"/>
            <family val="2"/>
          </rPr>
          <t xml:space="preserve">
</t>
        </r>
        <r>
          <rPr>
            <sz val="10"/>
            <color rgb="FF000000"/>
            <rFont val="Tahoma"/>
            <family val="2"/>
          </rPr>
          <t>nhập vào</t>
        </r>
      </text>
    </comment>
    <comment ref="J11" authorId="0" shapeId="0" xr:uid="{C8B2D10B-FF8A-48BF-A248-01DAB01F9E04}">
      <text>
        <r>
          <rPr>
            <b/>
            <sz val="10"/>
            <color rgb="FF000000"/>
            <rFont val="Tahoma"/>
            <family val="2"/>
          </rPr>
          <t>Microsoft Office User:</t>
        </r>
        <r>
          <rPr>
            <sz val="10"/>
            <color rgb="FF000000"/>
            <rFont val="Tahoma"/>
            <family val="2"/>
          </rPr>
          <t xml:space="preserve">
</t>
        </r>
        <r>
          <rPr>
            <sz val="10"/>
            <color rgb="FF000000"/>
            <rFont val="Tahoma"/>
            <family val="2"/>
          </rPr>
          <t>nhập vào</t>
        </r>
      </text>
    </comment>
    <comment ref="M11" authorId="0" shapeId="0" xr:uid="{E60341F5-9451-434E-A6CB-21FD22B15658}">
      <text>
        <r>
          <rPr>
            <b/>
            <sz val="10"/>
            <color rgb="FF000000"/>
            <rFont val="Tahoma"/>
            <family val="2"/>
          </rPr>
          <t>Microsoft Office User:</t>
        </r>
        <r>
          <rPr>
            <sz val="10"/>
            <color rgb="FF000000"/>
            <rFont val="Tahoma"/>
            <family val="2"/>
          </rPr>
          <t xml:space="preserve">
</t>
        </r>
        <r>
          <rPr>
            <sz val="10"/>
            <color rgb="FF000000"/>
            <rFont val="Tahoma"/>
            <family val="2"/>
          </rPr>
          <t xml:space="preserve">nhập vào
</t>
        </r>
      </text>
    </comment>
    <comment ref="N11" authorId="0" shapeId="0" xr:uid="{A7250C27-6993-4B05-BE58-00D36D0DD295}">
      <text>
        <r>
          <rPr>
            <b/>
            <sz val="10"/>
            <color rgb="FF000000"/>
            <rFont val="Tahoma"/>
            <family val="2"/>
          </rPr>
          <t>Microsoft Office User:</t>
        </r>
        <r>
          <rPr>
            <sz val="10"/>
            <color rgb="FF000000"/>
            <rFont val="Tahoma"/>
            <family val="2"/>
          </rPr>
          <t xml:space="preserve">
</t>
        </r>
        <r>
          <rPr>
            <sz val="10"/>
            <color rgb="FF000000"/>
            <rFont val="Tahoma"/>
            <family val="2"/>
          </rPr>
          <t>nhập vào</t>
        </r>
      </text>
    </comment>
    <comment ref="O12" authorId="0" shapeId="0" xr:uid="{C884B192-DCDA-4731-947B-2A8B5A2D4586}">
      <text>
        <r>
          <rPr>
            <b/>
            <sz val="10"/>
            <color rgb="FF000000"/>
            <rFont val="Tahoma"/>
            <family val="2"/>
          </rPr>
          <t>Microsoft Office User:</t>
        </r>
        <r>
          <rPr>
            <sz val="10"/>
            <color rgb="FF000000"/>
            <rFont val="Tahoma"/>
            <family val="2"/>
          </rPr>
          <t xml:space="preserve">
</t>
        </r>
        <r>
          <rPr>
            <sz val="10"/>
            <color rgb="FF000000"/>
            <rFont val="Tahoma"/>
            <family val="2"/>
          </rPr>
          <t>nhập vào</t>
        </r>
      </text>
    </comment>
    <comment ref="I101" authorId="1" shapeId="0" xr:uid="{583BFA92-D4C9-5449-BA9B-7DF8916E15BA}">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J101" authorId="1" shapeId="0" xr:uid="{C7D77065-BEF9-9E41-8821-AB21D3DE78D0}">
      <text>
        <r>
          <rPr>
            <b/>
            <sz val="9"/>
            <color rgb="FF000000"/>
            <rFont val="Tahoma"/>
            <family val="2"/>
          </rPr>
          <t>Dell:</t>
        </r>
        <r>
          <rPr>
            <sz val="9"/>
            <color rgb="FF000000"/>
            <rFont val="Tahoma"/>
            <family val="2"/>
          </rPr>
          <t xml:space="preserve">
</t>
        </r>
        <r>
          <rPr>
            <sz val="9"/>
            <color rgb="FF000000"/>
            <rFont val="Tahoma"/>
            <family val="2"/>
          </rPr>
          <t>nhập</t>
        </r>
      </text>
    </comment>
    <comment ref="I107" authorId="1" shapeId="0" xr:uid="{E9AD0A9C-B4F0-6A43-A4E3-39BDFFEC9F27}">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J107" authorId="1" shapeId="0" xr:uid="{688E8578-A039-7C43-99A0-DF794177AEB5}">
      <text>
        <r>
          <rPr>
            <b/>
            <sz val="9"/>
            <color rgb="FF000000"/>
            <rFont val="Tahoma"/>
            <family val="2"/>
          </rPr>
          <t>Dell:</t>
        </r>
        <r>
          <rPr>
            <sz val="9"/>
            <color rgb="FF000000"/>
            <rFont val="Tahoma"/>
            <family val="2"/>
          </rPr>
          <t xml:space="preserve">
</t>
        </r>
        <r>
          <rPr>
            <sz val="9"/>
            <color rgb="FF000000"/>
            <rFont val="Tahoma"/>
            <family val="2"/>
          </rPr>
          <t>nhập</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Microsoft Office User</author>
    <author>Dell</author>
  </authors>
  <commentList>
    <comment ref="J8" authorId="0" shapeId="0" xr:uid="{AE138FE6-90B2-3843-8D19-395DB0A284F9}">
      <text>
        <r>
          <rPr>
            <b/>
            <sz val="10"/>
            <color rgb="FF000000"/>
            <rFont val="Tahoma"/>
            <family val="2"/>
          </rPr>
          <t>Microsoft Office User:</t>
        </r>
        <r>
          <rPr>
            <sz val="10"/>
            <color rgb="FF000000"/>
            <rFont val="Tahoma"/>
            <family val="2"/>
          </rPr>
          <t xml:space="preserve">
</t>
        </r>
        <r>
          <rPr>
            <sz val="10"/>
            <color rgb="FF000000"/>
            <rFont val="Tahoma"/>
            <family val="2"/>
          </rPr>
          <t>nhập vào</t>
        </r>
      </text>
    </comment>
    <comment ref="O8" authorId="0" shapeId="0" xr:uid="{DFCF4155-DFA5-AD41-90F3-9DEA75A99AEC}">
      <text>
        <r>
          <rPr>
            <b/>
            <sz val="10"/>
            <color rgb="FF000000"/>
            <rFont val="Tahoma"/>
            <family val="2"/>
          </rPr>
          <t>Microsoft Office User:</t>
        </r>
        <r>
          <rPr>
            <sz val="10"/>
            <color rgb="FF000000"/>
            <rFont val="Tahoma"/>
            <family val="2"/>
          </rPr>
          <t xml:space="preserve">
</t>
        </r>
        <r>
          <rPr>
            <sz val="10"/>
            <color rgb="FF000000"/>
            <rFont val="Tahoma"/>
            <family val="2"/>
          </rPr>
          <t>nhập vào</t>
        </r>
      </text>
    </comment>
    <comment ref="E10" authorId="1" shapeId="0" xr:uid="{D1908767-5767-4E42-9265-432782E3D374}">
      <text>
        <r>
          <rPr>
            <b/>
            <sz val="9"/>
            <color rgb="FF000000"/>
            <rFont val="Tahoma"/>
            <family val="2"/>
          </rPr>
          <t>Dell:</t>
        </r>
        <r>
          <rPr>
            <sz val="9"/>
            <color rgb="FF000000"/>
            <rFont val="Tahoma"/>
            <family val="2"/>
          </rPr>
          <t xml:space="preserve">
</t>
        </r>
        <r>
          <rPr>
            <sz val="9"/>
            <color rgb="FF000000"/>
            <rFont val="Tahoma"/>
            <family val="2"/>
          </rPr>
          <t xml:space="preserve">bảng báo cáo ngày
</t>
        </r>
      </text>
    </comment>
    <comment ref="J10" authorId="0" shapeId="0" xr:uid="{347B823A-1AB7-4A4C-ABD7-84FF20D28ED4}">
      <text>
        <r>
          <rPr>
            <b/>
            <sz val="10"/>
            <color rgb="FF000000"/>
            <rFont val="Tahoma"/>
            <family val="2"/>
          </rPr>
          <t>Microsoft Office User:</t>
        </r>
        <r>
          <rPr>
            <sz val="10"/>
            <color rgb="FF000000"/>
            <rFont val="Tahoma"/>
            <family val="2"/>
          </rPr>
          <t xml:space="preserve">
</t>
        </r>
        <r>
          <rPr>
            <sz val="10"/>
            <color rgb="FF000000"/>
            <rFont val="Tahoma"/>
            <family val="2"/>
          </rPr>
          <t>nhập vào</t>
        </r>
      </text>
    </comment>
    <comment ref="O11" authorId="0" shapeId="0" xr:uid="{CA783154-E050-C64D-A14E-AAD27AEB09BE}">
      <text>
        <r>
          <rPr>
            <b/>
            <sz val="10"/>
            <color rgb="FF000000"/>
            <rFont val="Tahoma"/>
            <family val="2"/>
          </rPr>
          <t>Microsoft Office User:</t>
        </r>
        <r>
          <rPr>
            <sz val="10"/>
            <color rgb="FF000000"/>
            <rFont val="Tahoma"/>
            <family val="2"/>
          </rPr>
          <t xml:space="preserve">
</t>
        </r>
        <r>
          <rPr>
            <sz val="10"/>
            <color rgb="FF000000"/>
            <rFont val="Tahoma"/>
            <family val="2"/>
          </rPr>
          <t>nhập vào</t>
        </r>
      </text>
    </comment>
    <comment ref="I206" authorId="1" shapeId="0" xr:uid="{B537664A-4EF8-DE49-8D90-89706DC105D5}">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J206" authorId="1" shapeId="0" xr:uid="{4DE2955E-AF2E-714D-AC16-1844522AADD7}">
      <text>
        <r>
          <rPr>
            <b/>
            <sz val="9"/>
            <color rgb="FF000000"/>
            <rFont val="Tahoma"/>
            <family val="2"/>
          </rPr>
          <t>Dell:</t>
        </r>
        <r>
          <rPr>
            <sz val="9"/>
            <color rgb="FF000000"/>
            <rFont val="Tahoma"/>
            <family val="2"/>
          </rPr>
          <t xml:space="preserve">
</t>
        </r>
        <r>
          <rPr>
            <sz val="9"/>
            <color rgb="FF000000"/>
            <rFont val="Tahoma"/>
            <family val="2"/>
          </rPr>
          <t>nhập</t>
        </r>
      </text>
    </comment>
    <comment ref="I208" authorId="1" shapeId="0" xr:uid="{8FEBB8AF-4FF2-0148-AAAC-F11CE7B2D425}">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J208" authorId="1" shapeId="0" xr:uid="{FED512A7-EC24-684E-A90F-CE48095AB497}">
      <text>
        <r>
          <rPr>
            <b/>
            <sz val="9"/>
            <color rgb="FF000000"/>
            <rFont val="Tahoma"/>
            <family val="2"/>
          </rPr>
          <t>Dell:</t>
        </r>
        <r>
          <rPr>
            <sz val="9"/>
            <color rgb="FF000000"/>
            <rFont val="Tahoma"/>
            <family val="2"/>
          </rPr>
          <t xml:space="preserve">
</t>
        </r>
        <r>
          <rPr>
            <sz val="9"/>
            <color rgb="FF000000"/>
            <rFont val="Tahoma"/>
            <family val="2"/>
          </rPr>
          <t>nhập</t>
        </r>
      </text>
    </comment>
    <comment ref="I210" authorId="1" shapeId="0" xr:uid="{811CC716-C892-F747-BAFF-2649AC8EDC1E}">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J210" authorId="1" shapeId="0" xr:uid="{7F7C24D4-ADD1-DD42-A540-4B55BDB9B8EA}">
      <text>
        <r>
          <rPr>
            <b/>
            <sz val="9"/>
            <color rgb="FF000000"/>
            <rFont val="Tahoma"/>
            <family val="2"/>
          </rPr>
          <t>Dell:</t>
        </r>
        <r>
          <rPr>
            <sz val="9"/>
            <color rgb="FF000000"/>
            <rFont val="Tahoma"/>
            <family val="2"/>
          </rPr>
          <t xml:space="preserve">
</t>
        </r>
        <r>
          <rPr>
            <sz val="9"/>
            <color rgb="FF000000"/>
            <rFont val="Tahoma"/>
            <family val="2"/>
          </rPr>
          <t>nhập</t>
        </r>
      </text>
    </comment>
    <comment ref="I219" authorId="1" shapeId="0" xr:uid="{CB89811D-2987-9240-A2D9-0BECD38C2632}">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J219" authorId="1" shapeId="0" xr:uid="{80BCF36A-BCB2-9B4E-BCCD-F912D4A45D43}">
      <text>
        <r>
          <rPr>
            <b/>
            <sz val="9"/>
            <color rgb="FF000000"/>
            <rFont val="Tahoma"/>
            <family val="2"/>
          </rPr>
          <t>Dell:</t>
        </r>
        <r>
          <rPr>
            <sz val="9"/>
            <color rgb="FF000000"/>
            <rFont val="Tahoma"/>
            <family val="2"/>
          </rPr>
          <t xml:space="preserve">
</t>
        </r>
        <r>
          <rPr>
            <sz val="9"/>
            <color rgb="FF000000"/>
            <rFont val="Tahoma"/>
            <family val="2"/>
          </rPr>
          <t>nhập</t>
        </r>
      </text>
    </comment>
    <comment ref="I221" authorId="1" shapeId="0" xr:uid="{57919FE5-E22D-DC47-855E-F889A91B2400}">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J221" authorId="1" shapeId="0" xr:uid="{12068E1D-1359-CB48-8582-816309141B99}">
      <text>
        <r>
          <rPr>
            <b/>
            <sz val="9"/>
            <color rgb="FF000000"/>
            <rFont val="Tahoma"/>
            <family val="2"/>
          </rPr>
          <t>Dell:</t>
        </r>
        <r>
          <rPr>
            <sz val="9"/>
            <color rgb="FF000000"/>
            <rFont val="Tahoma"/>
            <family val="2"/>
          </rPr>
          <t xml:space="preserve">
</t>
        </r>
        <r>
          <rPr>
            <sz val="9"/>
            <color rgb="FF000000"/>
            <rFont val="Tahoma"/>
            <family val="2"/>
          </rPr>
          <t>nhập</t>
        </r>
      </text>
    </comment>
    <comment ref="I223" authorId="1" shapeId="0" xr:uid="{A1C76372-933F-DE46-83FC-EE66C17AA4BA}">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J223" authorId="1" shapeId="0" xr:uid="{ED1C1345-6C06-F34D-A14B-9CBAC934D0F7}">
      <text>
        <r>
          <rPr>
            <b/>
            <sz val="9"/>
            <color rgb="FF000000"/>
            <rFont val="Tahoma"/>
            <family val="2"/>
          </rPr>
          <t>Dell:</t>
        </r>
        <r>
          <rPr>
            <sz val="9"/>
            <color rgb="FF000000"/>
            <rFont val="Tahoma"/>
            <family val="2"/>
          </rPr>
          <t xml:space="preserve">
</t>
        </r>
        <r>
          <rPr>
            <sz val="9"/>
            <color rgb="FF000000"/>
            <rFont val="Tahoma"/>
            <family val="2"/>
          </rPr>
          <t>nhập</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Microsoft Office User</author>
    <author>Dell</author>
  </authors>
  <commentList>
    <comment ref="J9" authorId="0" shapeId="0" xr:uid="{88902BCD-1875-42B1-A59B-E608588CEA00}">
      <text>
        <r>
          <rPr>
            <b/>
            <sz val="10"/>
            <color rgb="FF000000"/>
            <rFont val="Tahoma"/>
            <family val="2"/>
          </rPr>
          <t>Microsoft Office User:</t>
        </r>
        <r>
          <rPr>
            <sz val="10"/>
            <color rgb="FF000000"/>
            <rFont val="Tahoma"/>
            <family val="2"/>
          </rPr>
          <t xml:space="preserve">
</t>
        </r>
        <r>
          <rPr>
            <sz val="10"/>
            <color rgb="FF000000"/>
            <rFont val="Tahoma"/>
            <family val="2"/>
          </rPr>
          <t>nhập vào</t>
        </r>
      </text>
    </comment>
    <comment ref="O9" authorId="0" shapeId="0" xr:uid="{9EB9093E-E68E-4F78-A29D-0E99939E035E}">
      <text>
        <r>
          <rPr>
            <b/>
            <sz val="10"/>
            <color rgb="FF000000"/>
            <rFont val="Tahoma"/>
            <family val="2"/>
          </rPr>
          <t>Microsoft Office User:</t>
        </r>
        <r>
          <rPr>
            <sz val="10"/>
            <color rgb="FF000000"/>
            <rFont val="Tahoma"/>
            <family val="2"/>
          </rPr>
          <t xml:space="preserve">
</t>
        </r>
        <r>
          <rPr>
            <sz val="10"/>
            <color rgb="FF000000"/>
            <rFont val="Tahoma"/>
            <family val="2"/>
          </rPr>
          <t>nhập vào</t>
        </r>
      </text>
    </comment>
    <comment ref="E11" authorId="1" shapeId="0" xr:uid="{ECE36C51-F363-45EA-B976-10C53E276A7A}">
      <text>
        <r>
          <rPr>
            <b/>
            <sz val="9"/>
            <color rgb="FF000000"/>
            <rFont val="Tahoma"/>
            <family val="2"/>
          </rPr>
          <t>Dell:</t>
        </r>
        <r>
          <rPr>
            <sz val="9"/>
            <color rgb="FF000000"/>
            <rFont val="Tahoma"/>
            <family val="2"/>
          </rPr>
          <t xml:space="preserve">
</t>
        </r>
        <r>
          <rPr>
            <sz val="9"/>
            <color rgb="FF000000"/>
            <rFont val="Tahoma"/>
            <family val="2"/>
          </rPr>
          <t xml:space="preserve">bảng báo cáo ngày
</t>
        </r>
      </text>
    </comment>
    <comment ref="J11" authorId="0" shapeId="0" xr:uid="{152BBDE2-9663-44D5-9E17-9F3210996F82}">
      <text>
        <r>
          <rPr>
            <b/>
            <sz val="10"/>
            <color rgb="FF000000"/>
            <rFont val="Tahoma"/>
            <family val="2"/>
          </rPr>
          <t>Microsoft Office User:</t>
        </r>
        <r>
          <rPr>
            <sz val="10"/>
            <color rgb="FF000000"/>
            <rFont val="Tahoma"/>
            <family val="2"/>
          </rPr>
          <t xml:space="preserve">
</t>
        </r>
        <r>
          <rPr>
            <sz val="10"/>
            <color rgb="FF000000"/>
            <rFont val="Tahoma"/>
            <family val="2"/>
          </rPr>
          <t>nhập vào</t>
        </r>
      </text>
    </comment>
    <comment ref="I263" authorId="1" shapeId="0" xr:uid="{C154AE8F-A339-D244-B59A-173AF1B90ADF}">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J263" authorId="1" shapeId="0" xr:uid="{286D53EE-6460-B64D-ABD3-80BA2E464970}">
      <text>
        <r>
          <rPr>
            <b/>
            <sz val="9"/>
            <color rgb="FF000000"/>
            <rFont val="Tahoma"/>
            <family val="2"/>
          </rPr>
          <t>Dell:</t>
        </r>
        <r>
          <rPr>
            <sz val="9"/>
            <color rgb="FF000000"/>
            <rFont val="Tahoma"/>
            <family val="2"/>
          </rPr>
          <t xml:space="preserve">
</t>
        </r>
        <r>
          <rPr>
            <sz val="9"/>
            <color rgb="FF000000"/>
            <rFont val="Tahoma"/>
            <family val="2"/>
          </rPr>
          <t>nhập</t>
        </r>
      </text>
    </comment>
    <comment ref="I265" authorId="1" shapeId="0" xr:uid="{75A190DF-CF63-754C-B8FC-45C39212AB5D}">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J265" authorId="1" shapeId="0" xr:uid="{74C6ACA9-2F41-4E45-83B9-3B202B2A4590}">
      <text>
        <r>
          <rPr>
            <b/>
            <sz val="9"/>
            <color rgb="FF000000"/>
            <rFont val="Tahoma"/>
            <family val="2"/>
          </rPr>
          <t>Dell:</t>
        </r>
        <r>
          <rPr>
            <sz val="9"/>
            <color rgb="FF000000"/>
            <rFont val="Tahoma"/>
            <family val="2"/>
          </rPr>
          <t xml:space="preserve">
</t>
        </r>
        <r>
          <rPr>
            <sz val="9"/>
            <color rgb="FF000000"/>
            <rFont val="Tahoma"/>
            <family val="2"/>
          </rPr>
          <t>nhập</t>
        </r>
      </text>
    </comment>
    <comment ref="I269" authorId="1" shapeId="0" xr:uid="{775F22BE-7013-4F43-96D5-FB9365C6C4BC}">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J269" authorId="1" shapeId="0" xr:uid="{680AD99E-5145-4D4A-BB7E-D5E6DD2112F3}">
      <text>
        <r>
          <rPr>
            <b/>
            <sz val="9"/>
            <color rgb="FF000000"/>
            <rFont val="Tahoma"/>
            <family val="2"/>
          </rPr>
          <t>Dell:</t>
        </r>
        <r>
          <rPr>
            <sz val="9"/>
            <color rgb="FF000000"/>
            <rFont val="Tahoma"/>
            <family val="2"/>
          </rPr>
          <t xml:space="preserve">
</t>
        </r>
        <r>
          <rPr>
            <sz val="9"/>
            <color rgb="FF000000"/>
            <rFont val="Tahoma"/>
            <family val="2"/>
          </rPr>
          <t>nhập</t>
        </r>
      </text>
    </comment>
    <comment ref="I271" authorId="1" shapeId="0" xr:uid="{6B7596C7-2839-5F4F-919B-B022F13A05AC}">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J271" authorId="1" shapeId="0" xr:uid="{9A179E1A-75AC-9A40-B619-32BF379191A8}">
      <text>
        <r>
          <rPr>
            <b/>
            <sz val="9"/>
            <color rgb="FF000000"/>
            <rFont val="Tahoma"/>
            <family val="2"/>
          </rPr>
          <t>Dell:</t>
        </r>
        <r>
          <rPr>
            <sz val="9"/>
            <color rgb="FF000000"/>
            <rFont val="Tahoma"/>
            <family val="2"/>
          </rPr>
          <t xml:space="preserve">
</t>
        </r>
        <r>
          <rPr>
            <sz val="9"/>
            <color rgb="FF000000"/>
            <rFont val="Tahoma"/>
            <family val="2"/>
          </rPr>
          <t>nhập</t>
        </r>
      </text>
    </comment>
    <comment ref="I273" authorId="1" shapeId="0" xr:uid="{BD3F74F6-FA17-D541-BE1F-48D86E454578}">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J273" authorId="1" shapeId="0" xr:uid="{F28107A6-C986-9544-8390-C2CE5A887825}">
      <text>
        <r>
          <rPr>
            <b/>
            <sz val="9"/>
            <color rgb="FF000000"/>
            <rFont val="Tahoma"/>
            <family val="2"/>
          </rPr>
          <t>Dell:</t>
        </r>
        <r>
          <rPr>
            <sz val="9"/>
            <color rgb="FF000000"/>
            <rFont val="Tahoma"/>
            <family val="2"/>
          </rPr>
          <t xml:space="preserve">
</t>
        </r>
        <r>
          <rPr>
            <sz val="9"/>
            <color rgb="FF000000"/>
            <rFont val="Tahoma"/>
            <family val="2"/>
          </rPr>
          <t>nhập</t>
        </r>
      </text>
    </comment>
    <comment ref="I282" authorId="1" shapeId="0" xr:uid="{BEF92FAB-28A5-F249-AC02-8BD44C48D21E}">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J282" authorId="1" shapeId="0" xr:uid="{5F2EC78E-1DF3-AE41-B52F-B195B2C2A2A6}">
      <text>
        <r>
          <rPr>
            <b/>
            <sz val="9"/>
            <color rgb="FF000000"/>
            <rFont val="Tahoma"/>
            <family val="2"/>
          </rPr>
          <t>Dell:</t>
        </r>
        <r>
          <rPr>
            <sz val="9"/>
            <color rgb="FF000000"/>
            <rFont val="Tahoma"/>
            <family val="2"/>
          </rPr>
          <t xml:space="preserve">
</t>
        </r>
        <r>
          <rPr>
            <sz val="9"/>
            <color rgb="FF000000"/>
            <rFont val="Tahoma"/>
            <family val="2"/>
          </rPr>
          <t>nhập</t>
        </r>
      </text>
    </comment>
    <comment ref="I284" authorId="1" shapeId="0" xr:uid="{897F5295-79D9-FD49-B427-660DA19CB844}">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J284" authorId="1" shapeId="0" xr:uid="{1AFC157A-B2A4-BE44-80B5-DA0283C1C6D2}">
      <text>
        <r>
          <rPr>
            <b/>
            <sz val="9"/>
            <color rgb="FF000000"/>
            <rFont val="Tahoma"/>
            <family val="2"/>
          </rPr>
          <t>Dell:</t>
        </r>
        <r>
          <rPr>
            <sz val="9"/>
            <color rgb="FF000000"/>
            <rFont val="Tahoma"/>
            <family val="2"/>
          </rPr>
          <t xml:space="preserve">
</t>
        </r>
        <r>
          <rPr>
            <sz val="9"/>
            <color rgb="FF000000"/>
            <rFont val="Tahoma"/>
            <family val="2"/>
          </rPr>
          <t>nhập</t>
        </r>
      </text>
    </comment>
    <comment ref="I288" authorId="1" shapeId="0" xr:uid="{D2548FE8-8504-774E-95FB-5CB387525871}">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J288" authorId="1" shapeId="0" xr:uid="{43FB9181-13AA-0644-A28C-A0D350C92FD0}">
      <text>
        <r>
          <rPr>
            <b/>
            <sz val="9"/>
            <color rgb="FF000000"/>
            <rFont val="Tahoma"/>
            <family val="2"/>
          </rPr>
          <t>Dell:</t>
        </r>
        <r>
          <rPr>
            <sz val="9"/>
            <color rgb="FF000000"/>
            <rFont val="Tahoma"/>
            <family val="2"/>
          </rPr>
          <t xml:space="preserve">
</t>
        </r>
        <r>
          <rPr>
            <sz val="9"/>
            <color rgb="FF000000"/>
            <rFont val="Tahoma"/>
            <family val="2"/>
          </rPr>
          <t>nhập</t>
        </r>
      </text>
    </comment>
    <comment ref="I290" authorId="1" shapeId="0" xr:uid="{55EE6979-D2EA-C74A-A92A-29177723ED55}">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J290" authorId="1" shapeId="0" xr:uid="{430C2F95-8E74-8E49-B750-FC279176310D}">
      <text>
        <r>
          <rPr>
            <b/>
            <sz val="9"/>
            <color rgb="FF000000"/>
            <rFont val="Tahoma"/>
            <family val="2"/>
          </rPr>
          <t>Dell:</t>
        </r>
        <r>
          <rPr>
            <sz val="9"/>
            <color rgb="FF000000"/>
            <rFont val="Tahoma"/>
            <family val="2"/>
          </rPr>
          <t xml:space="preserve">
</t>
        </r>
        <r>
          <rPr>
            <sz val="9"/>
            <color rgb="FF000000"/>
            <rFont val="Tahoma"/>
            <family val="2"/>
          </rPr>
          <t>nhập</t>
        </r>
      </text>
    </comment>
    <comment ref="I292" authorId="1" shapeId="0" xr:uid="{1AB5328D-3B23-4745-8325-AD00ECC4503E}">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J292" authorId="1" shapeId="0" xr:uid="{ED384676-45BA-F142-883A-C265BB3E2242}">
      <text>
        <r>
          <rPr>
            <b/>
            <sz val="9"/>
            <color rgb="FF000000"/>
            <rFont val="Tahoma"/>
            <family val="2"/>
          </rPr>
          <t>Dell:</t>
        </r>
        <r>
          <rPr>
            <sz val="9"/>
            <color rgb="FF000000"/>
            <rFont val="Tahoma"/>
            <family val="2"/>
          </rPr>
          <t xml:space="preserve">
</t>
        </r>
        <r>
          <rPr>
            <sz val="9"/>
            <color rgb="FF000000"/>
            <rFont val="Tahoma"/>
            <family val="2"/>
          </rPr>
          <t>nhập</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Microsoft Office User</author>
    <author>Author</author>
    <author>Dell</author>
  </authors>
  <commentList>
    <comment ref="J9" authorId="0" shapeId="0" xr:uid="{891F3D22-BDCE-43A0-B8AC-7303EFFCB912}">
      <text>
        <r>
          <rPr>
            <b/>
            <sz val="10"/>
            <color rgb="FF000000"/>
            <rFont val="Tahoma"/>
            <family val="2"/>
          </rPr>
          <t>Microsoft Office User:</t>
        </r>
        <r>
          <rPr>
            <sz val="10"/>
            <color rgb="FF000000"/>
            <rFont val="Tahoma"/>
            <family val="2"/>
          </rPr>
          <t xml:space="preserve">
</t>
        </r>
        <r>
          <rPr>
            <sz val="10"/>
            <color rgb="FF000000"/>
            <rFont val="Tahoma"/>
            <family val="2"/>
          </rPr>
          <t>nhập vào</t>
        </r>
      </text>
    </comment>
    <comment ref="O9" authorId="0" shapeId="0" xr:uid="{3C80066C-28D8-4FDE-B8CF-BF33C4792C0B}">
      <text>
        <r>
          <rPr>
            <b/>
            <sz val="10"/>
            <color rgb="FF000000"/>
            <rFont val="Tahoma"/>
            <family val="2"/>
          </rPr>
          <t>Microsoft Office User:</t>
        </r>
        <r>
          <rPr>
            <sz val="10"/>
            <color rgb="FF000000"/>
            <rFont val="Tahoma"/>
            <family val="2"/>
          </rPr>
          <t xml:space="preserve">
</t>
        </r>
        <r>
          <rPr>
            <sz val="10"/>
            <color rgb="FF000000"/>
            <rFont val="Tahoma"/>
            <family val="2"/>
          </rPr>
          <t>nhập vào</t>
        </r>
      </text>
    </comment>
    <comment ref="J11" authorId="0" shapeId="0" xr:uid="{435015A5-3781-4BE4-B323-5A92D165826A}">
      <text>
        <r>
          <rPr>
            <b/>
            <sz val="10"/>
            <color rgb="FF000000"/>
            <rFont val="Tahoma"/>
            <family val="2"/>
          </rPr>
          <t>Microsoft Office User:</t>
        </r>
        <r>
          <rPr>
            <sz val="10"/>
            <color rgb="FF000000"/>
            <rFont val="Tahoma"/>
            <family val="2"/>
          </rPr>
          <t xml:space="preserve">
</t>
        </r>
        <r>
          <rPr>
            <sz val="10"/>
            <color rgb="FF000000"/>
            <rFont val="Tahoma"/>
            <family val="2"/>
          </rPr>
          <t>nhập vào</t>
        </r>
      </text>
    </comment>
    <comment ref="D226" authorId="1" shapeId="0" xr:uid="{41C6E3B5-78FF-8549-9535-E950388D1CC9}">
      <text>
        <r>
          <rPr>
            <b/>
            <sz val="9"/>
            <color rgb="FF000000"/>
            <rFont val="Tahoma"/>
            <family val="2"/>
          </rPr>
          <t xml:space="preserve">Author:
</t>
        </r>
      </text>
    </comment>
    <comment ref="D228" authorId="1" shapeId="0" xr:uid="{B10C86A8-F0E5-D942-9485-B7D544CD9E7B}">
      <text>
        <r>
          <rPr>
            <b/>
            <sz val="9"/>
            <color rgb="FF000000"/>
            <rFont val="Tahoma"/>
            <family val="2"/>
          </rPr>
          <t xml:space="preserve">Author:
</t>
        </r>
      </text>
    </comment>
    <comment ref="D229" authorId="1" shapeId="0" xr:uid="{DC46CF67-E0C2-F740-96B5-1F95399664F1}">
      <text>
        <r>
          <rPr>
            <b/>
            <sz val="9"/>
            <color rgb="FF000000"/>
            <rFont val="Tahoma"/>
            <family val="2"/>
          </rPr>
          <t xml:space="preserve">Author:
</t>
        </r>
      </text>
    </comment>
    <comment ref="D240" authorId="1" shapeId="0" xr:uid="{D76A148F-EC26-5D47-AEFD-420421681D43}">
      <text>
        <r>
          <rPr>
            <b/>
            <sz val="9"/>
            <color rgb="FF000000"/>
            <rFont val="Tahoma"/>
            <family val="2"/>
          </rPr>
          <t xml:space="preserve">Author:
</t>
        </r>
      </text>
    </comment>
    <comment ref="D242" authorId="1" shapeId="0" xr:uid="{235381F7-315D-664A-A553-041E82237004}">
      <text>
        <r>
          <rPr>
            <b/>
            <sz val="9"/>
            <color indexed="81"/>
            <rFont val="Tahoma"/>
            <family val="2"/>
          </rPr>
          <t xml:space="preserve">Author:
</t>
        </r>
      </text>
    </comment>
    <comment ref="D243" authorId="1" shapeId="0" xr:uid="{93E27AE6-8830-C944-BB26-F141A9A699FD}">
      <text>
        <r>
          <rPr>
            <b/>
            <sz val="9"/>
            <color rgb="FF000000"/>
            <rFont val="Tahoma"/>
            <family val="2"/>
          </rPr>
          <t xml:space="preserve">Author:
</t>
        </r>
      </text>
    </comment>
    <comment ref="D252" authorId="1" shapeId="0" xr:uid="{1FBF49F2-8834-E846-B413-C5147D8E9439}">
      <text>
        <r>
          <rPr>
            <b/>
            <sz val="9"/>
            <color indexed="81"/>
            <rFont val="Tahoma"/>
            <family val="2"/>
          </rPr>
          <t xml:space="preserve">Author:
</t>
        </r>
      </text>
    </comment>
    <comment ref="D254" authorId="1" shapeId="0" xr:uid="{9C571BDB-133A-7041-8EBC-3C70E05ACB4D}">
      <text>
        <r>
          <rPr>
            <b/>
            <sz val="9"/>
            <color indexed="81"/>
            <rFont val="Tahoma"/>
            <family val="2"/>
          </rPr>
          <t xml:space="preserve">Author:
</t>
        </r>
      </text>
    </comment>
    <comment ref="D255" authorId="1" shapeId="0" xr:uid="{C759FFE4-469D-6B46-8BF1-2614144C157F}">
      <text>
        <r>
          <rPr>
            <b/>
            <sz val="9"/>
            <color indexed="81"/>
            <rFont val="Tahoma"/>
            <family val="2"/>
          </rPr>
          <t xml:space="preserve">Author:
</t>
        </r>
      </text>
    </comment>
    <comment ref="D256" authorId="1" shapeId="0" xr:uid="{70EA3159-CFE7-7647-B0A0-6B6BBD353390}">
      <text>
        <r>
          <rPr>
            <b/>
            <sz val="9"/>
            <color rgb="FF000000"/>
            <rFont val="Tahoma"/>
            <family val="2"/>
          </rPr>
          <t xml:space="preserve">Author:
</t>
        </r>
      </text>
    </comment>
    <comment ref="I332" authorId="2" shapeId="0" xr:uid="{DF57189B-33E3-F646-88D8-A8FB31F8F7D3}">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J332" authorId="2" shapeId="0" xr:uid="{78283395-DB5E-AA41-9A50-B7CF6FD54A9D}">
      <text>
        <r>
          <rPr>
            <b/>
            <sz val="9"/>
            <color rgb="FF000000"/>
            <rFont val="Tahoma"/>
            <family val="2"/>
          </rPr>
          <t>Dell:</t>
        </r>
        <r>
          <rPr>
            <sz val="9"/>
            <color rgb="FF000000"/>
            <rFont val="Tahoma"/>
            <family val="2"/>
          </rPr>
          <t xml:space="preserve">
</t>
        </r>
        <r>
          <rPr>
            <sz val="9"/>
            <color rgb="FF000000"/>
            <rFont val="Tahoma"/>
            <family val="2"/>
          </rPr>
          <t>nhập</t>
        </r>
      </text>
    </comment>
    <comment ref="I334" authorId="2" shapeId="0" xr:uid="{02A5C950-8B98-BA4C-87EC-EEE8CAB80593}">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J334" authorId="2" shapeId="0" xr:uid="{9DE10BEC-61B4-2543-AFAD-8CB46632C777}">
      <text>
        <r>
          <rPr>
            <b/>
            <sz val="9"/>
            <color rgb="FF000000"/>
            <rFont val="Tahoma"/>
            <family val="2"/>
          </rPr>
          <t>Dell:</t>
        </r>
        <r>
          <rPr>
            <sz val="9"/>
            <color rgb="FF000000"/>
            <rFont val="Tahoma"/>
            <family val="2"/>
          </rPr>
          <t xml:space="preserve">
</t>
        </r>
        <r>
          <rPr>
            <sz val="9"/>
            <color rgb="FF000000"/>
            <rFont val="Tahoma"/>
            <family val="2"/>
          </rPr>
          <t>nhập</t>
        </r>
      </text>
    </comment>
    <comment ref="I338" authorId="2" shapeId="0" xr:uid="{A264AC2A-8B40-694D-AEC9-35C8E245FF1F}">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J338" authorId="2" shapeId="0" xr:uid="{EDF87FEE-BCC8-964F-88A6-BD1853A1F89E}">
      <text>
        <r>
          <rPr>
            <b/>
            <sz val="9"/>
            <color rgb="FF000000"/>
            <rFont val="Tahoma"/>
            <family val="2"/>
          </rPr>
          <t>Dell:</t>
        </r>
        <r>
          <rPr>
            <sz val="9"/>
            <color rgb="FF000000"/>
            <rFont val="Tahoma"/>
            <family val="2"/>
          </rPr>
          <t xml:space="preserve">
</t>
        </r>
        <r>
          <rPr>
            <sz val="9"/>
            <color rgb="FF000000"/>
            <rFont val="Tahoma"/>
            <family val="2"/>
          </rPr>
          <t>nhập</t>
        </r>
      </text>
    </comment>
    <comment ref="I340" authorId="2" shapeId="0" xr:uid="{5048DF0A-3B99-3A45-BF2E-D2455DF742A0}">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J340" authorId="2" shapeId="0" xr:uid="{7E7587A8-FE5B-B04F-B1FC-EC85D48DBF87}">
      <text>
        <r>
          <rPr>
            <b/>
            <sz val="9"/>
            <color rgb="FF000000"/>
            <rFont val="Tahoma"/>
            <family val="2"/>
          </rPr>
          <t>Dell:</t>
        </r>
        <r>
          <rPr>
            <sz val="9"/>
            <color rgb="FF000000"/>
            <rFont val="Tahoma"/>
            <family val="2"/>
          </rPr>
          <t xml:space="preserve">
</t>
        </r>
        <r>
          <rPr>
            <sz val="9"/>
            <color rgb="FF000000"/>
            <rFont val="Tahoma"/>
            <family val="2"/>
          </rPr>
          <t>nhập</t>
        </r>
      </text>
    </comment>
    <comment ref="I342" authorId="2" shapeId="0" xr:uid="{0F31D1C3-958D-C74B-935C-447C8E5786EF}">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J342" authorId="2" shapeId="0" xr:uid="{FE8B2D29-70EC-2B49-ABD7-CD41A78373BC}">
      <text>
        <r>
          <rPr>
            <b/>
            <sz val="9"/>
            <color rgb="FF000000"/>
            <rFont val="Tahoma"/>
            <family val="2"/>
          </rPr>
          <t>Dell:</t>
        </r>
        <r>
          <rPr>
            <sz val="9"/>
            <color rgb="FF000000"/>
            <rFont val="Tahoma"/>
            <family val="2"/>
          </rPr>
          <t xml:space="preserve">
</t>
        </r>
        <r>
          <rPr>
            <sz val="9"/>
            <color rgb="FF000000"/>
            <rFont val="Tahoma"/>
            <family val="2"/>
          </rPr>
          <t>nhập</t>
        </r>
      </text>
    </comment>
    <comment ref="I351" authorId="2" shapeId="0" xr:uid="{5D547231-9EF2-714A-9F68-371B8FFAB598}">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J351" authorId="2" shapeId="0" xr:uid="{E8410E89-27E8-2A42-A801-C14581E701F6}">
      <text>
        <r>
          <rPr>
            <b/>
            <sz val="9"/>
            <color rgb="FF000000"/>
            <rFont val="Tahoma"/>
            <family val="2"/>
          </rPr>
          <t>Dell:</t>
        </r>
        <r>
          <rPr>
            <sz val="9"/>
            <color rgb="FF000000"/>
            <rFont val="Tahoma"/>
            <family val="2"/>
          </rPr>
          <t xml:space="preserve">
</t>
        </r>
        <r>
          <rPr>
            <sz val="9"/>
            <color rgb="FF000000"/>
            <rFont val="Tahoma"/>
            <family val="2"/>
          </rPr>
          <t>nhập</t>
        </r>
      </text>
    </comment>
    <comment ref="I353" authorId="2" shapeId="0" xr:uid="{C3A54AA0-4F9A-314A-8366-34B561AD4895}">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J353" authorId="2" shapeId="0" xr:uid="{2F9E3D09-F7EE-914F-B778-8FE218C0D665}">
      <text>
        <r>
          <rPr>
            <b/>
            <sz val="9"/>
            <color rgb="FF000000"/>
            <rFont val="Tahoma"/>
            <family val="2"/>
          </rPr>
          <t>Dell:</t>
        </r>
        <r>
          <rPr>
            <sz val="9"/>
            <color rgb="FF000000"/>
            <rFont val="Tahoma"/>
            <family val="2"/>
          </rPr>
          <t xml:space="preserve">
</t>
        </r>
        <r>
          <rPr>
            <sz val="9"/>
            <color rgb="FF000000"/>
            <rFont val="Tahoma"/>
            <family val="2"/>
          </rPr>
          <t>nhập</t>
        </r>
      </text>
    </comment>
    <comment ref="I357" authorId="2" shapeId="0" xr:uid="{67D44615-395E-EF45-A9E6-DA26ADC31A7E}">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J357" authorId="2" shapeId="0" xr:uid="{709A52F5-BB50-8840-9307-3B1C6B842F4E}">
      <text>
        <r>
          <rPr>
            <b/>
            <sz val="9"/>
            <color rgb="FF000000"/>
            <rFont val="Tahoma"/>
            <family val="2"/>
          </rPr>
          <t>Dell:</t>
        </r>
        <r>
          <rPr>
            <sz val="9"/>
            <color rgb="FF000000"/>
            <rFont val="Tahoma"/>
            <family val="2"/>
          </rPr>
          <t xml:space="preserve">
</t>
        </r>
        <r>
          <rPr>
            <sz val="9"/>
            <color rgb="FF000000"/>
            <rFont val="Tahoma"/>
            <family val="2"/>
          </rPr>
          <t>nhập</t>
        </r>
      </text>
    </comment>
    <comment ref="I359" authorId="2" shapeId="0" xr:uid="{D9818423-4D92-4847-8EBB-208419492142}">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J359" authorId="2" shapeId="0" xr:uid="{9C544639-34C2-C14C-A87A-CB356489B092}">
      <text>
        <r>
          <rPr>
            <b/>
            <sz val="9"/>
            <color rgb="FF000000"/>
            <rFont val="Tahoma"/>
            <family val="2"/>
          </rPr>
          <t>Dell:</t>
        </r>
        <r>
          <rPr>
            <sz val="9"/>
            <color rgb="FF000000"/>
            <rFont val="Tahoma"/>
            <family val="2"/>
          </rPr>
          <t xml:space="preserve">
</t>
        </r>
        <r>
          <rPr>
            <sz val="9"/>
            <color rgb="FF000000"/>
            <rFont val="Tahoma"/>
            <family val="2"/>
          </rPr>
          <t>nhập</t>
        </r>
      </text>
    </comment>
    <comment ref="I361" authorId="2" shapeId="0" xr:uid="{94BC60E1-A2D6-BC44-BEC1-66EDB5CAF9D3}">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J361" authorId="2" shapeId="0" xr:uid="{B31E64B6-4369-D043-A966-5CAF7C04D1C8}">
      <text>
        <r>
          <rPr>
            <b/>
            <sz val="9"/>
            <color rgb="FF000000"/>
            <rFont val="Tahoma"/>
            <family val="2"/>
          </rPr>
          <t>Dell:</t>
        </r>
        <r>
          <rPr>
            <sz val="9"/>
            <color rgb="FF000000"/>
            <rFont val="Tahoma"/>
            <family val="2"/>
          </rPr>
          <t xml:space="preserve">
</t>
        </r>
        <r>
          <rPr>
            <sz val="9"/>
            <color rgb="FF000000"/>
            <rFont val="Tahoma"/>
            <family val="2"/>
          </rPr>
          <t>nhập</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Microsoft Office User</author>
    <author>Author</author>
    <author>Dell</author>
  </authors>
  <commentList>
    <comment ref="J9" authorId="0" shapeId="0" xr:uid="{FC6AE576-4492-4CE9-B983-E7A6A5BAB773}">
      <text>
        <r>
          <rPr>
            <b/>
            <sz val="10"/>
            <color rgb="FF000000"/>
            <rFont val="Tahoma"/>
            <family val="2"/>
          </rPr>
          <t>Microsoft Office User:</t>
        </r>
        <r>
          <rPr>
            <sz val="10"/>
            <color rgb="FF000000"/>
            <rFont val="Tahoma"/>
            <family val="2"/>
          </rPr>
          <t xml:space="preserve">
</t>
        </r>
        <r>
          <rPr>
            <sz val="10"/>
            <color rgb="FF000000"/>
            <rFont val="Tahoma"/>
            <family val="2"/>
          </rPr>
          <t>nhập vào</t>
        </r>
      </text>
    </comment>
    <comment ref="O9" authorId="0" shapeId="0" xr:uid="{D216318F-98AC-48D3-B9D9-43A9E4A34957}">
      <text>
        <r>
          <rPr>
            <b/>
            <sz val="10"/>
            <color rgb="FF000000"/>
            <rFont val="Tahoma"/>
            <family val="2"/>
          </rPr>
          <t>Microsoft Office User:</t>
        </r>
        <r>
          <rPr>
            <sz val="10"/>
            <color rgb="FF000000"/>
            <rFont val="Tahoma"/>
            <family val="2"/>
          </rPr>
          <t xml:space="preserve">
</t>
        </r>
        <r>
          <rPr>
            <sz val="10"/>
            <color rgb="FF000000"/>
            <rFont val="Tahoma"/>
            <family val="2"/>
          </rPr>
          <t>nhập vào</t>
        </r>
      </text>
    </comment>
    <comment ref="J11" authorId="0" shapeId="0" xr:uid="{0746379D-2F34-4389-82F6-87338B8585D1}">
      <text>
        <r>
          <rPr>
            <b/>
            <sz val="10"/>
            <color rgb="FF000000"/>
            <rFont val="Tahoma"/>
            <family val="2"/>
          </rPr>
          <t>Microsoft Office User:</t>
        </r>
        <r>
          <rPr>
            <sz val="10"/>
            <color rgb="FF000000"/>
            <rFont val="Tahoma"/>
            <family val="2"/>
          </rPr>
          <t xml:space="preserve">
</t>
        </r>
        <r>
          <rPr>
            <sz val="10"/>
            <color rgb="FF000000"/>
            <rFont val="Tahoma"/>
            <family val="2"/>
          </rPr>
          <t>nhập vào</t>
        </r>
      </text>
    </comment>
    <comment ref="B230" authorId="1" shapeId="0" xr:uid="{E3202F62-BD40-744C-9096-AEE578A8D989}">
      <text>
        <r>
          <rPr>
            <b/>
            <sz val="9"/>
            <color rgb="FF000000"/>
            <rFont val="Tahoma"/>
            <family val="2"/>
          </rPr>
          <t xml:space="preserve">Author:
</t>
        </r>
      </text>
    </comment>
    <comment ref="B232" authorId="1" shapeId="0" xr:uid="{CF320A6C-8178-9742-A804-B17DAF3142CB}">
      <text>
        <r>
          <rPr>
            <b/>
            <sz val="9"/>
            <color rgb="FF000000"/>
            <rFont val="Tahoma"/>
            <family val="2"/>
          </rPr>
          <t xml:space="preserve">Author:
</t>
        </r>
      </text>
    </comment>
    <comment ref="B233" authorId="1" shapeId="0" xr:uid="{3EA3CBAA-87F1-C248-A2E4-A5EFF2F38D7D}">
      <text>
        <r>
          <rPr>
            <b/>
            <sz val="9"/>
            <color rgb="FF000000"/>
            <rFont val="Tahoma"/>
            <family val="2"/>
          </rPr>
          <t xml:space="preserve">Author:
</t>
        </r>
      </text>
    </comment>
    <comment ref="B244" authorId="1" shapeId="0" xr:uid="{93D143D8-431B-7048-B8E4-C509D978004A}">
      <text>
        <r>
          <rPr>
            <b/>
            <sz val="9"/>
            <color rgb="FF000000"/>
            <rFont val="Tahoma"/>
            <family val="2"/>
          </rPr>
          <t xml:space="preserve">Author:
</t>
        </r>
      </text>
    </comment>
    <comment ref="B246" authorId="1" shapeId="0" xr:uid="{01EDCE32-6FBC-D14A-B8DE-44B79D105E3A}">
      <text>
        <r>
          <rPr>
            <b/>
            <sz val="9"/>
            <color indexed="81"/>
            <rFont val="Tahoma"/>
            <family val="2"/>
          </rPr>
          <t xml:space="preserve">Author:
</t>
        </r>
      </text>
    </comment>
    <comment ref="B247" authorId="1" shapeId="0" xr:uid="{0946427A-FC81-DE41-B250-AFC2BAC1C2AF}">
      <text>
        <r>
          <rPr>
            <b/>
            <sz val="9"/>
            <color rgb="FF000000"/>
            <rFont val="Tahoma"/>
            <family val="2"/>
          </rPr>
          <t xml:space="preserve">Author:
</t>
        </r>
      </text>
    </comment>
    <comment ref="D258" authorId="1" shapeId="0" xr:uid="{18AA4949-9E1C-7644-9E05-3678DACFBA23}">
      <text>
        <r>
          <rPr>
            <b/>
            <sz val="9"/>
            <color rgb="FF000000"/>
            <rFont val="Tahoma"/>
            <family val="2"/>
          </rPr>
          <t xml:space="preserve">Author:
</t>
        </r>
      </text>
    </comment>
    <comment ref="D260" authorId="1" shapeId="0" xr:uid="{DE32D3A9-BAD3-C140-BE76-7BFDCC01B730}">
      <text>
        <r>
          <rPr>
            <b/>
            <sz val="9"/>
            <color indexed="81"/>
            <rFont val="Tahoma"/>
            <family val="2"/>
          </rPr>
          <t xml:space="preserve">Author:
</t>
        </r>
      </text>
    </comment>
    <comment ref="D261" authorId="1" shapeId="0" xr:uid="{C264411F-AB9E-0B4C-8186-11A2D7159A31}">
      <text>
        <r>
          <rPr>
            <b/>
            <sz val="9"/>
            <color indexed="81"/>
            <rFont val="Tahoma"/>
            <family val="2"/>
          </rPr>
          <t xml:space="preserve">Author:
</t>
        </r>
      </text>
    </comment>
    <comment ref="D262" authorId="1" shapeId="0" xr:uid="{8FAF9AB2-27FD-2849-8CBA-9A3E97700EFD}">
      <text>
        <r>
          <rPr>
            <b/>
            <sz val="9"/>
            <color rgb="FF000000"/>
            <rFont val="Tahoma"/>
            <family val="2"/>
          </rPr>
          <t xml:space="preserve">Author:
</t>
        </r>
      </text>
    </comment>
    <comment ref="I370" authorId="2" shapeId="0" xr:uid="{95825259-69BA-3944-A76C-E34983486495}">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J370" authorId="2" shapeId="0" xr:uid="{967541B0-7C2D-B449-BAE0-17834E4B8774}">
      <text>
        <r>
          <rPr>
            <b/>
            <sz val="9"/>
            <color rgb="FF000000"/>
            <rFont val="Tahoma"/>
            <family val="2"/>
          </rPr>
          <t>Dell:</t>
        </r>
        <r>
          <rPr>
            <sz val="9"/>
            <color rgb="FF000000"/>
            <rFont val="Tahoma"/>
            <family val="2"/>
          </rPr>
          <t xml:space="preserve">
</t>
        </r>
        <r>
          <rPr>
            <sz val="9"/>
            <color rgb="FF000000"/>
            <rFont val="Tahoma"/>
            <family val="2"/>
          </rPr>
          <t>nhập</t>
        </r>
      </text>
    </comment>
    <comment ref="I372" authorId="2" shapeId="0" xr:uid="{DE45F890-4DB3-9143-B315-03EFDE834FA5}">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J372" authorId="2" shapeId="0" xr:uid="{6FB40ACE-6696-B846-B3F2-286FED3E013B}">
      <text>
        <r>
          <rPr>
            <b/>
            <sz val="9"/>
            <color rgb="FF000000"/>
            <rFont val="Tahoma"/>
            <family val="2"/>
          </rPr>
          <t>Dell:</t>
        </r>
        <r>
          <rPr>
            <sz val="9"/>
            <color rgb="FF000000"/>
            <rFont val="Tahoma"/>
            <family val="2"/>
          </rPr>
          <t xml:space="preserve">
</t>
        </r>
        <r>
          <rPr>
            <sz val="9"/>
            <color rgb="FF000000"/>
            <rFont val="Tahoma"/>
            <family val="2"/>
          </rPr>
          <t>nhập</t>
        </r>
      </text>
    </comment>
    <comment ref="I376" authorId="2" shapeId="0" xr:uid="{8A236538-2C3F-C94B-97EE-59FF99FBDF0E}">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J376" authorId="2" shapeId="0" xr:uid="{44A67606-3F93-7B4E-82DB-4F2132E051D4}">
      <text>
        <r>
          <rPr>
            <b/>
            <sz val="9"/>
            <color rgb="FF000000"/>
            <rFont val="Tahoma"/>
            <family val="2"/>
          </rPr>
          <t>Dell:</t>
        </r>
        <r>
          <rPr>
            <sz val="9"/>
            <color rgb="FF000000"/>
            <rFont val="Tahoma"/>
            <family val="2"/>
          </rPr>
          <t xml:space="preserve">
</t>
        </r>
        <r>
          <rPr>
            <sz val="9"/>
            <color rgb="FF000000"/>
            <rFont val="Tahoma"/>
            <family val="2"/>
          </rPr>
          <t>nhập</t>
        </r>
      </text>
    </comment>
    <comment ref="I378" authorId="2" shapeId="0" xr:uid="{DABEDE7E-55C6-F345-A817-5E3B2CC7377F}">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J378" authorId="2" shapeId="0" xr:uid="{8855F179-650B-7F42-AC24-CEDABF5E7C2F}">
      <text>
        <r>
          <rPr>
            <b/>
            <sz val="9"/>
            <color rgb="FF000000"/>
            <rFont val="Tahoma"/>
            <family val="2"/>
          </rPr>
          <t>Dell:</t>
        </r>
        <r>
          <rPr>
            <sz val="9"/>
            <color rgb="FF000000"/>
            <rFont val="Tahoma"/>
            <family val="2"/>
          </rPr>
          <t xml:space="preserve">
</t>
        </r>
        <r>
          <rPr>
            <sz val="9"/>
            <color rgb="FF000000"/>
            <rFont val="Tahoma"/>
            <family val="2"/>
          </rPr>
          <t>nhập</t>
        </r>
      </text>
    </comment>
    <comment ref="I380" authorId="2" shapeId="0" xr:uid="{F59B0561-341D-1F42-B43B-5F8B36C04C94}">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J380" authorId="2" shapeId="0" xr:uid="{DD8557E7-FF41-B74A-AE13-EE68BCC9F178}">
      <text>
        <r>
          <rPr>
            <b/>
            <sz val="9"/>
            <color rgb="FF000000"/>
            <rFont val="Tahoma"/>
            <family val="2"/>
          </rPr>
          <t>Dell:</t>
        </r>
        <r>
          <rPr>
            <sz val="9"/>
            <color rgb="FF000000"/>
            <rFont val="Tahoma"/>
            <family val="2"/>
          </rPr>
          <t xml:space="preserve">
</t>
        </r>
        <r>
          <rPr>
            <sz val="9"/>
            <color rgb="FF000000"/>
            <rFont val="Tahoma"/>
            <family val="2"/>
          </rPr>
          <t>nhập</t>
        </r>
      </text>
    </comment>
    <comment ref="I389" authorId="2" shapeId="0" xr:uid="{431C14AB-A10E-8343-AB69-F758F0F0839F}">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J389" authorId="2" shapeId="0" xr:uid="{20653451-58F5-4C44-8D5D-0DFFB67FBB4A}">
      <text>
        <r>
          <rPr>
            <b/>
            <sz val="9"/>
            <color rgb="FF000000"/>
            <rFont val="Tahoma"/>
            <family val="2"/>
          </rPr>
          <t>Dell:</t>
        </r>
        <r>
          <rPr>
            <sz val="9"/>
            <color rgb="FF000000"/>
            <rFont val="Tahoma"/>
            <family val="2"/>
          </rPr>
          <t xml:space="preserve">
</t>
        </r>
        <r>
          <rPr>
            <sz val="9"/>
            <color rgb="FF000000"/>
            <rFont val="Tahoma"/>
            <family val="2"/>
          </rPr>
          <t>nhập</t>
        </r>
      </text>
    </comment>
    <comment ref="I391" authorId="2" shapeId="0" xr:uid="{47EECF6D-3868-AA41-BA9B-63527E0C3BF6}">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J391" authorId="2" shapeId="0" xr:uid="{4641B606-1317-BB49-A15F-B9189CAC8035}">
      <text>
        <r>
          <rPr>
            <b/>
            <sz val="9"/>
            <color rgb="FF000000"/>
            <rFont val="Tahoma"/>
            <family val="2"/>
          </rPr>
          <t>Dell:</t>
        </r>
        <r>
          <rPr>
            <sz val="9"/>
            <color rgb="FF000000"/>
            <rFont val="Tahoma"/>
            <family val="2"/>
          </rPr>
          <t xml:space="preserve">
</t>
        </r>
        <r>
          <rPr>
            <sz val="9"/>
            <color rgb="FF000000"/>
            <rFont val="Tahoma"/>
            <family val="2"/>
          </rPr>
          <t>nhập</t>
        </r>
      </text>
    </comment>
    <comment ref="I395" authorId="2" shapeId="0" xr:uid="{4D79710E-0971-644C-B471-FDB29D9011F2}">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J395" authorId="2" shapeId="0" xr:uid="{96CDC262-21AA-7543-B11D-FE881BDB5029}">
      <text>
        <r>
          <rPr>
            <b/>
            <sz val="9"/>
            <color rgb="FF000000"/>
            <rFont val="Tahoma"/>
            <family val="2"/>
          </rPr>
          <t>Dell:</t>
        </r>
        <r>
          <rPr>
            <sz val="9"/>
            <color rgb="FF000000"/>
            <rFont val="Tahoma"/>
            <family val="2"/>
          </rPr>
          <t xml:space="preserve">
</t>
        </r>
        <r>
          <rPr>
            <sz val="9"/>
            <color rgb="FF000000"/>
            <rFont val="Tahoma"/>
            <family val="2"/>
          </rPr>
          <t>nhập</t>
        </r>
      </text>
    </comment>
    <comment ref="I397" authorId="2" shapeId="0" xr:uid="{D489AFBF-DE68-8747-92CF-62F8CCBC1CB0}">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J397" authorId="2" shapeId="0" xr:uid="{BD397C79-3966-D646-BD24-12B096DACDB7}">
      <text>
        <r>
          <rPr>
            <b/>
            <sz val="9"/>
            <color rgb="FF000000"/>
            <rFont val="Tahoma"/>
            <family val="2"/>
          </rPr>
          <t>Dell:</t>
        </r>
        <r>
          <rPr>
            <sz val="9"/>
            <color rgb="FF000000"/>
            <rFont val="Tahoma"/>
            <family val="2"/>
          </rPr>
          <t xml:space="preserve">
</t>
        </r>
        <r>
          <rPr>
            <sz val="9"/>
            <color rgb="FF000000"/>
            <rFont val="Tahoma"/>
            <family val="2"/>
          </rPr>
          <t>nhập</t>
        </r>
      </text>
    </comment>
    <comment ref="I399" authorId="2" shapeId="0" xr:uid="{528DDC8F-7B62-2B4B-A6E2-C2169E4C29EF}">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J399" authorId="2" shapeId="0" xr:uid="{4608E6F9-AC6C-B145-AC56-7BF688E6686A}">
      <text>
        <r>
          <rPr>
            <b/>
            <sz val="9"/>
            <color rgb="FF000000"/>
            <rFont val="Tahoma"/>
            <family val="2"/>
          </rPr>
          <t>Dell:</t>
        </r>
        <r>
          <rPr>
            <sz val="9"/>
            <color rgb="FF000000"/>
            <rFont val="Tahoma"/>
            <family val="2"/>
          </rPr>
          <t xml:space="preserve">
</t>
        </r>
        <r>
          <rPr>
            <sz val="9"/>
            <color rgb="FF000000"/>
            <rFont val="Tahoma"/>
            <family val="2"/>
          </rPr>
          <t>nhập</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Microsoft Office User</author>
    <author>Author</author>
    <author>Dell</author>
  </authors>
  <commentList>
    <comment ref="I8" authorId="0" shapeId="0" xr:uid="{57881481-7AA5-6745-BFDE-641DCAE589ED}">
      <text>
        <r>
          <rPr>
            <b/>
            <sz val="10"/>
            <color rgb="FF000000"/>
            <rFont val="Tahoma"/>
            <family val="2"/>
          </rPr>
          <t>Microsoft Office User:</t>
        </r>
        <r>
          <rPr>
            <sz val="10"/>
            <color rgb="FF000000"/>
            <rFont val="Tahoma"/>
            <family val="2"/>
          </rPr>
          <t xml:space="preserve">
</t>
        </r>
        <r>
          <rPr>
            <sz val="10"/>
            <color rgb="FF000000"/>
            <rFont val="Tahoma"/>
            <family val="2"/>
          </rPr>
          <t>nhập vào</t>
        </r>
      </text>
    </comment>
    <comment ref="N8" authorId="0" shapeId="0" xr:uid="{BC4794BA-9F17-3A4E-86CC-F993AEC9C522}">
      <text>
        <r>
          <rPr>
            <b/>
            <sz val="10"/>
            <color rgb="FF000000"/>
            <rFont val="Tahoma"/>
            <family val="2"/>
          </rPr>
          <t>Microsoft Office User:</t>
        </r>
        <r>
          <rPr>
            <sz val="10"/>
            <color rgb="FF000000"/>
            <rFont val="Tahoma"/>
            <family val="2"/>
          </rPr>
          <t xml:space="preserve">
</t>
        </r>
        <r>
          <rPr>
            <sz val="10"/>
            <color rgb="FF000000"/>
            <rFont val="Tahoma"/>
            <family val="2"/>
          </rPr>
          <t>nhập vào</t>
        </r>
      </text>
    </comment>
    <comment ref="I10" authorId="0" shapeId="0" xr:uid="{71FF3CBE-EF03-9C4D-96F4-5EB5BE27626F}">
      <text>
        <r>
          <rPr>
            <b/>
            <sz val="10"/>
            <color rgb="FF000000"/>
            <rFont val="Tahoma"/>
            <family val="2"/>
          </rPr>
          <t>Microsoft Office User:</t>
        </r>
        <r>
          <rPr>
            <sz val="10"/>
            <color rgb="FF000000"/>
            <rFont val="Tahoma"/>
            <family val="2"/>
          </rPr>
          <t xml:space="preserve">
</t>
        </r>
        <r>
          <rPr>
            <sz val="10"/>
            <color rgb="FF000000"/>
            <rFont val="Tahoma"/>
            <family val="2"/>
          </rPr>
          <t>nhập vào</t>
        </r>
      </text>
    </comment>
    <comment ref="B226" authorId="1" shapeId="0" xr:uid="{64ADA402-0C66-054A-A4A0-AC1CDC15F8D2}">
      <text>
        <r>
          <rPr>
            <b/>
            <sz val="9"/>
            <color rgb="FF000000"/>
            <rFont val="Tahoma"/>
            <family val="2"/>
          </rPr>
          <t xml:space="preserve">Author:
</t>
        </r>
      </text>
    </comment>
    <comment ref="B228" authorId="1" shapeId="0" xr:uid="{0D20F7C7-D156-6945-8579-E2F89E6DECCF}">
      <text>
        <r>
          <rPr>
            <b/>
            <sz val="9"/>
            <color rgb="FF000000"/>
            <rFont val="Tahoma"/>
            <family val="2"/>
          </rPr>
          <t xml:space="preserve">Author:
</t>
        </r>
      </text>
    </comment>
    <comment ref="B229" authorId="1" shapeId="0" xr:uid="{7360E782-FCCE-E749-A191-E9568C7BDF3B}">
      <text>
        <r>
          <rPr>
            <b/>
            <sz val="9"/>
            <color rgb="FF000000"/>
            <rFont val="Tahoma"/>
            <family val="2"/>
          </rPr>
          <t xml:space="preserve">Author:
</t>
        </r>
      </text>
    </comment>
    <comment ref="B240" authorId="1" shapeId="0" xr:uid="{BA47E547-AC69-F648-8D99-6D75948D9C96}">
      <text>
        <r>
          <rPr>
            <b/>
            <sz val="9"/>
            <color rgb="FF000000"/>
            <rFont val="Tahoma"/>
            <family val="2"/>
          </rPr>
          <t xml:space="preserve">Author:
</t>
        </r>
      </text>
    </comment>
    <comment ref="B242" authorId="1" shapeId="0" xr:uid="{2BA7C67D-462A-1B45-97F9-8D547BD250E9}">
      <text>
        <r>
          <rPr>
            <b/>
            <sz val="9"/>
            <color indexed="81"/>
            <rFont val="Tahoma"/>
            <family val="2"/>
          </rPr>
          <t xml:space="preserve">Author:
</t>
        </r>
      </text>
    </comment>
    <comment ref="B243" authorId="1" shapeId="0" xr:uid="{ABD85571-1E28-E145-ABA8-E2849A0715CE}">
      <text>
        <r>
          <rPr>
            <b/>
            <sz val="9"/>
            <color rgb="FF000000"/>
            <rFont val="Tahoma"/>
            <family val="2"/>
          </rPr>
          <t xml:space="preserve">Author:
</t>
        </r>
      </text>
    </comment>
    <comment ref="B254" authorId="1" shapeId="0" xr:uid="{816CB5A9-338F-3946-A6C2-81D7B1B7A62A}">
      <text>
        <r>
          <rPr>
            <b/>
            <sz val="9"/>
            <color rgb="FF000000"/>
            <rFont val="Tahoma"/>
            <family val="2"/>
          </rPr>
          <t xml:space="preserve">Author:
</t>
        </r>
      </text>
    </comment>
    <comment ref="B256" authorId="1" shapeId="0" xr:uid="{6B1DB0EA-0287-E34F-8B95-A52E8EE00E0C}">
      <text>
        <r>
          <rPr>
            <b/>
            <sz val="9"/>
            <color indexed="81"/>
            <rFont val="Tahoma"/>
            <family val="2"/>
          </rPr>
          <t xml:space="preserve">Author:
</t>
        </r>
      </text>
    </comment>
    <comment ref="B257" authorId="1" shapeId="0" xr:uid="{7A3C29EB-2434-4844-9287-FD5F5EC3E8DE}">
      <text>
        <r>
          <rPr>
            <b/>
            <sz val="9"/>
            <color indexed="81"/>
            <rFont val="Tahoma"/>
            <family val="2"/>
          </rPr>
          <t xml:space="preserve">Author:
</t>
        </r>
      </text>
    </comment>
    <comment ref="B258" authorId="1" shapeId="0" xr:uid="{B84EFE26-C47E-314F-BEE2-10C825DAE91B}">
      <text>
        <r>
          <rPr>
            <b/>
            <sz val="9"/>
            <color rgb="FF000000"/>
            <rFont val="Tahoma"/>
            <family val="2"/>
          </rPr>
          <t xml:space="preserve">Author:
</t>
        </r>
      </text>
    </comment>
    <comment ref="I367" authorId="2" shapeId="0" xr:uid="{B55CF6A2-1DCE-0046-B863-A3E74867642F}">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J367" authorId="2" shapeId="0" xr:uid="{691046C5-6277-354B-8316-C8114E76015C}">
      <text>
        <r>
          <rPr>
            <b/>
            <sz val="9"/>
            <color rgb="FF000000"/>
            <rFont val="Tahoma"/>
            <family val="2"/>
          </rPr>
          <t>Dell:</t>
        </r>
        <r>
          <rPr>
            <sz val="9"/>
            <color rgb="FF000000"/>
            <rFont val="Tahoma"/>
            <family val="2"/>
          </rPr>
          <t xml:space="preserve">
</t>
        </r>
        <r>
          <rPr>
            <sz val="9"/>
            <color rgb="FF000000"/>
            <rFont val="Tahoma"/>
            <family val="2"/>
          </rPr>
          <t>nhập</t>
        </r>
      </text>
    </comment>
    <comment ref="I369" authorId="2" shapeId="0" xr:uid="{6ED9F201-0379-C943-A97A-24904A8F13FF}">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J369" authorId="2" shapeId="0" xr:uid="{7B1590C3-7D47-DE4A-8BF4-BC7B7C5AA79E}">
      <text>
        <r>
          <rPr>
            <b/>
            <sz val="9"/>
            <color rgb="FF000000"/>
            <rFont val="Tahoma"/>
            <family val="2"/>
          </rPr>
          <t>Dell:</t>
        </r>
        <r>
          <rPr>
            <sz val="9"/>
            <color rgb="FF000000"/>
            <rFont val="Tahoma"/>
            <family val="2"/>
          </rPr>
          <t xml:space="preserve">
</t>
        </r>
        <r>
          <rPr>
            <sz val="9"/>
            <color rgb="FF000000"/>
            <rFont val="Tahoma"/>
            <family val="2"/>
          </rPr>
          <t>nhập</t>
        </r>
      </text>
    </comment>
    <comment ref="I373" authorId="2" shapeId="0" xr:uid="{6A3D5E69-A3F0-AB4E-94B8-74B824B41629}">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J373" authorId="2" shapeId="0" xr:uid="{2808E03F-2FDE-2B4F-A987-66FF144F4259}">
      <text>
        <r>
          <rPr>
            <b/>
            <sz val="9"/>
            <color rgb="FF000000"/>
            <rFont val="Tahoma"/>
            <family val="2"/>
          </rPr>
          <t>Dell:</t>
        </r>
        <r>
          <rPr>
            <sz val="9"/>
            <color rgb="FF000000"/>
            <rFont val="Tahoma"/>
            <family val="2"/>
          </rPr>
          <t xml:space="preserve">
</t>
        </r>
        <r>
          <rPr>
            <sz val="9"/>
            <color rgb="FF000000"/>
            <rFont val="Tahoma"/>
            <family val="2"/>
          </rPr>
          <t>nhập</t>
        </r>
      </text>
    </comment>
    <comment ref="I375" authorId="2" shapeId="0" xr:uid="{597F4894-901E-1343-B391-9D5DD51ACD42}">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J375" authorId="2" shapeId="0" xr:uid="{8A6DA956-EBB7-F344-A1BF-4009F0642E18}">
      <text>
        <r>
          <rPr>
            <b/>
            <sz val="9"/>
            <color rgb="FF000000"/>
            <rFont val="Tahoma"/>
            <family val="2"/>
          </rPr>
          <t>Dell:</t>
        </r>
        <r>
          <rPr>
            <sz val="9"/>
            <color rgb="FF000000"/>
            <rFont val="Tahoma"/>
            <family val="2"/>
          </rPr>
          <t xml:space="preserve">
</t>
        </r>
        <r>
          <rPr>
            <sz val="9"/>
            <color rgb="FF000000"/>
            <rFont val="Tahoma"/>
            <family val="2"/>
          </rPr>
          <t>nhập</t>
        </r>
      </text>
    </comment>
    <comment ref="I377" authorId="2" shapeId="0" xr:uid="{26FDA7FC-C0FA-7B4F-B018-BBF7E96CD27F}">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J377" authorId="2" shapeId="0" xr:uid="{9A929CE8-A6E5-404E-ABD3-5F1CD1C0EE03}">
      <text>
        <r>
          <rPr>
            <b/>
            <sz val="9"/>
            <color rgb="FF000000"/>
            <rFont val="Tahoma"/>
            <family val="2"/>
          </rPr>
          <t>Dell:</t>
        </r>
        <r>
          <rPr>
            <sz val="9"/>
            <color rgb="FF000000"/>
            <rFont val="Tahoma"/>
            <family val="2"/>
          </rPr>
          <t xml:space="preserve">
</t>
        </r>
        <r>
          <rPr>
            <sz val="9"/>
            <color rgb="FF000000"/>
            <rFont val="Tahoma"/>
            <family val="2"/>
          </rPr>
          <t>nhập</t>
        </r>
      </text>
    </comment>
    <comment ref="I386" authorId="2" shapeId="0" xr:uid="{96E79A12-F461-DE41-9980-BF0E51659C05}">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J386" authorId="2" shapeId="0" xr:uid="{6C91E5A2-F7E9-4C44-92BC-830F53B4B1CD}">
      <text>
        <r>
          <rPr>
            <b/>
            <sz val="9"/>
            <color rgb="FF000000"/>
            <rFont val="Tahoma"/>
            <family val="2"/>
          </rPr>
          <t>Dell:</t>
        </r>
        <r>
          <rPr>
            <sz val="9"/>
            <color rgb="FF000000"/>
            <rFont val="Tahoma"/>
            <family val="2"/>
          </rPr>
          <t xml:space="preserve">
</t>
        </r>
        <r>
          <rPr>
            <sz val="9"/>
            <color rgb="FF000000"/>
            <rFont val="Tahoma"/>
            <family val="2"/>
          </rPr>
          <t>nhập</t>
        </r>
      </text>
    </comment>
    <comment ref="I388" authorId="2" shapeId="0" xr:uid="{F8F13DC9-6870-3A46-906A-03376FD480DA}">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J388" authorId="2" shapeId="0" xr:uid="{659D54AE-D3C5-2546-83E2-053205859F63}">
      <text>
        <r>
          <rPr>
            <b/>
            <sz val="9"/>
            <color rgb="FF000000"/>
            <rFont val="Tahoma"/>
            <family val="2"/>
          </rPr>
          <t>Dell:</t>
        </r>
        <r>
          <rPr>
            <sz val="9"/>
            <color rgb="FF000000"/>
            <rFont val="Tahoma"/>
            <family val="2"/>
          </rPr>
          <t xml:space="preserve">
</t>
        </r>
        <r>
          <rPr>
            <sz val="9"/>
            <color rgb="FF000000"/>
            <rFont val="Tahoma"/>
            <family val="2"/>
          </rPr>
          <t>nhập</t>
        </r>
      </text>
    </comment>
    <comment ref="I392" authorId="2" shapeId="0" xr:uid="{9D84E1F0-83B0-674D-A4D4-2EE542CBF723}">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J392" authorId="2" shapeId="0" xr:uid="{4FC7E5CA-B16F-4F43-BDDE-4ED530E6977E}">
      <text>
        <r>
          <rPr>
            <b/>
            <sz val="9"/>
            <color rgb="FF000000"/>
            <rFont val="Tahoma"/>
            <family val="2"/>
          </rPr>
          <t>Dell:</t>
        </r>
        <r>
          <rPr>
            <sz val="9"/>
            <color rgb="FF000000"/>
            <rFont val="Tahoma"/>
            <family val="2"/>
          </rPr>
          <t xml:space="preserve">
</t>
        </r>
        <r>
          <rPr>
            <sz val="9"/>
            <color rgb="FF000000"/>
            <rFont val="Tahoma"/>
            <family val="2"/>
          </rPr>
          <t>nhập</t>
        </r>
      </text>
    </comment>
    <comment ref="I394" authorId="2" shapeId="0" xr:uid="{56A7992A-146B-3948-80AC-A1E8166E98D7}">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J394" authorId="2" shapeId="0" xr:uid="{A2F28592-0AF0-2A49-85C0-102E35840DC6}">
      <text>
        <r>
          <rPr>
            <b/>
            <sz val="9"/>
            <color rgb="FF000000"/>
            <rFont val="Tahoma"/>
            <family val="2"/>
          </rPr>
          <t>Dell:</t>
        </r>
        <r>
          <rPr>
            <sz val="9"/>
            <color rgb="FF000000"/>
            <rFont val="Tahoma"/>
            <family val="2"/>
          </rPr>
          <t xml:space="preserve">
</t>
        </r>
        <r>
          <rPr>
            <sz val="9"/>
            <color rgb="FF000000"/>
            <rFont val="Tahoma"/>
            <family val="2"/>
          </rPr>
          <t>nhập</t>
        </r>
      </text>
    </comment>
    <comment ref="I396" authorId="2" shapeId="0" xr:uid="{6E692B4B-298B-0248-80B8-629BFCA507AE}">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J396" authorId="2" shapeId="0" xr:uid="{033A5BDD-591E-904D-947E-2884B7FCE882}">
      <text>
        <r>
          <rPr>
            <b/>
            <sz val="9"/>
            <color rgb="FF000000"/>
            <rFont val="Tahoma"/>
            <family val="2"/>
          </rPr>
          <t>Dell:</t>
        </r>
        <r>
          <rPr>
            <sz val="9"/>
            <color rgb="FF000000"/>
            <rFont val="Tahoma"/>
            <family val="2"/>
          </rPr>
          <t xml:space="preserve">
</t>
        </r>
        <r>
          <rPr>
            <sz val="9"/>
            <color rgb="FF000000"/>
            <rFont val="Tahoma"/>
            <family val="2"/>
          </rPr>
          <t>nhập</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Microsoft Office User</author>
    <author>Author</author>
    <author>Dell</author>
  </authors>
  <commentList>
    <comment ref="I8" authorId="0" shapeId="0" xr:uid="{A775CFB1-2799-8C48-932B-5410FBB7C930}">
      <text>
        <r>
          <rPr>
            <b/>
            <sz val="10"/>
            <color rgb="FF000000"/>
            <rFont val="Tahoma"/>
            <family val="2"/>
          </rPr>
          <t>Microsoft Office User:</t>
        </r>
        <r>
          <rPr>
            <sz val="10"/>
            <color rgb="FF000000"/>
            <rFont val="Tahoma"/>
            <family val="2"/>
          </rPr>
          <t xml:space="preserve">
</t>
        </r>
        <r>
          <rPr>
            <sz val="10"/>
            <color rgb="FF000000"/>
            <rFont val="Tahoma"/>
            <family val="2"/>
          </rPr>
          <t>nhập vào</t>
        </r>
      </text>
    </comment>
    <comment ref="N8" authorId="0" shapeId="0" xr:uid="{C1B12CC8-DD76-8C4C-A181-9BCC5EDE54F4}">
      <text>
        <r>
          <rPr>
            <b/>
            <sz val="10"/>
            <color rgb="FF000000"/>
            <rFont val="Tahoma"/>
            <family val="2"/>
          </rPr>
          <t>Microsoft Office User:</t>
        </r>
        <r>
          <rPr>
            <sz val="10"/>
            <color rgb="FF000000"/>
            <rFont val="Tahoma"/>
            <family val="2"/>
          </rPr>
          <t xml:space="preserve">
</t>
        </r>
        <r>
          <rPr>
            <sz val="10"/>
            <color rgb="FF000000"/>
            <rFont val="Tahoma"/>
            <family val="2"/>
          </rPr>
          <t>nhập vào</t>
        </r>
      </text>
    </comment>
    <comment ref="I10" authorId="0" shapeId="0" xr:uid="{00805C8C-54D2-5349-AD6E-6A2589D34BBA}">
      <text>
        <r>
          <rPr>
            <b/>
            <sz val="13"/>
            <color theme="1"/>
            <rFont val="Times New Roman"/>
            <family val="1"/>
          </rPr>
          <t>Microsoft Office User:</t>
        </r>
        <r>
          <rPr>
            <b/>
            <i/>
            <sz val="9"/>
            <color theme="1"/>
            <rFont val="Times New Roman"/>
            <family val="1"/>
          </rPr>
          <t xml:space="preserve">
</t>
        </r>
        <r>
          <rPr>
            <b/>
            <i/>
            <sz val="9"/>
            <color theme="1"/>
            <rFont val="Times New Roman"/>
            <family val="1"/>
          </rPr>
          <t>nhập vào</t>
        </r>
      </text>
    </comment>
    <comment ref="B226" authorId="1" shapeId="0" xr:uid="{7178158B-E1B5-8D4C-BCC8-B5351544342A}">
      <text>
        <r>
          <rPr>
            <b/>
            <sz val="9"/>
            <color rgb="FF000000"/>
            <rFont val="Tahoma"/>
            <family val="2"/>
          </rPr>
          <t xml:space="preserve">Author:
</t>
        </r>
      </text>
    </comment>
    <comment ref="B228" authorId="1" shapeId="0" xr:uid="{C9E991EF-5077-A64D-8D90-C6C435FE97F4}">
      <text>
        <r>
          <rPr>
            <b/>
            <sz val="9"/>
            <color rgb="FF000000"/>
            <rFont val="Tahoma"/>
            <family val="2"/>
          </rPr>
          <t xml:space="preserve">Author:
</t>
        </r>
      </text>
    </comment>
    <comment ref="B229" authorId="1" shapeId="0" xr:uid="{BF508E8F-FCB3-104E-8A80-E091DCCBF35D}">
      <text>
        <r>
          <rPr>
            <b/>
            <sz val="9"/>
            <color rgb="FF000000"/>
            <rFont val="Tahoma"/>
            <family val="2"/>
          </rPr>
          <t xml:space="preserve">Author:
</t>
        </r>
      </text>
    </comment>
    <comment ref="B240" authorId="1" shapeId="0" xr:uid="{02F09A90-5785-F446-82B7-59ECFD0EE7B4}">
      <text>
        <r>
          <rPr>
            <b/>
            <sz val="9"/>
            <color rgb="FF000000"/>
            <rFont val="Tahoma"/>
            <family val="2"/>
          </rPr>
          <t xml:space="preserve">Author:
</t>
        </r>
      </text>
    </comment>
    <comment ref="B242" authorId="1" shapeId="0" xr:uid="{D83173E3-3E62-1945-BFCB-FE008AA0CC2C}">
      <text>
        <r>
          <rPr>
            <b/>
            <sz val="9"/>
            <color indexed="81"/>
            <rFont val="Tahoma"/>
            <family val="2"/>
          </rPr>
          <t xml:space="preserve">Author:
</t>
        </r>
      </text>
    </comment>
    <comment ref="B243" authorId="1" shapeId="0" xr:uid="{F57C793A-2D19-3749-BCA3-9BAA3AE02962}">
      <text>
        <r>
          <rPr>
            <b/>
            <sz val="9"/>
            <color rgb="FF000000"/>
            <rFont val="Tahoma"/>
            <family val="2"/>
          </rPr>
          <t xml:space="preserve">Author:
</t>
        </r>
      </text>
    </comment>
    <comment ref="B254" authorId="1" shapeId="0" xr:uid="{D6C4A2BF-20FD-AE45-9B00-696D8BE7E0C6}">
      <text>
        <r>
          <rPr>
            <b/>
            <sz val="9"/>
            <color rgb="FF000000"/>
            <rFont val="Tahoma"/>
            <family val="2"/>
          </rPr>
          <t xml:space="preserve">Author:
</t>
        </r>
      </text>
    </comment>
    <comment ref="B256" authorId="1" shapeId="0" xr:uid="{0CDF4D0C-462F-934D-AED3-429AF95E6220}">
      <text>
        <r>
          <rPr>
            <b/>
            <sz val="9"/>
            <color indexed="81"/>
            <rFont val="Tahoma"/>
            <family val="2"/>
          </rPr>
          <t xml:space="preserve">Author:
</t>
        </r>
      </text>
    </comment>
    <comment ref="B257" authorId="1" shapeId="0" xr:uid="{6BDF320E-0175-E04F-A8E6-06B0C51D8440}">
      <text>
        <r>
          <rPr>
            <b/>
            <sz val="9"/>
            <color indexed="81"/>
            <rFont val="Tahoma"/>
            <family val="2"/>
          </rPr>
          <t xml:space="preserve">Author:
</t>
        </r>
      </text>
    </comment>
    <comment ref="B258" authorId="1" shapeId="0" xr:uid="{7733FAB3-3878-9849-A1AB-9B958EE9FC85}">
      <text>
        <r>
          <rPr>
            <b/>
            <sz val="9"/>
            <color rgb="FF000000"/>
            <rFont val="Tahoma"/>
            <family val="2"/>
          </rPr>
          <t xml:space="preserve">Author:
</t>
        </r>
      </text>
    </comment>
    <comment ref="I367" authorId="2" shapeId="0" xr:uid="{4A27FD1C-0496-7A48-80A8-68B324B46480}">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J367" authorId="2" shapeId="0" xr:uid="{1EFF3735-380F-1B4B-A08C-84AC5888CEE0}">
      <text>
        <r>
          <rPr>
            <b/>
            <sz val="9"/>
            <color rgb="FF000000"/>
            <rFont val="Tahoma"/>
            <family val="2"/>
          </rPr>
          <t>Dell:</t>
        </r>
        <r>
          <rPr>
            <sz val="9"/>
            <color rgb="FF000000"/>
            <rFont val="Tahoma"/>
            <family val="2"/>
          </rPr>
          <t xml:space="preserve">
</t>
        </r>
        <r>
          <rPr>
            <sz val="9"/>
            <color rgb="FF000000"/>
            <rFont val="Tahoma"/>
            <family val="2"/>
          </rPr>
          <t>nhập</t>
        </r>
      </text>
    </comment>
    <comment ref="I369" authorId="2" shapeId="0" xr:uid="{E9FD1F30-7A19-8841-92E6-7551F5507E05}">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J369" authorId="2" shapeId="0" xr:uid="{31CDE204-127A-1E4B-B96D-1C841B7F15D7}">
      <text>
        <r>
          <rPr>
            <b/>
            <sz val="9"/>
            <color rgb="FF000000"/>
            <rFont val="Tahoma"/>
            <family val="2"/>
          </rPr>
          <t>Dell:</t>
        </r>
        <r>
          <rPr>
            <sz val="9"/>
            <color rgb="FF000000"/>
            <rFont val="Tahoma"/>
            <family val="2"/>
          </rPr>
          <t xml:space="preserve">
</t>
        </r>
        <r>
          <rPr>
            <sz val="9"/>
            <color rgb="FF000000"/>
            <rFont val="Tahoma"/>
            <family val="2"/>
          </rPr>
          <t>nhập</t>
        </r>
      </text>
    </comment>
    <comment ref="I373" authorId="2" shapeId="0" xr:uid="{B09015E9-A5A9-C54B-8724-52D1B78FFB71}">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J373" authorId="2" shapeId="0" xr:uid="{AA9222A4-8BBE-2D4C-B08E-EC6B884226F8}">
      <text>
        <r>
          <rPr>
            <b/>
            <sz val="9"/>
            <color rgb="FF000000"/>
            <rFont val="Tahoma"/>
            <family val="2"/>
          </rPr>
          <t>Dell:</t>
        </r>
        <r>
          <rPr>
            <sz val="9"/>
            <color rgb="FF000000"/>
            <rFont val="Tahoma"/>
            <family val="2"/>
          </rPr>
          <t xml:space="preserve">
</t>
        </r>
        <r>
          <rPr>
            <sz val="9"/>
            <color rgb="FF000000"/>
            <rFont val="Tahoma"/>
            <family val="2"/>
          </rPr>
          <t>nhập</t>
        </r>
      </text>
    </comment>
    <comment ref="I375" authorId="2" shapeId="0" xr:uid="{B5678B29-C9FB-464A-96B9-945D73DCF2DA}">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J375" authorId="2" shapeId="0" xr:uid="{09F570C9-5769-174C-8942-7ECA404C4FF7}">
      <text>
        <r>
          <rPr>
            <b/>
            <sz val="9"/>
            <color rgb="FF000000"/>
            <rFont val="Tahoma"/>
            <family val="2"/>
          </rPr>
          <t>Dell:</t>
        </r>
        <r>
          <rPr>
            <sz val="9"/>
            <color rgb="FF000000"/>
            <rFont val="Tahoma"/>
            <family val="2"/>
          </rPr>
          <t xml:space="preserve">
</t>
        </r>
        <r>
          <rPr>
            <sz val="9"/>
            <color rgb="FF000000"/>
            <rFont val="Tahoma"/>
            <family val="2"/>
          </rPr>
          <t>nhập</t>
        </r>
      </text>
    </comment>
    <comment ref="I377" authorId="2" shapeId="0" xr:uid="{EC94E885-D34F-464B-A93C-CD761F47519D}">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J377" authorId="2" shapeId="0" xr:uid="{6E3EE6FF-4A87-E146-A0D2-EAF1481EC8E5}">
      <text>
        <r>
          <rPr>
            <b/>
            <sz val="9"/>
            <color rgb="FF000000"/>
            <rFont val="Tahoma"/>
            <family val="2"/>
          </rPr>
          <t>Dell:</t>
        </r>
        <r>
          <rPr>
            <sz val="9"/>
            <color rgb="FF000000"/>
            <rFont val="Tahoma"/>
            <family val="2"/>
          </rPr>
          <t xml:space="preserve">
</t>
        </r>
        <r>
          <rPr>
            <sz val="9"/>
            <color rgb="FF000000"/>
            <rFont val="Tahoma"/>
            <family val="2"/>
          </rPr>
          <t>nhập</t>
        </r>
      </text>
    </comment>
    <comment ref="I386" authorId="2" shapeId="0" xr:uid="{4A70EF61-815B-464E-A962-2F0660B8D975}">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J386" authorId="2" shapeId="0" xr:uid="{863ADD2B-E238-7440-8FAE-DAB1C81D5401}">
      <text>
        <r>
          <rPr>
            <b/>
            <sz val="9"/>
            <color rgb="FF000000"/>
            <rFont val="Tahoma"/>
            <family val="2"/>
          </rPr>
          <t>Dell:</t>
        </r>
        <r>
          <rPr>
            <sz val="9"/>
            <color rgb="FF000000"/>
            <rFont val="Tahoma"/>
            <family val="2"/>
          </rPr>
          <t xml:space="preserve">
</t>
        </r>
        <r>
          <rPr>
            <sz val="9"/>
            <color rgb="FF000000"/>
            <rFont val="Tahoma"/>
            <family val="2"/>
          </rPr>
          <t>nhập</t>
        </r>
      </text>
    </comment>
    <comment ref="I388" authorId="2" shapeId="0" xr:uid="{FF0BDCF0-3B6C-4D4F-94FE-D919425773D5}">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J388" authorId="2" shapeId="0" xr:uid="{4E7B2E8C-7A81-A646-8EBB-D1115EC131E0}">
      <text>
        <r>
          <rPr>
            <b/>
            <sz val="9"/>
            <color rgb="FF000000"/>
            <rFont val="Tahoma"/>
            <family val="2"/>
          </rPr>
          <t>Dell:</t>
        </r>
        <r>
          <rPr>
            <sz val="9"/>
            <color rgb="FF000000"/>
            <rFont val="Tahoma"/>
            <family val="2"/>
          </rPr>
          <t xml:space="preserve">
</t>
        </r>
        <r>
          <rPr>
            <sz val="9"/>
            <color rgb="FF000000"/>
            <rFont val="Tahoma"/>
            <family val="2"/>
          </rPr>
          <t>nhập</t>
        </r>
      </text>
    </comment>
    <comment ref="I392" authorId="2" shapeId="0" xr:uid="{6B2FF857-B9AA-1445-9FAB-B8BDEB09AF8E}">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J392" authorId="2" shapeId="0" xr:uid="{BDE33BA2-4C8E-C146-AC28-EB0E7AEAE3E7}">
      <text>
        <r>
          <rPr>
            <b/>
            <sz val="9"/>
            <color rgb="FF000000"/>
            <rFont val="Tahoma"/>
            <family val="2"/>
          </rPr>
          <t>Dell:</t>
        </r>
        <r>
          <rPr>
            <sz val="9"/>
            <color rgb="FF000000"/>
            <rFont val="Tahoma"/>
            <family val="2"/>
          </rPr>
          <t xml:space="preserve">
</t>
        </r>
        <r>
          <rPr>
            <sz val="9"/>
            <color rgb="FF000000"/>
            <rFont val="Tahoma"/>
            <family val="2"/>
          </rPr>
          <t>nhập</t>
        </r>
      </text>
    </comment>
    <comment ref="I394" authorId="2" shapeId="0" xr:uid="{D67335B3-F21C-C549-88BC-3C91C61B08A0}">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J394" authorId="2" shapeId="0" xr:uid="{5D01E4BB-F647-FC40-89A7-D58836813C9D}">
      <text>
        <r>
          <rPr>
            <b/>
            <sz val="9"/>
            <color rgb="FF000000"/>
            <rFont val="Tahoma"/>
            <family val="2"/>
          </rPr>
          <t>Dell:</t>
        </r>
        <r>
          <rPr>
            <sz val="9"/>
            <color rgb="FF000000"/>
            <rFont val="Tahoma"/>
            <family val="2"/>
          </rPr>
          <t xml:space="preserve">
</t>
        </r>
        <r>
          <rPr>
            <sz val="9"/>
            <color rgb="FF000000"/>
            <rFont val="Tahoma"/>
            <family val="2"/>
          </rPr>
          <t>nhập</t>
        </r>
      </text>
    </comment>
    <comment ref="I396" authorId="2" shapeId="0" xr:uid="{7A322904-6ED5-3344-8608-FF1B07A3A431}">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J396" authorId="2" shapeId="0" xr:uid="{2DEB3E92-0144-D54E-BC2D-2FB544587059}">
      <text>
        <r>
          <rPr>
            <b/>
            <sz val="9"/>
            <color rgb="FF000000"/>
            <rFont val="Tahoma"/>
            <family val="2"/>
          </rPr>
          <t>Dell:</t>
        </r>
        <r>
          <rPr>
            <sz val="9"/>
            <color rgb="FF000000"/>
            <rFont val="Tahoma"/>
            <family val="2"/>
          </rPr>
          <t xml:space="preserve">
</t>
        </r>
        <r>
          <rPr>
            <sz val="9"/>
            <color rgb="FF000000"/>
            <rFont val="Tahoma"/>
            <family val="2"/>
          </rPr>
          <t>nhập</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Microsoft Office User</author>
    <author>Author</author>
    <author>Dell</author>
  </authors>
  <commentList>
    <comment ref="I8" authorId="0" shapeId="0" xr:uid="{8EDC3FEC-AA6D-3643-9FF1-57D4B2B4B3EC}">
      <text>
        <r>
          <rPr>
            <b/>
            <sz val="10"/>
            <color rgb="FF000000"/>
            <rFont val="Tahoma"/>
            <family val="2"/>
          </rPr>
          <t>Microsoft Office User:</t>
        </r>
        <r>
          <rPr>
            <sz val="10"/>
            <color rgb="FF000000"/>
            <rFont val="Tahoma"/>
            <family val="2"/>
          </rPr>
          <t xml:space="preserve">
</t>
        </r>
        <r>
          <rPr>
            <sz val="10"/>
            <color rgb="FF000000"/>
            <rFont val="Tahoma"/>
            <family val="2"/>
          </rPr>
          <t>nhập vào</t>
        </r>
      </text>
    </comment>
    <comment ref="N8" authorId="0" shapeId="0" xr:uid="{DD91751A-9DED-D24E-BF35-79A9E900FA6C}">
      <text>
        <r>
          <rPr>
            <b/>
            <sz val="10"/>
            <color rgb="FF000000"/>
            <rFont val="Tahoma"/>
            <family val="2"/>
          </rPr>
          <t>Microsoft Office User:</t>
        </r>
        <r>
          <rPr>
            <sz val="10"/>
            <color rgb="FF000000"/>
            <rFont val="Tahoma"/>
            <family val="2"/>
          </rPr>
          <t xml:space="preserve">
</t>
        </r>
        <r>
          <rPr>
            <sz val="10"/>
            <color rgb="FF000000"/>
            <rFont val="Tahoma"/>
            <family val="2"/>
          </rPr>
          <t>nhập vào</t>
        </r>
      </text>
    </comment>
    <comment ref="I10" authorId="0" shapeId="0" xr:uid="{76E77F45-0AFD-CA43-BBF4-9018F36089B0}">
      <text>
        <r>
          <rPr>
            <b/>
            <sz val="13"/>
            <color rgb="FF000000"/>
            <rFont val="Times New Roman"/>
            <family val="1"/>
          </rPr>
          <t>Microsoft Office User:</t>
        </r>
        <r>
          <rPr>
            <b/>
            <i/>
            <sz val="9"/>
            <color rgb="FF000000"/>
            <rFont val="Times New Roman"/>
            <family val="1"/>
          </rPr>
          <t xml:space="preserve">
</t>
        </r>
        <r>
          <rPr>
            <b/>
            <i/>
            <sz val="9"/>
            <color rgb="FF000000"/>
            <rFont val="Times New Roman"/>
            <family val="1"/>
          </rPr>
          <t>nhập vào</t>
        </r>
      </text>
    </comment>
    <comment ref="B219" authorId="1" shapeId="0" xr:uid="{1CDE4B12-CCB7-9345-B235-4565BD40E3D0}">
      <text>
        <r>
          <rPr>
            <b/>
            <sz val="9"/>
            <color rgb="FF000000"/>
            <rFont val="Tahoma"/>
            <family val="2"/>
          </rPr>
          <t xml:space="preserve">Author:
</t>
        </r>
      </text>
    </comment>
    <comment ref="B222" authorId="1" shapeId="0" xr:uid="{5AF3ECA5-711B-9B45-8251-664FE0C69439}">
      <text>
        <r>
          <rPr>
            <b/>
            <sz val="9"/>
            <color rgb="FF000000"/>
            <rFont val="Tahoma"/>
            <family val="2"/>
          </rPr>
          <t xml:space="preserve">Author:
</t>
        </r>
      </text>
    </comment>
    <comment ref="B223" authorId="1" shapeId="0" xr:uid="{8D02FAA2-CAA5-2A47-8C66-AB59BDBABAF0}">
      <text>
        <r>
          <rPr>
            <b/>
            <sz val="9"/>
            <color rgb="FF000000"/>
            <rFont val="Tahoma"/>
            <family val="2"/>
          </rPr>
          <t xml:space="preserve">Author:
</t>
        </r>
      </text>
    </comment>
    <comment ref="B235" authorId="1" shapeId="0" xr:uid="{79BC3A1C-2273-4948-A416-2A6A84CDD8D2}">
      <text>
        <r>
          <rPr>
            <b/>
            <sz val="9"/>
            <color rgb="FF000000"/>
            <rFont val="Tahoma"/>
            <family val="2"/>
          </rPr>
          <t xml:space="preserve">Author:
</t>
        </r>
      </text>
    </comment>
    <comment ref="B237" authorId="1" shapeId="0" xr:uid="{5E2CC7BF-40FA-AA49-97B7-B1A0DAE7579F}">
      <text>
        <r>
          <rPr>
            <b/>
            <sz val="9"/>
            <color indexed="81"/>
            <rFont val="Tahoma"/>
            <family val="2"/>
          </rPr>
          <t xml:space="preserve">Author:
</t>
        </r>
      </text>
    </comment>
    <comment ref="B238" authorId="1" shapeId="0" xr:uid="{D53DC45F-2D4B-EF47-A186-AEDBF4876260}">
      <text>
        <r>
          <rPr>
            <b/>
            <sz val="9"/>
            <color rgb="FF000000"/>
            <rFont val="Tahoma"/>
            <family val="2"/>
          </rPr>
          <t xml:space="preserve">Author:
</t>
        </r>
      </text>
    </comment>
    <comment ref="B249" authorId="1" shapeId="0" xr:uid="{5D5DB2C0-9EA1-3F4E-9305-5CF5DED158CD}">
      <text>
        <r>
          <rPr>
            <b/>
            <sz val="9"/>
            <color rgb="FF000000"/>
            <rFont val="Tahoma"/>
            <family val="2"/>
          </rPr>
          <t xml:space="preserve">Author:
</t>
        </r>
      </text>
    </comment>
    <comment ref="B252" authorId="1" shapeId="0" xr:uid="{FC55B22A-BB4E-674E-97D1-0AC37C8A6159}">
      <text>
        <r>
          <rPr>
            <b/>
            <sz val="9"/>
            <color indexed="81"/>
            <rFont val="Tahoma"/>
            <family val="2"/>
          </rPr>
          <t xml:space="preserve">Author:
</t>
        </r>
      </text>
    </comment>
    <comment ref="B253" authorId="1" shapeId="0" xr:uid="{F3376BEC-CEA9-274D-B6AE-5C6031333E81}">
      <text>
        <r>
          <rPr>
            <b/>
            <sz val="9"/>
            <color indexed="81"/>
            <rFont val="Tahoma"/>
            <family val="2"/>
          </rPr>
          <t xml:space="preserve">Author:
</t>
        </r>
      </text>
    </comment>
    <comment ref="B254" authorId="1" shapeId="0" xr:uid="{D77F7305-3920-774B-B096-160044691DF9}">
      <text>
        <r>
          <rPr>
            <b/>
            <sz val="9"/>
            <color rgb="FF000000"/>
            <rFont val="Tahoma"/>
            <family val="2"/>
          </rPr>
          <t xml:space="preserve">Author:
</t>
        </r>
      </text>
    </comment>
    <comment ref="I371" authorId="2" shapeId="0" xr:uid="{DA8740B2-59BC-2949-B7C7-7088DAA73A55}">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J371" authorId="2" shapeId="0" xr:uid="{7C929BE1-2C3D-F74E-AEFD-FC7D35C6AFC7}">
      <text>
        <r>
          <rPr>
            <b/>
            <sz val="9"/>
            <color rgb="FF000000"/>
            <rFont val="Tahoma"/>
            <family val="2"/>
          </rPr>
          <t>Dell:</t>
        </r>
        <r>
          <rPr>
            <sz val="9"/>
            <color rgb="FF000000"/>
            <rFont val="Tahoma"/>
            <family val="2"/>
          </rPr>
          <t xml:space="preserve">
</t>
        </r>
        <r>
          <rPr>
            <sz val="9"/>
            <color rgb="FF000000"/>
            <rFont val="Tahoma"/>
            <family val="2"/>
          </rPr>
          <t>nhập</t>
        </r>
      </text>
    </comment>
    <comment ref="I373" authorId="2" shapeId="0" xr:uid="{FB7ABBF5-CAD5-DA47-895D-1A4210850ED9}">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J373" authorId="2" shapeId="0" xr:uid="{691BFAE7-D2AF-474A-9E82-3394226D4CD5}">
      <text>
        <r>
          <rPr>
            <b/>
            <sz val="9"/>
            <color rgb="FF000000"/>
            <rFont val="Tahoma"/>
            <family val="2"/>
          </rPr>
          <t>Dell:</t>
        </r>
        <r>
          <rPr>
            <sz val="9"/>
            <color rgb="FF000000"/>
            <rFont val="Tahoma"/>
            <family val="2"/>
          </rPr>
          <t xml:space="preserve">
</t>
        </r>
        <r>
          <rPr>
            <sz val="9"/>
            <color rgb="FF000000"/>
            <rFont val="Tahoma"/>
            <family val="2"/>
          </rPr>
          <t>nhập</t>
        </r>
      </text>
    </comment>
    <comment ref="I377" authorId="2" shapeId="0" xr:uid="{2179C989-D004-5941-AE68-C765CBF9ECBC}">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J377" authorId="2" shapeId="0" xr:uid="{FF4328D5-017B-9B4F-BE1B-80DEE8BDA2C6}">
      <text>
        <r>
          <rPr>
            <b/>
            <sz val="9"/>
            <color rgb="FF000000"/>
            <rFont val="Tahoma"/>
            <family val="2"/>
          </rPr>
          <t>Dell:</t>
        </r>
        <r>
          <rPr>
            <sz val="9"/>
            <color rgb="FF000000"/>
            <rFont val="Tahoma"/>
            <family val="2"/>
          </rPr>
          <t xml:space="preserve">
</t>
        </r>
        <r>
          <rPr>
            <sz val="9"/>
            <color rgb="FF000000"/>
            <rFont val="Tahoma"/>
            <family val="2"/>
          </rPr>
          <t>nhập</t>
        </r>
      </text>
    </comment>
    <comment ref="I379" authorId="2" shapeId="0" xr:uid="{99F35627-A014-3F4A-A020-2EF3D7BFE78F}">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J379" authorId="2" shapeId="0" xr:uid="{189952F1-A869-B442-A2CF-09548F4D18BA}">
      <text>
        <r>
          <rPr>
            <b/>
            <sz val="9"/>
            <color rgb="FF000000"/>
            <rFont val="Tahoma"/>
            <family val="2"/>
          </rPr>
          <t>Dell:</t>
        </r>
        <r>
          <rPr>
            <sz val="9"/>
            <color rgb="FF000000"/>
            <rFont val="Tahoma"/>
            <family val="2"/>
          </rPr>
          <t xml:space="preserve">
</t>
        </r>
        <r>
          <rPr>
            <sz val="9"/>
            <color rgb="FF000000"/>
            <rFont val="Tahoma"/>
            <family val="2"/>
          </rPr>
          <t>nhập</t>
        </r>
      </text>
    </comment>
    <comment ref="I381" authorId="2" shapeId="0" xr:uid="{82EB824E-174E-DF43-92CE-EACA6BE416E0}">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J381" authorId="2" shapeId="0" xr:uid="{427EDEE0-C5D2-1E45-98C4-82D4A6993C71}">
      <text>
        <r>
          <rPr>
            <b/>
            <sz val="9"/>
            <color rgb="FF000000"/>
            <rFont val="Tahoma"/>
            <family val="2"/>
          </rPr>
          <t>Dell:</t>
        </r>
        <r>
          <rPr>
            <sz val="9"/>
            <color rgb="FF000000"/>
            <rFont val="Tahoma"/>
            <family val="2"/>
          </rPr>
          <t xml:space="preserve">
</t>
        </r>
        <r>
          <rPr>
            <sz val="9"/>
            <color rgb="FF000000"/>
            <rFont val="Tahoma"/>
            <family val="2"/>
          </rPr>
          <t>nhập</t>
        </r>
      </text>
    </comment>
    <comment ref="I390" authorId="2" shapeId="0" xr:uid="{A9D841C4-FE3F-8243-B726-05FE6545ABE2}">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J390" authorId="2" shapeId="0" xr:uid="{5B4AC81D-4A90-D64B-81E4-23C371E5674D}">
      <text>
        <r>
          <rPr>
            <b/>
            <sz val="9"/>
            <color rgb="FF000000"/>
            <rFont val="Tahoma"/>
            <family val="2"/>
          </rPr>
          <t>Dell:</t>
        </r>
        <r>
          <rPr>
            <sz val="9"/>
            <color rgb="FF000000"/>
            <rFont val="Tahoma"/>
            <family val="2"/>
          </rPr>
          <t xml:space="preserve">
</t>
        </r>
        <r>
          <rPr>
            <sz val="9"/>
            <color rgb="FF000000"/>
            <rFont val="Tahoma"/>
            <family val="2"/>
          </rPr>
          <t>nhập</t>
        </r>
      </text>
    </comment>
    <comment ref="I392" authorId="2" shapeId="0" xr:uid="{348FC389-D992-DA43-B075-854768472DDE}">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J392" authorId="2" shapeId="0" xr:uid="{EFDAF0B2-8EE6-3348-AF3C-813D15D623B1}">
      <text>
        <r>
          <rPr>
            <b/>
            <sz val="9"/>
            <color rgb="FF000000"/>
            <rFont val="Tahoma"/>
            <family val="2"/>
          </rPr>
          <t>Dell:</t>
        </r>
        <r>
          <rPr>
            <sz val="9"/>
            <color rgb="FF000000"/>
            <rFont val="Tahoma"/>
            <family val="2"/>
          </rPr>
          <t xml:space="preserve">
</t>
        </r>
        <r>
          <rPr>
            <sz val="9"/>
            <color rgb="FF000000"/>
            <rFont val="Tahoma"/>
            <family val="2"/>
          </rPr>
          <t>nhập</t>
        </r>
      </text>
    </comment>
    <comment ref="I396" authorId="2" shapeId="0" xr:uid="{06E93758-DF92-274B-A7A8-A8B0B8B4FB56}">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J396" authorId="2" shapeId="0" xr:uid="{0983941A-742B-AB4D-A154-0B45329D5A66}">
      <text>
        <r>
          <rPr>
            <b/>
            <sz val="9"/>
            <color rgb="FF000000"/>
            <rFont val="Tahoma"/>
            <family val="2"/>
          </rPr>
          <t>Dell:</t>
        </r>
        <r>
          <rPr>
            <sz val="9"/>
            <color rgb="FF000000"/>
            <rFont val="Tahoma"/>
            <family val="2"/>
          </rPr>
          <t xml:space="preserve">
</t>
        </r>
        <r>
          <rPr>
            <sz val="9"/>
            <color rgb="FF000000"/>
            <rFont val="Tahoma"/>
            <family val="2"/>
          </rPr>
          <t>nhập</t>
        </r>
      </text>
    </comment>
    <comment ref="I398" authorId="2" shapeId="0" xr:uid="{B5F97889-71B5-224F-8A87-E6487F28EF76}">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J398" authorId="2" shapeId="0" xr:uid="{6962F72D-FFD4-2345-926E-9B260B25FF1B}">
      <text>
        <r>
          <rPr>
            <b/>
            <sz val="9"/>
            <color rgb="FF000000"/>
            <rFont val="Tahoma"/>
            <family val="2"/>
          </rPr>
          <t>Dell:</t>
        </r>
        <r>
          <rPr>
            <sz val="9"/>
            <color rgb="FF000000"/>
            <rFont val="Tahoma"/>
            <family val="2"/>
          </rPr>
          <t xml:space="preserve">
</t>
        </r>
        <r>
          <rPr>
            <sz val="9"/>
            <color rgb="FF000000"/>
            <rFont val="Tahoma"/>
            <family val="2"/>
          </rPr>
          <t>nhập</t>
        </r>
      </text>
    </comment>
    <comment ref="I400" authorId="2" shapeId="0" xr:uid="{14FA3C2D-7A9E-3246-81AE-9D0B366FF7B5}">
      <text>
        <r>
          <rPr>
            <b/>
            <sz val="9"/>
            <color rgb="FF000000"/>
            <rFont val="Tahoma"/>
            <family val="2"/>
          </rPr>
          <t>Dell:</t>
        </r>
        <r>
          <rPr>
            <sz val="9"/>
            <color rgb="FF000000"/>
            <rFont val="Tahoma"/>
            <family val="2"/>
          </rPr>
          <t xml:space="preserve">
</t>
        </r>
        <r>
          <rPr>
            <sz val="9"/>
            <color rgb="FF000000"/>
            <rFont val="Tahoma"/>
            <family val="2"/>
          </rPr>
          <t xml:space="preserve">nhập ngày sx
</t>
        </r>
      </text>
    </comment>
    <comment ref="J400" authorId="2" shapeId="0" xr:uid="{E7C21022-B79E-8747-9B48-BA8FE0D3BDB0}">
      <text>
        <r>
          <rPr>
            <b/>
            <sz val="9"/>
            <color rgb="FF000000"/>
            <rFont val="Tahoma"/>
            <family val="2"/>
          </rPr>
          <t>Dell:</t>
        </r>
        <r>
          <rPr>
            <sz val="9"/>
            <color rgb="FF000000"/>
            <rFont val="Tahoma"/>
            <family val="2"/>
          </rPr>
          <t xml:space="preserve">
</t>
        </r>
        <r>
          <rPr>
            <sz val="9"/>
            <color rgb="FF000000"/>
            <rFont val="Tahoma"/>
            <family val="2"/>
          </rPr>
          <t>nhập</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<sst xmlns="http://schemas.openxmlformats.org/spreadsheetml/2006/main" count="17682" uniqueCount="1413">
  <si>
    <t>CÔNG TY CỔ PHẦN GẠCH MEN PHƯƠNG NAM</t>
  </si>
  <si>
    <t>Địa chỉ: Cụm CN VLXD Tân An, X. Tân An, H. Vĩnh Cửu, T. Đồng Nai</t>
  </si>
  <si>
    <t>Điện thoại: 0251 3684039 *** Email: gachmenphuongnam@gmail.com</t>
  </si>
  <si>
    <t xml:space="preserve">BÁO CÁO TỔNG HỢP KẾT QUẢ SẢN XUẤT 2 DÂY CHUYỀN   </t>
  </si>
  <si>
    <t>I. Sản lượng - Chất lượng - Thu hồi Tổng A/ép:</t>
  </si>
  <si>
    <t>DC1</t>
  </si>
  <si>
    <t>Kích thước</t>
  </si>
  <si>
    <t>Tổng                sản lượng ép</t>
  </si>
  <si>
    <t>Sản lượng thu hồi</t>
  </si>
  <si>
    <t>Tổng (A1+A+B)</t>
  </si>
  <si>
    <t>Số ngày SX</t>
  </si>
  <si>
    <t xml:space="preserve">TB/ ngày </t>
  </si>
  <si>
    <t>A/ép</t>
  </si>
  <si>
    <t>C/ép</t>
  </si>
  <si>
    <t>Huỷ/ép</t>
  </si>
  <si>
    <t>T/g dừng 2MF</t>
  </si>
  <si>
    <t>KH/TH</t>
  </si>
  <si>
    <t>ĐVT</t>
  </si>
  <si>
    <t>A1</t>
  </si>
  <si>
    <t>A</t>
  </si>
  <si>
    <t>B</t>
  </si>
  <si>
    <t>m2</t>
  </si>
  <si>
    <t>%</t>
  </si>
  <si>
    <t>Phút/ngày</t>
  </si>
  <si>
    <t>Kế hoạch 30x60</t>
  </si>
  <si>
    <t>DC2</t>
  </si>
  <si>
    <t>Kế hoạch 40x80</t>
  </si>
  <si>
    <t>Kế hoạch 50x50</t>
  </si>
  <si>
    <t>TỔNG 2 DC</t>
  </si>
  <si>
    <t>T11</t>
  </si>
  <si>
    <t xml:space="preserve">So sánh TH/KH
</t>
  </si>
  <si>
    <t>T12</t>
  </si>
  <si>
    <t>* Ghi chú:</t>
  </si>
  <si>
    <t>Tổng:</t>
  </si>
  <si>
    <t>DC</t>
  </si>
  <si>
    <t xml:space="preserve">TB /ngày </t>
  </si>
  <si>
    <t>KẾ HOẠCH</t>
  </si>
  <si>
    <t>MỤC TIÊU</t>
  </si>
  <si>
    <t>1. Dây chuyền số 1 (kích thước 30x60):</t>
  </si>
  <si>
    <t>STT</t>
  </si>
  <si>
    <t>TÊN THAN</t>
  </si>
  <si>
    <t>Chất lượng lô than</t>
  </si>
  <si>
    <t xml:space="preserve">KL Lĩnh </t>
  </si>
  <si>
    <t>Sản lượng</t>
  </si>
  <si>
    <t>Tiêu hao</t>
  </si>
  <si>
    <t>Tiêu hao (có cám)</t>
  </si>
  <si>
    <t>Lĩnh bù</t>
  </si>
  <si>
    <t>Ghi chú</t>
  </si>
  <si>
    <t>Nhiệt trị</t>
  </si>
  <si>
    <t>kg</t>
  </si>
  <si>
    <t>Cộng + Ủ lò</t>
  </si>
  <si>
    <t>2. Dây chuyền số 2 (kích thước 40x80):</t>
  </si>
  <si>
    <t>10.14</t>
  </si>
  <si>
    <t>4.34</t>
  </si>
  <si>
    <t>Cộng</t>
  </si>
  <si>
    <t>Tổng Cộng + Ủ lò</t>
  </si>
  <si>
    <t>8.74</t>
  </si>
  <si>
    <t>1. Dây chuyền số 1:</t>
  </si>
  <si>
    <t xml:space="preserve"> - Sản lượng, chất lượng, thu hồi đạt theo kế hoạch                                    </t>
  </si>
  <si>
    <t xml:space="preserve">  - Trong tháng có các sự cố ảnh hưởng đến sản lượng, chất lượng theo mức khoán:</t>
  </si>
  <si>
    <t>3. Bộ phận tạo bột tạo men:</t>
  </si>
  <si>
    <t>- Thực hiện đúng kế hoạch của bộ phận, cung cấp đủ lượng hồ xương , hồ men phục vụ SX cho 2 DC</t>
  </si>
  <si>
    <t xml:space="preserve">- Lên KH bảo dưỡng chi tiết cối nghiền, hầm hồ, silo….và bàn giao cho đơn vị thi công đúng KH </t>
  </si>
  <si>
    <t>- Bố trí sắp xếp nhân sự hợp lý cho quá trình bảo dưỡng và nhân sự hỗ trợ các phòng ban khác</t>
  </si>
  <si>
    <t>4. Phòng Kỹ thuật công nghệ:</t>
  </si>
  <si>
    <t>- Duy trì công tác kiểm soát, kiểm tra nguyên nhiên liệu, vật tư đầu vào đảm bảo ổn định</t>
  </si>
  <si>
    <t>- Chủ động điều chỉnh các loại nguyên liệu trong bài xương thay thế nguồn đất sét VC sắp hết.</t>
  </si>
  <si>
    <t>- Xây dựng kế hoạch dự trù nguyên nhiên vật liệu xương - men cho 2 DC trong năm 2025</t>
  </si>
  <si>
    <t xml:space="preserve"> - PXCĐ thường xuyên bảo dưỡng, kiểm tra thiết bị giảm thời gian dừng máy ép, lỗi sự cố thiết bị các công đoạn sản xuất </t>
  </si>
  <si>
    <t xml:space="preserve"> - PXSX, P.KTCN kết hợp nâng cao quản lý kiểm soát các công đoạn, các tiêu chuẩn sản phẩm đảm bảo chất lượng tới tay khách hàng.</t>
  </si>
  <si>
    <t>Trân trọng báo cáo.</t>
  </si>
  <si>
    <t>Đồng Nai, ngày 08 tháng 01 năm 2025</t>
  </si>
  <si>
    <t>P.TGĐ PT SX - KTCN</t>
  </si>
  <si>
    <t>30X60</t>
  </si>
  <si>
    <t>SL ÉP</t>
  </si>
  <si>
    <t>T/g dừng 2 ME</t>
  </si>
  <si>
    <t>I. Kết quả sản lượng - Chất lượng - thu hồi Tổng A1+A+B :</t>
  </si>
  <si>
    <t>1. Dây chuyền số 1</t>
  </si>
  <si>
    <t>Sản Lượng ép</t>
  </si>
  <si>
    <t xml:space="preserve">TB/ngày </t>
  </si>
  <si>
    <t>A/ép (%)</t>
  </si>
  <si>
    <t>C</t>
  </si>
  <si>
    <t>Huỷ</t>
  </si>
  <si>
    <t>So sánh TH/KH</t>
  </si>
  <si>
    <t>2. Dây chuyền số 2:</t>
  </si>
  <si>
    <t>Sản Lượng Ép</t>
  </si>
  <si>
    <t>TB/ngày</t>
  </si>
  <si>
    <t>Hủy</t>
  </si>
  <si>
    <t>Hủy/ép</t>
  </si>
  <si>
    <t>TỔNG:</t>
  </si>
  <si>
    <t>Men M:</t>
  </si>
  <si>
    <t>40X60</t>
  </si>
  <si>
    <t>50X50</t>
  </si>
  <si>
    <t>TỔNG KẾ HOẠCH DC2</t>
  </si>
  <si>
    <t>TỔNG THỰC HIỆN DC2</t>
  </si>
  <si>
    <t>TỔNG KẾ HOẠCH            2 DC</t>
  </si>
  <si>
    <t>TỔNG THỰC HIỆN 2 DC</t>
  </si>
  <si>
    <t>3. Tổng thực hiện SX 2 DC năm 2024:</t>
  </si>
  <si>
    <t>Men B:</t>
  </si>
  <si>
    <t>40X80</t>
  </si>
  <si>
    <t>60X60</t>
  </si>
  <si>
    <t>TỔNG SL 2 DC (M2)</t>
  </si>
  <si>
    <t>II. Sản lượng theo các thương hiệu năm 2024:</t>
  </si>
  <si>
    <t>TỔNG</t>
  </si>
  <si>
    <t>1. Kế hoạch - kết quả thực hiện sản phẩm 30x60 các thương hiệu của dây chuyền số 1 :</t>
  </si>
  <si>
    <t>Thương hiệu</t>
  </si>
  <si>
    <t>Thực Hiện</t>
  </si>
  <si>
    <t>Tỷ lệ</t>
  </si>
  <si>
    <t>Tổng A1+A+B</t>
  </si>
  <si>
    <t>Luxury</t>
  </si>
  <si>
    <t>Sản lượng men Panson</t>
  </si>
  <si>
    <t>T10</t>
  </si>
  <si>
    <t>Green Era</t>
  </si>
  <si>
    <t>Lustile</t>
  </si>
  <si>
    <t>Sahado</t>
  </si>
  <si>
    <t>30x60</t>
  </si>
  <si>
    <t>40x80</t>
  </si>
  <si>
    <t>Havira</t>
  </si>
  <si>
    <t>40x60</t>
  </si>
  <si>
    <t>50x50</t>
  </si>
  <si>
    <t>Grandcera chung</t>
  </si>
  <si>
    <t>Sản lượng men Phương Nam</t>
  </si>
  <si>
    <t>60x60</t>
  </si>
  <si>
    <t>Grandcera độc quyền</t>
  </si>
  <si>
    <t>Tổng SX DC1:</t>
  </si>
  <si>
    <t>Crown</t>
  </si>
  <si>
    <t>Esspana</t>
  </si>
  <si>
    <t>Tổng 2 DC:</t>
  </si>
  <si>
    <t>Pana Tile</t>
  </si>
  <si>
    <t>Green Home</t>
  </si>
  <si>
    <t>Men Matt</t>
  </si>
  <si>
    <t>Sản lượng men Matt</t>
  </si>
  <si>
    <t>Tổng</t>
  </si>
  <si>
    <t>Sản lượng theo cơ cấu chủng loại sản phẩm</t>
  </si>
  <si>
    <t>Chủng loại</t>
  </si>
  <si>
    <t>Men</t>
  </si>
  <si>
    <t>tỷ lệ (%)</t>
  </si>
  <si>
    <t>Gạch ốp</t>
  </si>
  <si>
    <t>30x60 cm</t>
  </si>
  <si>
    <t>Phương Nam</t>
  </si>
  <si>
    <t>Panson</t>
  </si>
  <si>
    <t>Matt</t>
  </si>
  <si>
    <t>-</t>
  </si>
  <si>
    <t>2. Kế hoạch - kết quả thực hiện sản phẩm các thương hiệu của dây chuyền số 2 :</t>
  </si>
  <si>
    <t>Unitile</t>
  </si>
  <si>
    <t>Sahado new</t>
  </si>
  <si>
    <t>Espana</t>
  </si>
  <si>
    <t>1. Tiêu hao vật tư 30x60 SX DC1 :</t>
  </si>
  <si>
    <t>Nguyên liệu vật tư</t>
  </si>
  <si>
    <t>Định mức tiêu hao</t>
  </si>
  <si>
    <t xml:space="preserve"> Thực tế 
Tiêu hao</t>
  </si>
  <si>
    <t>Lượng SD</t>
  </si>
  <si>
    <t xml:space="preserve"> - Giảm                   ĐM</t>
  </si>
  <si>
    <t>+ Vượt             ĐM</t>
  </si>
  <si>
    <t>T1</t>
  </si>
  <si>
    <t>T2</t>
  </si>
  <si>
    <t>T3</t>
  </si>
  <si>
    <t>T4</t>
  </si>
  <si>
    <t>T5</t>
  </si>
  <si>
    <t>T6</t>
  </si>
  <si>
    <t>T7</t>
  </si>
  <si>
    <t>T8</t>
  </si>
  <si>
    <t>T9</t>
  </si>
  <si>
    <t>Nguyên liệu xương</t>
  </si>
  <si>
    <t>Kg</t>
  </si>
  <si>
    <t>Tổng SL (M2):</t>
  </si>
  <si>
    <t>Men E PSG</t>
  </si>
  <si>
    <t>SL PSG (M2):</t>
  </si>
  <si>
    <t>Men E Phương Nam</t>
  </si>
  <si>
    <t>Cái</t>
  </si>
  <si>
    <t>SL PN (M2):</t>
  </si>
  <si>
    <t>Men E Matt</t>
  </si>
  <si>
    <t>SL Matt (M2):</t>
  </si>
  <si>
    <t>Men G PSG</t>
  </si>
  <si>
    <t>Tổng SL +C:</t>
  </si>
  <si>
    <t>Men G Phương Nam</t>
  </si>
  <si>
    <t>Bao bì</t>
  </si>
  <si>
    <t>Ke góc</t>
  </si>
  <si>
    <t>Dây đai hộp</t>
  </si>
  <si>
    <t>Bi trung nhôm</t>
  </si>
  <si>
    <t>Bi cao nhôm Grand</t>
  </si>
  <si>
    <t>Bi cao nhôm Luxury</t>
  </si>
  <si>
    <t>Vỏ Điều</t>
  </si>
  <si>
    <t>Dây đai pét</t>
  </si>
  <si>
    <t>Nan Nẹp</t>
  </si>
  <si>
    <t>Pallet</t>
  </si>
  <si>
    <t>Trung bình 81,63m2/pallet (do palle sử dụng có các kệ lẻ và huỷ)</t>
  </si>
  <si>
    <t>Cóc dán băng keo</t>
  </si>
  <si>
    <t>Màng co PE khổ 500mm</t>
  </si>
  <si>
    <t>Bao tay len</t>
  </si>
  <si>
    <t>Đôi</t>
  </si>
  <si>
    <t>Nguyên liệu, vật tư</t>
  </si>
  <si>
    <t>Định mức</t>
  </si>
  <si>
    <t>Thực tế</t>
  </si>
  <si>
    <t>Nguyên liệu xương PN</t>
  </si>
  <si>
    <t>cái</t>
  </si>
  <si>
    <t>Men Sugar</t>
  </si>
  <si>
    <t>Vỏ điều</t>
  </si>
  <si>
    <t>Dây đai pet</t>
  </si>
  <si>
    <t>Nan nẹp</t>
  </si>
  <si>
    <t>Men ECL(MB)</t>
  </si>
  <si>
    <t>SL SG (M2):</t>
  </si>
  <si>
    <t>Men ECL (SVSG)</t>
  </si>
  <si>
    <t>SL B (M2):</t>
  </si>
  <si>
    <t>Men GCL</t>
  </si>
  <si>
    <t>SL (M2) có C:</t>
  </si>
  <si>
    <t>Bi cao nhôm</t>
  </si>
  <si>
    <t>5. Tiêu hao vật tư  60x60 SX DC2:</t>
  </si>
  <si>
    <t>Men ECL (Matt)</t>
  </si>
  <si>
    <t>SL M (M2):</t>
  </si>
  <si>
    <t>Men G Matt</t>
  </si>
  <si>
    <t>6. Tiêu hao vật tư  40x80 SX DC2:</t>
  </si>
  <si>
    <t>Men E PN</t>
  </si>
  <si>
    <t>KT</t>
  </si>
  <si>
    <t>Sản lượng (A1-A-B)</t>
  </si>
  <si>
    <t>KL Than cục</t>
  </si>
  <si>
    <t xml:space="preserve">Xuất Cám </t>
  </si>
  <si>
    <t>Tiêu hao          (cục + cám)</t>
  </si>
  <si>
    <t>Kg/ m2</t>
  </si>
  <si>
    <t>Số lượng (Kg)</t>
  </si>
  <si>
    <t xml:space="preserve"> Cám (%)</t>
  </si>
  <si>
    <t>IV. Khiếu nại năm 2024</t>
  </si>
  <si>
    <t>Sản phẩm xử lý DC1</t>
  </si>
  <si>
    <t>Số vụ xử lý</t>
  </si>
  <si>
    <t>Sản lượng m2</t>
  </si>
  <si>
    <t>Tổng lượng xử lý trong tháng 01</t>
  </si>
  <si>
    <t>Tổng lượng xử lý trong tháng 03</t>
  </si>
  <si>
    <t>Tổng lượng xử lý trong tháng 04</t>
  </si>
  <si>
    <t>Tổng lượng xử lý trong tháng 05</t>
  </si>
  <si>
    <t>Tổng lượng xử lý trong tháng 06</t>
  </si>
  <si>
    <t>Tổng lượng xử lý trong tháng 07</t>
  </si>
  <si>
    <t>Tổng lượng xử lý trong tháng 08</t>
  </si>
  <si>
    <t>Tổng lượng xử lý trong tháng 09</t>
  </si>
  <si>
    <t>Tổng lượng xử lý trong tháng 10</t>
  </si>
  <si>
    <t>Tổng lượng xử lý trong tháng 11</t>
  </si>
  <si>
    <t>Tổng lượng xử lý trong tháng 12</t>
  </si>
  <si>
    <t>Tổng sản lượng xử lý DC1</t>
  </si>
  <si>
    <t>Tổng sản lượng xử lý tương đương 0,51 % sản lượng sản xuất.</t>
  </si>
  <si>
    <t>Sản phẩm xử lý DC2</t>
  </si>
  <si>
    <t>Tổng sản lượng xử lý DC2</t>
  </si>
  <si>
    <t>Tổng sản lượng xử lý tương đương 0,44 % sản lượng sản xuất.</t>
  </si>
  <si>
    <t>Tổng sản lượng xử lý DC1+ DC2 (m2)</t>
  </si>
  <si>
    <t>Tổng sản lượng sản xuất năm 2024 DC1 + DC2 (m2)</t>
  </si>
  <si>
    <t>Tổng sản lượng xử lý cả năm tương đương 0,477 % tổng sản lượng sản xuất trên 2 dây chuyền.</t>
  </si>
  <si>
    <t>- Đánh giá lỗi khiếu nại:</t>
  </si>
  <si>
    <t>+ Lỗi lệch màu: Sản phẩm xảy ra chủ yếu ở các mẫu trắng trơn do mất kiểm soát trong quá trình làm việc tại dây chuyền men.Các nguyên nhân lệch màu khác là do ốp các sản phẩm cách xa nhau, ốp các sản phẩm để ngoài trời bị ngấm nước thay bao bì cùng các sản phẩm mới sản xuất.</t>
  </si>
  <si>
    <t>+ Lỗi rạn nứt men: Kiểm tra thực tế công trình đều đã thi công xong sử dụng trong thời gian dài, sản phẩm kiểm đã đều có hiện tượng ốp khít mạch, không đồng nhất</t>
  </si>
  <si>
    <t>+  Lỗi cong mo, vểnh góc: Nguyên nhân do lò nung lắp không đúng các ống silic, mỏ đốt theo yêu cầu dẫn đến hiện tượng lẫn các viên vểnh, cong vào trong sản phẩm A1. Sau khi điều chỉnh lắp đặt lại sản phẩm đã trở lại trạng thái bình thường. Sản phẩm để ngoài trời không được che chắn trong thời gian dài dẫn đến gạch bị ngấm nước , sản phậm bị vểnh ngược không đạt A1. Tập trung vào thời gian cuối tháng 03 đầu tháng 04 năm 2024.</t>
  </si>
  <si>
    <t>+ Lỗi bể vỡ: trong các tháng đầu năm sản phẩm bể vỡ xuất hiện nhiều nguyên nhân chủ yếu do bể vỡ trong quá trình di chuyển sản phẩm bị tác động gây ra bể góc, sản phẩm để ngoài trời không được che chắn dẫn đến ngấm nước làm gạch bị bể</t>
  </si>
  <si>
    <t>+ Chất lượng sản phẩm dây chuyền 2 sản xuất  50*50 và 40*60 ( men bóng + sân vườn) duy trì tương đối ổn định.</t>
  </si>
  <si>
    <t>- Nhân sự: Đầu năm tuyển dụng - đào tạo tổng 120 người. Tuyển</t>
  </si>
  <si>
    <r>
      <t xml:space="preserve">- Hoạt động từ ngày 08/03/2024 đến ngày 10/01/2025 dừng theo kế hoạch. Tổng số ngày sản xuất: </t>
    </r>
    <r>
      <rPr>
        <b/>
        <sz val="12"/>
        <color theme="1"/>
        <rFont val="Times New Roman"/>
        <family val="1"/>
      </rPr>
      <t>306,08 ngày</t>
    </r>
    <r>
      <rPr>
        <sz val="12"/>
        <color theme="1"/>
        <rFont val="Times New Roman"/>
        <family val="1"/>
      </rPr>
      <t xml:space="preserve">. Tổng sản lượng: </t>
    </r>
    <r>
      <rPr>
        <b/>
        <sz val="12"/>
        <color theme="1"/>
        <rFont val="Times New Roman"/>
        <family val="1"/>
      </rPr>
      <t>3.897.530 m2</t>
    </r>
  </si>
  <si>
    <t>Ngày hoạt động</t>
  </si>
  <si>
    <t>Ngày ngừng SX</t>
  </si>
  <si>
    <t>Thu hồi</t>
  </si>
  <si>
    <t>T/g dừng ép</t>
  </si>
  <si>
    <t>cm</t>
  </si>
  <si>
    <t>Phút/ ngày</t>
  </si>
  <si>
    <t xml:space="preserve">Hoàn thành kế hoạch </t>
  </si>
  <si>
    <t>Tổng DC2:</t>
  </si>
  <si>
    <t>Từ 01/01/2024  đến 10/01/2025</t>
  </si>
  <si>
    <t>2. Nhân sự 2 DC:</t>
  </si>
  <si>
    <t>Định biên</t>
  </si>
  <si>
    <t>Tuyển mới</t>
  </si>
  <si>
    <t>Nghỉ việc</t>
  </si>
  <si>
    <t>Hiện tại</t>
  </si>
  <si>
    <t>P. TCHC tuyển mới để đào tạo đáp ứng cho KHSX năm 2025 theo tờ trình chi tiết từ PXSX đã đề nghị (tuyển thêm 14 người).</t>
  </si>
  <si>
    <t>P. TCHC tuyển mới để đào tạo đáp ứng cho KHSX năm 2025 theo tờ trình chi tiết từ PXSX đã đề nghị (tuyển thêm 25 người).</t>
  </si>
  <si>
    <t xml:space="preserve">* Dây chuyền số 1: </t>
  </si>
  <si>
    <t xml:space="preserve">- Hoạt động từ ngày 01/03/2024 đến 21/12/2024. Đầu năm tuyển dụng và đào tạo nhân sự phục vụ sx cho 2 DC ốp - lát </t>
  </si>
  <si>
    <t>- Trong năm chạy 3 dòng sản phẩm của 3 loại men Phương nam - men Pason - men Matt trên cùng 1 điều kiện lò nung xương và nung men</t>
  </si>
  <si>
    <t>- Sản lượng - chất lượng hoàn thành theo kế hoạch trong năm</t>
  </si>
  <si>
    <t xml:space="preserve">* Dây chuyền số 2: </t>
  </si>
  <si>
    <t>- Đầu năm kết hợp các bộ phận cải tạo, lắp đặt dây chuyền từ ốp sang lát.</t>
  </si>
  <si>
    <t xml:space="preserve">- Hoạt động từ ngày 01/01/2024 chạy gạch ốp 30x60 cm. Đến ngày 08/03/2024 chuyển đổi gạch lát nền 50x50. Đến 29/04/2024 chuyển đổi 40x60. Ngày 07/07/2024 chuyển sang 60x60 và đến 02/10/2024 chuyển sang ốp 40x80. Sau đó lại chuyển sang 50x50 lát nền men matt sugảr sân vươn </t>
  </si>
  <si>
    <t>- Trong năm chuyển đổi sản xuất các dòng sản phẩm, các nhóm kích thước khác nhau</t>
  </si>
  <si>
    <t>- Nhân sự được đào tạo chuyên môn, vận hành về SX gạch lát nền và điều chuyển qua lại giữa 2 DC</t>
  </si>
  <si>
    <t>3. Bộ phận Tạo bột - tạo men:</t>
  </si>
  <si>
    <t>- Trong năm DC1 chạy 15 bài xương gạch ốp, 4 bài men Engobe, 12 bài men nền. DC2 chạy 3 bài xương gạch lát, 8 bài Engobe và 16 bài men nền</t>
  </si>
  <si>
    <t>- Đáp ứng đủ lượng hồ bột - hồ men cung cấp cho 2 DC ốp - lát đúng kế hoạch sản xuất</t>
  </si>
  <si>
    <t>- Chủ động trong việc sắp xếp kho bãi chứa nguyên liệu ốp - lát tránh gây nhầm lẫn, ảnh hưởng KHSX</t>
  </si>
  <si>
    <t>- Chủ động trong việc luân chuyển các cối nghiền xương (xây lại lớp lót cối 1-2-3), silo chứa, hầm chứa…..tránh gây nhầm lẫn giữa các loại bột - men ốp -lát</t>
  </si>
  <si>
    <t>- Chủ động điều chỉnh tỷ lệ pha trộn bả điều khi biến động về chất lượng, kịp thời đảm bảo KHSX</t>
  </si>
  <si>
    <t>- Lên kế hoạch bảo dưỡng tết MMTB, cối nghiền 4-5-6, hầm chứa, silo chứa, lò than xích…. Nhằm đáp ứng KHSX năm 2025</t>
  </si>
  <si>
    <t>4. Bộ phận Than Hoa Khí:</t>
  </si>
  <si>
    <t>- Duy trì hoạt động 3 lò đáp ứng cung cấp chất lượng khí cho PXSX</t>
  </si>
  <si>
    <t>- Kết hợp P.KHTH và P.KT-CN trong việc sắp xếp, luân chuyển các kho chứa, tránh gây nhầm lẫn các loại than</t>
  </si>
  <si>
    <t xml:space="preserve">- Kết hợp P.KT-CN quản lý, giám sát chất lượng nhiên liệu đầu vào, chất lượng khí than cung cấp cho PXSX đạt yêu cầu </t>
  </si>
  <si>
    <t>- Xây dựng kế hoạch, phương án pha trộn các loại than cho 3 lò nhằm mang lại hiệu quả tốt nhất</t>
  </si>
  <si>
    <t xml:space="preserve">- Lên kế hoạch bảo dưỡng và cải tạo lò 3.6 và 4.0 nhằm mang lại hiệu quả cao hơn. </t>
  </si>
  <si>
    <t>5. Bộ phận KT-CN:</t>
  </si>
  <si>
    <t>- Quản lý, giám sát, kiểm tra chất lượng nguyên nhiên vật liệu đầu vào theo đúng Tiêu chuẩn đã ban hành</t>
  </si>
  <si>
    <t>- Tăng cường giám sát, kiểm soát công nghệ sản xuất dây chuyền ốp - lát</t>
  </si>
  <si>
    <t xml:space="preserve">- Lên kế hoạch chuyển đổi công nghệ từ ốp - lát và ngược lại khi có yêu cầu từ Ban TGĐ </t>
  </si>
  <si>
    <t>- Xây dựng kế hoạch sử dụng dự trù NNVL sản xuất trong năm 2024 và 2025</t>
  </si>
  <si>
    <t>- Chủ động điều chỉnh và thử nghiệm các nguyên liệu mới, thay thế các nguồn NL khi đã hết, khi biến động về chất lượng và nâng cao chất lượng sản phẩm theo yêu cầu từ Ban TGĐ</t>
  </si>
  <si>
    <t>- Trong năm 2024 thử nghiệm chạy BCN và đưa vào sử dụng: DC1 chạy 15 bài xương gạch ốp, 4 bài men Engobe, 12 bài men nền. DC2 chạy 3 bài xương gạch lát, 8 bài Engobe và 16 bài men nền, chủ động trong việc các NL biến động về chất lượng đầu vào và khi nguồn đã hết.</t>
  </si>
  <si>
    <t>- Kết hợp P Kinh doanh giải quyết các khiếu nại liên quan đến chất lượng sản phẩm.</t>
  </si>
  <si>
    <t>Đồng Nai, ngày 10 tháng 01 năm 2025</t>
  </si>
  <si>
    <t>THÁNG</t>
  </si>
  <si>
    <t>Tiêu hao    (cục + cám + lĩnh bù)</t>
  </si>
  <si>
    <t>Tổng năm 2 DC</t>
  </si>
  <si>
    <t xml:space="preserve">BÁO CÁO KẾT QUẢ SẢN XUẤT 2 DÂY CHUYỀN NĂM 2025
</t>
  </si>
  <si>
    <t>BÁO CÁO TIÊU HAO THAN 2 DC NĂM 2025</t>
  </si>
  <si>
    <t>MEN</t>
  </si>
  <si>
    <t>PN</t>
  </si>
  <si>
    <t>PSG</t>
  </si>
  <si>
    <t>M</t>
  </si>
  <si>
    <t>PN:</t>
  </si>
  <si>
    <t>PSG:</t>
  </si>
  <si>
    <t>M:</t>
  </si>
  <si>
    <t>II. Sản lượng theo các thương hiệu tháng 01/ 2025</t>
  </si>
  <si>
    <t>1. Kết quả thực hiện sản phẩm 30x60 các thương hiệu của dây chuyền số 1 :</t>
  </si>
  <si>
    <t xml:space="preserve">Grandcera </t>
  </si>
  <si>
    <t>Tỷ lệ (%)</t>
  </si>
  <si>
    <t>TỔNG DC1 THÁNG 01</t>
  </si>
  <si>
    <t>SGSV</t>
  </si>
  <si>
    <t>SG</t>
  </si>
  <si>
    <t>TỔNG B:</t>
  </si>
  <si>
    <t>TỔNG SG:</t>
  </si>
  <si>
    <t>Sản lượng men Panson 40x80</t>
  </si>
  <si>
    <t>Sản lượng men Bóng 60x60</t>
  </si>
  <si>
    <t>Xanh Tím</t>
  </si>
  <si>
    <t>Gạch Lát</t>
  </si>
  <si>
    <t>Gạch Ốp</t>
  </si>
  <si>
    <t>40x80 cm</t>
  </si>
  <si>
    <t>TỔNG DC2 THÁNG 01</t>
  </si>
  <si>
    <t>50x50 cm</t>
  </si>
  <si>
    <t>60x60 cm</t>
  </si>
  <si>
    <t>Bóng</t>
  </si>
  <si>
    <t>Sugar</t>
  </si>
  <si>
    <t>TB/ Ngày</t>
  </si>
  <si>
    <t>30X60 (TH)</t>
  </si>
  <si>
    <t>40X60 (TH)</t>
  </si>
  <si>
    <t>60X60 (TH)</t>
  </si>
  <si>
    <t>40X80 (TH)</t>
  </si>
  <si>
    <t>Tổng              A1-A-B</t>
  </si>
  <si>
    <t>T/g dừng           2 ME</t>
  </si>
  <si>
    <t>KẾ HOẠCH
 40*80</t>
  </si>
  <si>
    <t>THỰC HIỆN
 40*80</t>
  </si>
  <si>
    <t>KẾ HOẠCH 50*50 BÓNG</t>
  </si>
  <si>
    <t>THỰC HIỆN 50*50 BÓNG</t>
  </si>
  <si>
    <t>KẾ HOẠCH 50*50 SUGAR</t>
  </si>
  <si>
    <t>THỰC HIỆN 50*50 SUGAR</t>
  </si>
  <si>
    <t>KẾ HOẠCH 60*60 BÓNG</t>
  </si>
  <si>
    <t>THỰC HIỆN 60*60 BÓNG</t>
  </si>
  <si>
    <t>KẾ HOẠCH 60*60 MATT</t>
  </si>
  <si>
    <t>THỰC HIỆN 60*60 MATT</t>
  </si>
  <si>
    <t>KẾ HOẠCH 30x60</t>
  </si>
  <si>
    <t>THỰC HIỆN
30x60</t>
  </si>
  <si>
    <t>50X50 (TH)</t>
  </si>
  <si>
    <t>DC2: 40X80</t>
  </si>
  <si>
    <t>DC1: 30X60</t>
  </si>
  <si>
    <t>DC2: 50X50</t>
  </si>
  <si>
    <t>2. Tiêu hao vật tư  50x50 SX DC2:</t>
  </si>
  <si>
    <t xml:space="preserve"> - Giảm ĐM</t>
  </si>
  <si>
    <t>+ Vượt ĐM</t>
  </si>
  <si>
    <t xml:space="preserve">Kích thước gạch 50x50.                           </t>
  </si>
  <si>
    <t>SL (M2)</t>
  </si>
  <si>
    <t>Tổng (m2):</t>
  </si>
  <si>
    <t>Huỷ/ ép</t>
  </si>
  <si>
    <t>SL ép</t>
  </si>
  <si>
    <t>SL +C:</t>
  </si>
  <si>
    <t xml:space="preserve">Kích thước gạch 60x60.                          </t>
  </si>
  <si>
    <t>Men GCL (B)</t>
  </si>
  <si>
    <t xml:space="preserve">Kích thước gạch 40x80.                           </t>
  </si>
  <si>
    <t>Tổng men Panson:</t>
  </si>
  <si>
    <t>Tổng men Phương Nam</t>
  </si>
  <si>
    <t>Tổng SL DC1:</t>
  </si>
  <si>
    <t>Tổng men Mattt</t>
  </si>
  <si>
    <t>Tổng men Panson 40X80</t>
  </si>
  <si>
    <t>Sản lượng men Panson 40X80</t>
  </si>
  <si>
    <t>Sản lượng men Matt 60x60</t>
  </si>
  <si>
    <t>Tổng men Matt           60X60</t>
  </si>
  <si>
    <t>Tổng men Bóng          60X60</t>
  </si>
  <si>
    <t>Sản lượng men Sân vườn Sugar 50X50</t>
  </si>
  <si>
    <t>Tổng men Sân vườn Sugar 50X50</t>
  </si>
  <si>
    <t>Gạch lát</t>
  </si>
  <si>
    <t>Sân vườn Sugar</t>
  </si>
  <si>
    <t>Gạch ốp 30x60 sản xuất ở DC1</t>
  </si>
  <si>
    <t>50x50 men Bóng</t>
  </si>
  <si>
    <t xml:space="preserve">40x80 men Panson </t>
  </si>
  <si>
    <t>60x60 men Bóng</t>
  </si>
  <si>
    <t>60x60 men Mat</t>
  </si>
  <si>
    <t>50x50 men Sân vườn Sugar</t>
  </si>
  <si>
    <t>III. Tiêu hao vật tư năm 2025</t>
  </si>
  <si>
    <t>TB 56.12 m2/ Palet</t>
  </si>
  <si>
    <t>TB 58.81 m2/ Palet</t>
  </si>
  <si>
    <t>IV. Sử dụng than trong tháng 01/2025:</t>
  </si>
  <si>
    <t xml:space="preserve">NL Xương PN </t>
  </si>
  <si>
    <t>DC2: 60X60</t>
  </si>
  <si>
    <t>SL + C (M2)</t>
  </si>
  <si>
    <t xml:space="preserve">Kích thước gạch 60x60.                           </t>
  </si>
  <si>
    <t>T/g dừng                2 ME</t>
  </si>
  <si>
    <t>30X60 (KH)</t>
  </si>
  <si>
    <t>40X60 (KH)</t>
  </si>
  <si>
    <t>60X60 (KH)</t>
  </si>
  <si>
    <t>50X50 (KH)</t>
  </si>
  <si>
    <t>40X80 (KH)</t>
  </si>
  <si>
    <t>7.0</t>
  </si>
  <si>
    <t>II. Sản lượng theo các thương hiệu sản xuất tháng 02/ 2025 DC1</t>
  </si>
  <si>
    <t>III. Tiêu hao vật tư 30x60 SX DC1 :</t>
  </si>
  <si>
    <t>IV. Sử dụng than trong tháng 02/2025:</t>
  </si>
  <si>
    <t>14.44</t>
  </si>
  <si>
    <t>2.57</t>
  </si>
  <si>
    <t>Bắt đầu đốt từ ngày 19-20-27-28/02/2025</t>
  </si>
  <si>
    <t>ĐỐT LÒ KHÔNG TÍNH TIÊU HAO</t>
  </si>
  <si>
    <t>10.72</t>
  </si>
  <si>
    <t>3.69</t>
  </si>
  <si>
    <t>6.51</t>
  </si>
  <si>
    <t>Cộng + Đốt lò</t>
  </si>
  <si>
    <t>bắt đầu đốt từ 20-28/02/2025</t>
  </si>
  <si>
    <t xml:space="preserve"> 30x60</t>
  </si>
  <si>
    <t>Ngừng bảo dưỡng theo kế hoạch</t>
  </si>
  <si>
    <t xml:space="preserve">2. Dây chuyền số 2: </t>
  </si>
  <si>
    <t>- Trong tháng có 92 người cũ, tuyển mới cho DC1 19 người, nghỉ việc 06 người, chuyển hỗ trợ DC2 1 người. Tổng 106/120 người theo định biên nhân lực tối thiểu đủ các vị trí không sắp xếp nghỉ bù để bảo đảm sản xuất theo phương án bố trí nhân sựu tối thiếu đã trinh BLĐ.</t>
  </si>
  <si>
    <t xml:space="preserve">  + Ngày 22/02 (Sản lượng 9.285m2, chất lượng 50,26%, thu hồi 79,64%), do mới khởi động sản xuất sản phẩm mới chạy lại B+C+Huỷ nhiều do </t>
  </si>
  <si>
    <t xml:space="preserve">  + Ngày 23/02 (Sản lượng 14.869 m2): Do ca ngày 2 ME tổng dừng 46 phút vệ sinh mặt tổng khuôn V2, gãy thanh gạt bột. Ca đêm ME1 lỗi kẹt khuôn dừng 18 phút. ME2 lỗi cấp liệu ép dừng 5 phút. Công suất 2 ME. 15.0 Lần/ phút. </t>
  </si>
  <si>
    <t>* Các công việc cần thực hiện để đạt được mục tiêu trong tháng 03/2025 của 2 DC:</t>
  </si>
  <si>
    <t xml:space="preserve"> - Duy trì sản xuất ổn định sản xuất, tăng cường đào tạo nâng cao tay nghề công nhân lao động tuyển dụng mới, giảm thời gian dừng 2 máy ép, tăng thu hồi của sản phẩm.</t>
  </si>
  <si>
    <t xml:space="preserve"> - PXSX thực hiện phương án bố trí lao động theo vị trí, khu vực đảm bảo sản xuất ổn định với công suất 15.6 lần / phút. Tăng cường kiểm soát nội quy Lao Động và an toàn VSCN.</t>
  </si>
  <si>
    <t>Đồng Nai, ngày 28 tháng 02 năm 2025</t>
  </si>
  <si>
    <t xml:space="preserve">- Kết hợp các bộ phận chuẩn bị KH chạy lại DC2 SX gạch ốp 40x80 . </t>
  </si>
  <si>
    <t>- Chủ động điều chỉnh các loại nguyên liệu trong bài xương xử lý nguồn đất sét VC tồn kho.</t>
  </si>
  <si>
    <t>- Tiếp tục thực hiện kế hoạch trong tháng 03/2025, tăng cường kiểm soát công nghệ sản xuất2 DC.</t>
  </si>
  <si>
    <t>- DC1 bảo dưỡng theo kế hoạch</t>
  </si>
  <si>
    <t xml:space="preserve">- DC2 sản xuất gạch 40x80 </t>
  </si>
  <si>
    <t>- DC2 SX 2 dòng sản phẩm: 50x50 men Matt sugar sân vườn và 50x50 men bóng</t>
  </si>
  <si>
    <t>SL 50x50 B (M2):</t>
  </si>
  <si>
    <t>SL 50x50 SG (M2):</t>
  </si>
  <si>
    <t>TB 90.73 m2/ Palet</t>
  </si>
  <si>
    <t>Hải thành 2-3/1/25</t>
  </si>
  <si>
    <t>Hải thành 21-31/12/24</t>
  </si>
  <si>
    <t>7.00</t>
  </si>
  <si>
    <t>4.51</t>
  </si>
  <si>
    <t>- Thực hiện đúng kế hoạch của bộ phận, cung cấp đủ lượng hồ xương , hồ men phục vụ SX cho DC2</t>
  </si>
  <si>
    <t xml:space="preserve">- Tiếp tục thực hiện kế hoạch trong tháng 02/2025, tăng cường kiểm soát công nghệ sản xuất </t>
  </si>
  <si>
    <t>VI. Đánh giá KQ SX tháng 01 năm 2025: DC 1 ngừng bảo dưỡng theo KH</t>
  </si>
  <si>
    <t>III. Tiêu hao vật tư 50x50 SX DC2:</t>
  </si>
  <si>
    <t>Kết quả thực hiện sản phẩm các thương hiệu của dây chuyền số 2 :</t>
  </si>
  <si>
    <t>Dây chuyền số 2 (kích thước 50x50):</t>
  </si>
  <si>
    <t>2. Bộ phận tạo bột tạo men:</t>
  </si>
  <si>
    <t>3. Phòng Kỹ thuật công nghệ:</t>
  </si>
  <si>
    <t>2. Tiêu hao vật tư  40x80 SX DC2:</t>
  </si>
  <si>
    <t>* Các công việc cần thực hiện để đạt được mục tiêu trong tháng 04/2025 của 2 DC:</t>
  </si>
  <si>
    <t>Đồng Nai, ngày 08 tháng 04 năm 2025</t>
  </si>
  <si>
    <t>II. Sản lượng theo các thương hiệu tháng 03/ 2025</t>
  </si>
  <si>
    <t>Sản lượng men Bóng 50X50</t>
  </si>
  <si>
    <t>Tổng men Bóng 50X50</t>
  </si>
  <si>
    <t>Đồng Nai, ngày ... tháng 12 năm 2025</t>
  </si>
  <si>
    <t>Tổng C:</t>
  </si>
  <si>
    <t xml:space="preserve">Ke góc </t>
  </si>
  <si>
    <t>Tính cả gạch loại C</t>
  </si>
  <si>
    <t>Cục</t>
  </si>
  <si>
    <t>Cám</t>
  </si>
  <si>
    <t>Bù</t>
  </si>
  <si>
    <t>A1-A-B</t>
  </si>
  <si>
    <t>400X600</t>
  </si>
  <si>
    <t>Tổng C</t>
  </si>
  <si>
    <t>1. Khiếu nại năm 2025 dây chuyền số 1:</t>
  </si>
  <si>
    <t>Tổng sản lượng sản xuất năm 2025 DC1</t>
  </si>
  <si>
    <t>2. Khiếu nại năm 2025 dây chuyền số 2:</t>
  </si>
  <si>
    <t>Tổng sản lượng sản xuất năm 2025 DC2 (m2)</t>
  </si>
  <si>
    <t xml:space="preserve">- Trong tháng ép sx 2 dòng sản phẩm gạch 50x50: Men Sân vườn sugar và men Bóng. </t>
  </si>
  <si>
    <t>1. Dây chuyền số 2: Hoạt động tương đối ổn định.</t>
  </si>
  <si>
    <t>- Bố trí sắp xếp nhân sự hợp lý cho quá trình bảo dưỡng, duy trì sản xuất và nhân sự dư sẽ hỗ trợ các phòng ban khác khi cần thiết</t>
  </si>
  <si>
    <t>- Chủ động điều chỉnh các loại nguyên liệu trong bài xương thay thế nguồn đất sét Vĩnh cửu sắp hết.</t>
  </si>
  <si>
    <t>Vị trí</t>
  </si>
  <si>
    <t>Chuyển</t>
  </si>
  <si>
    <t>Văn Phòng</t>
  </si>
  <si>
    <t>Đốc công</t>
  </si>
  <si>
    <t>Ép - TM</t>
  </si>
  <si>
    <t>Lò nung</t>
  </si>
  <si>
    <t>PLĐG</t>
  </si>
  <si>
    <t>Xe nâng</t>
  </si>
  <si>
    <t>VSCN</t>
  </si>
  <si>
    <t>Tổng cộng:</t>
  </si>
  <si>
    <t>Hiện tại cuối tháng 01</t>
  </si>
  <si>
    <t>Tổng số cuối tháng 01</t>
  </si>
  <si>
    <t>V. Nhân sự tháng 02 năm 2025:</t>
  </si>
  <si>
    <t>VI. Kế hoạch thực hiện tháng 03/2025</t>
  </si>
  <si>
    <t>VII. Mục tiêu thực hiện tháng 01/2025</t>
  </si>
  <si>
    <t>VIII. Đánh giá KQ SX tháng 02 năm 2025:</t>
  </si>
  <si>
    <t xml:space="preserve">- DC1 bắt đầu sản xuất sản xuất lại từ ngày 22/02/2025 (đóng hộp lúc 14h ngày 22/02/2025), thời gian canh chỉnh MMTB, Dây chuyền... sản phẩm mới chạy lại nên máy ép phải hoạt động theo thực tế quá trình canh chỉnh.   </t>
  </si>
  <si>
    <t>Tính cả sấy lò nên vượt định mức</t>
  </si>
  <si>
    <t>- Chất lượng sản phẩm đạt các thông số kỹ thuật theo TCVN và Tiêu chuẩn đã ban hành. (kèm theo đánh giá CLSP của Phòng KT-CN).</t>
  </si>
  <si>
    <t xml:space="preserve"> - PXCĐ thường xuyên bảo dưỡng, kiểm tra MMTB giảm thời gian dừng máy ép, lỗi sự cố thiết bị các công đoạn sản xuất. Lên Kế hoạch nhân sự tối thiểu phục vụ và đáp ứng SX hoạt động ổn định.</t>
  </si>
  <si>
    <t>- Lên kế hoạch chuyển đổi công nghệ chuẩn bị chạy lại DC2 SX gạch ốp 40x80 vào ngày 05/03/2025</t>
  </si>
  <si>
    <r>
      <t xml:space="preserve">V. Nhân sự tháng 01 năm 2025: </t>
    </r>
    <r>
      <rPr>
        <sz val="12"/>
        <color theme="1"/>
        <rFont val="Times New Roman"/>
        <family val="1"/>
      </rPr>
      <t>P.TC-HC tuyển đủ số nhân sự theo định biên để ổn định sản xuất theo tờ trình đã được phê duyệt</t>
    </r>
  </si>
  <si>
    <t>Men ECL (SGSV)</t>
  </si>
  <si>
    <t>Men Sugar N</t>
  </si>
  <si>
    <t>3. Tổng sử dụng của 2 DC từ 01-30/03/2025</t>
  </si>
  <si>
    <t xml:space="preserve"> 40x80</t>
  </si>
  <si>
    <t>- DC1 sản xuất gạch 30x60 (30 ngày)</t>
  </si>
  <si>
    <t>Trân trọng!</t>
  </si>
  <si>
    <t xml:space="preserve"> 50x50          Sân vườn</t>
  </si>
  <si>
    <t>TỔNG DC1 THÁNG 03</t>
  </si>
  <si>
    <t>2. Kết quả thực hiện sản phẩm các thương hiệu của dây chuyền số 2 :</t>
  </si>
  <si>
    <t>TỔNG DC2 THÁNG 03</t>
  </si>
  <si>
    <t>III. Tiêu hao vật tư tháng 04 năm 2025:</t>
  </si>
  <si>
    <t>IV. Sử dụng than trong tháng 03/2025:</t>
  </si>
  <si>
    <t>V. Nhân sự tháng 03 năm 2025:</t>
  </si>
  <si>
    <t>VI. Kế hoạch thực hiện tháng 04/2025</t>
  </si>
  <si>
    <t>VII. Mục tiêu thực hiện tháng 04/2025</t>
  </si>
  <si>
    <t>VIII. Đánh giá KQ SX tháng 03 năm 2025:</t>
  </si>
  <si>
    <t>Sản lượng theo cơ cấu chủng loại sản phẩm DC2:</t>
  </si>
  <si>
    <t>Sản lượng theo cơ cấu chủng loại sản phẩm DC1:</t>
  </si>
  <si>
    <t>I. Sản lượng - Chất lượng - Thu hồi Tổng A1+A+B/ép:</t>
  </si>
  <si>
    <t>Đốt từ ngày 1-16/3/2025</t>
  </si>
  <si>
    <t>Đốt từ ngày 01-17/3/2025</t>
  </si>
  <si>
    <t>Đốt từ ngày 17-26/3/2025</t>
  </si>
  <si>
    <t>Đốt từ ngày 26/3/2025</t>
  </si>
  <si>
    <t>Hưng Tam Long ngày 4/1/2025</t>
  </si>
  <si>
    <t>Hưng Tam Long  18-22/12/2024</t>
  </si>
  <si>
    <t>Hưng Tam Long  17-20/3/2025</t>
  </si>
  <si>
    <t xml:space="preserve">Ghi chú : </t>
  </si>
  <si>
    <t>- Tổng khối lượng than sử dụng cho 2 dây chuyền từ ngày 1/3/2025 đến 31/3/2025 là 2.801.541 kg. Tổng khối lượng than sử dụng cho DC1 là 1.499.949 kg, tổng khối lượng than sử dụng cho DC2 là 1.301.592 kg (trong đó than sử dụng cho DC2 là 1.237.119 kg, than ủ lò DC2 là 64.473kg).</t>
  </si>
  <si>
    <t>+ Từ ngày 01-17/3/2025 đốt than Hải Thành ( nhập ngày 2-3/1/2025, tổng nhập: 1.427.320 kg, xuất trả vidona 219.650kg, nhập kho thực tế: 1.207.670kg, lĩnh bù 13.051kg tiêu hao 0.91% ).</t>
  </si>
  <si>
    <t>+ Từ ngày 01-17/3/2025 đốt than Hưng Tam Long ( nhập ngày 4/1/2025, tổng nhập: 998.700 kg, Vidona mượn 39.450 kg, Vidona xuất trả 40.300 kg, nhập kho thực tế: 999.550 kg, lĩnh bù 14.658kg tiêu hao 1.47% ).</t>
  </si>
  <si>
    <t>+ Từ ngày 17-26/3/2025 đốt than Hưng Tam Long ( nhập ngày 18-22/12/2025, tổng nhập: 1.097.370kg ,sản lượng xuất tháng 12: 106.940kg(đã chốt lô, lĩnh bù), sản lượng còn lại 990.430kg, lĩnh bù 3.126kg tiêu hao 0.28% ).</t>
  </si>
  <si>
    <t>+ Xuất cám lần 1 ngày 06/3/2025 : 33.478 kg ( đã quy ẩm)  ( 25.108 kg HT 2-3/1/2025 + 8.370 kg HTL 4/1/2025 )</t>
  </si>
  <si>
    <t>+ Xuất cám lần 2 ngày 11/3/2025 : 39.142 kg ( đã quy ẩm)  (27.399 kg HT 2-3/1/2025 + 11.743 kg HTL 4/1/2025)</t>
  </si>
  <si>
    <t>+ Xuất cám lần 3 ngày 18/3/2025 : 55.054  kg ( đã quy ẩm)  ( 23.804 kg HT 2-3/1/2025 + 31.250 kg HTL 4/1/2025)</t>
  </si>
  <si>
    <t>+ Xuất cám lần 4 ngày 27/3/2025 : 24.997  kg ( đã quy ẩm)  ( 24.997 kg HTL 18-22/12/2024)</t>
  </si>
  <si>
    <t>+ Xuất cám lần 5 ngày 28/3/2025 : 63.602 kg ( đã quy ẩm)  ( 63.602 kg HTL 18-22/12/2024)</t>
  </si>
  <si>
    <t>+ Xuất cám lần 6 ngày 1/4/2025 : 43.056 kg ( đã quy ẩm)  ( 43.056 kg HTL 17-20/03/2025)</t>
  </si>
  <si>
    <t xml:space="preserve">- Tổng sản lượng thu hồi của 2 dây chuyền từ ngày 01-31/3/2025 là 857.072 m2, trong đó sản lượng của DC1 là 489.177 m2, sản lượng  DC2 là 367.895 m2. </t>
  </si>
  <si>
    <t xml:space="preserve">Tỷ lệ cám       (%) </t>
  </si>
  <si>
    <t>Tỷ lệ xít đá (%)</t>
  </si>
  <si>
    <t>Kg/m2</t>
  </si>
  <si>
    <t>M2</t>
  </si>
  <si>
    <t>Tiêu hao (cục+cám+lĩnh bù) (Kg)</t>
  </si>
  <si>
    <t>% Cám</t>
  </si>
  <si>
    <t xml:space="preserve"> Tiêu hao </t>
  </si>
  <si>
    <t xml:space="preserve"> Kg/m2 </t>
  </si>
  <si>
    <t>Xuất cám (Kg)</t>
  </si>
  <si>
    <t>300X600 (SX lại từ 22/02/25)</t>
  </si>
  <si>
    <t>- DC1 SX lại từ ngày 22/02/2025</t>
  </si>
  <si>
    <t>- DC2 SX lại từ ngày 05/03/25. Chạy 40x80 từ 05/03/25</t>
  </si>
  <si>
    <t>Hưng Tam Long  ngày 4/1/2025</t>
  </si>
  <si>
    <t>Hải Thành      ngày 2-3/1/2025</t>
  </si>
  <si>
    <t>Top One</t>
  </si>
  <si>
    <t xml:space="preserve"> - Trong tháng chạy 2 loại men là men Phương Nam - Men Panson trên cùng điều kiện chu kì nung xương, nung men đạt tiêu chuẩn chất lượng sản phẩm</t>
  </si>
  <si>
    <t xml:space="preserve"> - PXSX thực hiện phương án bố trí lao động theo vị trí, theo bảng phân ca tháng 04/2025. Tăng cường kiểm soát nội quy Lao Động và an toàn VSCN.</t>
  </si>
  <si>
    <t>- Lên Phương án và kế hoạch chuyển đổi công nghệ DC2 từ gạch ốp 40x80 sang gạch lát sân vườn 50x50 từ ngày 17/04/2025</t>
  </si>
  <si>
    <t>- Tiếp tục thực hiện kế hoạch trong tháng 04/2025, tăng cường kiểm soát công nghệ sản xuất 2 DC ốp - lát</t>
  </si>
  <si>
    <t>- Kết hợp các bộ phận chuẩn bị KH chuyển đổi DC2 từ ốp 40x80 sang gạch lát sân vườn 50x50 từ ngày 05-17/04/2025 . Vệ sinh cối nghiền, hầm hồ, các bể chứa hồ xương, hồ men và các silo chứa bột ốp</t>
  </si>
  <si>
    <t xml:space="preserve">Nguyên liệu xương </t>
  </si>
  <si>
    <t>Tổng MT    2 DC</t>
  </si>
  <si>
    <t>Tổng KH    2 DC</t>
  </si>
  <si>
    <t xml:space="preserve">- Lỗi bụi đen, bụi đỏ vẫn còn nhưng đã giảm rất nhiều so với lúc chạy lại năm trước, tiếp tục cho tăng cường xả nước, vệ sinh béc, lưới lọc. Mấy ngày đầu xuất hiện lỗi nứt xương sau lò xương và nung men, P.KT-CN đã thay đổi bài xương và sản phẩm ra hết nứt, duy trì BPL Xương </t>
  </si>
  <si>
    <t xml:space="preserve">- Thực hiện đúng kế hoạch của bộ phận, cung cấp đủ lượng hồ xương , hồ men phục vụ SX cho 2 DC ốp </t>
  </si>
  <si>
    <t>-  Chạy 1 BCN bài xương ốp và đưa vào sản xuất đại trà khi sự cố nứt xương sau nung xương và nung men ở DC2</t>
  </si>
  <si>
    <t xml:space="preserve">BÁO CÁO TỔNG HỢP KẾT QUẢ SẢN XUẤT THÁNG 03 NĂM 2025 CỦA 2 DÂY CHUYỀN   </t>
  </si>
  <si>
    <t>Đốt từ ngày 01-16/3/2025</t>
  </si>
  <si>
    <t>- Tổng xuất than cám đến ngày 31/3/2025 là  259.329 kg, trong đó chia theo tỷ lệ các loại than  như sau :</t>
  </si>
  <si>
    <t>Đã tính bổ sung ngoài đơn ( tổng 8 tấn/ máy 1-2-3)</t>
  </si>
  <si>
    <t>Đã tính bổ sung ngoài đơn ( tổng 32 tấn/ máy 4-5-6)</t>
  </si>
  <si>
    <t>Sử dụng 84.3 m2/ pallet</t>
  </si>
  <si>
    <t xml:space="preserve">TB: 59,61 m2/ pallet </t>
  </si>
  <si>
    <t xml:space="preserve"> - Sản lượng, chất lượng, đạt theo kế hoạch                                    </t>
  </si>
  <si>
    <t>Tổng số cuối tháng 02</t>
  </si>
  <si>
    <t>- DC1 duy trì SX gạch ốp 30x60 (31 ngày )</t>
  </si>
  <si>
    <t>- DC2 SX 26,6 ngày 40x80. Bắt đầu chạy lại từ 09g40 ngày 05/03/2025.</t>
  </si>
  <si>
    <t>Thiếu theo định biên</t>
  </si>
  <si>
    <t>- DC1 chuyển 03 người sang DC2 theo đề nghị. Tổng số nhân sự thiếu 12 người theo định biên tối thiểu</t>
  </si>
  <si>
    <t>- DC2 chuyển 02 vị trí PLĐG. Tổng số nhân sự thiếu 05 người theo định biên tối thiểu</t>
  </si>
  <si>
    <t>- DC2 sản xuất gạch 40x80 (17 ngày) và 50x50 sân vườn (12 ngày), 01 ngày chuyển đổi (ngày 17/04/2025)</t>
  </si>
  <si>
    <t xml:space="preserve"> - Nhân sự: trong tháng tuyển mới 03 người, nghỉ việc 03 người. Tổng số hiện tại 104 nhân sự. Đề nghị P.TCHC vẫn tiếp tục tuyển nhân sự bổ sung 12 nhân sự theo định biên 116 người đảm bảo nhân sự phục vụ sản xuất.</t>
  </si>
  <si>
    <t>- Trong tháng sx 26,6 ngày gạch ốp 40x80. 11g00 ngày 03/03/25 bắt đầu châm lửa sấy lò, nâng nhiệt. 09g40 ngày 05/03/2025 bắt đầu ép với chu kỳ 9.0 nhịp/ phút. 12g00 bắt đầu tráng men. 17g00 sản phẩm đạt chất lượng A1. 09g00 ngày 11-12/03/25 tăng chu kỳ ép lên 10.0 - 10.4 . 09g00 ngay 13/03/25 tương đôí đủ nhân sự tối thiểu băts đâfu nâng công suất lên 10.6 và duy trì đến hết tháng</t>
  </si>
  <si>
    <t>- Nhân sự: Tổng nhân sự cũ của DC2 khi chạy lại chỉ 88 người, để chạy ốp 400x800 cần tối thiểu 107 người, các bộ phận đã rất cố gắng vừa duy trì sản xuất, vừa tuyển dụng nhân sự, vừa đào tạo đến ngày 11/03/25 tương đối đủ nhân sự tối thiểu bắt đầu tăng công suất. Nhân sự biến động liên tục trong 3 tuần đầu (từ 05-25/03). Để đảm bảo KHSX đề nghị P.TCHC tiếp tục tuyển dụng bổ sung 05 nhân sự đủ định biên để PXSX đạt mục tiêu trong tháng 04/2025</t>
  </si>
  <si>
    <t>5. Bộ phận Than Hoá khí:</t>
  </si>
  <si>
    <t xml:space="preserve">- Cung cấp khí cho 2 DC đạt chất lượng, hoạt động ổn định. </t>
  </si>
  <si>
    <t xml:space="preserve">- Lò 3.6 mới cải tạo, vận hành lại hoàn toàn theo phương pháp, hoạt động ổn định duy trì cung cấp khí cho 2 DC </t>
  </si>
  <si>
    <t>- Trong tháng sử dụng nhiều loại than có kích cỡ khác nhau của Hải Thành cục nhỏ, H.T.L cục to + cục nhỏ… phải điều chỉnh chế độ lò hợp lý, vận hành lò 3.6 theo phương pháp hoàn toàn mới, duy trì cung cấp đủ khí cho 2 DC</t>
  </si>
  <si>
    <t>- Kèm theo đánh giá so sánh tiêu hao than tháng 11 năm 2024 và 16 ngày cuối tháng 03 năm 2025 (hoạt động ổn định, full công suất).</t>
  </si>
  <si>
    <t xml:space="preserve"> - Duy trì sản xuất ổn định , tăng cường đào tạo nâng cao tay nghề công nhân lao động tuyển dụng mới, giảm thời gian dừng 2 máy ép, tăng thu hồi của sản phẩm.</t>
  </si>
  <si>
    <t>- P.TC-HC tiếp tục tuyển dụng nhân sự cho PXSX theo đề nghị để đủ nhân sự theo định biên đã ký.</t>
  </si>
  <si>
    <t>DC1 SX lại từ ngày 22/02/2025</t>
  </si>
  <si>
    <t>NHẬP SỐ LIỆU THEO THÁNG</t>
  </si>
  <si>
    <t xml:space="preserve">BÁO CÁO TỔNG HỢP KẾT QUẢ SẢN XUẤT THÁNG 04 NĂM 2025 CỦA 2 DÂY CHUYỀN   </t>
  </si>
  <si>
    <t>II. Sản lượng theo các thương hiệu tháng 04/ 2025</t>
  </si>
  <si>
    <t>TỔNG DC1 THÁNG 04</t>
  </si>
  <si>
    <t>Sân vườn</t>
  </si>
  <si>
    <t>TỔNG DC2 THÁNG 04</t>
  </si>
  <si>
    <t>IV. Sử dụng than trong tháng 04/2025:</t>
  </si>
  <si>
    <t>3. Tiêu hao vật tư  50x50 SX DC2:</t>
  </si>
  <si>
    <t>3. Dây chuyền số 2 (kích thước 50x50):</t>
  </si>
  <si>
    <t>V. Nhân sự tháng 04 năm 2025:</t>
  </si>
  <si>
    <t>VI. Kế hoạch thực hiện tháng 05/2025</t>
  </si>
  <si>
    <t>VII. Mục tiêu thực hiện tháng 05/2025</t>
  </si>
  <si>
    <t>VIII. Đánh giá KQ SX tháng 04 năm 2025:</t>
  </si>
  <si>
    <t>* Các công việc cần thực hiện để đạt được mục tiêu trong tháng 05/2025 của 2 DC:</t>
  </si>
  <si>
    <t>DC1 (Từ 01-14/5)</t>
  </si>
  <si>
    <t>DC1 (Từ 15-31/5)</t>
  </si>
  <si>
    <t xml:space="preserve"> 50x50     </t>
  </si>
  <si>
    <t xml:space="preserve"> 60x60</t>
  </si>
  <si>
    <t>Ghi chú:</t>
  </si>
  <si>
    <t>1. Dây chuyền 1: Tổng 31 ngày sản xuất. Chạy 2 dòng sản phẩm men Matt và men Bóng 30x60 mm</t>
  </si>
  <si>
    <t xml:space="preserve">- Từ 01-14/05/25 (14 ngày) chạy chu kỳ ép 13.5 nhịp/ phút (Sản lượng: 13.350 m2/ ngày) </t>
  </si>
  <si>
    <t xml:space="preserve">- Từ 15-31/05/25 (17 ngày) chạy chu kỳ ép 15.6 nhịp/ phút (Sản lượng: 15.410 m2/ ngày) </t>
  </si>
  <si>
    <t>- Tháng 05/2025 chạy 03 ngày men Matt ( Sản lượng: 46.000 m2). Chạy 28 ngày men Bóng (Sản lượng: 402.870 m2)</t>
  </si>
  <si>
    <t>2. Dây chuyền 2: Tổng 29 ngày SX (02 ngày chuyển đổi). Chạy 3 dòng sản phẩm 50x50mm sugar sân vườn, 60x60mm men Matt và men Bóng, 40x80mm men Panson</t>
  </si>
  <si>
    <t>- Chạy 15 ngày 50x50mm (Sản lượng men Bóng: 30.000 m2. Sản lượng men Sugar Sân vườn: 159.050 m2)</t>
  </si>
  <si>
    <t>- Chạy 12 ngày 60x60mm (Sản lượng men Matt (03 ngày): 36.123m2. Sản lượng Bóng (09 ngày): 108.357 m2). Sẽ đóng 5 viên / hộp (theo phương án TGĐ đã ký).</t>
  </si>
  <si>
    <t>- Chạy 02 ngày 40x80mm men Panson. Sẽ đóng 6 viên / hộp (theo phương án TGĐ đã ký).</t>
  </si>
  <si>
    <t>TỔNG                        KẾ HOẠCH DC 1</t>
  </si>
  <si>
    <t>TỔNG                         KẾ HOẠCH DC 2</t>
  </si>
  <si>
    <t>TỔNG                            KẾ HOẠCH 2 DC</t>
  </si>
  <si>
    <t>TỔNG                          MỤC TIÊU DC 1</t>
  </si>
  <si>
    <t xml:space="preserve">TỔNG                     MỤC TIÊU 2 DC </t>
  </si>
  <si>
    <t>TỔNG                       MỤC TIÊU DC 2</t>
  </si>
  <si>
    <t>Hưng Tam Long Kho 1 N17-20/03/2025</t>
  </si>
  <si>
    <t xml:space="preserve">Đức Anh K3+4 N22-23/03/2025 </t>
  </si>
  <si>
    <t>Hải Thành K2 N21-24/03/2025</t>
  </si>
  <si>
    <t>Đốt từ ngày28-30/4/2025</t>
  </si>
  <si>
    <t>Đốt từ ngày 01-04/4/2025</t>
  </si>
  <si>
    <t>Đốt từ ngày 05-28/4/2025</t>
  </si>
  <si>
    <t>4. Tổng dây chuyền 2 ( kích thước: 40x80 và 50x50mm):</t>
  </si>
  <si>
    <t>5. Tổng sử dụng của 2 DC từ 01-30/04/2025</t>
  </si>
  <si>
    <t xml:space="preserve">- Tổng khối lượng than sử dụng cho 2 dây chuyền từ ngày 1/4/2025 đến 30/4/2025 là 2.425.879  kg. Tổng khối lượng than sử dụng cho DC1 là 1.280.929  kg, tổng khối lượng than sử dụng cho DC2 là 1.144.950  kg </t>
  </si>
  <si>
    <t>+ Từ ngày 01-05/4/2025 đốt than Hưng Tam Long ( nhập ngày 17-20/03/2025, tổng nhập:999.350 kg, xuất vidona mượn 53.450kg, nhập kho thực tế: 945.900kg, lĩnh bù 2.302kg , tiêu hao 0.23% ).</t>
  </si>
  <si>
    <t>+ Từ ngày 5-28/4/2025 đốt than Đức Anh  ( nhập ngày 22-23/3/2025, tổng nhập: 2.037.160 kg, khổi lượng sử dụng 1.872.259,lĩnh bù 12.216kg, tiêu hao 0.6% ).</t>
  </si>
  <si>
    <t>+ Từ ngày 28/4-30/4/2025 đốt than Hải Thành  ( nhập ngày 21-24/4/2025, tổng nhập:2.391.960 kg, chưa chốt lô chưa tính tiêu hao  ).</t>
  </si>
  <si>
    <t xml:space="preserve">- Tổng sản lượng thu hồi của 2 dây chuyền từ ngày 01-30/4/2025 là 833.969,14  m2, trong đó sản lượng của DC1 là 441.077,76 m2, sản lượng  DC2 là 392.891,38m2. </t>
  </si>
  <si>
    <t>- Tổng xuất than cám đến ngày 30/4/2025 là 209.250  kg, trong đó chia theo tỷ lệ các loại than  như sau :</t>
  </si>
  <si>
    <t>+ Xuất cám lần 1 ngày 05/4/2025 : 38.278 kg ( đã quy ẩm)  ( 100% than HTL 17-20/03/2025 )</t>
  </si>
  <si>
    <t>+ Xuất cám lần 2 ngày 16/4/2025 :  64.206kg ( đã quy ẩm)  (100% than Đức Anh 22-23/3/2025)</t>
  </si>
  <si>
    <t>+ Xuất cám lần 3 ngày 25/4/2025 :64.996  kg ( đã quy ẩm)  (100% than Đức Anh 22-23/3/2025)</t>
  </si>
  <si>
    <t>+ Xuất cám lần 4 ngày 28/4/2025 :23.483  kg ( đã quy ẩm)  (100% than Đức Anh 22-23/3/2025)</t>
  </si>
  <si>
    <t>+ Xuất cám lần 5 ngày 2/5/2025 :18.287  kg ( đã quy ẩm)  (100% than Hải Thành 21-24/4/2025)</t>
  </si>
  <si>
    <t>HARIVA</t>
  </si>
  <si>
    <t>Sử dụng 80.18 m2/ pallet</t>
  </si>
  <si>
    <t>DC1 (DC2 chuyển sang)</t>
  </si>
  <si>
    <t>Tổng số cuối tháng 04</t>
  </si>
  <si>
    <t xml:space="preserve"> - Sản lượng, chất lượng, thu hồi và tiêu hao nguyên nhiên, vật liệu đều đạt theo kế hoạch                                    </t>
  </si>
  <si>
    <t xml:space="preserve"> - Nhân sự: trong tháng tuyển mới 06 người, nghỉ việc 05 người. Tổng số hiện tại 110 nhân sự. Đề nghị P.TCHC vẫn tiếp tục tuyển nhân sự bổ sung 06 nhân sự theo định biên 116 người đảm bảo nhân sự phục vụ sản xuất.</t>
  </si>
  <si>
    <t>Pana Tiles</t>
  </si>
  <si>
    <t>Sản lượng men 50x50 Sân vườn (Matt)</t>
  </si>
  <si>
    <t xml:space="preserve">TB: 58,52 m2/ pallet </t>
  </si>
  <si>
    <t xml:space="preserve">DC2 </t>
  </si>
  <si>
    <t>- DC2 tuyển mới 3 người, nghỉ việc 2 người. Tổng số nhân sự thiếu 17 người theo định biên 116 người.</t>
  </si>
  <si>
    <t>- DC1 nhận 08 người từ DC2 chuyển sang, 01 nhân sự ở lại bên Sấy phun (tạm thời hỗ trợ, khi nào tuyển đủ sẽ trả lại DC2). Tổng số nhân sự thiếu 13 người theo định biên 116 người.</t>
  </si>
  <si>
    <t xml:space="preserve">- Thực hiện đúng kế hoạch của bộ phận, cung cấp đủ lượng hồ xương , hồ men phục vụ SX cho 2 DC ốp - lát </t>
  </si>
  <si>
    <t>- Tiếp tục thực hiện kế hoạch trong tháng 05/2025, tăng cường kiểm soát công nghệ sản xuất 2 DC ốp - lát</t>
  </si>
  <si>
    <t xml:space="preserve"> - PXSX thực hiện phương án bố trí lao động theo vị trí, theo bảng phân ca tháng 05/2025. Tăng cường kiểm soát nội quy Lao Động và an toàn VSCN.</t>
  </si>
  <si>
    <t xml:space="preserve">- Kết hợp P.KH-TH lên phương án chuyển tải, sắp xếp kho bãi các loại nguyên liệu ngoài trời hợp lý, ổn định, đáp ứng đủ phục vụ SX khi bắt đầu vào mùa mưa </t>
  </si>
  <si>
    <t>- Từ khi chuyển đổi thanh mực màu xanh chạy mẫu đậm hay bị lỗi sọc, mất màu đến ngày 25/04 chuyên gia máy in căn chỉnh đã hoạt động ổn định.</t>
  </si>
  <si>
    <t xml:space="preserve"> - Sản lượng, chất lượng gạch ốp và gạch lát đạt theo kế hoạch                                    </t>
  </si>
  <si>
    <t xml:space="preserve">- Trong tháng chạy 2 loại sản phẩm. Từ 01/04 - 18/04 chạy sản phẩm ốp 40x80 đến ngày 18/04 dừng chuyển đổi sang gạch lát 50x50 sugar sân vườn </t>
  </si>
  <si>
    <t>- Nhân sự: trong tháng tuyển mới 3 người, nghỉ việc 2 người. Trước khi chuyển đổi sang gạch lát là 109 người sau khi chuyển đổi còn lại 99 người đã chuyển trả TBTM 2 người, chuyển DC1 8 người.</t>
  </si>
  <si>
    <t>- DC2 từ ngày 1/4 - 17/4 chạy 40x80. Ngày 18/4 sự cố trạm than lò 4.0 dừng chuyển đổi sang gạch lát 50x50 chạy công suất thực tế theo áp suất khí gas và trung bình 12 ngày SX là 18,8 lần/ phút</t>
  </si>
  <si>
    <t xml:space="preserve">TB: 91,54 m2/ pallet </t>
  </si>
  <si>
    <t>Theo đơn mỗi mẻ tăng 25kg</t>
  </si>
  <si>
    <t>Đồng Nai, ngày 06 tháng 05 năm 2025</t>
  </si>
  <si>
    <t>Nơi gửi:</t>
  </si>
  <si>
    <r>
      <t xml:space="preserve">-  </t>
    </r>
    <r>
      <rPr>
        <i/>
        <sz val="9"/>
        <color theme="1"/>
        <rFont val="Times New Roman"/>
        <family val="1"/>
      </rPr>
      <t>Tổng Giám đốc Cty.</t>
    </r>
  </si>
  <si>
    <t>- Các Phó TGĐ</t>
  </si>
  <si>
    <t>- Các phòng ban/ phân xưởng</t>
  </si>
  <si>
    <t>Nơi lưu:</t>
  </si>
  <si>
    <t>- Phòng TC - HC</t>
  </si>
  <si>
    <t>- DC1 từ ngày 1/4 - 14/4 chu kỳ 15.6 lần/ phút. Từ15/4 - 17/4 CK 15.0 lần/ phút. Từ 18/4 -28/4 CK 13.0 lần/ phút. Từ 29/4 - 30/4 CK 13.5 lần/ phút. Do sự cố trạm than (lò 4.0) nên kế hoạch tháng 04/2025 phải thay đổi theo thực tế.</t>
  </si>
  <si>
    <t>Tổng SX DC2:</t>
  </si>
  <si>
    <t>TB-TM</t>
  </si>
  <si>
    <t>THK</t>
  </si>
  <si>
    <t>TKH</t>
  </si>
  <si>
    <t>P. KT - CN</t>
  </si>
  <si>
    <t>- Bộ phận TB-TM kết hợp các bộ phận chuẩn bị KH chuyển đổi DC2 từ gạch lát sân vườn 50x50 sang lát 60x60 từ ngày 15/05/2025 và KH chi tiết chuyển đổi từ gạch lát 60x60 sang gạch ốp 40x80 dự kiến ngày 29/05/2025. Vệ sinh cối nghiền, hầm hồ, các bể chứa hồ xương, hồ men và các silo chứa bột.</t>
  </si>
  <si>
    <t>- Duy trì việc kiểm tra, giám sát quá trình kho bãi chứa, cân nạp liệu xương - men ốp - lát, vệ sinh silo, hầm hồ theo định kỳ, kiểm tra định kỳ lớp lót các cối nghiền xương - men, lên phương án, kết hợp PXCĐ lên kế hoạch bảo dưỡng liên tục, đảm bảo MMTB hoạt động ổn định.</t>
  </si>
  <si>
    <t>- Lò 4.0 sự cố kết xỉ từ 14/04/25 đến 18/04/25 phải dừng để sử lý và thực hiện công tác cải tạo lại lò 4.0 theo phương án được TGĐ ký duyệt</t>
  </si>
  <si>
    <t xml:space="preserve"> - PXSX duy trì sản xuất ổn định, tăng cường đào tạo nâng cao tay nghề công nhân lao động tuyển dụng mới, giảm thời gian dừng 2 máy ép, tăng thu hồi của sản phẩm.</t>
  </si>
  <si>
    <t xml:space="preserve"> - PXCĐ thường xuyên bảo dưỡng, kiểm tra thiết bị giảm thời gian dừng máy ép, lỗi sự cố thiết bị các công đoạn sản xuất. Kết hợp PXSX lên KH khắc phục sự cố máy nghiền số 2 và kiểm tra các máy còn lại, lên PA - KH bảo dưỡng tổng thể.</t>
  </si>
  <si>
    <t>- Dự kiến lò 4.0 sau khi cải tạo sẽ đưa vào sử dụng từ ngày 15/04/2025 cấp khí cho DC2 đến khi ổn định sẽ tắt lò 2.4 (ủ lò). Nâng công suất DC1 lên 15.6 lần/ phút.</t>
  </si>
  <si>
    <t>- Thực hiện đúng kế hoạch và phương án nghiền xương - men, vệ sinh hầm, silo từ xương ốp chuyển sang xương lát từ ngày 12/04/2025</t>
  </si>
  <si>
    <t>Tổng DC 2</t>
  </si>
  <si>
    <t>- Nhá điện 2 lần (ngày 23, 26/04). Chu kỳ nung nâng dần từ ngày 19/04 đến ngày 28/04 mới về 47 phút, ngày 29/04 chuyển về 46 phút. Trung bình 12 ngày SX gạch lát công suất ép 18,8 lần/ phút. Kế hoạch chạy 50x50 của tháng 04/2025 thay đổi theo thực tế</t>
  </si>
  <si>
    <t xml:space="preserve">- TB-TM nhân sự theo định biên là 69 người. Hiện tại thiếu 04 người </t>
  </si>
  <si>
    <t>- Bộ phận THK định biên 26/26 đủ nhân sự</t>
  </si>
  <si>
    <t>- Phòng KT - CN định biên 27 người. Hiện tại 24 người. Đủ sắp xếp, không tuyển thêm.</t>
  </si>
  <si>
    <t>- P.KT-CN lên Phương án và kế hoạch chuyển đổi công nghệ DC2 từ gạch lát sân vườn 50x50 sang 60x60 từ ngày 15/05/2025 và từ gạch lát 60x60 sang gạch ốp 40x80 từ ngày 29/05/2025. Duy trì kiểm soát DC 1 chạy gạch ốp 30x60mm</t>
  </si>
  <si>
    <t xml:space="preserve">Hải Thành kho 2 ngày 21-24/04/2025 </t>
  </si>
  <si>
    <t>16,8</t>
  </si>
  <si>
    <t>7,3</t>
  </si>
  <si>
    <t>Đốt từ ngày 01-26/5/2025</t>
  </si>
  <si>
    <t>Đốt từ ngày 01-20/5/2025</t>
  </si>
  <si>
    <t>2. Dây chuyền số 2 (kích thước 50x50):</t>
  </si>
  <si>
    <t>3. Dây chuyền số 2 (kích thước 60x60):</t>
  </si>
  <si>
    <t>Đốt từ ngày 01-/5/2025</t>
  </si>
  <si>
    <t>4. Dây chuyền số 2 (kích thước 40x80):</t>
  </si>
  <si>
    <t>Đốt từ ngày 30-31/5/2025</t>
  </si>
  <si>
    <t>Đốt từ ngày 01-31/05/2025</t>
  </si>
  <si>
    <t>IV. Sử dụng than trong tháng 05/2025:</t>
  </si>
  <si>
    <t>5. Tổng dây chuyền 2 ( kích thước:  50x50, 60x60mm và 40x80):</t>
  </si>
  <si>
    <t>6. Tổng sử dụng của 2 DC từ 01-31/05/2025</t>
  </si>
  <si>
    <t xml:space="preserve">BÁO CÁO TỔNG HỢP KẾT QUẢ SẢN XUẤT THÁNG 05 NĂM 2025 CỦA 2 DÂY CHUYỀN   </t>
  </si>
  <si>
    <t>Đốt lò không tính tiêu hao</t>
  </si>
  <si>
    <t>+ Xuất cám lần 1 ngày 14/05/2025:  133.783 kg ( đã quy ẩm)  ( 100% than HT 21-24/04/2025 )</t>
  </si>
  <si>
    <t>+ Xuất cám lần 2 ngày 22/5/2025 : 25.190 kg ( đã quy ẩm)  (100% than HT 21-24/04/2025)</t>
  </si>
  <si>
    <t>+ Xuất cám lần 3 ngày 24/5/2025 : 19.310 kg ( đã quy ẩm)  (100% than HT 21-24/04/2025)</t>
  </si>
  <si>
    <t>+ Xuất cám lần 4 ngày 29/5/2025 : 115.770  kg ( đã quy ẩm)  (100% than HT 21-24/04/2025)</t>
  </si>
  <si>
    <t>+ Xuất cám lần 5 ngày 2/6/2025: 40.875  kg ( đã quy ẩm)  (100% than HT 21-24/04/2025)</t>
  </si>
  <si>
    <t xml:space="preserve">- Tổng khối lượng than sử dụng cho 2 dây chuyền từ ngày 01/05/2025 đến 31/05/2025 là 1.783.516 kg. Tổng khối lượng than sử dụng cho DC1 là 906.891 kg, tổng khối lượng than sử dụng cho DC2 là 850.406 kg </t>
  </si>
  <si>
    <t>+ Than Hải Thành  ( nhập ngày 21-24/4/2025, tổng nhập: 2.391.960 kg, chưa chốt lô chưa tính tiêu hao).</t>
  </si>
  <si>
    <t>- Tổng xuất than cám đến ngày 31/05/2025 là 334.928  kg, trong đó chia theo tỷ lệ các loại than  như sau :</t>
  </si>
  <si>
    <t>V. Nhân sự tháng 05 năm 2025:</t>
  </si>
  <si>
    <t>VI. Kế hoạch thực hiện tháng 06/2025</t>
  </si>
  <si>
    <t>VII. Mục tiêu thực hiện tháng 06/2025</t>
  </si>
  <si>
    <t>VIII. Đánh giá KQ SX tháng 05 năm 2025:</t>
  </si>
  <si>
    <t>* Các công việc cần thực hiện để đạt được mục tiêu trong tháng 06/2025 của 2 DC:</t>
  </si>
  <si>
    <t>III. Tiêu hao vật tư tháng 05 năm 2025:</t>
  </si>
  <si>
    <t>Sử dụng 79.27 m2/ pallet</t>
  </si>
  <si>
    <t>DC1 (chuyển sang THK)</t>
  </si>
  <si>
    <t xml:space="preserve"> - Dây chuyền 01 trong tháng 5 sản xuất chất lượng, sản lượng, thu hồi đều đạt so với mức khoán.                                </t>
  </si>
  <si>
    <t xml:space="preserve"> - Tiêu hao nguyên nhiên liệu - vật tư - nhiên liệu đều đạt so với định mức khoán. Riêng tiêu hao men Panson và men Matt vượt định mức khoán do sản lượng chạy ít, tiêu hao trong quá trình vệ sinh, test mẫu nhiều.</t>
  </si>
  <si>
    <t xml:space="preserve">  - Trong tháng có các sự cố ảnh hưởng đến sản lượng, chất lượng, thu hồi sản phẩm</t>
  </si>
  <si>
    <t xml:space="preserve"> + Ngày 1/5 (Chất lượng: 86.37% ): Do sự cố nứt lõm bề mặt men (nguyên nhân do sốc nhiệt lò sấy duy trì)</t>
  </si>
  <si>
    <t xml:space="preserve"> + Ngày 25/5 (sản lượng: 12.053m2): Ca ngày: ME1 dừng 28p. ME2 dừng 20p . Lúc 7h39 mất điện chạy máy phát . Lúc 12h25 đổi chạy  lại điện lưới. Ca đêm sự cố mất khí dừng ép.</t>
  </si>
  <si>
    <t xml:space="preserve"> - Trong tháng chạy 3 loại men là men Phương Nam - Men Matt - Men Panson đạt tiêu chuẩn chất lượng sản phẩm</t>
  </si>
  <si>
    <t>TỔNG DC1 THÁNG 05</t>
  </si>
  <si>
    <t>II. Sản lượng theo các thương hiệu sản xuất tháng 05/ 2025</t>
  </si>
  <si>
    <t>Tổng số nhân sự đến 31/05/25</t>
  </si>
  <si>
    <t xml:space="preserve"> - Trong tháng tuyển mới 2 người. Nghỉ việc 5 người. Chuyển dây chuyền 02 là 5 người. Tổng nhân sự đến ngày 31/05/2025 còn 99 người. Từ ngày 03/06/2025 chuyển sang bộ phận THK 7 người. Nhân sự DC1 còn 92 người. Đề nghị P.TCHC tuyển tối thiểu 10 người để đủ định biên tối thiểu 102 người đảm bảo sản xuất.</t>
  </si>
  <si>
    <t>- DC1 ngày 03/06/2025 chuyển 02 đốc công và 05 công nhân PLĐG sang THK hổ trợ. Tổng số nhân sự đến 31/05/2025 là 92 người, thiếu 10 người theo định biên 102 người. Đề nghị P.TC-HC tuyển bổ sung theo đủ định biên tối thiểu để đảm bảo sản xuất trong tháng 06/2025</t>
  </si>
  <si>
    <t>1. Dây chuyền số 1 (kích thước 30x60) từ 01/05 đến 25/05/2025:</t>
  </si>
  <si>
    <t>Kế hoạch 60x60</t>
  </si>
  <si>
    <t>- DC1 từ ngày 01/5 - 14/5 chu kì ép 13.5 lần/phút. Từ ngày 15/5-25/5 chu kì ép  15.5 lần/phút, Ca đêm ngày 25/05/2025 dừng ép do sự cố trạm than hoá khí lò 3.6m</t>
  </si>
  <si>
    <t>- DC2 sản xuất 3 dòng kích thước: 50x50, 60x60 và 40x80 dừng chuyển đổi 2 ngày.</t>
  </si>
  <si>
    <t>men Bóng</t>
  </si>
  <si>
    <t>men Matt</t>
  </si>
  <si>
    <t>TỔNG DC2 THÁNG 05</t>
  </si>
  <si>
    <t>Nguyên liệu xương PCL</t>
  </si>
  <si>
    <t>Men E SV (Matt)</t>
  </si>
  <si>
    <t>Men E  (Bóng)</t>
  </si>
  <si>
    <t>Men GML</t>
  </si>
  <si>
    <t>Men Sugar sân vườn:</t>
  </si>
  <si>
    <t>Men Bóng</t>
  </si>
  <si>
    <t xml:space="preserve">TB: 90,08 m2/ pallet </t>
  </si>
  <si>
    <t>3. Tiêu hao vật tư  60x60 SX DC2:</t>
  </si>
  <si>
    <t>Men E (Bóng)</t>
  </si>
  <si>
    <t>Men E (Matt)</t>
  </si>
  <si>
    <t>GML</t>
  </si>
  <si>
    <t>Men Matt:</t>
  </si>
  <si>
    <t xml:space="preserve">TB: 62 m2/ pallet </t>
  </si>
  <si>
    <t>4. Tiêu hao vật tư  40x80 SX DC2:</t>
  </si>
  <si>
    <t>Men G Panson</t>
  </si>
  <si>
    <t xml:space="preserve">TB: 60,85 m2/ pallet </t>
  </si>
  <si>
    <t>- DC2 tuyển mới 4 người, nghỉ việc 3 người. Tổng số nhân sự đến 31/05/2025 là 100 người, thiếu 2 người theo định biên 102 người. Đề nghị P.TC-HC tuyển bổ sung theo đủ định biên tối thiểu để đảm bảo sản xuất trong tháng 06/2025.</t>
  </si>
  <si>
    <t>2. Dây chuyền 2: Tổng 30 ngày SX. Chạy 40x80mm men Panson</t>
  </si>
  <si>
    <t>Nhịp ép</t>
  </si>
  <si>
    <t xml:space="preserve">Số ngày </t>
  </si>
  <si>
    <t>phút</t>
  </si>
  <si>
    <t>HSTH</t>
  </si>
  <si>
    <t>M2/ ngày</t>
  </si>
  <si>
    <t>DC1 (Từ 11-12/6)</t>
  </si>
  <si>
    <t>DC1 (Từ 13-30/6)</t>
  </si>
  <si>
    <t>- Tháng 05/2025 dây chuyền 2 chạy cả 3 dòng sản phẩm. 500x500. 600x600, 400x800. 2 lần chuyển đổi, ngày 20/05 chuyển 500x500 sang 600x600. ngày 30/05 chuyển đổi từ 600x600 sang 400x800 . Chuyển đổi đúng theo kế hoạch. Chất lượng, sản lượng đạt theo kế hoạch.</t>
  </si>
  <si>
    <t>- Chuyển đổi từ lát sang ốp nhân sự thiếu phải lấy người DC1 sang tăng cường. Đề nghị phòng TCHH tuyển bổ sung để đảm bảo cho sản xuất</t>
  </si>
  <si>
    <t>- Tiếp tục thực hiện kế hoạch trong tháng 06/2025, tăng cường kiểm soát công nghệ sản xuất 2 DC ốp - lát</t>
  </si>
  <si>
    <t>- Nhân sự trạm than hoá khí biến động nhiều, phải điều chuyển các CBCNV từ các bộ phận khác hỗ trợ, ổn định hoạt động sản xuất.</t>
  </si>
  <si>
    <t xml:space="preserve"> - PXSX thực hiện phương án bố trí lao động theo vị trí, theo bảng phân ca tháng 06/2025. Tăng cường kiểm soát nội quy Lao Động và an toàn VSCN.</t>
  </si>
  <si>
    <t>- Dự kiến lò 3.6 sau khi sửa chữa sẽ đưa vào sử dụng từ ngày 11/06/2025 kết hợp với lò 4.0 đang hoạt động cấp khí cho 2 DC đến khi ổn định sẽ nâng công suất DC1 lên 15.5 lần/ phút từ ngày 13/06/2025</t>
  </si>
  <si>
    <t>- Máy nghiền số 2 đã khắc phục xong và đưa vào hoạt động từ ngày 15/05/2025. Cho nghiền đất sét riêng (thời gian ngắn) theo dõi độ ổn định</t>
  </si>
  <si>
    <t>- Trong tháng kết hơpk P.KT-CN nghiền riêng đơn đất sét và trường thạch (máy số 1 và số 2), linh động máy 3 nghiền trường thạch và đơn hoàn chỉnh để đáp ứng đủ lượng hồ phục vụ kế hoạch sản xuất</t>
  </si>
  <si>
    <t>Đồng Nai, ngày 07 tháng 06 năm 2025</t>
  </si>
  <si>
    <t>- Trong tháng 05 mất điện, nhá điện 2 lần (06/05 và 14/05) ảnh hưởng đến chất lượng, tỷ lệ thu hồi.</t>
  </si>
  <si>
    <t>- Lỗi giọt nước trên sản phẩm men bóng gạch lát đã giảm khoảng 80%. Lỗi rách màng men vẫn còn xuất hiện. Đã kết hợp với phòng KTCN xử lý lỗi trên trong ngày và ổn định sản xuất.</t>
  </si>
  <si>
    <t xml:space="preserve">- Từ ngày11/06 ÷ 12/06/25 (2 ngày) chạy chu kỳ ép từ 10.5 ÷ 15.5 nhịp/ phút (Sản lượng: 13.089 m2/ ngày) </t>
  </si>
  <si>
    <t xml:space="preserve">- Từ ngày 13/06 ÷ 30/06/25 (17 ngày) chạy chu kỳ ép 15.5 nhịp/ phút (Sản lượng: 15.312 m2/ ngày) </t>
  </si>
  <si>
    <t xml:space="preserve">- Phòng KT - CN định biên 24/24 đủ nhân sự </t>
  </si>
  <si>
    <t>- Bộ phận TB-TM định biên là 62/62 đủ nhân sự</t>
  </si>
  <si>
    <t>Sản lượng 50x50 Sugar sân vườn</t>
  </si>
  <si>
    <t>Sản lượng 50x50 men Bóng</t>
  </si>
  <si>
    <t>Sản lượng 60x60 men Bóng</t>
  </si>
  <si>
    <t>Sản lượng 60x60 men Matt</t>
  </si>
  <si>
    <t>Sản lượng 40x80 men Panson</t>
  </si>
  <si>
    <t xml:space="preserve">- Tổng sản lượng thu hồi của 2 dây chuyền từ ngày 01-31/5/2025 là 747.315 m2, trong đó sản lượng của DC1 là 360.989 m2, sản lượng  DC2 là 386.326 m2. </t>
  </si>
  <si>
    <t>/</t>
  </si>
  <si>
    <t>- Lò 3.6 sự cố đêm 25/05/2025 nên dừng sửa chữa, bảo dưỡng. Dự kiến từ 07/06 ÷ 09/06/25 đưa vào hoạt động lại theo đúng quy trình.</t>
  </si>
  <si>
    <r>
      <t xml:space="preserve">1. Dây chuyền số 1: </t>
    </r>
    <r>
      <rPr>
        <sz val="12"/>
        <color theme="1"/>
        <rFont val="Times New Roman"/>
        <family val="1"/>
      </rPr>
      <t>Dự kiến hoạt động lại từ 10g00 sáng 11/06/25</t>
    </r>
    <r>
      <rPr>
        <b/>
        <sz val="12"/>
        <color theme="1"/>
        <rFont val="Times New Roman"/>
        <family val="1"/>
      </rPr>
      <t xml:space="preserve">. </t>
    </r>
  </si>
  <si>
    <t xml:space="preserve">BÁO CÁO TỔNG HỢP KẾT QUẢ SẢN XUẤT THÁNG 06 NĂM 2025 CỦA 2 DÂY CHUYỀN   </t>
  </si>
  <si>
    <t>II. Sản lượng theo các thương hiệu sản xuất tháng 06/ 2025</t>
  </si>
  <si>
    <t>III. Tiêu hao vật tư tháng 06 năm 2025:</t>
  </si>
  <si>
    <t>1. Dây chuyền số 1 (kích thước 30x60) từ 01/06 đến 30/06/2025:</t>
  </si>
  <si>
    <t>6. Tổng sử dụng của 2 DC từ 01-30/06/2025</t>
  </si>
  <si>
    <t>Hưng Tam Long kho 4 nhập ngày 04/05/2025</t>
  </si>
  <si>
    <t>12,89</t>
  </si>
  <si>
    <t>7,96</t>
  </si>
  <si>
    <t>Đức Anh kho 1+2 nhập ngày 5-7/06/2025</t>
  </si>
  <si>
    <t>Đốt từ ngày 09-10/6/2025</t>
  </si>
  <si>
    <t>Đốt từ ngày 10-20/6/2025</t>
  </si>
  <si>
    <t>Đốt từ ngày 20-30/6/2026</t>
  </si>
  <si>
    <t>HTL kho 4 nhập ngày 04/05/2025</t>
  </si>
  <si>
    <t>Đốt từ ngày 01-3/06/2025</t>
  </si>
  <si>
    <t>Đốt từ ngày 03-20/06/2025</t>
  </si>
  <si>
    <t>Đốt từ ngày 20-30/06/2026</t>
  </si>
  <si>
    <t xml:space="preserve">- Tổng khối lượng than sử dụng cho 2 dây chuyền từ ngày 1/6/2025 đến 30/6/2025 là 2.142.234  kg. Tổng khối lượng than sử dụng cho DC1 là 915.684  kg(trong đó đốt lò 53.616kg), tổng khối lượng than sử dụng cho DC2 là 1.280.166  kg </t>
  </si>
  <si>
    <t xml:space="preserve">+ Từ ngày 01-03/06/2025 đốt than Hải Thành ( nhập ngày 21-24/04/2025, tổng nhập:2.391.960 kg, đã chốt lô, không có lĩnh bù) </t>
  </si>
  <si>
    <t>+ Từ ngày 20-30/6/2025 đốt than Đức Anh  ( nhập ngày 5-7/06/2025, tổng nhập:2.563.000 kg , chưa chốt lô, chưa tính tiêu hao).</t>
  </si>
  <si>
    <t xml:space="preserve">- Tổng sản lượng thu hồi của 2 dây chuyền từ ngày 01-30/6/2025 là 739 305,12  m2, trong đó sản lượng của DC1 là 308 596,32 m2, sản lượng  DC2 là 430 708,8  m2. </t>
  </si>
  <si>
    <t>- Tổng xuất than cám đến ngày 15/6/2025 là 171.507   kg, trong đó chia theo tỷ lệ các loại than  như sau :</t>
  </si>
  <si>
    <t>+ Xuất cám lần 1 ngày 04/06/2025:  8.293 kg ( đã quy ẩm)  ( 100% than HT 21-24/04/2025 )</t>
  </si>
  <si>
    <t>+ Xuất cám lần 2 ngày 30/06/2025:  109.789 kg ( đã quy ẩm)  ( 100% than HTL 04/05/2025 )</t>
  </si>
  <si>
    <t>+ Xuất cám lần 2 ngày 30/06/2025: 53.425  kg ( đã quy ẩm)  ( 100% than ĐA 5-7/06/2025 )</t>
  </si>
  <si>
    <t xml:space="preserve">- Từ ngày 11/06 ÷ 12/06/25 (2 ngày) chạy chu kỳ ép từ 10.5 ÷ 15.5 nhịp/ phút </t>
  </si>
  <si>
    <t>- Từ ngày 13/06 ÷ 30/06/25 (17 ngày) chạy chu kỳ ép 15.5 nhịp/ phút</t>
  </si>
  <si>
    <r>
      <rPr>
        <b/>
        <sz val="12"/>
        <color rgb="FF000000"/>
        <rFont val="Times New Roman"/>
        <family val="1"/>
      </rPr>
      <t>2. Dây chuyền 2</t>
    </r>
    <r>
      <rPr>
        <sz val="12"/>
        <color rgb="FF000000"/>
        <rFont val="Times New Roman"/>
        <family val="1"/>
      </rPr>
      <t>: Tổng 30 ngày SX. Chạy 40x80mm men Panson</t>
    </r>
  </si>
  <si>
    <t>TỔNG DC1 THÁNG 06</t>
  </si>
  <si>
    <t>TỔNG DC2 THÁNG 06</t>
  </si>
  <si>
    <t>Bao bì (5 viên)</t>
  </si>
  <si>
    <t>Ke góc (5 viên)</t>
  </si>
  <si>
    <t>Bao bì (4 viên)</t>
  </si>
  <si>
    <t>Ke góc (4 viên)</t>
  </si>
  <si>
    <t xml:space="preserve">TB: 61,53 m2/ pallet </t>
  </si>
  <si>
    <t>Sử dụng 82,78 m2/ pallet</t>
  </si>
  <si>
    <t>DC1 (chuyển sang các bộ phận khác)</t>
  </si>
  <si>
    <t>Tổng số nhân sự đến 30/06/25</t>
  </si>
  <si>
    <t>Chuyển vị trí</t>
  </si>
  <si>
    <t>VII. Mục tiêu thực hiện tháng 07/2025</t>
  </si>
  <si>
    <t>DC1 (Từ 01-31/7)</t>
  </si>
  <si>
    <t xml:space="preserve"> 50x50</t>
  </si>
  <si>
    <t>* Các công việc cần thực hiện để đạt được mục tiêu trong tháng 07/2025 của 2 DC:</t>
  </si>
  <si>
    <t>* Kế hoạch các phòng ban/ phân xưởng cần thực hiện trong tháng 7 như sau:</t>
  </si>
  <si>
    <t xml:space="preserve">- PXSX + PXCĐ-NL lên kế hoạch đưa máy ép lọc khung bản vào hoạt động. </t>
  </si>
  <si>
    <t>- P.KH-TH chuẩn bị kho bãi chứa bã men sau lọc khung bản, than cám, trấu+mùn cưa, tro than từ trạm than hoá khí, tro than sau đốt của lò than xích (tái sử dụng trong bài xương)</t>
  </si>
  <si>
    <t>- P.TC-HC hoàn thiện khu nhà điều hành và đưa vào sử dụng</t>
  </si>
  <si>
    <t xml:space="preserve">- P.TC-HC sớm hoàn thiện các biển báo về PCCC, rác thải, chất thải, thiết bị PCCC…ở các vị trí, khu vực đã kiểm tra thực tế ngày 27/06/25. Ban hành các quy trình, hướng dẫn, quy định, phương án ứng cứu tình huống khẩn cấp, sơ đồ phối hợp, lưu đồ thông tin trao đổi....cho các phòng ban/ phân xưởng triển khai thực hiện </t>
  </si>
  <si>
    <t>- Các bộ phận kết hợp nhằm giảm thời gian ngừng máy 10 phút/ngày. Tăng tỷ lệ thu hồi từ 97,5% lên 98,0%.</t>
  </si>
  <si>
    <t>IV. Đánh giá KQ SX tháng 06 năm 2025:</t>
  </si>
  <si>
    <t>V. Sử dụng than trong tháng 06/2025:</t>
  </si>
  <si>
    <t>VI. Nhân sự tháng 06 năm 2025:</t>
  </si>
  <si>
    <t>VII. Kế hoạch thực hiện tháng 07/2025</t>
  </si>
  <si>
    <t xml:space="preserve"> - Tiêu hao nguyên nhiên liệu - vật tư - nhiên liệu đều đạt so với định mức khoán. </t>
  </si>
  <si>
    <t xml:space="preserve"> - Trong tháng biến động về nhân sự nhiều, đến ngày 30/06/2025 chỉ còn 101 người / 116 người. Trong đó: ngày 03/06/25 chuyển 2 đốc công sang THK hỗ trợ, đến 21/06 điều chuyển 1 đốc công từ THK về DC1, chuyển 1 đốc công về P.KT-CN. Bộ phận ETM tuyển mới 2 người. DC2 chuyển qua 1 người. Chuyển 1 người hỗ trợ THK, điều chuyển 2 người sang DC2. Nghỉ viêc 1 người. Bộ phận lò nung tuyển mới 1 người, nghỉ viêc 2 người, DC2 chuyển 1 người sang DC1 hỗ trợ.  Bộ phận PLĐG tuyển mới 7 người, nghỉ viêc 4 người, DC2 chuyển 1 người sang DC1 hỗ trợ. Chuyển 1 người hỗ trợ THK. Đề nghị P.TCHC tuyển tối thiểu 15 người để đủ định biên tối thiểu 116 người đảm bảo sản xuất.</t>
  </si>
  <si>
    <t>- Tiếp tục thực hiện kế hoạch trong tháng 07/2025, tăng cường kiểm soát công nghệ sản xuất 2 DC ốp - lát</t>
  </si>
  <si>
    <t>- Trong tháng làm thí nghiệm và đưa vào chạy BCN 2 bài phối liệu xương sử dụng phế gạch nghiền, và sử dụng 100% đá vôi hà tiên (không sử dụng đá vôi hà nam), nhằm mục đích tăng độ co sau nung, giảm nhiệt độ lò nung xương</t>
  </si>
  <si>
    <t>- Tiếp tục lên phương án thí nghiệm tái sử dụng tro than sau đốt của lò than xích, bả men từ hệ thống lọc khung bản, nhằm giảm thiểu chất thải nguy hại ra môi trường, giảm chi phí sản xuất.</t>
  </si>
  <si>
    <t>- Lò 3.6 sự cố đêm 25/05/2025 nên dừng sửa chữa, bảo dưỡng. Đến 09/06/25 đưa vào hoạt động lại theo đúng quy trình và cung cấp ổn định chất lượng khí đạt cho 2 lò nung DC1</t>
  </si>
  <si>
    <t xml:space="preserve"> - PXSX thực hiện phương án bố trí lao động theo vị trí, theo bảng phân ca tháng 07/2025. Tăng cường kiểm soát nội quy Lao Động và an toàn VSCN.</t>
  </si>
  <si>
    <t>- Ban ISO</t>
  </si>
  <si>
    <t>400X800 (SX lại từ  05/03/25): T3-T4-T5-T6</t>
  </si>
  <si>
    <t>600X600 (T5</t>
  </si>
  <si>
    <t>DC2 SX lại từ ngày 05/03/2025: tháng 03-04-05-06</t>
  </si>
  <si>
    <t>+ Từ ngày 03-20/6/2025 đốt than Hưng Tam Long  ( nhập ngày 04/05/2025, tổng nhập: 1.315.900 kg , đã chốt lô, lĩnh bù 26.152kg).</t>
  </si>
  <si>
    <t>- Tháng 06/2025 dây chuyền 2 chạy 1 dòng sản phẩm KT 400x800. Chất lượng, sản lượng đạt theo kế hoạch.</t>
  </si>
  <si>
    <t>DC2 tháng 01-04-05</t>
  </si>
  <si>
    <t>DC2 tháng 05</t>
  </si>
  <si>
    <t>500X500 ( T1-T4-T5</t>
  </si>
  <si>
    <t xml:space="preserve">- Phòng KT - CN định biên 23/23 đủ nhân sự </t>
  </si>
  <si>
    <r>
      <rPr>
        <b/>
        <sz val="12"/>
        <color rgb="FF000000"/>
        <rFont val="Times New Roman"/>
        <family val="1"/>
      </rPr>
      <t>2. Dây chuyền 2</t>
    </r>
    <r>
      <rPr>
        <sz val="12"/>
        <color rgb="FF000000"/>
        <rFont val="Times New Roman"/>
        <family val="1"/>
      </rPr>
      <t>: Tổng 30 ngày SX ( 01 ngày chuyển đổi). Chạy KT 40x80mm men Panson (22 ngày) và 50x50mm (8 ngày)</t>
    </r>
  </si>
  <si>
    <r>
      <rPr>
        <b/>
        <sz val="12"/>
        <color rgb="FF000000"/>
        <rFont val="Times New Roman"/>
        <family val="1"/>
      </rPr>
      <t>1. Dây chuyền 1</t>
    </r>
    <r>
      <rPr>
        <sz val="12"/>
        <color rgb="FF000000"/>
        <rFont val="Times New Roman"/>
        <family val="1"/>
      </rPr>
      <t>: Tổng 31 ngày SX Chạy KT 30x60mm</t>
    </r>
  </si>
  <si>
    <t>Chưa tịnh lô</t>
  </si>
  <si>
    <t>Gạch lát 60x60 sản xuất T5</t>
  </si>
  <si>
    <t>Gạch lát 50x50 sản xuất T1-T4-T5</t>
  </si>
  <si>
    <t xml:space="preserve">Gạch lát 40x60 KHÔNG sản xuất </t>
  </si>
  <si>
    <t>Gạch ốp 40x80 sản xuất T3-T4-T5-T6</t>
  </si>
  <si>
    <t>Tổng SL DC2:</t>
  </si>
  <si>
    <r>
      <t>- DC1 hoạt động từ ngày 01/03/2024. Tổng số ngày sản xuất:</t>
    </r>
    <r>
      <rPr>
        <b/>
        <sz val="12"/>
        <color theme="1"/>
        <rFont val="Times New Roman"/>
        <family val="1"/>
      </rPr>
      <t xml:space="preserve"> 112,8 ngày</t>
    </r>
    <r>
      <rPr>
        <sz val="12"/>
        <color theme="1"/>
        <rFont val="Times New Roman"/>
        <family val="1"/>
      </rPr>
      <t>. Tổng sản lượng: 1</t>
    </r>
    <r>
      <rPr>
        <b/>
        <sz val="12"/>
        <color theme="1"/>
        <rFont val="Times New Roman"/>
        <family val="1"/>
      </rPr>
      <t>.702.641 m2</t>
    </r>
  </si>
  <si>
    <t>V. Đánh giá quá trình sản xuất 6 tháng đầu năm 2025:</t>
  </si>
  <si>
    <t>- Trong 06 tháng đầu năm chạy 3 dòng sản phẩm của 3 loại men: Phương nam - men Pason - men Matt trên cùng 1 điều kiện lò nung xương và nung men</t>
  </si>
  <si>
    <t xml:space="preserve">BÁO CÁO KẾT QUẢ SẢN XUẤT 2 DÂY CHUYỀN 06 THÁNG ĐẦU NĂM 2025
</t>
  </si>
  <si>
    <t>III. Tiêu hao vật tư 06 tháng đầu năm 2025</t>
  </si>
  <si>
    <t>IV. Khiếu nại 06 tháng đầu năm 2025</t>
  </si>
  <si>
    <t>VI. Kế hoạch - mục tiêu thực hiện 06 tháng cuối năm 2025:</t>
  </si>
  <si>
    <t>KÍCH THƯỚC 30X60</t>
  </si>
  <si>
    <t>Tổng sản lượng ép</t>
  </si>
  <si>
    <t>KH/MT</t>
  </si>
  <si>
    <t>Tháng 01</t>
  </si>
  <si>
    <t>NGHĨ TẾT - BẢO DƯỠNG DÂY CHUYỀN</t>
  </si>
  <si>
    <t>Tháng 02</t>
  </si>
  <si>
    <t>Mục tiêu
30x60</t>
  </si>
  <si>
    <t>Tháng 03</t>
  </si>
  <si>
    <t>Tháng 04</t>
  </si>
  <si>
    <t>Tháng 05</t>
  </si>
  <si>
    <t>Tháng 06</t>
  </si>
  <si>
    <t>Tháng 07</t>
  </si>
  <si>
    <t>Tháng 08</t>
  </si>
  <si>
    <t>Tháng 09</t>
  </si>
  <si>
    <t>Tháng 10</t>
  </si>
  <si>
    <t>Tháng 11</t>
  </si>
  <si>
    <t>Tháng 12</t>
  </si>
  <si>
    <t xml:space="preserve">So sánh MT/KH
</t>
  </si>
  <si>
    <t>KÍCH THƯỚC</t>
  </si>
  <si>
    <t>Mục tiêu
50x50</t>
  </si>
  <si>
    <t>Kế hoạch</t>
  </si>
  <si>
    <t>Mục tiêu</t>
  </si>
  <si>
    <t>Mục tiêu
60x60</t>
  </si>
  <si>
    <t>Mục tiêu
40x80</t>
  </si>
  <si>
    <t>TỔNG KẾ HOẠCH 2  DC</t>
  </si>
  <si>
    <t>TỔNG MỤC TIÊU 2 DC</t>
  </si>
  <si>
    <t xml:space="preserve">* Ghi chú: </t>
  </si>
  <si>
    <t xml:space="preserve">- Ban Tổng Giám Đốc </t>
  </si>
  <si>
    <t>- Các Phòng ban / Phân xưởng</t>
  </si>
  <si>
    <t>- Duy trì việc kiểm tra, giám sát quá trình kho bãi chứa, cân nạp liệu xương - men ốp, vệ sinh silo, hầm hồ theo định kỳ, kiểm tra định kỳ lớp lót các cối nghiền xương - men, lên phương án, kết hợp PXCĐ lên kế hoạch bảo dưỡng liên tục, đảm bảo máy móc thiết bị hoạt động ổn định.</t>
  </si>
  <si>
    <t>- Kết hợp với PXCĐ-NL đưa máy nghiền gạch phế vào hoạt động và chạy đại trà bài phối lượng xương sử dụng phế gạch nghiền.</t>
  </si>
  <si>
    <t>- Bộ phận TB-TM kết hợp các bộ phận chuẩn bị KH chuyển đổi DC2 từ gạch ốp 40x80 sang lát 50x50 dự kiến từ ngày 23/07/2025  (theo yêu cầ utuwf P.KD) và KH chi tiết chuẩn bị đốt than cám + tro than + trấu/ mùn cưa cho lò than xích. Vệ sinh cối nghiền, hầm hồ, các bể chứa hồ xương, hồ men và các silo chứa bột.</t>
  </si>
  <si>
    <t xml:space="preserve"> - PXCĐ lắt đặt đưa hệ thống lọc khung bản vào sử dụng, thường xuyên bảo dưỡng, kiểm tra thiết bị giảm thời gian dừng máy ép, lỗi sự cố thiết bị các công đoạn sản xuất. Kết hợp PXSX lên KH khắc phục sự cố máy nghiền số 2 và đưa vào hoạt động, kiểm tra các máy còn lại, lên PA - KH bảo dưỡng tổng thể.</t>
  </si>
  <si>
    <t xml:space="preserve">Tổng sử dụng: </t>
  </si>
  <si>
    <t xml:space="preserve">P.TGĐ PT SX </t>
  </si>
  <si>
    <t>- P.KT-CN triển khai lấy mẫu thí nghiệm (tro than lò than xích) cho vào bài xương theo tỷ lệ thích hợp, báo cáo trực tiếp Phó TGĐ SX</t>
  </si>
  <si>
    <t>- Trưởng bộ phận/ phòng ban lên kế hoạch và phương án chuyển đổi (DC2) chi tiết cho bộ phận, trình ký trước ngày 30 tháng 06 năm 2025</t>
  </si>
  <si>
    <t>- PXSX nghiệm thu máy nghiền gạch phế sau nung và đưa vào hoạt động, P.KTCN ra đơn phối chạy đại trà bài phối liệu sử dụng phế gạch nghiền từ ngày 08/07/2025</t>
  </si>
  <si>
    <t>- PXSX và P.KH-TH lên kế hoạch và phương án sử dụng than cám, tro than, mùn cưa+trấu cho đốt lò than xích (12-13/07/2025)</t>
  </si>
  <si>
    <t>Từ T2/2025</t>
  </si>
  <si>
    <t>Từ T4/2025</t>
  </si>
  <si>
    <t>Hiện tại đến 30/06/25</t>
  </si>
  <si>
    <t>107+2</t>
  </si>
  <si>
    <t>P. TCHC tuyển mới để đào tạo đáp ứng cho KHSX 06 tháng cuối năm 2025 theo tờ trình chi tiết từ PXSX đã đề nghị.</t>
  </si>
  <si>
    <r>
      <t xml:space="preserve">1. Dây chuyền số 1:  </t>
    </r>
    <r>
      <rPr>
        <sz val="12"/>
        <color theme="1"/>
        <rFont val="Times New Roman"/>
        <family val="1"/>
      </rPr>
      <t>Dừng lúc 02g00 ca đêm 25/05/25. Hoạt động lại từ 10g00 sáng 11/06/25</t>
    </r>
    <r>
      <rPr>
        <b/>
        <sz val="12"/>
        <color theme="1"/>
        <rFont val="Times New Roman"/>
        <family val="1"/>
      </rPr>
      <t>.</t>
    </r>
  </si>
  <si>
    <t xml:space="preserve"> - Dừng từ 02g00 ca đêm 25/05/2025. Sản xuất  trở lại lúc 10g ngày 11/06/2025 chất lượng, sản lượng, thu hồi đều đạt so với mức khoán.                                </t>
  </si>
  <si>
    <t>- Trong tháng kết hơpk P.KT-CN nghiền riêng đơn đất sét (máy số 1) và trường thạch (máy số 3),  máy số 2 ngừng xây lại lớp lót từ ngày 14/06/25 đến ngày 02/07/25 đang ngâm nước (ngâm 10 ngày) sẽ đưa vào sử dụng từ ngày 10-12/07/2025.</t>
  </si>
  <si>
    <t>-Các phòng ban/ phân xưởng thực hiện Quản lý môi trường ISO 14001:2015 từ ngày 01/07/2025</t>
  </si>
  <si>
    <t>- Thực hiện áp dụng việc sát nhập PXCĐ và Trạm Than Hoá khí và tinh giảm biên chế từ 01/07/2025</t>
  </si>
  <si>
    <t>- Trực Lãnh đạo theo CNQH của công ty ban hành từ ngày 01/07/2025</t>
  </si>
  <si>
    <t>- Tổng nhân sự 2 DC đến ngày 30/06/2025 là 263 người (thiếu 18 người so với định biên tháng 07/2025). Ngày 03/06/2025 chuyển 02 đốc công hỗ trợ THK (đến 21/06 về lại 1 người và chuyển 1 đốc công về P.KT-CN). Tuyển mới 10 người, nghỉ việc 07 người. Đề nghị P.TC-HC tuyển bổ sung theo đủ định biên tối thiểu để đảm bảo sản xuất trong tháng 07/2025</t>
  </si>
  <si>
    <t>Tổng sử dụng + ủ lò</t>
  </si>
  <si>
    <t>Đồng Nai, ngày 07 tháng 07 năm 2025</t>
  </si>
  <si>
    <t>3. Tổng thực hiện SX 2 DC 06 tháng đầu năm 2025:</t>
  </si>
  <si>
    <t>II. Sản lượng theo các thương hiệu 06 tháng đầu năm 2025:</t>
  </si>
  <si>
    <t>Sử dụng: 82,19 m2/palet</t>
  </si>
  <si>
    <t>Tổng kế hoạch 6 tháng cuối năm DC1</t>
  </si>
  <si>
    <t xml:space="preserve">Tổng mục tiêu 6 tháng cuối năm DC1
</t>
  </si>
  <si>
    <t>Tổng kế hoạch 6 tháng cuối năm DC2</t>
  </si>
  <si>
    <t xml:space="preserve">Tổng mục tiêu 6 tháng cuối năm DC2
</t>
  </si>
  <si>
    <t>BÁO CÁO TIÊU HAO THAN 2 DC 6 THÁNG ĐẦU NĂM 2025</t>
  </si>
  <si>
    <t>Tổng 6 tháng đầu năm 2025 2 DC</t>
  </si>
  <si>
    <t>06 Tháng cuối năm 2024</t>
  </si>
  <si>
    <t>- KT 40 x 80 cm SX tháng 07/2025, tháng 09/2025, tháng 10/2025 và tháng 12/2025.</t>
  </si>
  <si>
    <t>- KT 50 x 50 cm SX tháng 07/2025, tháng 08/2025 và tháng 11/2025.</t>
  </si>
  <si>
    <t xml:space="preserve">P.TGĐ  PTSX </t>
  </si>
  <si>
    <r>
      <t>- DC1 hoạt động từ ngày 22/02/2025. Tổng số ngày sản xuất:</t>
    </r>
    <r>
      <rPr>
        <b/>
        <sz val="12"/>
        <color theme="1"/>
        <rFont val="Times New Roman"/>
        <family val="1"/>
      </rPr>
      <t xml:space="preserve"> 111,95 ngày</t>
    </r>
    <r>
      <rPr>
        <sz val="12"/>
        <color theme="1"/>
        <rFont val="Times New Roman"/>
        <family val="1"/>
      </rPr>
      <t xml:space="preserve">. Tổng sản lượng: </t>
    </r>
    <r>
      <rPr>
        <b/>
        <sz val="12"/>
        <color theme="1"/>
        <rFont val="Times New Roman"/>
        <family val="1"/>
      </rPr>
      <t>1.702.641 m2</t>
    </r>
  </si>
  <si>
    <t>So sánh Kế hoạch đề ra và thực tế đạt được 06 tháng đầu năm 2025:</t>
  </si>
  <si>
    <t xml:space="preserve">* DC1 Sản xuất 182 ngày chạy KT 30 x 60. Dự kiến tháng 09/2025 và tháng 12/2025 ngừng 2 ngày bão dưỡng thay con lăn. </t>
  </si>
  <si>
    <t xml:space="preserve">- KT 60 x 60 cm SX tháng 08/2025, tháng 09/2025, tháng 11/2025 và tháng 12/2025. </t>
  </si>
  <si>
    <t>Đồng Nai, ngày 08 tháng 07 năm 2025</t>
  </si>
  <si>
    <t>Huỷ/   ép</t>
  </si>
  <si>
    <t>- Trong 06 tháng đầu năm chạy chuyển đổi sản xuất các dòng sản phẩm, các nhóm kích thước khác nhau (50x50, 40x80, 60x60)</t>
  </si>
  <si>
    <t>- Trong 06 tháng đầu năm 2025 thử nghiệm chạy BCN và đưa vào sử dụng: DC1 chạy 4 bài xương gạch ốp, 1 bài men Engobe, 9 bài men nền. DC2 chạy 1 bài xương gạch lát, 4 bài Engobe và 5 bài men nền, chủ động trong việc các NL biến động về chất lượng đầu vào và khi nguồn đã hết.</t>
  </si>
  <si>
    <t>- Xây dựng kế hoạch sử dụng dự trù NNVL sản xuất trong 6 tháng cuối năm 2025 và đầu năm 2026</t>
  </si>
  <si>
    <t>- Nguyên liệu men:  Frit 853 và cao lanh AA có 1 lô chất lượng kém đã lập biên bản báo nhà cung cấp và điều chỉnh lại bài công nghệ</t>
  </si>
  <si>
    <t>Tổng lượng xử lý trong tháng 02</t>
  </si>
  <si>
    <t>Tổng sản lượng xử lý tương đương 0,12 % sản lượng sản xuất.</t>
  </si>
  <si>
    <t>4 vụ cong mo, 2 vụ lệch đường chéo, 1 vụ lệch chỉ</t>
  </si>
  <si>
    <t>5 vụ lệnh màu, 1 vụ trầy bề mặt men</t>
  </si>
  <si>
    <t>5 vụ lệch màu</t>
  </si>
  <si>
    <t>2 vụ lệch màu, 1 vụ lệch chỉ, 1 vụ trầy mặt men</t>
  </si>
  <si>
    <t>Tổng sản lượng xử lý tương đương 0,17 % sản lượng sản xuất.</t>
  </si>
  <si>
    <t>Tổng sản lượng xử lý cả năm tương đương 0,14 % tổng sản lượng sản xuất trên 2 dây chuyền.</t>
  </si>
  <si>
    <t>+  Lỗi cong vênh: Nguyên nhân sản phẩm bị lỗi trong quá trình sản xuất không táh kịp thời bị lẫn vào các sản phẩm đạt chất lượng. Các sản phẩm để bên ngoài không được che chắn trong thời gian dài dẫn đến bị ngấm nước, khi ghép tồn với các sản phẩm mới sản xuất sẽ bị cong vênh.</t>
  </si>
  <si>
    <t>+ Lỗi lệch chỉ: Nguyên nhân trong quá trình in KTS bị lệch dẫn đến hiện tượng đầu to đầu nhỏ, khi ghép hoạ tiết bị lệch không đạt yêu cầu.</t>
  </si>
  <si>
    <t>- Biện pháp phòng ngừa rủi ro các lỗi khiếu nại:</t>
  </si>
  <si>
    <t>- Lỗi lệch màu: Trong 6 tháng đầu năm tiếp tục duy trì tần xuất kiểm soát dây chuyền tráng men duy trì tính ổn định các thông số. Kết hợp cùng PXSX tách lô các sản phẩm không đạt yêu cầu hạ loại trực tiếp trong quá trình sản xuất.</t>
  </si>
  <si>
    <t>- Lỗi cong vênh: Tăng cường kiểm soát vào các thời điểm sự cố có rủi ro về chát lượng sản phẩm, kết hợp cùng PXSX lọc tách các sản phẩm không đạt</t>
  </si>
  <si>
    <r>
      <t xml:space="preserve">- Hoạt động từ ngày 05/03/2025 .Tổng số ngày sản xuất: </t>
    </r>
    <r>
      <rPr>
        <b/>
        <sz val="12"/>
        <color theme="1"/>
        <rFont val="Times New Roman"/>
        <family val="1"/>
      </rPr>
      <t>124,45 ngày</t>
    </r>
    <r>
      <rPr>
        <sz val="12"/>
        <color theme="1"/>
        <rFont val="Times New Roman"/>
        <family val="1"/>
      </rPr>
      <t xml:space="preserve">. Tổng sản lượng: </t>
    </r>
    <r>
      <rPr>
        <b/>
        <sz val="12"/>
        <color theme="1"/>
        <rFont val="Times New Roman"/>
        <family val="1"/>
      </rPr>
      <t>1.693.711m2</t>
    </r>
  </si>
  <si>
    <t>Định biên mới trong T7/2025</t>
  </si>
  <si>
    <t xml:space="preserve">- Từ ngày 05/03/2025 chạy gạch ốp 40x80 cm. Đến ngày 18/04/2025 chuyển đổi gạch lát nền 50x50 (Matt Sugar). Đến 15/05/2025 chuyển đổi 50x50 (Bóng). Ngày 20/05/2025 chuyển sang 60x60 và đến 30/05/2025 chuyển sang ốp 40x80.  </t>
  </si>
  <si>
    <t>- Trong 06 tháng đầu năm 2025 thử nghiệm chạy BCN và đưa vào sử dụng: DC1 chạy 4 bài xương gạch ốp, 1 bài men Engobe, 9 bài men nền. DC2 chạy 1 bài xương gạch lát, 4 bài Engobe và 5 bài men nền.</t>
  </si>
  <si>
    <t>- Chủ động trong việc luân chuyển các cối nghiền xương (xây lại lớp lót cối 2), silo chứa, hầm chứa…..tránh gây nhầm lẫn giữa các loại bột - men ốp -lát</t>
  </si>
  <si>
    <t>- Lên kế hoạch trong tháng 6 và tháng 7 chạy bài xương sử dụng gạch phế nghiền, sử dụng tro than, than cám đốt cho lò than xích</t>
  </si>
  <si>
    <t>* Nhân sự 2 DC:</t>
  </si>
  <si>
    <t xml:space="preserve">2.  Dây chuyền số 2: </t>
  </si>
  <si>
    <t>DC2 Gạch ốp 40x80 sản xuất T3-T4-T5-T6</t>
  </si>
  <si>
    <t>DC2 Gạch lát 50x50 sản xuất T1-T4-T5</t>
  </si>
  <si>
    <t>DC2 Gạch lát 60x60 sản xuất T5</t>
  </si>
  <si>
    <t>Men ECL (MB)</t>
  </si>
  <si>
    <t>Sử dụng: 62 m2/palet</t>
  </si>
  <si>
    <t>Bao bì 5V</t>
  </si>
  <si>
    <t>Bao bì 4V</t>
  </si>
  <si>
    <t>Ke góc 5V</t>
  </si>
  <si>
    <t>Ke góc 4V</t>
  </si>
  <si>
    <t xml:space="preserve">Bao bì </t>
  </si>
  <si>
    <t>Sử dụng: 60,04 m2/palet</t>
  </si>
  <si>
    <t>DC1 Gạch ốp 30x60 SX từ ngày 22/02/2025</t>
  </si>
  <si>
    <t>Phút/   ngày</t>
  </si>
  <si>
    <t>4. Kế hoạch 06 tháng đầu năm 2025 Công ty đề ra:</t>
  </si>
  <si>
    <t>Gạch lát 50x50 sản xuất T1-T5</t>
  </si>
  <si>
    <t>Gạch ốp 40x80 sản xuất T3-T4</t>
  </si>
  <si>
    <t>Gạch lát 60x60 sản xuất T6</t>
  </si>
  <si>
    <t>Gạch ốp 30x60 sản xuất T2-T3-T4-T5-T6</t>
  </si>
  <si>
    <t>* DC2 Sản xuất 178 ngày (ngừng 4 ngày chuyển đổi) chạy 3 dòng sản phẩm: KT 50X50, 60x60 và 40x80. Linh động chuyển đổi kích thước theo nhu cầu thực tế từ phòng Kinh doanh. Dự kiến chạy và theo thực tế của Phòng Kinh Doanh</t>
  </si>
  <si>
    <t xml:space="preserve">- Hoạt động từ ngày 22/02/2025. Mới chạy lại nên chu kỳ ép tăng từ 13,5 - 15,0 - 15,6  </t>
  </si>
  <si>
    <t xml:space="preserve">1.  Dây chuyền số 1: Tổng số ngày sản xuất: 111,95 ngày. Tổng sản lượng: 1.702.641 m2. Không hoàn thành kế hoạch đề ra do 1 sự cố lò 3.6m. Kế hoạch sản lượng/ ngày (14.657m2) thấp hơn do 1 số nguyên nhân như sau: </t>
  </si>
  <si>
    <r>
      <t xml:space="preserve">- Hoạt động lại từ 9g40 ngày 05/03/2025 .Tổng số ngày sản xuất: </t>
    </r>
    <r>
      <rPr>
        <b/>
        <sz val="12"/>
        <color theme="1"/>
        <rFont val="Times New Roman"/>
        <family val="1"/>
      </rPr>
      <t>124,45 ngày</t>
    </r>
    <r>
      <rPr>
        <sz val="12"/>
        <color theme="1"/>
        <rFont val="Times New Roman"/>
        <family val="1"/>
      </rPr>
      <t xml:space="preserve">. Tổng sản lượng: </t>
    </r>
    <r>
      <rPr>
        <b/>
        <sz val="12"/>
        <color theme="1"/>
        <rFont val="Times New Roman"/>
        <family val="1"/>
      </rPr>
      <t>1.693.711m2</t>
    </r>
    <r>
      <rPr>
        <sz val="12"/>
        <color theme="1"/>
        <rFont val="Times New Roman"/>
        <family val="1"/>
      </rPr>
      <t>. Hoàn thành kế hoạch 6 tháng đầu năm công ty đề ra (1.562.950 m2 /)</t>
    </r>
  </si>
  <si>
    <t>- Từ 05/03/25 (chạy 40x80) chạy chu kỳ ép 9.0 - 10.0 - 10.4 - 10.6 nhịp/ phút</t>
  </si>
  <si>
    <t xml:space="preserve">- Đến đêm 25/05/25 sự cố lò 3.0m lại dừng. </t>
  </si>
  <si>
    <t>- Từ 18/03 - 24/4 lò 4.0m sự cố kết xỉ. Đến ca đêm 25/5/25 lại sự cố lò 3.6m. Sau khi dừng sửa chữa và đưa vào hoạt động lại thì ngừng cấp khí lò 2.4m, sử dụng lò 3.6m và 4.0m cấp khí cho 2 dây chuyền chạy full công suất, đạt chất lượng khí theo yêu cầu.</t>
  </si>
  <si>
    <t>- Đã sửa chữa, bảo dưỡng lại lò 3.6 và 4.0 và đưa vào hoạt động cung cấp khí cho 2 dây chuyền sản xuất đã có hiệu quả hơn (theo số liệu thực tế đính kèm trong phần báo cáo tiêu hao than 2 Dây chuyền 6 tháng đầu năm 2025).</t>
  </si>
  <si>
    <t>V. Đánh giá quá trình thực hiện sản xuất 6 tháng đầu năm 2025:</t>
  </si>
  <si>
    <t>- Đất sét BD01 và BD02 không ổn định về chất lượng, khác màu, co rút không đều. Đã báo cáo P.TGĐ PT và P. KH-TH làm việc lại với nhà cung cấp.</t>
  </si>
  <si>
    <t>- Sản lượng - chất lượng - tiêu hao nguyên nhiên vật liệu hoàn thành theo kế hoạch trong 06 tháng đầu năm 2025</t>
  </si>
  <si>
    <t>- Tiêu hao nguyên nhiên vật liệu đạt theo kế hoạch 6 tháng đầu năm 2025</t>
  </si>
  <si>
    <t>4. Bộ phận Than Hoá Khí: 6 tháng đầu năm xảy ra 1 số sự cố như sau:</t>
  </si>
  <si>
    <t>- Thí nghiệm thành công bài phối liệu xương (ốp-lát) tái sử dụng gạch phế nghiền sau nung và bể vỡ từ kho thành phẩm….đã chạy BCN, làm báo cáo, gửi đi phân tích kết quả tại Viện VLXD và đưa vào chạy đại trà vào tháng 7/2025</t>
  </si>
  <si>
    <t>- Phương án tái sử dụng than cám từ trạm THK, tro than từ trạm THK, kết hợp với than cám 4a, 4b và trấu+mùn cưa đưa vào đốt cho lò than xích (dự kiến thực hiện tử 13/07 - 23/7/2025)</t>
  </si>
  <si>
    <t>- Phương án đưa hệ thống lọc khung bản vào sử dụng và tái sử dụng bã men sau lọc khung bản (sẽ thí nghiệm sau khi có kết quả bã men từ lọc khung bản), thực hiện trong tháng 7/2025 theo tiến độ lắp đặt từ PXCĐ-NL và P.KH-TH</t>
  </si>
  <si>
    <t xml:space="preserve">- Trong tháng 7/2025 sẽ thực hiện áp dụng hệ thống quản lý môi trường ISO 14001:2015. </t>
  </si>
  <si>
    <t>- Thực hiện các thí nghiệm giảm giá thành cho sản phẩm như: sử dụng Frit 356G (đã chạy BCN đạt), các loại đất sét khu vực Vĩnh cửu (đất sét vàngThành phát đã đưa vào sử dụng), các đất sét đã đi thực tế tại BECAMEX Bình dương (đang làm báo cáo), phối trộn sử dụng các tỷ lệ than khác nhau nhằm mang lại hiêụ quả cao</t>
  </si>
  <si>
    <t>- Tinh giảm biên chế nhân sự P.KT-CN từ 29 nhân sự còn 25 nhân sự. Đáp ứng được công việc</t>
  </si>
  <si>
    <t>3. Bộ phận Tạo bột - tạo men: Nhân sự từ 69 người trong tháng 07 còn 65 người</t>
  </si>
  <si>
    <t>* Ngoài ra theo sự chỉ đạo từ  Ông TGĐ Công ty và Ông Phó TGĐ Phụ trách. P.KT-CN đã thí nghiệm thành công các đề án và phương án (chuẩn bị đưa vào sản xuất và thực hiện trong tháng 7/2025) nhằm mục đích giảm giá thành sản phẩm, giảm thiểu phát thải các loại chất thải ra môi  trường như sau:</t>
  </si>
  <si>
    <t>- Thực hiện chỉ đạo chung tinh giảm nhân sự toàn công ty (thực tế theo bảng đính kèm như trên)</t>
  </si>
  <si>
    <t>KẾ HOẠCH 50*50</t>
  </si>
  <si>
    <t>THỰC HIỆN 50*50</t>
  </si>
  <si>
    <t>KẾ HOẠCH 60*60</t>
  </si>
  <si>
    <t>THỰC HIỆN 60*60</t>
  </si>
  <si>
    <t>2 vụ lệch màu, 1 vụ cong mo, 1 vụ lệch chỉ</t>
  </si>
  <si>
    <t>2 vụ công vênh</t>
  </si>
  <si>
    <t>1 vụ cong vênh, 1 vụ lệch chỉ</t>
  </si>
  <si>
    <t>2 vụ cong vênh, 1 vụ lệch chỉ, 1 vụ lỗi bề mặt</t>
  </si>
  <si>
    <t>2 vụ cong vênh, 1 vụ lệch chỉ</t>
  </si>
  <si>
    <t>BÁO CÁO SẢN LƯỢNG - CHẤT LƯỢNG - THU HỒI TỔNG</t>
  </si>
  <si>
    <t>Tháng</t>
  </si>
  <si>
    <t>Dây chuyền</t>
  </si>
  <si>
    <t>Loại số liệu</t>
  </si>
  <si>
    <t>Thực hiện</t>
  </si>
  <si>
    <t>50x50 Sugar</t>
  </si>
  <si>
    <t>50x50 Bóng</t>
  </si>
  <si>
    <t>Tổng kế hoạch</t>
  </si>
  <si>
    <t>Tổng thực hiện</t>
  </si>
  <si>
    <t>TỔNG KẾ HOẠCH</t>
  </si>
  <si>
    <t>TỔNG THỰC HIỆN</t>
  </si>
  <si>
    <t xml:space="preserve">TỔNG THỰC HIỆN
</t>
  </si>
  <si>
    <t>So sánh</t>
  </si>
  <si>
    <t>60x60 bóng</t>
  </si>
  <si>
    <t>60x60 Matt</t>
  </si>
  <si>
    <t>BẢO DƯỠNG</t>
  </si>
  <si>
    <t>Loại</t>
  </si>
  <si>
    <t>Tổng SX DC1</t>
  </si>
  <si>
    <t>BÁO CÁO SẢN LƯỢNG THEO CÁC THƯƠNG HIỆU</t>
  </si>
  <si>
    <t>Sugar Sân vườn</t>
  </si>
  <si>
    <t>Giảm ĐM</t>
  </si>
  <si>
    <t>Vượt ĐM</t>
  </si>
  <si>
    <t>BÁO CÁO TIÊU HAO VẬT TƯ</t>
  </si>
  <si>
    <t>Sân vườn Matt</t>
  </si>
  <si>
    <t>Tên than</t>
  </si>
  <si>
    <t>Loại đốt lò</t>
  </si>
  <si>
    <t>Không tính tiêu hao</t>
  </si>
  <si>
    <t>Có tính tiêu hao</t>
  </si>
  <si>
    <t>Tổng sử dụng</t>
  </si>
  <si>
    <t>Tỷ lệ cám</t>
  </si>
  <si>
    <t>Tỷ lệ xít đá</t>
  </si>
  <si>
    <t>Tiêu hao (cục+cám+lĩnh bù)</t>
  </si>
  <si>
    <t>Xuất cám</t>
  </si>
  <si>
    <t>% Xuất cám</t>
  </si>
  <si>
    <t>Hải Thành ngày 2-3/1/2025</t>
  </si>
  <si>
    <t>Hưng Tam Long 18-22/12/2024</t>
  </si>
  <si>
    <t>Hưng Tam Long 17-20/3/2025</t>
  </si>
  <si>
    <t>BÁO CÁO SỬ DỤNG THAN</t>
  </si>
  <si>
    <t>Ngày</t>
  </si>
  <si>
    <t>02-03/01/2025</t>
  </si>
  <si>
    <t>Hải Thành</t>
  </si>
  <si>
    <t>Hưng Tam Long</t>
  </si>
  <si>
    <t>Kho</t>
  </si>
  <si>
    <t>Đức Anh</t>
  </si>
  <si>
    <t>Ngày nhập</t>
  </si>
  <si>
    <t>Kho 4</t>
  </si>
  <si>
    <t>Kho 1+2</t>
  </si>
  <si>
    <t>Men EW (PSG)</t>
  </si>
  <si>
    <t>Men EW (PN)</t>
  </si>
  <si>
    <t>Men EW (Matt)</t>
  </si>
  <si>
    <t>Men GW (PSG)</t>
  </si>
  <si>
    <t>Men GW (PN)</t>
  </si>
  <si>
    <t>Bi cao nhôm (Grand)</t>
  </si>
  <si>
    <t>Bi cao nhôm (Luxury)</t>
  </si>
  <si>
    <t>Men EF (B)</t>
  </si>
  <si>
    <t>Men EF (SV)</t>
  </si>
  <si>
    <t>Men GF (B)</t>
  </si>
  <si>
    <t>Men SF (V/P)</t>
  </si>
  <si>
    <t>Men GF (Matt)</t>
  </si>
  <si>
    <t>Men EF (Matt)</t>
  </si>
  <si>
    <t xml:space="preserve">BÁO CÁO TỔNG HỢP KẾT QUẢ SẢN XUẤT THÁNG 07 NĂM 2025 CỦA 2 DÂY CHUYỀN   </t>
  </si>
  <si>
    <t>Thực hiện
30x60</t>
  </si>
  <si>
    <t>Thực hiện 50x50</t>
  </si>
  <si>
    <t>Thực hiện 60x60</t>
  </si>
  <si>
    <t>Thực hiện 40x80</t>
  </si>
  <si>
    <t>Tổng                kế hoạch DC2</t>
  </si>
  <si>
    <t>Tổng            thực hiện DC2</t>
  </si>
  <si>
    <t>TỔNG             KẾ HOẠCH</t>
  </si>
  <si>
    <t xml:space="preserve">TỔNG         THỰC HIỆN
</t>
  </si>
  <si>
    <r>
      <t xml:space="preserve">1. Dây chuyền số 1: </t>
    </r>
    <r>
      <rPr>
        <sz val="12"/>
        <color theme="1"/>
        <rFont val="Times New Roman"/>
        <family val="1"/>
      </rPr>
      <t xml:space="preserve">- Tổng 31 ngày SX. Chạy 30x60mm. Chất lượng, sản lượng, tiêu hao nguyên vật liệu đạt theo KH.	</t>
    </r>
    <r>
      <rPr>
        <b/>
        <sz val="12"/>
        <color theme="1"/>
        <rFont val="Times New Roman"/>
        <family val="1"/>
      </rPr>
      <t xml:space="preserve">											</t>
    </r>
  </si>
  <si>
    <r>
      <rPr>
        <b/>
        <sz val="12"/>
        <color rgb="FF000000"/>
        <rFont val="Times New Roman"/>
        <family val="1"/>
      </rPr>
      <t>2. Dây chuyền 2</t>
    </r>
    <r>
      <rPr>
        <sz val="12"/>
        <color rgb="FF000000"/>
        <rFont val="Times New Roman"/>
        <family val="1"/>
      </rPr>
      <t>: Tổng 30 ngày SX (01 ngày chuyển đổi, nhưng thực tế chuyển đổi 0,5 ngày). Theo KH chạy 22 ngày 40x80mm men Panson nhưng do yêu cầu từ P.KD nên chạy 30 ngày và 60x60mm ( 0,5 ngày).</t>
    </r>
  </si>
  <si>
    <t>II. Sản lượng theo các thương hiệu sản xuất tháng 07/ 2025</t>
  </si>
  <si>
    <t>TỔNG MEN PHƯƠNG NAM:</t>
  </si>
  <si>
    <t>TỔNG MEN PANSON:</t>
  </si>
  <si>
    <t>TỔNG MEN MATT:</t>
  </si>
  <si>
    <t>TỔNG DC1 THÁNG 07</t>
  </si>
  <si>
    <t>TỔNG 50x50 Sugar sân vườn:</t>
  </si>
  <si>
    <t>TỔNG 50x50               men Bóng:</t>
  </si>
  <si>
    <t>TỔNG 60x60               men Bóng:</t>
  </si>
  <si>
    <t>TỔNG 60x60               men Matt:</t>
  </si>
  <si>
    <t>TỔNG 40x40               men Panson:</t>
  </si>
  <si>
    <t>III. Tiêu hao vật tư tháng 07 năm 2025:</t>
  </si>
  <si>
    <t>Men GW (Matt)</t>
  </si>
  <si>
    <t>Bổ sung ngoài đơn 17.000 Kg</t>
  </si>
  <si>
    <t>Sử dụng 83,03 m2/ pallet</t>
  </si>
  <si>
    <t>2. Tiêu hao vật tư  60x60 SX DC2:</t>
  </si>
  <si>
    <t xml:space="preserve">TB: 59,2 m2/ pallet </t>
  </si>
  <si>
    <t>3. Tiêu hao vật tư  40x80 SX DC2:</t>
  </si>
  <si>
    <t xml:space="preserve">TB: 61,69 m2/ pallet </t>
  </si>
  <si>
    <t>Bổ sung ngoài đơn</t>
  </si>
  <si>
    <t>IV. Sử dụng than trong tháng 07/2025:</t>
  </si>
  <si>
    <t>1. Dây chuyền số 1 (kích thước 30x60) từ 01/07 đến 31/07/2025:</t>
  </si>
  <si>
    <t>Đốt từ ngày 1-15/07/2025</t>
  </si>
  <si>
    <t>Đức Anh kho 1 nhập ngày 07-08/07/2025</t>
  </si>
  <si>
    <t>Đốt ngày 15-30/07/2025</t>
  </si>
  <si>
    <t>Hưng Tam Long kho 4 nhập ngày 02-03/07/2025</t>
  </si>
  <si>
    <t>Đức Anh kho 3 nhập ngày 23-26/07/2025</t>
  </si>
  <si>
    <t>Đốt ngày 30-31/07/2025</t>
  </si>
  <si>
    <t>Tổng sử dụng:</t>
  </si>
  <si>
    <t>4. Tổng dây chuyền 2 ( kích thước:  40x80 và 60x60mm):</t>
  </si>
  <si>
    <t>5. Tổng sử dụng của 2 DC từ 01-31/07/2025</t>
  </si>
  <si>
    <t xml:space="preserve">- Tổng khối lượng than sử dụng cho 2 dây chuyền từ ngày 1/7/2025 đến 31/7/2025 là 2.520.680 kg. Tổng khối lượng than sử dụng cho DC1 là 1.272.114  kg, tổng khối lượng than sử dụng cho DC2 là 1.292.020 kg </t>
  </si>
  <si>
    <t xml:space="preserve">+ Từ ngày 01-15/07/2025 đốt than Đức Anh ( nhập ngày 5-7/06/2025/2025, tổng nhập: 2.563.000 kg, đã chốt lô, lĩnh bù 20.343kg) </t>
  </si>
  <si>
    <t xml:space="preserve">+ Từ ngày 15/07/2025 đốt than trộn Đức Anh 70%+ HTL 30% </t>
  </si>
  <si>
    <t xml:space="preserve">+ Từ ngày 18/07/2025 đốt than trộn Đức Anh 50%+ HTL 50% </t>
  </si>
  <si>
    <t>+Từ ngày 15-30/07/2025 đốt than Đức Anh nhập ngày 07-08/07/2025 ( tổng nhập : 541.410kg, đã chốt lô)</t>
  </si>
  <si>
    <t xml:space="preserve">+ Từ ngày 15-30/07/2025 đốt than Hưng Tam Long ( nhập ngày 02-03/07/2025, tổng nhập: 1.018.780kg, đã chốt lô, lĩnh bù: 17.740kg) </t>
  </si>
  <si>
    <t xml:space="preserve">+ Từ ngày 30-31/07/2025 đốt than Đức Anh ( nhập ngày 23-26/07/2025, tổng nhập: 3.180.770 kg, chưa chốt lô, chưa tính tiêu hao) </t>
  </si>
  <si>
    <t xml:space="preserve">- Tổng sản lượng thu hồi của 2 dây chuyền từ ngày 01-31/7/2025 là  924.110,16 m2, trong đó sản lượng của DC1 là 487.823,04 m2, sản lượng  DC2 là 436.287,12  m2. </t>
  </si>
  <si>
    <t>- Tổng xuất than cám đến ngày 31/7/2025 là 334.756 kg, trong đó chia theo tỷ lệ các loại than  như sau :</t>
  </si>
  <si>
    <t>+ Xuất cám  ngày 21/07/2025:  143.599 kg ( đã quy ẩm)  ( 100% than ĐA 5-7/06/2025 )</t>
  </si>
  <si>
    <t xml:space="preserve">+ Xuất cám ngày 1/8/2025 :44.881 kg ( đã quy ẩm)  ( than Đức Anh 07-08/07/2025 )
                                                 39.860 kg( đã quy ẩm)  ( than  HTL 02-03/07/2025)
                                                   </t>
  </si>
  <si>
    <t xml:space="preserve">+ Xuất cám ngày 2/8/2025 :  56.572 kg ( đã quy ẩm)  ( than Đức Anh 07-08/07/2025  )
                                                 50.143 kg ( đã quy ẩm)  ( than HTL 02-03/07/2025 )
                                                  </t>
  </si>
  <si>
    <t>V. Nhân sự tháng 07 năm 2025:</t>
  </si>
  <si>
    <t>Điều chỉnh theo định biên mới</t>
  </si>
  <si>
    <t>Tổng số nhân sự đến 31/07/25</t>
  </si>
  <si>
    <t>Đốc ca</t>
  </si>
  <si>
    <t>VI. Đánh giá KQ SX tháng 07 năm 2025:</t>
  </si>
  <si>
    <r>
      <t xml:space="preserve">1. Dây chuyền số 1: </t>
    </r>
    <r>
      <rPr>
        <sz val="12"/>
        <color theme="1"/>
        <rFont val="Times New Roman"/>
        <family val="1"/>
      </rPr>
      <t xml:space="preserve">- Bắt đầu ép nung lúc 09h ngày 11/06/2025 chất lượng sản lượng, tiêu hao nguyên vật liệu đạt theo KH.	</t>
    </r>
    <r>
      <rPr>
        <b/>
        <sz val="12"/>
        <color theme="1"/>
        <rFont val="Times New Roman"/>
        <family val="1"/>
      </rPr>
      <t xml:space="preserve">											</t>
    </r>
  </si>
  <si>
    <t>- Cuối tháng xuất hiện lỗi bụi đen nhiều. Đã vệ sinh vùng đầu lò, trần lò, gầm lò, hệ thống lọc tổng, lọc tinh, bép đốt, tinh chỉnh lại áp suất khí gas, thay 140 con lăn bám bụi đen….lỗi có giảm nhưng chưa hết triệt để.</t>
  </si>
  <si>
    <t xml:space="preserve">- Bắt đầu chạy lại ngày 11/06 nhân sự thiếu Ca trưởng, ca phó PLĐG phải bố trí đi 12 nghỉ 12 tiếng đến ngày ngày 22/06 chuyển về 12 nghỉ 24. </t>
  </si>
  <si>
    <t>Nhân sự theo định biên mới
 -  Văn phòng gồm 1 Đốc Công và 1 Thống Kê
 -  Bộ phận ETM : 7 người/Ca. 1 người hành chính.
 -  Bộ phận Lò Nung: Tuyển mới 3 người. Nghỉ việc 2 người. Chuyển TBTM 1 người. 
 -  Bộ phận PLĐG: Tuyển mới 9 người. Nghỉ việc 6 người. Từ ngày 08/07/2025 - 18/07/2025 đi 12/12. Đến ngày 19/07/2025 -31/07/2025 đi lại 12/24
-  Vệ sinh công nghiệp: 1 người.</t>
  </si>
  <si>
    <t>- Tháng 7/2025 dây chuyền 2 chạy sản phẩm KT 400x800. Chất lượng, sản lượng đạt theo kế hoạch. Do thay đổi KH theo nhu cầu Kinh Doanh nên còn 0,5 ngày chạy 600x600mm nên chất lượng, thu hồi thấp.</t>
  </si>
  <si>
    <t>- Máy số 1 đưa vào sử dụng từ ngày 30/07/2025 nghiền xương ốp. Hiện tại sử dụng máy 1,2,3 nghiền ốp, máy 4-5-6 nghiền lát. Máy số 3 sẽ linh động chuyển sang nghiền lát nếu thiếu hồ.</t>
  </si>
  <si>
    <t>- Ngày 17/07/25 đốt thử nghiệm than cám+than indo+mùn cưa với tỷ lệ lần 1 (75/20/5), lần 2 (30/65/5). Vẫn không lên nhiệt được, nên tạm ngừng đốt lò than xích tìm phương án hiệu quả hơn.</t>
  </si>
  <si>
    <t>- Đến ngày 28/07/25 ra phương án phối trộn bã điều + củi băm tỷ lệ 65/35. Nhiệt lên đều, ổn định, chất lượng bột đảm bảo theo TSKT. Đã làm báo cáo</t>
  </si>
  <si>
    <t>- Duy trì việc kiểm tra, giám sát quá trình kho bãi chứa, cân nạp liệu xương - men ốp lát, vệ sinh silo, hầm hồ theo định kỳ, kiểm tra định kỳ lớp lót các cối nghiền xương - men, lên phương án, kết hợp PXCĐ lên kế hoạch bảo dưỡng liên tục, đảm bảo máy móc thiết bị hoạt động ổn định.</t>
  </si>
  <si>
    <t xml:space="preserve">- Trong tháng làm thí nghiệm và đưa vào chạy BCN 1 bài phối liệu xương sử dụng phế gạch nghiền kết hợp đất sét VT2 thay thế ĐS VT1 sắp hết, điều chỉnh tỷ lệ sử dụng Phế gạch nghiền trong bài ốp - lát duy trì chạy ổn định liên tục. </t>
  </si>
  <si>
    <t>- Tiếp tục lên phương án chạy BCN bài men Engobe (lát) và men matt (lát) sử dụng bả men từ hệ thống lọc khung bản, nhằm giảm thiểu chất thải nguy hại ra môi trường, giảm chi phí sản xuất.</t>
  </si>
  <si>
    <t>- Kết hợp P.KH-TH lên phương án chuyển tải, sắp xếp kho bãi các loại nguyên liệu ngoài trời hợp lý, ổn định, đáp ứng đủ phục vụ SX.</t>
  </si>
  <si>
    <t>- Tiếp tục thực hiện kế hoạch trong tháng 08/2025, tăng cường kiểm soát công nghệ sản xuất 2 DC ốp - lát. nâng cao quản lý kiểm soát các công đoạn, các tiêu chuẩn sản phẩm đảm bảo chất lượng tới tay khách hàng.</t>
  </si>
  <si>
    <t xml:space="preserve">- Lò 3.6 đưa vào hoạt động lại theo đúng quy trình, kết hợp lò 4.0 cung cấp ổn định chất lượng khí cho 2 lò nung DC1. </t>
  </si>
  <si>
    <t>VII. Kế hoạch thực hiện tháng 08/2025</t>
  </si>
  <si>
    <t>DC1     (Từ 01-31/8)</t>
  </si>
  <si>
    <t>TỔNG KẾ HOẠCH DC 1</t>
  </si>
  <si>
    <t>DC2     (Từ 01-20/8)</t>
  </si>
  <si>
    <t xml:space="preserve"> 60x60     </t>
  </si>
  <si>
    <t>DC2     (Từ 21-31/8)</t>
  </si>
  <si>
    <t>TỔNG KẾ HOẠCH DC 2</t>
  </si>
  <si>
    <t>TỔNG KẾ HOẠCH 2 DC</t>
  </si>
  <si>
    <t>VIII. Mục tiêu thực hiện tháng 08/2025</t>
  </si>
  <si>
    <t>DC1   (Từ 01-31/8)</t>
  </si>
  <si>
    <t>TỔNG              MỤC TIÊU DC 1</t>
  </si>
  <si>
    <t>TỔNG MỤC TIÊU         DC 2</t>
  </si>
  <si>
    <t xml:space="preserve">TỔNG MỤC TIÊU           2 DC </t>
  </si>
  <si>
    <r>
      <rPr>
        <b/>
        <sz val="12"/>
        <color rgb="FF000000"/>
        <rFont val="Times New Roman"/>
        <family val="1"/>
      </rPr>
      <t>2. Dây chuyền 2</t>
    </r>
    <r>
      <rPr>
        <sz val="12"/>
        <color rgb="FF000000"/>
        <rFont val="Times New Roman"/>
        <family val="1"/>
      </rPr>
      <t>: Tổng 30 ngày SX ( 01 ngày chuyển đổi). Chạy KT 60x60mm (15 ngày) và 50x50mm (15 ngày)</t>
    </r>
  </si>
  <si>
    <t>* Kế hoạch các phòng ban/ phân xưởng cần thực hiện trong tháng 8 như sau:</t>
  </si>
  <si>
    <t>- PXSX kết hợp P.KT-CN: Đốt thử nghiệm củi băm phối trộn bã điều theo tỷ lệ 25-30% và làm báo cáo</t>
  </si>
  <si>
    <t xml:space="preserve">- PXSX + PXCĐ-NL sớm hoàn thiện đường vào và lợp mái che, đưa máy ép lọc khung bản vào hoạt động. </t>
  </si>
  <si>
    <t>- PXCĐ-NL tiếp tục hoàn thiện hệ thống xử lý nước để đưa vào sử dụng lâu dài</t>
  </si>
  <si>
    <t>- P.KH-TH chuẩn bị kho bãi chứa bã men sau lọc khung bản, củi băm để có kế hoạch lâu dài phục vụ sản xuất</t>
  </si>
  <si>
    <t>- P.KH-TH tìm nguồn nguyên liệu thay thế trường thạch An giang và đất sét dự phòng sử dụng lâu dài đáp ứng kế hoạch sản xuất.</t>
  </si>
  <si>
    <t xml:space="preserve">- P.KT-CN triển khai kế hoạch chạy BCN bài men E (lát) và men Matt (lát) sử dụng bã men thu hồi từ HT ép lọc khung bản. </t>
  </si>
  <si>
    <t>- PKT-CN thí nghiệm các bài xương ốp - lát thay thế nguồn trường  thạch An giang, lên kế hoạch chạy BCN làm báo cáo và đưa vào chạy đại trà sớm nhất có thể.</t>
  </si>
  <si>
    <t>- Các phòng ban/ phân xưởng duy trì thực hiện Quản lý môi trường ISO 14001:2015 từ ngày 01/07/2025</t>
  </si>
  <si>
    <t>- P.TC-HC sớm hoàn thiện các biển báo về PCCC, rác thải, chất thải, thiết bị PCCC…ở các vị trí, khu vực đã kiểm tra thực tế lần 2 ngày 25/07/25 và hoàn thành trước ngày 25 tháng 8 năm 2025 để chuẩn bị cho đợt đánh giá nội bộ HTQLMT ISO 14001:2025 (dự kiến theo kế hoạch trong tháng 9/2025). Cần hoàn thiện gấp bảng đánh giá hồ sơ về pháp lý áp dụng từ ngày 01 tháng 07 năm 2025 sau sát nhập.</t>
  </si>
  <si>
    <t>- Các phòng ban/ phân xưởng kết hợp Công Đoàn và P.TC-HC triển khai duy trì việc thực hiện, áp dụng hệ thống QLMT ISO 14001:2015. Tuyên truyền công tác bảo vệ môi trường và đôn đốc CBCNV thực hiện bảo vệ môi trường tại khu vực quản lý</t>
  </si>
  <si>
    <t>Đồng Nai, ngày 07 tháng 08 năm 2025</t>
  </si>
  <si>
    <t>Q.QĐ PXSX</t>
  </si>
  <si>
    <t xml:space="preserve"> Thực tế</t>
  </si>
  <si>
    <t>5. Tổng dây chuyền 2 (kích thước:  50x50, 60x60, 40x80):</t>
  </si>
  <si>
    <t>Đơn vị</t>
  </si>
  <si>
    <t>BẢNG NHẬP</t>
  </si>
  <si>
    <t>BẢNG QUY ĐỊNH CHUNG</t>
  </si>
  <si>
    <t>LOẠI MEN</t>
  </si>
  <si>
    <t>Cũ (theo báo cáo)</t>
  </si>
  <si>
    <t>Mới (quy định lại)</t>
  </si>
  <si>
    <t>Men EWB</t>
  </si>
  <si>
    <t>Men GWB</t>
  </si>
  <si>
    <t>- F: Floor = Lát nền</t>
  </si>
  <si>
    <t>Men EF (PN)</t>
  </si>
  <si>
    <t>Men EFB</t>
  </si>
  <si>
    <t>Men GF (PN)</t>
  </si>
  <si>
    <t>Men GFB</t>
  </si>
  <si>
    <t>Men EWP</t>
  </si>
  <si>
    <t>Men GWP</t>
  </si>
  <si>
    <t>Men EF (PSG)</t>
  </si>
  <si>
    <t>Men EFP</t>
  </si>
  <si>
    <t>Men GF (PSG)</t>
  </si>
  <si>
    <t>Men GFP</t>
  </si>
  <si>
    <t>Men EWM</t>
  </si>
  <si>
    <t>Men GWM</t>
  </si>
  <si>
    <t>Men EFM</t>
  </si>
  <si>
    <t>Men GFM</t>
  </si>
  <si>
    <t>Men EFSV</t>
  </si>
  <si>
    <t>Men SFSV</t>
  </si>
  <si>
    <t>Tất cả đều tính tổng (không có + C)</t>
  </si>
  <si>
    <t>Chung</t>
  </si>
  <si>
    <t>*Chỉ cần nhập cột Định mức tiêu hao và Lượng SD</t>
  </si>
  <si>
    <t>Kho 3</t>
  </si>
  <si>
    <t>NGÀY NHẬP</t>
  </si>
  <si>
    <t>BẢNG THAN</t>
  </si>
  <si>
    <t>- W: Wall = ốp tường.</t>
  </si>
  <si>
    <t>BẢNG KÍCH THƯỚC MEN</t>
  </si>
  <si>
    <t>Row Labels</t>
  </si>
  <si>
    <t>Grand Total</t>
  </si>
  <si>
    <t>Column Labels</t>
  </si>
  <si>
    <t>Sum of Tổng (A1+A+B)</t>
  </si>
  <si>
    <t>Cơ Cấu Chất Lượng Sản Lượng (A1, A, B)</t>
  </si>
  <si>
    <t>Hiệu Suất Tiêu Hao so với Định Mức</t>
  </si>
  <si>
    <t>Sum of Sản lượng</t>
  </si>
  <si>
    <t>Sản lượng theo thương hiệu</t>
  </si>
  <si>
    <t>PHẦN 1: BÁO CÁO SẢN LƯỢNG - CHẤT LƯỢNG - THU HỒI TỔNG</t>
  </si>
  <si>
    <t>Thẻ số</t>
  </si>
  <si>
    <t>% Hoàn thành kế hoạch</t>
  </si>
  <si>
    <t>Sum of A1</t>
  </si>
  <si>
    <t>Sum of A</t>
  </si>
  <si>
    <t>Sum of B</t>
  </si>
  <si>
    <t>Values</t>
  </si>
  <si>
    <t>Tổng sản lượng (A1+A+B)</t>
  </si>
  <si>
    <t>PHẦN II: SẢN LƯỢNG THEO CÁC THƯƠNG HIỆU</t>
  </si>
  <si>
    <t>PHẦN III: TIÊU HAO VẬT TƯ</t>
  </si>
  <si>
    <t>Sum of Giảm ĐM</t>
  </si>
  <si>
    <t>Sum of Vượt ĐM</t>
  </si>
  <si>
    <t xml:space="preserve">Sum of KL Lĩnh </t>
  </si>
  <si>
    <t>_</t>
  </si>
  <si>
    <t>Sum of Số ngày SX</t>
  </si>
  <si>
    <t>Sum of T/g dừng 2MF</t>
  </si>
  <si>
    <t>Tiêu hao (Kg/m2)</t>
  </si>
  <si>
    <t>Tiêu hao (có cám - % cám)</t>
  </si>
  <si>
    <t>Tiêu hao (cục+cám+lĩnh bù - Kg)</t>
  </si>
  <si>
    <t>Cục + Cám</t>
  </si>
  <si>
    <t>Cục + Cám + Lĩnh bù</t>
  </si>
  <si>
    <t>T/g dừng tổng</t>
  </si>
  <si>
    <t>Sum of T/g dừng tổng</t>
  </si>
  <si>
    <t>Average of Định mức tiêu hao</t>
  </si>
  <si>
    <t>Sản lượng thực tế</t>
  </si>
  <si>
    <t>Sum of Tiêu hao thực tế</t>
  </si>
  <si>
    <t>Phần IV: Tiêu hao vật tư</t>
  </si>
  <si>
    <t>TỔNG DC1 THÁNG 08</t>
  </si>
  <si>
    <t xml:space="preserve">BÁO CÁO TỔNG HỢP KẾT QUẢ SẢN XUẤT THÁNG 08 NĂM 2025 CỦA 2 DÂY CHUYỀN   </t>
  </si>
  <si>
    <t>TỔNG DC2 THÁNG 08</t>
  </si>
  <si>
    <t>V. Nhân sự:</t>
  </si>
  <si>
    <t>II. Sản lượng theo các thương hiệu:</t>
  </si>
  <si>
    <t>III. Tiêu hao vật tư:</t>
  </si>
  <si>
    <t>IV. Sử dụng than trong tháng:</t>
  </si>
  <si>
    <t>6. Tổng sử dụng của 2 DC trong tháng:</t>
  </si>
  <si>
    <t>VI. Kế hoạch thực hiện tháng 09/2025</t>
  </si>
  <si>
    <t xml:space="preserve">DC1     </t>
  </si>
  <si>
    <t>VII. Mục tiêu thực hiện tháng 09/2025</t>
  </si>
  <si>
    <t>TỔNG              MỤC TIÊU DC 2</t>
  </si>
  <si>
    <t xml:space="preserve">TỔNG              MỤC TIÊU 2 DC </t>
  </si>
  <si>
    <t>Tất cả tính tiêu hao: Đều không tính loại C</t>
  </si>
  <si>
    <t xml:space="preserve">TB: 91,5 m2/ pallet </t>
  </si>
  <si>
    <t>Theo đơn mỗi mẻ tăng 75kg</t>
  </si>
  <si>
    <t>3. Dây chuyền số 2:</t>
  </si>
  <si>
    <t xml:space="preserve">BÁO CÁO TỔNG HỢP KẾT QUẢ SẢN XUẤT THÁNG 09 NĂM 2025 CỦA 2 DÂY CHUYỀN   </t>
  </si>
  <si>
    <t>Địa chỉ: Cụm CN VLXD Tân An, X. Tân An, T. Đồng Nai</t>
  </si>
  <si>
    <r>
      <rPr>
        <b/>
        <sz val="12"/>
        <color rgb="FF000000"/>
        <rFont val="Times New Roman"/>
        <family val="1"/>
      </rPr>
      <t>2. Dây chuyền 2</t>
    </r>
    <r>
      <rPr>
        <sz val="12"/>
        <color rgb="FF000000"/>
        <rFont val="Times New Roman"/>
        <family val="1"/>
      </rPr>
      <t>: Tổng 30 ngày SX (01 ngày chuyển đổi, nhưng thực tế chuyển đổi 0,5 ngày). Chạy 09 ngày 50x50mm, 20,5 ngày và 40x80mm.</t>
    </r>
  </si>
  <si>
    <t>II. Sản lượng theo các thương hiệu sản xuất tháng 09/ 2025</t>
  </si>
  <si>
    <t>III. Tiêu hao vật tư tháng 09 năm 2025:</t>
  </si>
  <si>
    <t>VI. Đánh giá KQ SX tháng 09 năm 2025:</t>
  </si>
  <si>
    <t>VII. Kế hoạch thực hiện tháng 10/2025</t>
  </si>
  <si>
    <t>V. Nhân sự tháng 09 năm 2025:</t>
  </si>
  <si>
    <t>5. Tổng sử dụng của 2 DC từ 01-30/09/2025</t>
  </si>
  <si>
    <t>IV. Sử dụng than trong tháng 09/2025:</t>
  </si>
  <si>
    <t>1. Dây chuyền số 1 (kích thước 30x60) từ 01/09 đến 30/09/2025:</t>
  </si>
  <si>
    <t>VIII. Mục tiêu thực hiện tháng 10/2025</t>
  </si>
  <si>
    <t>Đồng Nai, ngày 06 tháng 10 năm 2025</t>
  </si>
  <si>
    <t>Sử dụng 81,25 m2/ pallet</t>
  </si>
  <si>
    <t xml:space="preserve">TB: 81,12 m2/ pallet </t>
  </si>
  <si>
    <t xml:space="preserve">TB: 63,60 m2/ pallet </t>
  </si>
  <si>
    <t>Hải Thành kho 3+4 nhập ngày 04-05/09/2025</t>
  </si>
  <si>
    <t>Thịnh Huyền kho 2 nhập ngày 30/08/2025</t>
  </si>
  <si>
    <t>Hưng Tam Long kho 1 nhập ngày 12-13/09/2025</t>
  </si>
  <si>
    <t>Đốt từ ngày 01-09/09/2025</t>
  </si>
  <si>
    <t>Đốt từ ngày 09-30/09/2025</t>
  </si>
  <si>
    <t>Đốt từ ngày 09-18/09/2025</t>
  </si>
  <si>
    <t>Đốt từ ngày 18-30/09/2025</t>
  </si>
  <si>
    <t>3. Dây chuyền số 2 (kích thước 40x80):</t>
  </si>
  <si>
    <t>4. Tổng dây chuyền 2 ( kích thước:  50x50 và 40x80mm):</t>
  </si>
  <si>
    <t xml:space="preserve">- Tổng khối lượng than sử dụng cho 2 dây chuyền từ ngày 01/09/2025 đến 30/9/2025 là 2.489.771 kg. Tổng khối lượng than sử dụng cho DC1 là 1.309.895 kg, tổng khối lượng than sử dụng cho DC2 là 1.179.876 kg </t>
  </si>
  <si>
    <t xml:space="preserve">+ Từ ngày 01-09/09/2025 đốt than Đức Anh (nhập ngày 23-26/07/2025/2025, tổng nhập: 3.180.770 kg, đã chốt lô, đã tính tiêu hao) </t>
  </si>
  <si>
    <t>+ Từ ngày 09-15/09/2025 đốt than trộn Hải Thành 50% + Thịnh Huyền 50%. Than Hải Thành nhập ngày 04-05/09/2025 (tổng nhập: 2.277.400 kg, chưa chốt lô, chưa tính tiêu hao). Than Thịnh Huyền nhập ngày 30/08/2025 (tổng nhập: 412.170 kg, đã chốt lô, đã tính tiêu hao, lĩnh bù: 13.837 kg)</t>
  </si>
  <si>
    <t>+ Từ ngày 18-30/09/2025 đốt than trộn Hải Thành 50% + Hưng Tam Long 50%. Than Hải Thành nhập ngày 04-05/09/2025 (tổng nhập: 2.277.400 kg, chưa chốt lô, chưa tính tiêu hao). Than Hưng Tam Long nhập ngày 12-13/09/2025 (tổng nhập: 1.048.130 kg, chưa chốt lô, chưa tính tiêu hao)</t>
  </si>
  <si>
    <t xml:space="preserve">- Tổng sản lượng thu hồi của 2 dây chuyền từ ngày 01-30/09/2025 là 895.393,50 m2, trong đó sản lượng của DC1 là 461.947,68 m2, sản lượng  DC2 là 433.444,82 m2. </t>
  </si>
  <si>
    <t>- Tổng xuất than cám đến ngày 30/09/2025 là 296.627 kg, trong đó chia theo tỷ lệ các loại than  như sau :</t>
  </si>
  <si>
    <t>+ Xuất cám  ngày 11/09/2025:  85.507 kg (đã quy ẩm)  (100% than Đức Anh 23-26/07/2025)</t>
  </si>
  <si>
    <t>+ Xuất cám  ngày 18/09/2025:  73.875 kg (đã quy ẩm)  (50% than Hải Thành 04-05/09/2025, 50% than Thịnh Huyền 30/08/2025)</t>
  </si>
  <si>
    <t>+ Xuất cám  ngày 01/10/2025:  74.721 kg (đã quy ẩm)  (50% than Hải Thành 04-05/09/2025, 50% than Hưng Tam Long 12-13/09/2025)</t>
  </si>
  <si>
    <t>- Vì khối lượng cám xuất của 4 loại than nên chênh lệch 1-2kg do làm tròn số</t>
  </si>
  <si>
    <t>Thịnh Huyền</t>
  </si>
  <si>
    <t>1. Dây chuyền 1: Tổng 31 ngày sản xuất. Chạy 30x60 mm (chu kỳ ép 15,6 x 0,72 x 1400 x 0,98 = 15.410 m2/ ngày)</t>
  </si>
  <si>
    <t>2. Dây chuyền 2: Tổng 30 ngày SX (1 ngày chuyển đổi, dự kiến ngày 15/10/2025). Chạy 40x80mm (14 ngày, chu kỳ ép 11,4 x 0,96 x 1400 x 0,98 =15.015 m2/ngày), chạy 50x50mm (16 ngày, chu kỳ ép 21,0 x 0,5 x 1340 x 0,98 = 13.788,6 m2/ ngày)</t>
  </si>
  <si>
    <t>* Kế hoạch các phòng ban/ phân xưởng cần thực hiện trong tháng 10 như sau:</t>
  </si>
  <si>
    <t>- PXSX - PXCĐ.NL - P.KT.CN - P.TC-HC và Phòng Kế Toán áp dụng phương thức khoán từ tháng 10 năm 2025. Làm quyết định điều chỉnh sản lượng khoán gạch 40x80 từ 13.960 m2/ ngày lên 15.015 m2 /ngày và gạch 50x50 từ 12.670 m2/ ngày lên 13.788,6 m2/ ngày, trình Ông TGĐ Công ty ký duyệt và triển khai áp dụng từ ngày 01 tháng 10 năm 2025.</t>
  </si>
  <si>
    <t>- Trưởng bộ phận/ phòng ban lên kế hoạch và phương án chuyển đổi (DC2 từ gạch ốp 40x80cm sang gạch lát 50x50cm ) chi tiết cho bộ phận, trình ký trước ngày 06 tháng 10 năm 2025</t>
  </si>
  <si>
    <t>- P.TCHC (Anh Hoà) kết hợp PXCĐ-NL: Sớm hoàn thành dự án hệ thống xử lý nước sông và đưa vào sử dụng phục vụ sản xuất.</t>
  </si>
  <si>
    <t xml:space="preserve">- PXSX-PXCĐ-NL và P.KT-CN lên phương án tiết kiệm năng lượng, mục đích cắt giảm nhiệt độ vùng đầu lò nung (DC1) nhưng vẫn duy trì được nhiệt độ tổng để kéo về phục vụ lò sấy 2 tầng đảm bảo các thông số kỹ thuật độ ẩm, cường độ mộc sau sấy, không nứt, kích thước, mặt phẳng, màu sắc sau nung.... </t>
  </si>
  <si>
    <t xml:space="preserve">- P.KT-CN kết hợp P.KHTH triển khai lên kế hoạch dự trù nguyên liệu đất sét, trường thạch, cao lanh (sử dụng cho men)….theo đúng lượng tồn kho tối thiếu </t>
  </si>
  <si>
    <t>- Ông Tổng Giám Đốc Cty</t>
  </si>
  <si>
    <t>- Các Ông Phó Tổng Giám Đốc</t>
  </si>
  <si>
    <t>- Phòng TC - HC/ Ban ISO</t>
  </si>
  <si>
    <t>Tiêu hao 85,09 kg bã điều/ tấn bột</t>
  </si>
  <si>
    <t>TB 81,25 m2/palett</t>
  </si>
  <si>
    <t>VDN</t>
  </si>
  <si>
    <t xml:space="preserve">- Lên phương án chuyển đổi từ gạch ốp 40x80 sang gạch lát 50x50 (dự kiến ngày 15/10/2025) </t>
  </si>
  <si>
    <t>- Men: Trong tháng DC1 vẫn duy trì bài men EP15A và men nền GP15B. DC2 từ ngày 01-06/09 chạy bài ECL-05C, GML-04A, SGL-02, từ 07-09/09 chạy bài ECL-05A, GCL-08C, từ 10/09 chuyển đổi sang gạch 40x80 chạy bài men EP15A và PSG16B</t>
  </si>
  <si>
    <t xml:space="preserve">- Xương: Trong tháng vẫn duy trì chạy BPL PN30 (153 đơn) ở DC1 (xử lý tồn kho trường thạch An giang). DC2 từ 01-10/09 chạy 27 đơn PCL03B (50x50), sau đó chuyển sang chạy gạch ốp 40x80 BPL PN30 (26 đơn), PN30C (34 đơn - không sử dụng TT AG), duy trì BPL PN30D (68 đơn - không sử dụng TT AG) đến hết tháng, điều chỉnh tỷ lệ sử dụng Phế gạch nghiền trong bài ốp - lát duy trì chạy ổn định liên tục (1%) </t>
  </si>
  <si>
    <t xml:space="preserve">- Từ 01-12/09 DC1 chạy lượng tráng 110/130 (g/khay), đến 13/09 giảm 107/124 g/khay duy trì đến hết tháng. DC2 giảm lượng tráng men E từ 115-112-110 g/khay, men G từ 134-130-124 và duy trì chạy 110/124 g/khay từ ngày 17/09 chất lượng, màu sắc, chống thấm, sốc nhiệt đạt tiêu chuẩn. </t>
  </si>
  <si>
    <t>- Tiếp tục làm thí nghiệm các bài men Engobe ốp, men nền ốp cho gạch 30x60 sử dụng các loại nguyên liệu Frit mới làm nguồn dự phòng, thay thế các loại Frit đang sử dụng khi biến động, mục tiêu giữ dược độ bóng, mặt phẳng, màu sắc, chống thấm, sốc nhiệt ...tương đương với đang sản xuất</t>
  </si>
  <si>
    <t>- Tiếp tục thử nghiệm thả gạch mộc lát 30x60 tráng men trên điều kiện sản xuất gạch lát 50x50 (dự kiến ngày 16/10/25).</t>
  </si>
  <si>
    <t>- Trưởng các phòng ban/ phân xưởng hoàn thiện các điểm không phù hợp và điểm lưu ý, góp ý trong đợt đánh giá chứng nhận ISO 9001:2015 và đánh giá giám sát ISO 13006:2018 ngày 02/10/25 để Ban ISO tổng hợp gửi lại chuyên gia đánh giá và tổ chức chứng nhận QUACERT theo đúng kế hoạch thực hiện đã ban hành ngày 04/10/25.</t>
  </si>
  <si>
    <t>- P.TC-HC sớm hoàn thiện các quy trình, và ghi chép đúng-đủ vào các biểu mẫu đã ban hành (các điểm lưu ý và không phù hợp đính kèm trong báo cáo đánh giá nội bộ ngày 15-16/09/2025 và đánh giá chứng nhận từ QUACERT ngày 02/10/25).</t>
  </si>
  <si>
    <t>+ Xuất cám  ngày 02/10/2025:  24.220 kg (đã quy ẩm)  (50% than Hải Thành 04-05/09/2025, 50% than Hưng Tam Long 12-13/09/2025), 38.305 kg (đã quy ẩm)  (50% than Hải Thành 04-05/09/2025, 50% than Hưng Tam Long 12-13/09/2025)</t>
  </si>
  <si>
    <t>Số người hiện tại</t>
  </si>
  <si>
    <t>Nghỉ việc + chuyển vị trí</t>
  </si>
  <si>
    <t>- Trong tháng lỗi bề mặt sản phẩm do bụi đen vẫn còn đã cho vệ vùng đầu lò nung men và các ống làm lạnh nhanh 2 lần, thay đổi lại chế độ nung theo dõi từ ngày 20 đến cuối tháng bụi đen giảm nhiều.</t>
  </si>
  <si>
    <t>- Ngoài sự cố mất điện đổi điện đêm 19/09 - sự cố trạm than ngày 19/09 gây ảnh hưởng đến chất lượng sản lượng sản phẩm, các sự cố khác được kiểm soát tốt</t>
  </si>
  <si>
    <t>- Trong tháng lỗi chất lượng sản phẩm do bụi đen vẫn còn, đã vệ vùng đầu lò, vệ sinh mỏ đốt và các ống làm lạnh nhanh, thay đổi lại chế độ nung theo dõi từ ngày 20 đến cuối tháng bụi đen giảm nhiều, chất lượng sản lượng đạt.</t>
  </si>
  <si>
    <t>- Trong tháng điều chỉnh thiết bị, chế độ chạy để tăng dần sản lượng gạch lát 50x50 và gạch ốp 40x80 theo kế hoạch và mục tiêu mới</t>
  </si>
  <si>
    <t>- Ngoài sự cố như mất điện đổi điện đêm 19/09 - sự cố trạm than ngày 19/09 gây ảnh hưởng đến chất lượng sản lượng sản phẩm, các sự cố khác được kiểm soát tốt.</t>
  </si>
  <si>
    <t>- Kết hợp P.KT-CN lên kế hoạch chuẩn bị chuyển đổi từ gạch ốp 40x80 sang gạch lát 50x50 (dự kiến ngày 15/10/2025).</t>
  </si>
  <si>
    <t>- Tháng 9/2025 dây chuyền 2 chạy 09 ngày sản phẩm 500x500 chất lượng, sản lượng đạt theo kế hoạch và 20,5 ngày chạy 400x800mm chất lượng, sản lượng đạt theo kế hoạch</t>
  </si>
  <si>
    <t>- Tiếp tục theo dõi các cối nghiền 1-2-3-4-5-6, lên kế hoạch chi tiết dừng xây lại lớp lót máy 5 và phương án luân chuyển đáp ứng đủ lượng hồ phục vụ cho 2 dây chuyền ốp - lát.</t>
  </si>
  <si>
    <r>
      <t xml:space="preserve">- P.TC-HC: Cần xem xét, ban hành, áp dụng chung cho toàn bộ hệ thống về cách trình bày văn bản (font chữ, cỡ chữ, tờ trình, báo cáo, quy trình, hồ sơ, tài liệu....) theo đúng </t>
    </r>
    <r>
      <rPr>
        <b/>
        <sz val="12"/>
        <color theme="1"/>
        <rFont val="Times New Roman"/>
        <family val="1"/>
      </rPr>
      <t>Tiêu chuẩn Quốc gia TCVN 6965:2001</t>
    </r>
    <r>
      <rPr>
        <sz val="12"/>
        <color theme="1"/>
        <rFont val="Times New Roman"/>
        <family val="1"/>
      </rPr>
      <t xml:space="preserve"> về Trình bày văn bản hành chính nhà nước. </t>
    </r>
    <r>
      <rPr>
        <b/>
        <sz val="12"/>
        <color theme="1"/>
        <rFont val="Times New Roman"/>
        <family val="1"/>
      </rPr>
      <t>Thông tư 01/2011/TT-BNV</t>
    </r>
    <r>
      <rPr>
        <sz val="12"/>
        <color theme="1"/>
        <rFont val="Times New Roman"/>
        <family val="1"/>
      </rPr>
      <t xml:space="preserve"> đã bị bãi bỏ và thay thế bởi </t>
    </r>
    <r>
      <rPr>
        <b/>
        <sz val="12"/>
        <color theme="1"/>
        <rFont val="Times New Roman"/>
        <family val="1"/>
      </rPr>
      <t>Nghị định số 30/2020/NĐ-CP</t>
    </r>
    <r>
      <rPr>
        <sz val="12"/>
        <color theme="1"/>
        <rFont val="Times New Roman"/>
        <family val="1"/>
      </rPr>
      <t xml:space="preserve"> của Chính phủ về công tác văn thư, có hiệu lực từ ngày 05 tháng 3 năm 2020. Đóng dấu kiểm soát các tài liệu, hồ sơ....hiện hành và dấu lỗi thời cho các tài liệu, hồ sơ....không còn hiệu lực.</t>
    </r>
  </si>
  <si>
    <t>QĐ PXSX</t>
  </si>
  <si>
    <t>P.TGĐ PT</t>
  </si>
  <si>
    <t>1. Nhân sự DC1, DC2:</t>
  </si>
  <si>
    <t>Dây chuyền 2 chuyển qua</t>
  </si>
  <si>
    <t>Chuyển BP khác</t>
  </si>
  <si>
    <t>Thiếu nhân sự</t>
  </si>
  <si>
    <t>- Tổng TBTM đến 23/09/2025: 62 người</t>
  </si>
  <si>
    <t>Nghiền Liệu</t>
  </si>
  <si>
    <t>Sấy Phun</t>
  </si>
  <si>
    <t>Nghiền Men</t>
  </si>
  <si>
    <t>Xe Xúc</t>
  </si>
  <si>
    <t>Tổng số nhân sự 30/09/2025</t>
  </si>
  <si>
    <t>2. Nhân sự TBTM:</t>
  </si>
  <si>
    <t>4. Phòng Kỹ thuật công nghệ (định biên 24 nhân sự):</t>
  </si>
  <si>
    <t>- Tiếp tục thực hiện kế hoạch trong tháng 10/2025, tăng cường kiểm soát công nghệ sản xuất 2 DC ốp - lát, nâng cao quản lý kiểm soát các công đoạn, các tiêu chuẩn sản phẩm đảm bảo chất lượng tới tay khách hàng.</t>
  </si>
  <si>
    <t>Tổng số nhân sự 31/08/2025</t>
  </si>
  <si>
    <t>Xe Nâng</t>
  </si>
  <si>
    <t>Tổng số nhân sự đến 30/09/25</t>
  </si>
  <si>
    <t>- Từ ngày 01-14/09 đốt điều trộn dăm đen.</t>
  </si>
  <si>
    <r>
      <t xml:space="preserve">1. Dây chuyền số 1: </t>
    </r>
    <r>
      <rPr>
        <sz val="12"/>
        <color theme="1"/>
        <rFont val="Times New Roman"/>
        <family val="1"/>
      </rPr>
      <t xml:space="preserve">- Tổng 29,3 ngày SX chạy 30x60mm. (thay con lăn bảo dưỡng lò nung và thay dầu 2 máy ép 1-2 từ 4g24 phút đến 19g23 phút) sau đó tăng chu kỳ ép nâng công suất. Chất lượng, sản lượng, tiêu hao nguyên vật liệu đạt theo KH.	</t>
    </r>
    <r>
      <rPr>
        <b/>
        <sz val="12"/>
        <color theme="1"/>
        <rFont val="Times New Roman"/>
        <family val="1"/>
      </rPr>
      <t xml:space="preserve">											</t>
    </r>
  </si>
  <si>
    <t>TỔNG DC1 THÁNG 09</t>
  </si>
  <si>
    <t>TỔNG DC2 THÁNG 09</t>
  </si>
  <si>
    <t>Dăm đen</t>
  </si>
  <si>
    <t>Tiêu hao sản phẩm:  93,68 kg điều + dăm đen/ tấn bột</t>
  </si>
  <si>
    <t>Tiêu hao sản phẩm: 83,86 kg điều + dăm đen/ tấn bột</t>
  </si>
  <si>
    <t xml:space="preserve">- Trong đó: 
 - Văn phòng: 1 Đốc công, 3 Đốc ca, 1 Thống kê
</t>
  </si>
  <si>
    <t xml:space="preserve">- Tổng 29,3 ngày sản xuất. Dừng ép bảo dưỡng thay con lăn lò kết hợp thay dầu định kỳ 2 máy ép vào ngày 12/09/25. (từ 4g24 đến 19g23), sau đó tăng chu kỳ ép nâng công suất. Chất lượng, sản lượng, tiêu hao nguyên vật liệu đạt theo KH. </t>
  </si>
  <si>
    <t xml:space="preserve">1. Dây chuyền số 1: 	</t>
  </si>
  <si>
    <t>Crovina</t>
  </si>
  <si>
    <t>11-19/12//25</t>
  </si>
  <si>
    <t>Đốt từ ngày 01-03/01/2026</t>
  </si>
  <si>
    <t>31/12/25-01/01/26</t>
  </si>
  <si>
    <t>Đốt từ ngày 03-15/01/2026</t>
  </si>
  <si>
    <t>Kho 1</t>
  </si>
  <si>
    <t>31/12/2025-01/01/2026</t>
  </si>
  <si>
    <t xml:space="preserve">Kho 2+3+4 </t>
  </si>
  <si>
    <t>Đốt từ ngày 08-31/03/2026</t>
  </si>
  <si>
    <t>Đốt từ ngày 01-08/03/2026</t>
  </si>
  <si>
    <t>Vidona</t>
  </si>
  <si>
    <t>Karpo</t>
  </si>
  <si>
    <t>Trang Hoàng Phương</t>
  </si>
  <si>
    <t>VinaPhacon</t>
  </si>
  <si>
    <t>03-04/03/2026</t>
  </si>
  <si>
    <t>Đốt từ ngày 01-15/04/2026</t>
  </si>
  <si>
    <t>Kho 2</t>
  </si>
  <si>
    <t>06-10/04/2026</t>
  </si>
  <si>
    <t>18.6%</t>
  </si>
  <si>
    <t>5.47%</t>
  </si>
  <si>
    <t>Đốt từ ngày 15-30/04/2026</t>
  </si>
  <si>
    <t xml:space="preserve">Kho 3+4 </t>
  </si>
  <si>
    <t>18-20/04/2026</t>
  </si>
  <si>
    <t>13.9%</t>
  </si>
  <si>
    <t>2.45%</t>
  </si>
  <si>
    <t>Đốt từ ngày 20-30/04/2026</t>
  </si>
  <si>
    <t>Đốt từ ngày 15/04/2026</t>
  </si>
  <si>
    <t>30x60 nung 1,5 lần</t>
  </si>
  <si>
    <t>30x60 nung 2 lần</t>
  </si>
  <si>
    <t>Grandcera</t>
  </si>
  <si>
    <t>09-11/03/2026</t>
  </si>
  <si>
    <t>Đốt từ ngày 01-19/05/2026</t>
  </si>
  <si>
    <t>Đốt từ ngày 13/05/2026</t>
  </si>
  <si>
    <t>Đốt từ ngày 01-31/05/2026</t>
  </si>
  <si>
    <t>Đốt ngày 13/05/2026</t>
  </si>
  <si>
    <t>Đốt từ ngày 19-31/05/2026</t>
  </si>
  <si>
    <t>Padova</t>
  </si>
  <si>
    <t>27-30/05/2026</t>
  </si>
  <si>
    <t>23-24/05/2026</t>
  </si>
  <si>
    <t>25-26/06/2026</t>
  </si>
  <si>
    <t>Đốt từ ngày 01-09/06/2026</t>
  </si>
  <si>
    <t>Đốt từ ngày 01-13/06/2026</t>
  </si>
  <si>
    <t>Đốt từ ngày 13-24/06/2026</t>
  </si>
  <si>
    <t>Đốt từ ngày 24-30/06/2026</t>
  </si>
  <si>
    <t>Đốt ngày 30/06/2026</t>
  </si>
  <si>
    <t>09-10/07/2026</t>
  </si>
  <si>
    <t>Đốt từ ngày 01-15/07/2026</t>
  </si>
  <si>
    <t>Đốt từ ngày 01-31/07/2026</t>
  </si>
  <si>
    <t>Đốt từ ngày 15-31/07/2026</t>
  </si>
  <si>
    <t>27-29/07/2026</t>
  </si>
  <si>
    <t>11-12/08/2026</t>
  </si>
  <si>
    <t>Đốt từ ngày 01-21/08/2026</t>
  </si>
  <si>
    <t>Đốt từ ngày 21/08/2026</t>
  </si>
  <si>
    <t>Đốt từ ngày 01-11/08/2026</t>
  </si>
  <si>
    <t>Đốt từ ngày 11-31/08/2026</t>
  </si>
  <si>
    <t>Đốt từ ngày 21-31/08/2026</t>
  </si>
  <si>
    <t>09-11/07/2026</t>
  </si>
  <si>
    <t>Đốt từ ngày 11-13/08/2026</t>
  </si>
  <si>
    <t>Đốt ngày 11/08/2026</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</si>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</sst>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0">
    <numFmt numFmtId="41" formatCode="_(* #,##0_);_(* \(#,##0\);_(* &quot;-&quot;_);_(@_)"/>
    <numFmt numFmtId="43" formatCode="_(* #,##0.00_);_(* \(#,##0.00\);_(* &quot;-&quot;??_);_(@_)"/>
    <numFmt numFmtId="164" formatCode="_(* #,##0_);_(* \(#,##0\);_(* &quot;-&quot;??_);_(@_)"/>
    <numFmt numFmtId="165" formatCode="#,##0.0"/>
    <numFmt numFmtId="166" formatCode="0.0"/>
    <numFmt numFmtId="167" formatCode="_(* #,##0.0_);_(* \(#,##0.0\);_(* &quot;-&quot;??_);_(@_)"/>
    <numFmt numFmtId="168" formatCode="_(* #,##0.000_);_(* \(#,##0.000\);_(* &quot;-&quot;??_);_(@_)"/>
    <numFmt numFmtId="169" formatCode="_(* #,##0.0000_);_(* \(#,##0.0000\);_(* &quot;-&quot;??_);_(@_)"/>
    <numFmt numFmtId="170" formatCode="_(* #,##0.00000_);_(* \(#,##0.00000\);_(* &quot;-&quot;??_);_(@_)"/>
    <numFmt numFmtId="171" formatCode="_(* #,##0.0_);_(* \(#,##0.0\);_(* &quot;-&quot;_);_(@_)"/>
    <numFmt numFmtId="172" formatCode="_(* #,##0.00_);_(* \(#,##0.00\);_(* &quot;-&quot;_);_(@_)"/>
    <numFmt numFmtId="173" formatCode="_(* #,##0_);_(* \(#,##0\);_(* &quot;-&quot;?_);_(@_)"/>
    <numFmt numFmtId="174" formatCode="0.0000"/>
    <numFmt numFmtId="175" formatCode="_(* #,##0.000_);_(* \(#,##0.000\);_(* &quot;-&quot;_);_(@_)"/>
    <numFmt numFmtId="176" formatCode="0.000"/>
    <numFmt numFmtId="177" formatCode="#,##0.000"/>
    <numFmt numFmtId="178" formatCode="_(* #,##0.000000_);_(* \(#,##0.000000\);_(* &quot;-&quot;??_);_(@_)"/>
    <numFmt numFmtId="179" formatCode="_(* #,##0.0000000_);_(* \(#,##0.0000000\);_(* &quot;-&quot;??_);_(@_)"/>
    <numFmt numFmtId="180" formatCode="_(* #,##0.0000_);_(* \(#,##0.0000\);_(* &quot;-&quot;_);_(@_)"/>
    <numFmt numFmtId="181" formatCode="0.0%"/>
  </numFmts>
  <fonts count="115" x14ac:knownFonts="1">
    <font>
      <sz val="12"/>
      <color theme="1"/>
      <name val="Calibri"/>
      <family val="2"/>
      <scheme val="minor"/>
    </font>
    <font>
      <sz val="12"/>
      <color theme="1"/>
      <name val="Calibri"/>
      <family val="2"/>
      <scheme val="minor"/>
    </font>
    <font>
      <b/>
      <sz val="12"/>
      <color theme="1"/>
      <name val="Times New Roman"/>
      <family val="1"/>
    </font>
    <font>
      <sz val="12"/>
      <color theme="1"/>
      <name val="Times New Roman"/>
      <family val="1"/>
    </font>
    <font>
      <b/>
      <sz val="16"/>
      <color theme="1"/>
      <name val="Times New Roman"/>
      <family val="1"/>
    </font>
    <font>
      <sz val="11"/>
      <color theme="1"/>
      <name val="Times New Roman"/>
      <family val="1"/>
    </font>
    <font>
      <b/>
      <sz val="14"/>
      <color theme="1"/>
      <name val="Times New Roman"/>
      <family val="1"/>
    </font>
    <font>
      <sz val="11"/>
      <color theme="1"/>
      <name val="Calibri"/>
      <family val="2"/>
      <scheme val="minor"/>
    </font>
    <font>
      <i/>
      <sz val="12"/>
      <color theme="1"/>
      <name val="Times New Roman"/>
      <family val="1"/>
    </font>
    <font>
      <sz val="12"/>
      <name val="Times New Roman"/>
      <family val="1"/>
    </font>
    <font>
      <b/>
      <sz val="12"/>
      <name val="Times New Roman"/>
      <family val="1"/>
    </font>
    <font>
      <i/>
      <sz val="12"/>
      <name val="Times New Roman"/>
      <family val="1"/>
    </font>
    <font>
      <b/>
      <sz val="10"/>
      <color theme="1"/>
      <name val="Times New Roman"/>
      <family val="1"/>
    </font>
    <font>
      <b/>
      <sz val="9"/>
      <color theme="1"/>
      <name val="Times New Roman"/>
      <family val="1"/>
    </font>
    <font>
      <b/>
      <sz val="11"/>
      <color theme="1"/>
      <name val="Times New Roman"/>
      <family val="1"/>
    </font>
    <font>
      <b/>
      <sz val="12"/>
      <color rgb="FFFF0000"/>
      <name val="Times New Roman"/>
      <family val="1"/>
    </font>
    <font>
      <sz val="12"/>
      <color rgb="FFFF0000"/>
      <name val="Times New Roman"/>
      <family val="1"/>
    </font>
    <font>
      <sz val="13"/>
      <color theme="1"/>
      <name val="Times New Roman"/>
      <family val="1"/>
    </font>
    <font>
      <i/>
      <sz val="13"/>
      <color theme="1"/>
      <name val="Times New Roman"/>
      <family val="1"/>
    </font>
    <font>
      <b/>
      <i/>
      <sz val="12"/>
      <color theme="1"/>
      <name val="Times New Roman"/>
      <family val="1"/>
    </font>
    <font>
      <b/>
      <sz val="13"/>
      <color theme="1"/>
      <name val="Times New Roman"/>
      <family val="1"/>
    </font>
    <font>
      <b/>
      <i/>
      <sz val="9"/>
      <color theme="1"/>
      <name val="Times New Roman"/>
      <family val="1"/>
    </font>
    <font>
      <i/>
      <sz val="9"/>
      <color theme="1"/>
      <name val="Times New Roman"/>
      <family val="1"/>
    </font>
    <font>
      <b/>
      <sz val="10"/>
      <color rgb="FF000000"/>
      <name val="Tahoma"/>
      <family val="2"/>
    </font>
    <font>
      <sz val="10"/>
      <color rgb="FF000000"/>
      <name val="Tahoma"/>
      <family val="2"/>
    </font>
    <font>
      <b/>
      <sz val="9"/>
      <color rgb="FF000000"/>
      <name val="Tahoma"/>
      <family val="2"/>
    </font>
    <font>
      <sz val="9"/>
      <color rgb="FF000000"/>
      <name val="Tahoma"/>
      <family val="2"/>
    </font>
    <font>
      <sz val="11"/>
      <name val="Calibri"/>
      <family val="2"/>
    </font>
    <font>
      <b/>
      <sz val="18"/>
      <color theme="1"/>
      <name val="Times New Roman"/>
      <family val="1"/>
    </font>
    <font>
      <b/>
      <sz val="11"/>
      <name val="Calibri"/>
      <family val="2"/>
    </font>
    <font>
      <b/>
      <i/>
      <sz val="12"/>
      <color rgb="FFFF0000"/>
      <name val="Times New Roman"/>
      <family val="1"/>
    </font>
    <font>
      <i/>
      <sz val="12"/>
      <color rgb="FFFF0000"/>
      <name val="Times New Roman"/>
      <family val="1"/>
    </font>
    <font>
      <b/>
      <sz val="12"/>
      <color rgb="FF000000"/>
      <name val="Times New Roman"/>
      <family val="1"/>
    </font>
    <font>
      <sz val="12"/>
      <color rgb="FF000000"/>
      <name val="Times New Roman"/>
      <family val="1"/>
    </font>
    <font>
      <i/>
      <sz val="12"/>
      <color rgb="FF000000"/>
      <name val="Times New Roman"/>
      <family val="1"/>
    </font>
    <font>
      <sz val="11"/>
      <name val="Times New Roman"/>
      <family val="1"/>
    </font>
    <font>
      <b/>
      <i/>
      <sz val="12"/>
      <color rgb="FF000000"/>
      <name val="Times New Roman"/>
      <family val="1"/>
    </font>
    <font>
      <b/>
      <sz val="11"/>
      <name val="Times New Roman"/>
      <family val="1"/>
    </font>
    <font>
      <b/>
      <sz val="11"/>
      <color rgb="FF000000"/>
      <name val="Times New Roman"/>
      <family val="1"/>
    </font>
    <font>
      <b/>
      <sz val="11"/>
      <color rgb="FFFF0000"/>
      <name val="Times New Roman"/>
      <family val="1"/>
    </font>
    <font>
      <sz val="8"/>
      <name val="Calibri"/>
      <family val="2"/>
      <scheme val="minor"/>
    </font>
    <font>
      <sz val="11"/>
      <color rgb="FFFF0000"/>
      <name val="Times New Roman"/>
      <family val="1"/>
    </font>
    <font>
      <b/>
      <sz val="12"/>
      <color rgb="FF00B0F0"/>
      <name val="Times New Roman"/>
      <family val="1"/>
    </font>
    <font>
      <b/>
      <i/>
      <sz val="12"/>
      <color rgb="FF00B0F0"/>
      <name val="Times New Roman"/>
      <family val="1"/>
    </font>
    <font>
      <sz val="12"/>
      <color rgb="FF00B0F0"/>
      <name val="Times New Roman"/>
      <family val="1"/>
    </font>
    <font>
      <sz val="11"/>
      <color rgb="FF00B0F0"/>
      <name val="Times New Roman"/>
      <family val="1"/>
    </font>
    <font>
      <i/>
      <sz val="12"/>
      <color rgb="FF00B0F0"/>
      <name val="Times New Roman"/>
      <family val="1"/>
    </font>
    <font>
      <sz val="12"/>
      <name val="Calibri"/>
      <family val="2"/>
    </font>
    <font>
      <b/>
      <sz val="12"/>
      <name val="Calibri"/>
      <family val="2"/>
    </font>
    <font>
      <sz val="12"/>
      <color rgb="FFFF0000"/>
      <name val="Calibri"/>
      <family val="2"/>
    </font>
    <font>
      <sz val="11"/>
      <color rgb="FF000000"/>
      <name val="Times New Roman"/>
      <family val="1"/>
    </font>
    <font>
      <sz val="11"/>
      <color theme="0"/>
      <name val="Times New Roman"/>
      <family val="1"/>
    </font>
    <font>
      <b/>
      <i/>
      <sz val="11"/>
      <color theme="1"/>
      <name val="Times New Roman"/>
      <family val="1"/>
    </font>
    <font>
      <b/>
      <sz val="10"/>
      <color rgb="FF000000"/>
      <name val="Times New Roman"/>
      <family val="1"/>
    </font>
    <font>
      <b/>
      <sz val="9"/>
      <color rgb="FF000000"/>
      <name val="Times New Roman"/>
      <family val="1"/>
    </font>
    <font>
      <i/>
      <sz val="11"/>
      <name val="Times New Roman"/>
      <family val="1"/>
    </font>
    <font>
      <i/>
      <sz val="11"/>
      <color theme="1"/>
      <name val="Times New Roman"/>
      <family val="1"/>
    </font>
    <font>
      <sz val="9"/>
      <color theme="1"/>
      <name val="Times New Roman"/>
      <family val="1"/>
    </font>
    <font>
      <sz val="10"/>
      <color theme="1"/>
      <name val="Times New Roman"/>
      <family val="1"/>
    </font>
    <font>
      <sz val="14"/>
      <color theme="1"/>
      <name val="Times New Roman"/>
      <family val="1"/>
    </font>
    <font>
      <sz val="14"/>
      <color rgb="FFFF0000"/>
      <name val="Times New Roman"/>
      <family val="1"/>
    </font>
    <font>
      <sz val="14"/>
      <name val="Times New Roman"/>
      <family val="1"/>
    </font>
    <font>
      <sz val="12"/>
      <color theme="0"/>
      <name val="Times New Roman"/>
      <family val="1"/>
    </font>
    <font>
      <sz val="10"/>
      <name val="Times New Roman"/>
      <family val="1"/>
    </font>
    <font>
      <u/>
      <sz val="9"/>
      <color theme="1"/>
      <name val="Times New Roman"/>
      <family val="1"/>
    </font>
    <font>
      <sz val="9"/>
      <color theme="1"/>
      <name val="Calibri"/>
      <family val="2"/>
      <scheme val="minor"/>
    </font>
    <font>
      <b/>
      <sz val="9"/>
      <color indexed="81"/>
      <name val="Tahoma"/>
      <family val="2"/>
    </font>
    <font>
      <sz val="9"/>
      <color rgb="FFFF0000"/>
      <name val="Times New Roman"/>
      <family val="1"/>
    </font>
    <font>
      <b/>
      <u/>
      <sz val="12"/>
      <color rgb="FFFF0000"/>
      <name val="Times New Roman"/>
      <family val="1"/>
    </font>
    <font>
      <sz val="8"/>
      <color theme="1"/>
      <name val="Times New Roman"/>
      <family val="1"/>
    </font>
    <font>
      <b/>
      <i/>
      <sz val="12"/>
      <name val="Times New Roman"/>
      <family val="1"/>
    </font>
    <font>
      <b/>
      <u/>
      <sz val="12"/>
      <name val="Times New Roman"/>
      <family val="1"/>
    </font>
    <font>
      <b/>
      <i/>
      <sz val="11"/>
      <color rgb="FFFF0000"/>
      <name val="Times New Roman"/>
      <family val="1"/>
    </font>
    <font>
      <b/>
      <sz val="12"/>
      <color rgb="FFC00000"/>
      <name val="Times New Roman"/>
      <family val="1"/>
    </font>
    <font>
      <b/>
      <sz val="11"/>
      <color rgb="FFC00000"/>
      <name val="Times New Roman"/>
      <family val="1"/>
    </font>
    <font>
      <sz val="12"/>
      <color rgb="FFC00000"/>
      <name val="Times New Roman"/>
      <family val="1"/>
    </font>
    <font>
      <sz val="11"/>
      <color rgb="FFC00000"/>
      <name val="Times New Roman"/>
      <family val="1"/>
    </font>
    <font>
      <i/>
      <sz val="12"/>
      <color rgb="FFC00000"/>
      <name val="Times New Roman"/>
      <family val="1"/>
    </font>
    <font>
      <sz val="10"/>
      <color rgb="FFC00000"/>
      <name val="Times New Roman"/>
      <family val="1"/>
    </font>
    <font>
      <b/>
      <i/>
      <sz val="12"/>
      <color rgb="FFC00000"/>
      <name val="Times New Roman"/>
      <family val="1"/>
    </font>
    <font>
      <b/>
      <sz val="10"/>
      <name val="Times New Roman"/>
      <family val="1"/>
    </font>
    <font>
      <b/>
      <sz val="12"/>
      <color theme="0"/>
      <name val="Calibri"/>
      <family val="2"/>
      <scheme val="minor"/>
    </font>
    <font>
      <b/>
      <sz val="12"/>
      <color theme="0"/>
      <name val="Times New Roman"/>
      <family val="1"/>
    </font>
    <font>
      <b/>
      <sz val="12"/>
      <color theme="4" tint="0.79998168889431442"/>
      <name val="Times New Roman"/>
      <family val="1"/>
    </font>
    <font>
      <b/>
      <sz val="10"/>
      <color theme="0"/>
      <name val="Times New Roman"/>
      <family val="1"/>
    </font>
    <font>
      <b/>
      <sz val="12"/>
      <color theme="8" tint="0.79998168889431442"/>
      <name val="Times New Roman"/>
      <family val="1"/>
    </font>
    <font>
      <b/>
      <sz val="12"/>
      <color theme="7" tint="0.79998168889431442"/>
      <name val="Times New Roman"/>
      <family val="1"/>
    </font>
    <font>
      <b/>
      <sz val="9"/>
      <color theme="0"/>
      <name val="Times New Roman"/>
      <family val="1"/>
    </font>
    <font>
      <sz val="12"/>
      <color theme="0"/>
      <name val="Calibri"/>
      <family val="2"/>
      <scheme val="minor"/>
    </font>
    <font>
      <b/>
      <sz val="12"/>
      <color theme="1"/>
      <name val="Calibri"/>
      <family val="2"/>
      <scheme val="minor"/>
    </font>
    <font>
      <b/>
      <sz val="14"/>
      <color theme="0"/>
      <name val="Times New Roman"/>
      <family val="1"/>
    </font>
    <font>
      <sz val="12"/>
      <name val="Calibri"/>
      <family val="2"/>
      <scheme val="minor"/>
    </font>
    <font>
      <b/>
      <sz val="16"/>
      <color theme="1"/>
      <name val="Calibri"/>
      <family val="2"/>
      <scheme val="minor"/>
    </font>
    <font>
      <b/>
      <sz val="16"/>
      <color theme="0"/>
      <name val="Calibri"/>
      <family val="2"/>
      <scheme val="minor"/>
    </font>
    <font>
      <b/>
      <sz val="12"/>
      <color rgb="FFFF0000"/>
      <name val="Calibri"/>
      <family val="2"/>
      <scheme val="minor"/>
    </font>
    <font>
      <sz val="12"/>
      <color rgb="FFFF0000"/>
      <name val="Calibri"/>
      <family val="2"/>
      <scheme val="minor"/>
    </font>
    <font>
      <sz val="8"/>
      <color theme="1"/>
      <name val="Calibri"/>
      <family val="2"/>
      <scheme val="minor"/>
    </font>
    <font>
      <sz val="8"/>
      <color rgb="FFFF0000"/>
      <name val="Calibri"/>
      <family val="2"/>
      <scheme val="minor"/>
    </font>
    <font>
      <sz val="10"/>
      <color theme="0"/>
      <name val="Times New Roman"/>
      <family val="1"/>
    </font>
    <font>
      <sz val="9"/>
      <name val="Times New Roman"/>
      <family val="1"/>
    </font>
    <font>
      <b/>
      <sz val="9"/>
      <color theme="4" tint="0.79998168889431442"/>
      <name val="Times New Roman"/>
      <family val="1"/>
    </font>
    <font>
      <b/>
      <sz val="9"/>
      <color theme="8" tint="0.79998168889431442"/>
      <name val="Times New Roman"/>
      <family val="1"/>
    </font>
    <font>
      <b/>
      <sz val="9"/>
      <color theme="7" tint="0.79998168889431442"/>
      <name val="Times New Roman"/>
      <family val="1"/>
    </font>
    <font>
      <sz val="9"/>
      <color rgb="FF000000"/>
      <name val="Times New Roman"/>
      <family val="1"/>
    </font>
    <font>
      <i/>
      <sz val="9"/>
      <color rgb="FF000000"/>
      <name val="Times New Roman"/>
      <family val="1"/>
    </font>
    <font>
      <b/>
      <i/>
      <sz val="9"/>
      <color rgb="FF000000"/>
      <name val="Times New Roman"/>
      <family val="1"/>
    </font>
    <font>
      <sz val="9"/>
      <color theme="0"/>
      <name val="Times New Roman"/>
      <family val="1"/>
    </font>
    <font>
      <b/>
      <sz val="9"/>
      <color rgb="FFFF0000"/>
      <name val="Times New Roman"/>
      <family val="1"/>
    </font>
    <font>
      <b/>
      <i/>
      <sz val="9"/>
      <color rgb="FFFF0000"/>
      <name val="Times New Roman"/>
      <family val="1"/>
    </font>
    <font>
      <i/>
      <sz val="9"/>
      <color rgb="FFFF0000"/>
      <name val="Times New Roman"/>
      <family val="1"/>
    </font>
    <font>
      <b/>
      <sz val="9"/>
      <name val="Times New Roman"/>
      <family val="1"/>
    </font>
    <font>
      <b/>
      <sz val="13"/>
      <color rgb="FF000000"/>
      <name val="Times New Roman"/>
      <family val="1"/>
    </font>
    <font>
      <b/>
      <sz val="14"/>
      <name val="Times New Roman"/>
      <family val="1"/>
    </font>
    <font>
      <b/>
      <i/>
      <sz val="14"/>
      <name val="Times New Roman"/>
      <family val="1"/>
    </font>
    <font>
      <sz val="12"/>
      <name val="Times New Roman"/>
      <family val="1"/>
      <charset val="163"/>
    </font>
  </fonts>
  <fills count="43">
    <fill>
      <patternFill patternType="none"/>
    </fill>
    <fill>
      <patternFill patternType="gray125"/>
    </fill>
    <fill>
      <patternFill patternType="solid">
        <fgColor theme="9" tint="0.79998168889431442"/>
        <bgColor indexed="64"/>
      </patternFill>
    </fill>
    <fill>
      <patternFill patternType="solid">
        <fgColor theme="0"/>
        <bgColor indexed="64"/>
      </patternFill>
    </fill>
    <fill>
      <patternFill patternType="solid">
        <fgColor theme="7" tint="0.79998168889431442"/>
        <bgColor indexed="64"/>
      </patternFill>
    </fill>
    <fill>
      <patternFill patternType="solid">
        <fgColor rgb="FFE2EFD9"/>
        <bgColor rgb="FFE2EFD9"/>
      </patternFill>
    </fill>
    <fill>
      <patternFill patternType="solid">
        <fgColor rgb="FFDEEAF6"/>
        <bgColor rgb="FFDEEAF6"/>
      </patternFill>
    </fill>
    <fill>
      <patternFill patternType="solid">
        <fgColor theme="8" tint="0.79998168889431442"/>
        <bgColor indexed="64"/>
      </patternFill>
    </fill>
    <fill>
      <patternFill patternType="solid">
        <fgColor theme="0"/>
        <bgColor theme="0"/>
      </patternFill>
    </fill>
    <fill>
      <patternFill patternType="solid">
        <fgColor rgb="FFECECEC"/>
        <bgColor rgb="FFECECEC"/>
      </patternFill>
    </fill>
    <fill>
      <patternFill patternType="solid">
        <fgColor theme="6" tint="0.79998168889431442"/>
        <bgColor indexed="64"/>
      </patternFill>
    </fill>
    <fill>
      <patternFill patternType="solid">
        <fgColor rgb="FFFBE4D5"/>
        <bgColor rgb="FFFBE4D5"/>
      </patternFill>
    </fill>
    <fill>
      <patternFill patternType="solid">
        <fgColor theme="5" tint="0.79998168889431442"/>
        <bgColor indexed="64"/>
      </patternFill>
    </fill>
    <fill>
      <patternFill patternType="solid">
        <fgColor rgb="FFFFD965"/>
        <bgColor rgb="FFFFD965"/>
      </patternFill>
    </fill>
    <fill>
      <patternFill patternType="solid">
        <fgColor rgb="FFF4B083"/>
        <bgColor rgb="FFF4B083"/>
      </patternFill>
    </fill>
    <fill>
      <patternFill patternType="solid">
        <fgColor theme="9" tint="0.39997558519241921"/>
        <bgColor indexed="64"/>
      </patternFill>
    </fill>
    <fill>
      <patternFill patternType="solid">
        <fgColor rgb="FFFFE598"/>
        <bgColor rgb="FFFFE598"/>
      </patternFill>
    </fill>
    <fill>
      <patternFill patternType="solid">
        <fgColor theme="9" tint="0.59999389629810485"/>
        <bgColor indexed="64"/>
      </patternFill>
    </fill>
    <fill>
      <patternFill patternType="solid">
        <fgColor theme="3" tint="0.79998168889431442"/>
        <bgColor theme="0"/>
      </patternFill>
    </fill>
    <fill>
      <patternFill patternType="solid">
        <fgColor theme="3" tint="0.79998168889431442"/>
        <bgColor indexed="64"/>
      </patternFill>
    </fill>
    <fill>
      <patternFill patternType="solid">
        <fgColor theme="6" tint="0.79998168889431442"/>
        <bgColor rgb="FFECECEC"/>
      </patternFill>
    </fill>
    <fill>
      <patternFill patternType="solid">
        <fgColor theme="9" tint="0.79998168889431442"/>
        <bgColor theme="0"/>
      </patternFill>
    </fill>
    <fill>
      <patternFill patternType="solid">
        <fgColor theme="5" tint="0.79998168889431442"/>
        <bgColor rgb="FFE2EFD9"/>
      </patternFill>
    </fill>
    <fill>
      <patternFill patternType="solid">
        <fgColor theme="4" tint="0.79998168889431442"/>
        <bgColor indexed="64"/>
      </patternFill>
    </fill>
    <fill>
      <patternFill patternType="solid">
        <fgColor rgb="FFFFFF00"/>
        <bgColor indexed="64"/>
      </patternFill>
    </fill>
    <fill>
      <patternFill patternType="solid">
        <fgColor theme="2"/>
        <bgColor indexed="64"/>
      </patternFill>
    </fill>
    <fill>
      <patternFill patternType="solid">
        <fgColor theme="3" tint="0.79995117038483843"/>
        <bgColor indexed="64"/>
      </patternFill>
    </fill>
    <fill>
      <patternFill patternType="solid">
        <fgColor theme="5" tint="0.79995117038483843"/>
        <bgColor indexed="64"/>
      </patternFill>
    </fill>
    <fill>
      <patternFill patternType="solid">
        <fgColor theme="5" tint="0.79998168889431442"/>
        <bgColor theme="0"/>
      </patternFill>
    </fill>
    <fill>
      <patternFill patternType="solid">
        <fgColor theme="8" tint="0.59999389629810485"/>
        <bgColor indexed="64"/>
      </patternFill>
    </fill>
    <fill>
      <patternFill patternType="solid">
        <fgColor theme="7" tint="-0.249977111117893"/>
        <bgColor indexed="64"/>
      </patternFill>
    </fill>
    <fill>
      <patternFill patternType="solid">
        <fgColor theme="9" tint="0.59999389629810485"/>
        <bgColor rgb="FFECECEC"/>
      </patternFill>
    </fill>
    <fill>
      <patternFill patternType="solid">
        <fgColor rgb="FFFFFF00"/>
        <bgColor rgb="FFDEEAF6"/>
      </patternFill>
    </fill>
    <fill>
      <patternFill patternType="solid">
        <fgColor theme="4" tint="-0.499984740745262"/>
        <bgColor indexed="64"/>
      </patternFill>
    </fill>
    <fill>
      <patternFill patternType="solid">
        <fgColor rgb="FF0070C0"/>
        <bgColor indexed="64"/>
      </patternFill>
    </fill>
    <fill>
      <patternFill patternType="solid">
        <fgColor theme="4" tint="0.79998168889431442"/>
        <bgColor theme="0"/>
      </patternFill>
    </fill>
    <fill>
      <patternFill patternType="solid">
        <fgColor rgb="FFFFFFFF"/>
        <bgColor rgb="FF000000"/>
      </patternFill>
    </fill>
    <fill>
      <patternFill patternType="solid">
        <fgColor theme="9"/>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rgb="FFFFFF00"/>
        <bgColor theme="0"/>
      </patternFill>
    </fill>
    <fill>
      <patternFill patternType="solid">
        <fgColor theme="8" tint="0.79998168889431442"/>
        <bgColor theme="0"/>
      </patternFill>
    </fill>
    <fill>
      <patternFill patternType="solid">
        <fgColor rgb="FFFF0000"/>
        <bgColor indexed="64"/>
      </patternFill>
    </fill>
  </fills>
  <borders count="106">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dotted">
        <color rgb="FF000000"/>
      </bottom>
      <diagonal/>
    </border>
    <border>
      <left/>
      <right/>
      <top style="thin">
        <color rgb="FF000000"/>
      </top>
      <bottom style="dotted">
        <color rgb="FF000000"/>
      </bottom>
      <diagonal/>
    </border>
    <border>
      <left/>
      <right style="thin">
        <color rgb="FF000000"/>
      </right>
      <top style="thin">
        <color rgb="FF000000"/>
      </top>
      <bottom style="dotted">
        <color rgb="FF000000"/>
      </bottom>
      <diagonal/>
    </border>
    <border>
      <left style="thin">
        <color rgb="FF000000"/>
      </left>
      <right/>
      <top style="dotted">
        <color rgb="FF000000"/>
      </top>
      <bottom style="dotted">
        <color rgb="FF000000"/>
      </bottom>
      <diagonal/>
    </border>
    <border>
      <left/>
      <right/>
      <top style="dotted">
        <color rgb="FF000000"/>
      </top>
      <bottom style="dotted">
        <color rgb="FF000000"/>
      </bottom>
      <diagonal/>
    </border>
    <border>
      <left/>
      <right style="thin">
        <color rgb="FF000000"/>
      </right>
      <top style="dotted">
        <color rgb="FF000000"/>
      </top>
      <bottom style="dotted">
        <color rgb="FF000000"/>
      </bottom>
      <diagonal/>
    </border>
    <border>
      <left style="thin">
        <color rgb="FF000000"/>
      </left>
      <right/>
      <top style="dotted">
        <color rgb="FF000000"/>
      </top>
      <bottom style="thin">
        <color rgb="FF000000"/>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indexed="64"/>
      </left>
      <right/>
      <top/>
      <bottom style="thin">
        <color indexed="64"/>
      </bottom>
      <diagonal/>
    </border>
    <border>
      <left/>
      <right style="thin">
        <color indexed="64"/>
      </right>
      <top/>
      <bottom style="thin">
        <color indexed="64"/>
      </bottom>
      <diagonal/>
    </border>
    <border>
      <left style="thin">
        <color rgb="FF000000"/>
      </left>
      <right/>
      <top style="thin">
        <color indexed="64"/>
      </top>
      <bottom/>
      <diagonal/>
    </border>
    <border>
      <left/>
      <right style="thin">
        <color rgb="FF000000"/>
      </right>
      <top style="thin">
        <color indexed="64"/>
      </top>
      <bottom/>
      <diagonal/>
    </border>
    <border>
      <left style="thin">
        <color rgb="FF000000"/>
      </left>
      <right/>
      <top/>
      <bottom style="thin">
        <color indexed="64"/>
      </bottom>
      <diagonal/>
    </border>
    <border>
      <left/>
      <right/>
      <top/>
      <bottom style="thin">
        <color indexed="64"/>
      </bottom>
      <diagonal/>
    </border>
    <border>
      <left/>
      <right style="thin">
        <color rgb="FF000000"/>
      </right>
      <top/>
      <bottom style="thin">
        <color indexed="64"/>
      </bottom>
      <diagonal/>
    </border>
    <border>
      <left style="thin">
        <color indexed="64"/>
      </left>
      <right/>
      <top style="thin">
        <color rgb="FF000000"/>
      </top>
      <bottom style="thin">
        <color rgb="FF000000"/>
      </bottom>
      <diagonal/>
    </border>
    <border>
      <left style="medium">
        <color rgb="FF000000"/>
      </left>
      <right/>
      <top/>
      <bottom/>
      <diagonal/>
    </border>
    <border>
      <left style="medium">
        <color rgb="FF000000"/>
      </left>
      <right style="thin">
        <color rgb="FF000000"/>
      </right>
      <top style="thin">
        <color rgb="FF000000"/>
      </top>
      <bottom/>
      <diagonal/>
    </border>
    <border>
      <left style="medium">
        <color rgb="FF000000"/>
      </left>
      <right/>
      <top/>
      <bottom style="thin">
        <color rgb="FF000000"/>
      </bottom>
      <diagonal/>
    </border>
    <border>
      <left style="medium">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000000"/>
      </left>
      <right/>
      <top style="thin">
        <color rgb="FF000000"/>
      </top>
      <bottom style="thin">
        <color indexed="64"/>
      </bottom>
      <diagonal/>
    </border>
    <border>
      <left/>
      <right style="thin">
        <color rgb="FF000000"/>
      </right>
      <top style="thin">
        <color rgb="FF000000"/>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diagonal/>
    </border>
    <border>
      <left style="thin">
        <color rgb="FF000000"/>
      </left>
      <right/>
      <top style="thin">
        <color indexed="64"/>
      </top>
      <bottom style="thin">
        <color rgb="FF000000"/>
      </bottom>
      <diagonal/>
    </border>
    <border>
      <left/>
      <right style="thin">
        <color rgb="FF000000"/>
      </right>
      <top style="thin">
        <color indexed="64"/>
      </top>
      <bottom style="thin">
        <color rgb="FF000000"/>
      </bottom>
      <diagonal/>
    </border>
    <border>
      <left/>
      <right/>
      <top style="thin">
        <color indexed="64"/>
      </top>
      <bottom style="thin">
        <color rgb="FF000000"/>
      </bottom>
      <diagonal/>
    </border>
    <border>
      <left style="medium">
        <color rgb="FF000000"/>
      </left>
      <right style="thin">
        <color rgb="FF000000"/>
      </right>
      <top/>
      <bottom/>
      <diagonal/>
    </border>
    <border>
      <left style="thin">
        <color indexed="64"/>
      </left>
      <right style="thin">
        <color indexed="64"/>
      </right>
      <top style="thin">
        <color indexed="64"/>
      </top>
      <bottom style="thick">
        <color indexed="64"/>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thin">
        <color indexed="64"/>
      </left>
      <right/>
      <top style="thin">
        <color indexed="64"/>
      </top>
      <bottom style="dotted">
        <color indexed="64"/>
      </bottom>
      <diagonal/>
    </border>
    <border>
      <left style="thin">
        <color indexed="64"/>
      </left>
      <right/>
      <top style="dotted">
        <color indexed="64"/>
      </top>
      <bottom/>
      <diagonal/>
    </border>
    <border>
      <left style="thin">
        <color indexed="64"/>
      </left>
      <right/>
      <top style="thin">
        <color indexed="64"/>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rgb="FF000000"/>
      </left>
      <right/>
      <top style="thin">
        <color indexed="64"/>
      </top>
      <bottom style="thin">
        <color indexed="64"/>
      </bottom>
      <diagonal/>
    </border>
    <border>
      <left style="medium">
        <color rgb="FF000000"/>
      </left>
      <right/>
      <top style="thin">
        <color indexed="64"/>
      </top>
      <bottom/>
      <diagonal/>
    </border>
    <border>
      <left style="medium">
        <color rgb="FF000000"/>
      </left>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thin">
        <color theme="4" tint="0.39997558519241921"/>
      </bottom>
      <diagonal/>
    </border>
    <border>
      <left style="thin">
        <color indexed="64"/>
      </left>
      <right style="thin">
        <color indexed="64"/>
      </right>
      <top style="dotted">
        <color indexed="64"/>
      </top>
      <bottom style="thin">
        <color indexed="64"/>
      </bottom>
      <diagonal/>
    </border>
    <border>
      <left/>
      <right style="medium">
        <color indexed="64"/>
      </right>
      <top/>
      <bottom style="thin">
        <color indexed="64"/>
      </bottom>
      <diagonal/>
    </border>
  </borders>
  <cellStyleXfs count="6">
    <xf numFmtId="0" fontId="0" fillId="0" borderId="0"/>
    <xf numFmtId="43" fontId="1" fillId="0" borderId="0" applyFont="0" applyFill="0" applyBorder="0" applyAlignment="0" applyProtection="0"/>
    <xf numFmtId="41" fontId="1" fillId="0" borderId="0" applyFont="0" applyFill="0" applyBorder="0" applyAlignment="0" applyProtection="0"/>
    <xf numFmtId="0" fontId="7" fillId="0" borderId="0"/>
    <xf numFmtId="9" fontId="1" fillId="0" borderId="0" applyFont="0" applyFill="0" applyBorder="0" applyAlignment="0" applyProtection="0"/>
    <xf numFmtId="0" fontId="7" fillId="0" borderId="0"/>
  </cellStyleXfs>
  <cellXfs count="3591">
    <xf numFmtId="0" fontId="0" fillId="0" borderId="0" xfId="0"/>
    <xf numFmtId="0" fontId="3" fillId="0" borderId="0" xfId="0" applyFont="1" applyAlignment="1">
      <alignment vertical="center"/>
    </xf>
    <xf numFmtId="0" fontId="3" fillId="0" borderId="0" xfId="0" applyFont="1" applyAlignment="1">
      <alignment horizontal="center" vertical="center"/>
    </xf>
    <xf numFmtId="0" fontId="4" fillId="0" borderId="0" xfId="0" applyFont="1" applyAlignment="1">
      <alignment horizontal="center" vertical="center"/>
    </xf>
    <xf numFmtId="0" fontId="5" fillId="0" borderId="0" xfId="0" applyFont="1" applyAlignment="1">
      <alignment vertical="center"/>
    </xf>
    <xf numFmtId="0" fontId="2" fillId="0" borderId="0" xfId="0" applyFont="1" applyAlignment="1">
      <alignment horizontal="left" vertical="center"/>
    </xf>
    <xf numFmtId="0" fontId="2" fillId="2" borderId="9" xfId="0" applyFont="1" applyFill="1" applyBorder="1" applyAlignment="1">
      <alignment horizontal="center" vertical="center" wrapText="1"/>
    </xf>
    <xf numFmtId="0" fontId="2" fillId="2" borderId="11" xfId="0" applyFont="1" applyFill="1" applyBorder="1" applyAlignment="1">
      <alignment horizontal="center" vertical="center"/>
    </xf>
    <xf numFmtId="0" fontId="2" fillId="2" borderId="11" xfId="0" applyFont="1" applyFill="1" applyBorder="1" applyAlignment="1">
      <alignment horizontal="center" vertical="center" wrapText="1"/>
    </xf>
    <xf numFmtId="3" fontId="2" fillId="2" borderId="11" xfId="0" applyNumberFormat="1" applyFont="1" applyFill="1" applyBorder="1" applyAlignment="1">
      <alignment horizontal="center" vertical="center"/>
    </xf>
    <xf numFmtId="3" fontId="2" fillId="2" borderId="11" xfId="0" applyNumberFormat="1" applyFont="1" applyFill="1" applyBorder="1" applyAlignment="1">
      <alignment horizontal="center" vertical="center" wrapText="1"/>
    </xf>
    <xf numFmtId="0" fontId="2" fillId="0" borderId="11" xfId="0" applyFont="1" applyBorder="1" applyAlignment="1">
      <alignment horizontal="center" vertical="center" wrapText="1"/>
    </xf>
    <xf numFmtId="0" fontId="3" fillId="0" borderId="11" xfId="0" applyFont="1" applyBorder="1" applyAlignment="1">
      <alignment horizontal="center" vertical="center"/>
    </xf>
    <xf numFmtId="43" fontId="3" fillId="0" borderId="11" xfId="1" applyFont="1" applyBorder="1" applyAlignment="1">
      <alignment horizontal="center" vertical="center"/>
    </xf>
    <xf numFmtId="164" fontId="3" fillId="0" borderId="11" xfId="1" applyNumberFormat="1" applyFont="1" applyBorder="1" applyAlignment="1">
      <alignment horizontal="center" vertical="center"/>
    </xf>
    <xf numFmtId="4" fontId="3" fillId="0" borderId="11" xfId="0" applyNumberFormat="1" applyFont="1" applyBorder="1" applyAlignment="1">
      <alignment horizontal="center" vertical="center"/>
    </xf>
    <xf numFmtId="43" fontId="8" fillId="0" borderId="11" xfId="1" applyFont="1" applyBorder="1" applyAlignment="1">
      <alignment horizontal="center" vertical="center"/>
    </xf>
    <xf numFmtId="0" fontId="9" fillId="0" borderId="11" xfId="0" applyFont="1" applyBorder="1" applyAlignment="1">
      <alignment horizontal="center" vertical="center" wrapText="1"/>
    </xf>
    <xf numFmtId="43" fontId="9" fillId="0" borderId="11" xfId="1" applyFont="1" applyBorder="1" applyAlignment="1">
      <alignment horizontal="center" vertical="center"/>
    </xf>
    <xf numFmtId="43" fontId="9" fillId="0" borderId="11" xfId="1" applyFont="1" applyBorder="1" applyAlignment="1">
      <alignment horizontal="center" vertical="center" wrapText="1"/>
    </xf>
    <xf numFmtId="43" fontId="9" fillId="0" borderId="11" xfId="1" applyFont="1" applyBorder="1" applyAlignment="1">
      <alignment vertical="center" wrapText="1"/>
    </xf>
    <xf numFmtId="164" fontId="9" fillId="0" borderId="11" xfId="1" applyNumberFormat="1" applyFont="1" applyFill="1" applyBorder="1" applyAlignment="1">
      <alignment horizontal="center" vertical="center" wrapText="1"/>
    </xf>
    <xf numFmtId="0" fontId="9" fillId="0" borderId="14" xfId="0" applyFont="1" applyBorder="1" applyAlignment="1">
      <alignment horizontal="center" vertical="center" wrapText="1"/>
    </xf>
    <xf numFmtId="164" fontId="9" fillId="0" borderId="11" xfId="0" applyNumberFormat="1" applyFont="1" applyBorder="1" applyAlignment="1">
      <alignment horizontal="center" vertical="center" wrapText="1"/>
    </xf>
    <xf numFmtId="43" fontId="11" fillId="0" borderId="11" xfId="1" applyFont="1" applyBorder="1" applyAlignment="1">
      <alignment horizontal="center" vertical="center" wrapText="1"/>
    </xf>
    <xf numFmtId="43" fontId="11" fillId="0" borderId="11" xfId="1" applyFont="1" applyBorder="1" applyAlignment="1">
      <alignment vertical="center" wrapText="1"/>
    </xf>
    <xf numFmtId="164" fontId="11" fillId="0" borderId="11" xfId="1" applyNumberFormat="1" applyFont="1" applyBorder="1" applyAlignment="1">
      <alignment horizontal="center" vertical="center" wrapText="1"/>
    </xf>
    <xf numFmtId="43" fontId="9" fillId="0" borderId="14" xfId="0" applyNumberFormat="1" applyFont="1" applyBorder="1" applyAlignment="1">
      <alignment horizontal="center" vertical="center" wrapText="1"/>
    </xf>
    <xf numFmtId="3" fontId="3" fillId="0" borderId="11" xfId="0" applyNumberFormat="1" applyFont="1" applyBorder="1" applyAlignment="1">
      <alignment horizontal="center" vertical="center"/>
    </xf>
    <xf numFmtId="0" fontId="3" fillId="4" borderId="9" xfId="0" applyFont="1" applyFill="1" applyBorder="1" applyAlignment="1">
      <alignment horizontal="center" vertical="center"/>
    </xf>
    <xf numFmtId="0" fontId="3" fillId="0" borderId="15" xfId="0" applyFont="1" applyBorder="1" applyAlignment="1">
      <alignment horizontal="center" vertical="center"/>
    </xf>
    <xf numFmtId="0" fontId="3" fillId="4" borderId="11" xfId="0" applyFont="1" applyFill="1" applyBorder="1" applyAlignment="1">
      <alignment horizontal="center" vertical="center"/>
    </xf>
    <xf numFmtId="43" fontId="3" fillId="4" borderId="11" xfId="1" applyFont="1" applyFill="1" applyBorder="1" applyAlignment="1">
      <alignment horizontal="center" vertical="center"/>
    </xf>
    <xf numFmtId="43" fontId="8" fillId="4" borderId="11" xfId="1" applyFont="1" applyFill="1" applyBorder="1" applyAlignment="1">
      <alignment horizontal="center" vertical="center"/>
    </xf>
    <xf numFmtId="43" fontId="2" fillId="4" borderId="11" xfId="1" applyFont="1" applyFill="1" applyBorder="1" applyAlignment="1">
      <alignment horizontal="center" vertical="center"/>
    </xf>
    <xf numFmtId="3" fontId="3" fillId="4" borderId="11" xfId="0" applyNumberFormat="1" applyFont="1" applyFill="1" applyBorder="1" applyAlignment="1">
      <alignment horizontal="center" vertical="center"/>
    </xf>
    <xf numFmtId="4" fontId="3" fillId="4" borderId="11" xfId="0" applyNumberFormat="1" applyFont="1" applyFill="1" applyBorder="1" applyAlignment="1">
      <alignment vertical="center"/>
    </xf>
    <xf numFmtId="0" fontId="3" fillId="0" borderId="20" xfId="0" applyFont="1" applyBorder="1" applyAlignment="1">
      <alignment horizontal="center" vertical="center"/>
    </xf>
    <xf numFmtId="0" fontId="3" fillId="4" borderId="17" xfId="0" applyFont="1" applyFill="1" applyBorder="1" applyAlignment="1">
      <alignment horizontal="center" vertical="center"/>
    </xf>
    <xf numFmtId="43" fontId="3" fillId="4" borderId="17" xfId="1" applyFont="1" applyFill="1" applyBorder="1" applyAlignment="1">
      <alignment horizontal="center" vertical="center"/>
    </xf>
    <xf numFmtId="43" fontId="8" fillId="4" borderId="17" xfId="1" applyFont="1" applyFill="1" applyBorder="1" applyAlignment="1">
      <alignment horizontal="center" vertical="center"/>
    </xf>
    <xf numFmtId="0" fontId="3" fillId="0" borderId="0" xfId="0" quotePrefix="1" applyFont="1" applyAlignment="1">
      <alignment horizontal="left" vertical="center" wrapText="1"/>
    </xf>
    <xf numFmtId="0" fontId="2" fillId="0" borderId="0" xfId="0" applyFont="1" applyAlignment="1">
      <alignment vertical="center"/>
    </xf>
    <xf numFmtId="3" fontId="3" fillId="0" borderId="0" xfId="0" applyNumberFormat="1" applyFont="1" applyAlignment="1">
      <alignment vertical="center"/>
    </xf>
    <xf numFmtId="0" fontId="2" fillId="0" borderId="11" xfId="0" applyFont="1" applyBorder="1" applyAlignment="1">
      <alignment horizontal="center" vertical="center"/>
    </xf>
    <xf numFmtId="0" fontId="2" fillId="0" borderId="0" xfId="0" applyFont="1" applyAlignment="1">
      <alignment horizontal="center" vertical="center" wrapText="1"/>
    </xf>
    <xf numFmtId="43" fontId="3" fillId="0" borderId="0" xfId="1" applyFont="1" applyBorder="1" applyAlignment="1">
      <alignment horizontal="center" vertical="center"/>
    </xf>
    <xf numFmtId="4" fontId="3" fillId="0" borderId="0" xfId="0" applyNumberFormat="1" applyFont="1" applyAlignment="1">
      <alignment horizontal="center" vertical="center"/>
    </xf>
    <xf numFmtId="3" fontId="3" fillId="0" borderId="0" xfId="0" applyNumberFormat="1" applyFont="1" applyAlignment="1">
      <alignment horizontal="center" vertical="center"/>
    </xf>
    <xf numFmtId="0" fontId="2" fillId="0" borderId="0" xfId="0" applyFont="1" applyAlignment="1">
      <alignment horizontal="center" vertical="center"/>
    </xf>
    <xf numFmtId="0" fontId="12" fillId="0" borderId="11" xfId="0" applyFont="1" applyBorder="1" applyAlignment="1">
      <alignment horizontal="center" vertical="center"/>
    </xf>
    <xf numFmtId="0" fontId="5" fillId="0" borderId="11" xfId="0" applyFont="1" applyBorder="1" applyAlignment="1">
      <alignment horizontal="center" vertical="center"/>
    </xf>
    <xf numFmtId="164" fontId="5" fillId="3" borderId="15" xfId="1" applyNumberFormat="1" applyFont="1" applyFill="1" applyBorder="1" applyAlignment="1">
      <alignment vertical="center"/>
    </xf>
    <xf numFmtId="164" fontId="5" fillId="3" borderId="11" xfId="1" applyNumberFormat="1" applyFont="1" applyFill="1" applyBorder="1" applyAlignment="1">
      <alignment horizontal="center" vertical="center"/>
    </xf>
    <xf numFmtId="43" fontId="5" fillId="3" borderId="11" xfId="1" applyFont="1" applyFill="1" applyBorder="1" applyAlignment="1">
      <alignment horizontal="center" vertical="center"/>
    </xf>
    <xf numFmtId="164" fontId="5" fillId="3" borderId="11" xfId="0" applyNumberFormat="1" applyFont="1" applyFill="1" applyBorder="1" applyAlignment="1">
      <alignment vertical="center"/>
    </xf>
    <xf numFmtId="43" fontId="5" fillId="0" borderId="11" xfId="0" applyNumberFormat="1" applyFont="1" applyBorder="1" applyAlignment="1">
      <alignment horizontal="center" vertical="center"/>
    </xf>
    <xf numFmtId="0" fontId="3" fillId="0" borderId="11" xfId="0" applyFont="1" applyBorder="1" applyAlignment="1">
      <alignment horizontal="center" vertical="center" wrapText="1"/>
    </xf>
    <xf numFmtId="164" fontId="14" fillId="4" borderId="11" xfId="0" applyNumberFormat="1" applyFont="1" applyFill="1" applyBorder="1" applyAlignment="1">
      <alignment vertical="center"/>
    </xf>
    <xf numFmtId="43" fontId="14" fillId="4" borderId="11" xfId="0" applyNumberFormat="1" applyFont="1" applyFill="1" applyBorder="1" applyAlignment="1">
      <alignment horizontal="center" vertical="center"/>
    </xf>
    <xf numFmtId="3" fontId="14" fillId="4" borderId="11" xfId="0" applyNumberFormat="1" applyFont="1" applyFill="1" applyBorder="1" applyAlignment="1">
      <alignment horizontal="center" vertical="center"/>
    </xf>
    <xf numFmtId="164" fontId="5" fillId="3" borderId="11" xfId="0" applyNumberFormat="1" applyFont="1" applyFill="1" applyBorder="1" applyAlignment="1">
      <alignment horizontal="center" vertical="center"/>
    </xf>
    <xf numFmtId="0" fontId="5" fillId="0" borderId="11" xfId="0" applyFont="1" applyBorder="1" applyAlignment="1">
      <alignment horizontal="right" vertical="center"/>
    </xf>
    <xf numFmtId="3" fontId="5" fillId="0" borderId="11" xfId="0" applyNumberFormat="1" applyFont="1" applyBorder="1" applyAlignment="1">
      <alignment horizontal="right" vertical="center"/>
    </xf>
    <xf numFmtId="43" fontId="5" fillId="0" borderId="11" xfId="0" applyNumberFormat="1" applyFont="1" applyBorder="1" applyAlignment="1">
      <alignment horizontal="right" vertical="center"/>
    </xf>
    <xf numFmtId="3" fontId="14" fillId="4" borderId="11" xfId="0" applyNumberFormat="1" applyFont="1" applyFill="1" applyBorder="1" applyAlignment="1">
      <alignment horizontal="right" vertical="center"/>
    </xf>
    <xf numFmtId="164" fontId="5" fillId="3" borderId="11" xfId="1" applyNumberFormat="1" applyFont="1" applyFill="1" applyBorder="1" applyAlignment="1">
      <alignment vertical="center"/>
    </xf>
    <xf numFmtId="0" fontId="14" fillId="0" borderId="0" xfId="0" applyFont="1" applyAlignment="1">
      <alignment horizontal="center" vertical="center"/>
    </xf>
    <xf numFmtId="0" fontId="5" fillId="0" borderId="0" xfId="0" applyFont="1" applyAlignment="1">
      <alignment horizontal="center" vertical="center"/>
    </xf>
    <xf numFmtId="0" fontId="12" fillId="0" borderId="11" xfId="0" applyFont="1" applyBorder="1" applyAlignment="1">
      <alignment horizontal="center" vertical="center" wrapText="1"/>
    </xf>
    <xf numFmtId="43" fontId="5" fillId="0" borderId="11" xfId="0" applyNumberFormat="1" applyFont="1" applyBorder="1" applyAlignment="1">
      <alignment vertical="center"/>
    </xf>
    <xf numFmtId="0" fontId="3" fillId="0" borderId="0" xfId="0" applyFont="1" applyAlignment="1">
      <alignment vertical="center" wrapText="1"/>
    </xf>
    <xf numFmtId="43" fontId="3" fillId="0" borderId="11" xfId="0" applyNumberFormat="1" applyFont="1" applyBorder="1" applyAlignment="1">
      <alignment vertical="center"/>
    </xf>
    <xf numFmtId="3" fontId="3" fillId="0" borderId="11" xfId="0" applyNumberFormat="1" applyFont="1" applyBorder="1" applyAlignment="1">
      <alignment vertical="center"/>
    </xf>
    <xf numFmtId="43" fontId="3" fillId="0" borderId="11" xfId="0" applyNumberFormat="1" applyFont="1" applyBorder="1" applyAlignment="1">
      <alignment horizontal="center" vertical="center"/>
    </xf>
    <xf numFmtId="0" fontId="16" fillId="3" borderId="0" xfId="0" quotePrefix="1" applyFont="1" applyFill="1"/>
    <xf numFmtId="0" fontId="10" fillId="3" borderId="0" xfId="0" quotePrefix="1" applyFont="1" applyFill="1" applyAlignment="1">
      <alignment horizontal="left"/>
    </xf>
    <xf numFmtId="0" fontId="16" fillId="3" borderId="0" xfId="0" quotePrefix="1" applyFont="1" applyFill="1" applyAlignment="1">
      <alignment horizontal="left"/>
    </xf>
    <xf numFmtId="43" fontId="3" fillId="0" borderId="0" xfId="0" applyNumberFormat="1" applyFont="1" applyAlignment="1">
      <alignment vertical="center"/>
    </xf>
    <xf numFmtId="0" fontId="3" fillId="0" borderId="0" xfId="0" quotePrefix="1" applyFont="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1" fillId="0" borderId="0" xfId="0" applyFont="1"/>
    <xf numFmtId="43" fontId="1" fillId="0" borderId="0" xfId="1" applyFont="1" applyAlignment="1"/>
    <xf numFmtId="0" fontId="17" fillId="0" borderId="0" xfId="0" applyFont="1" applyAlignment="1">
      <alignment vertical="center"/>
    </xf>
    <xf numFmtId="49" fontId="3" fillId="0" borderId="0" xfId="0" quotePrefix="1" applyNumberFormat="1" applyFont="1" applyAlignment="1">
      <alignment horizontal="left" vertical="center" wrapText="1"/>
    </xf>
    <xf numFmtId="49" fontId="3" fillId="0" borderId="0" xfId="0" quotePrefix="1" applyNumberFormat="1" applyFont="1" applyAlignment="1">
      <alignment horizontal="center" vertical="center" wrapText="1"/>
    </xf>
    <xf numFmtId="0" fontId="17" fillId="0" borderId="0" xfId="0" applyFont="1" applyAlignment="1">
      <alignment horizontal="center" vertical="center"/>
    </xf>
    <xf numFmtId="0" fontId="18" fillId="0" borderId="0" xfId="0" applyFont="1" applyAlignment="1">
      <alignment vertical="center"/>
    </xf>
    <xf numFmtId="0" fontId="19" fillId="0" borderId="0" xfId="0" applyFont="1" applyAlignment="1">
      <alignment horizontal="center" vertical="center"/>
    </xf>
    <xf numFmtId="0" fontId="20" fillId="0" borderId="0" xfId="0" applyFont="1" applyAlignment="1">
      <alignment horizontal="center" vertical="center"/>
    </xf>
    <xf numFmtId="0" fontId="21" fillId="0" borderId="0" xfId="0" applyFont="1" applyAlignment="1">
      <alignment vertical="center"/>
    </xf>
    <xf numFmtId="0" fontId="22" fillId="0" borderId="0" xfId="0" applyFont="1" applyAlignment="1">
      <alignment vertical="center"/>
    </xf>
    <xf numFmtId="3" fontId="5" fillId="0" borderId="0" xfId="0" applyNumberFormat="1" applyFont="1" applyAlignment="1">
      <alignment vertical="center"/>
    </xf>
    <xf numFmtId="0" fontId="22" fillId="0" borderId="0" xfId="0" quotePrefix="1" applyFont="1" applyAlignment="1">
      <alignment vertical="center"/>
    </xf>
    <xf numFmtId="41" fontId="3" fillId="0" borderId="0" xfId="0" applyNumberFormat="1" applyFont="1" applyAlignment="1">
      <alignment horizontal="center" vertical="center"/>
    </xf>
    <xf numFmtId="41" fontId="28" fillId="0" borderId="0" xfId="0" applyNumberFormat="1" applyFont="1" applyAlignment="1">
      <alignment horizontal="center" vertical="center"/>
    </xf>
    <xf numFmtId="41" fontId="3" fillId="0" borderId="33" xfId="0" applyNumberFormat="1" applyFont="1" applyBorder="1" applyAlignment="1">
      <alignment horizontal="center" vertical="center"/>
    </xf>
    <xf numFmtId="0" fontId="13" fillId="0" borderId="33" xfId="0" applyFont="1" applyBorder="1" applyAlignment="1">
      <alignment horizontal="center" vertical="center" wrapText="1"/>
    </xf>
    <xf numFmtId="43" fontId="3" fillId="0" borderId="0" xfId="0" applyNumberFormat="1" applyFont="1" applyAlignment="1">
      <alignment horizontal="center" vertical="center"/>
    </xf>
    <xf numFmtId="0" fontId="2" fillId="5" borderId="34" xfId="0" applyFont="1" applyFill="1" applyBorder="1" applyAlignment="1">
      <alignment horizontal="center" vertical="center"/>
    </xf>
    <xf numFmtId="0" fontId="2" fillId="5" borderId="33" xfId="0" applyFont="1" applyFill="1" applyBorder="1" applyAlignment="1">
      <alignment horizontal="center" vertical="center" wrapText="1"/>
    </xf>
    <xf numFmtId="0" fontId="2" fillId="5" borderId="33" xfId="0" applyFont="1" applyFill="1" applyBorder="1" applyAlignment="1">
      <alignment horizontal="center" vertical="center"/>
    </xf>
    <xf numFmtId="41" fontId="2" fillId="0" borderId="0" xfId="0" applyNumberFormat="1" applyFont="1" applyAlignment="1">
      <alignment horizontal="center" vertical="center"/>
    </xf>
    <xf numFmtId="3" fontId="2" fillId="5" borderId="33" xfId="0" applyNumberFormat="1" applyFont="1" applyFill="1" applyBorder="1" applyAlignment="1">
      <alignment horizontal="center" vertical="center"/>
    </xf>
    <xf numFmtId="0" fontId="3" fillId="0" borderId="33" xfId="0" applyFont="1" applyBorder="1" applyAlignment="1">
      <alignment horizontal="center" vertical="center"/>
    </xf>
    <xf numFmtId="164" fontId="3" fillId="0" borderId="33" xfId="0" applyNumberFormat="1" applyFont="1" applyBorder="1" applyAlignment="1">
      <alignment vertical="center"/>
    </xf>
    <xf numFmtId="3" fontId="3" fillId="0" borderId="33" xfId="0" applyNumberFormat="1" applyFont="1" applyBorder="1" applyAlignment="1">
      <alignment horizontal="center" vertical="center"/>
    </xf>
    <xf numFmtId="3" fontId="3" fillId="0" borderId="35" xfId="0" applyNumberFormat="1" applyFont="1" applyBorder="1" applyAlignment="1">
      <alignment horizontal="center" vertical="center"/>
    </xf>
    <xf numFmtId="43" fontId="3" fillId="0" borderId="33" xfId="0" applyNumberFormat="1" applyFont="1" applyBorder="1" applyAlignment="1">
      <alignment vertical="center"/>
    </xf>
    <xf numFmtId="43" fontId="8" fillId="0" borderId="33" xfId="0" applyNumberFormat="1" applyFont="1" applyBorder="1" applyAlignment="1">
      <alignment horizontal="center" vertical="center"/>
    </xf>
    <xf numFmtId="164" fontId="8" fillId="0" borderId="33" xfId="0" applyNumberFormat="1" applyFont="1" applyBorder="1" applyAlignment="1">
      <alignment horizontal="center" vertical="center"/>
    </xf>
    <xf numFmtId="43" fontId="11" fillId="0" borderId="33" xfId="0" applyNumberFormat="1" applyFont="1" applyBorder="1" applyAlignment="1">
      <alignment horizontal="center" vertical="center"/>
    </xf>
    <xf numFmtId="4" fontId="3" fillId="0" borderId="33" xfId="0" applyNumberFormat="1" applyFont="1" applyBorder="1" applyAlignment="1">
      <alignment horizontal="center" vertical="center"/>
    </xf>
    <xf numFmtId="0" fontId="3" fillId="0" borderId="35" xfId="0" applyFont="1" applyBorder="1" applyAlignment="1">
      <alignment horizontal="center" vertical="center"/>
    </xf>
    <xf numFmtId="43" fontId="3" fillId="0" borderId="35" xfId="0" applyNumberFormat="1" applyFont="1" applyBorder="1" applyAlignment="1">
      <alignment vertical="center"/>
    </xf>
    <xf numFmtId="43" fontId="8" fillId="0" borderId="35" xfId="0" applyNumberFormat="1" applyFont="1" applyBorder="1" applyAlignment="1">
      <alignment horizontal="center" vertical="center"/>
    </xf>
    <xf numFmtId="4" fontId="8" fillId="0" borderId="25" xfId="0" applyNumberFormat="1" applyFont="1" applyBorder="1" applyAlignment="1">
      <alignment horizontal="center" vertical="center"/>
    </xf>
    <xf numFmtId="164" fontId="3" fillId="0" borderId="11" xfId="0" applyNumberFormat="1" applyFont="1" applyBorder="1" applyAlignment="1">
      <alignment horizontal="center" vertical="center"/>
    </xf>
    <xf numFmtId="43" fontId="8" fillId="0" borderId="11" xfId="0" applyNumberFormat="1" applyFont="1" applyBorder="1" applyAlignment="1">
      <alignment horizontal="center" vertical="center"/>
    </xf>
    <xf numFmtId="0" fontId="3" fillId="0" borderId="33" xfId="0" applyFont="1" applyBorder="1" applyAlignment="1">
      <alignment vertical="center"/>
    </xf>
    <xf numFmtId="0" fontId="3" fillId="5" borderId="33" xfId="0" applyFont="1" applyFill="1" applyBorder="1" applyAlignment="1">
      <alignment vertical="center" wrapText="1"/>
    </xf>
    <xf numFmtId="0" fontId="3" fillId="5" borderId="33" xfId="0" applyFont="1" applyFill="1" applyBorder="1" applyAlignment="1">
      <alignment horizontal="center" vertical="center" wrapText="1"/>
    </xf>
    <xf numFmtId="43" fontId="3" fillId="0" borderId="33" xfId="0" applyNumberFormat="1" applyFont="1" applyBorder="1" applyAlignment="1">
      <alignment horizontal="center" vertical="center"/>
    </xf>
    <xf numFmtId="0" fontId="3" fillId="6" borderId="33" xfId="0" applyFont="1" applyFill="1" applyBorder="1" applyAlignment="1">
      <alignment horizontal="center" vertical="center"/>
    </xf>
    <xf numFmtId="43" fontId="3" fillId="6" borderId="33" xfId="0" applyNumberFormat="1" applyFont="1" applyFill="1" applyBorder="1" applyAlignment="1">
      <alignment vertical="center"/>
    </xf>
    <xf numFmtId="43" fontId="8" fillId="6" borderId="33" xfId="0" applyNumberFormat="1" applyFont="1" applyFill="1" applyBorder="1" applyAlignment="1">
      <alignment horizontal="center" vertical="center"/>
    </xf>
    <xf numFmtId="164" fontId="8" fillId="6" borderId="33" xfId="0" applyNumberFormat="1" applyFont="1" applyFill="1" applyBorder="1" applyAlignment="1">
      <alignment horizontal="center" vertical="center"/>
    </xf>
    <xf numFmtId="41" fontId="3" fillId="0" borderId="38" xfId="0" applyNumberFormat="1" applyFont="1" applyBorder="1" applyAlignment="1">
      <alignment horizontal="center" vertical="center"/>
    </xf>
    <xf numFmtId="0" fontId="3" fillId="0" borderId="33" xfId="0" applyFont="1" applyBorder="1" applyAlignment="1">
      <alignment horizontal="center" vertical="center" wrapText="1"/>
    </xf>
    <xf numFmtId="43" fontId="3" fillId="0" borderId="33" xfId="0" applyNumberFormat="1" applyFont="1" applyBorder="1" applyAlignment="1">
      <alignment vertical="center" wrapText="1"/>
    </xf>
    <xf numFmtId="164" fontId="3" fillId="0" borderId="33" xfId="0" applyNumberFormat="1" applyFont="1" applyBorder="1" applyAlignment="1">
      <alignment horizontal="center" vertical="center" wrapText="1"/>
    </xf>
    <xf numFmtId="43" fontId="3" fillId="0" borderId="33" xfId="0" applyNumberFormat="1" applyFont="1" applyBorder="1" applyAlignment="1">
      <alignment horizontal="center" vertical="center" wrapText="1"/>
    </xf>
    <xf numFmtId="41" fontId="3" fillId="0" borderId="35" xfId="0" applyNumberFormat="1" applyFont="1" applyBorder="1" applyAlignment="1">
      <alignment horizontal="center" vertical="center"/>
    </xf>
    <xf numFmtId="43" fontId="8" fillId="0" borderId="33" xfId="0" applyNumberFormat="1" applyFont="1" applyBorder="1" applyAlignment="1">
      <alignment horizontal="center" vertical="center" wrapText="1"/>
    </xf>
    <xf numFmtId="0" fontId="3" fillId="6" borderId="33" xfId="0" applyFont="1" applyFill="1" applyBorder="1" applyAlignment="1">
      <alignment horizontal="center" vertical="center" wrapText="1"/>
    </xf>
    <xf numFmtId="164" fontId="3" fillId="6" borderId="33" xfId="0" applyNumberFormat="1" applyFont="1" applyFill="1" applyBorder="1" applyAlignment="1">
      <alignment horizontal="center" vertical="center" wrapText="1"/>
    </xf>
    <xf numFmtId="164" fontId="3" fillId="6" borderId="33" xfId="0" applyNumberFormat="1" applyFont="1" applyFill="1" applyBorder="1" applyAlignment="1">
      <alignment vertical="center" wrapText="1"/>
    </xf>
    <xf numFmtId="43" fontId="8" fillId="6" borderId="33" xfId="0" applyNumberFormat="1" applyFont="1" applyFill="1" applyBorder="1" applyAlignment="1">
      <alignment horizontal="center" vertical="center" wrapText="1"/>
    </xf>
    <xf numFmtId="41" fontId="2" fillId="0" borderId="33" xfId="0" applyNumberFormat="1" applyFont="1" applyBorder="1" applyAlignment="1">
      <alignment horizontal="center" vertical="center"/>
    </xf>
    <xf numFmtId="164" fontId="3" fillId="0" borderId="33" xfId="0" applyNumberFormat="1" applyFont="1" applyBorder="1" applyAlignment="1">
      <alignment vertical="center" wrapText="1"/>
    </xf>
    <xf numFmtId="0" fontId="3" fillId="0" borderId="35" xfId="0" applyFont="1" applyBorder="1" applyAlignment="1">
      <alignment horizontal="center" vertical="center" wrapText="1"/>
    </xf>
    <xf numFmtId="164" fontId="3" fillId="0" borderId="35" xfId="0" applyNumberFormat="1" applyFont="1" applyBorder="1" applyAlignment="1">
      <alignment vertical="center" wrapText="1"/>
    </xf>
    <xf numFmtId="43" fontId="8" fillId="0" borderId="35" xfId="0" applyNumberFormat="1" applyFont="1" applyBorder="1" applyAlignment="1">
      <alignment horizontal="center" vertical="center" wrapText="1"/>
    </xf>
    <xf numFmtId="0" fontId="3" fillId="6" borderId="11" xfId="0" applyFont="1" applyFill="1" applyBorder="1" applyAlignment="1">
      <alignment horizontal="center" vertical="center" wrapText="1"/>
    </xf>
    <xf numFmtId="164" fontId="3" fillId="6" borderId="11" xfId="0" applyNumberFormat="1" applyFont="1" applyFill="1" applyBorder="1" applyAlignment="1">
      <alignment vertical="center"/>
    </xf>
    <xf numFmtId="164" fontId="3" fillId="6" borderId="11" xfId="0" applyNumberFormat="1" applyFont="1" applyFill="1" applyBorder="1" applyAlignment="1">
      <alignment horizontal="center" vertical="center" wrapText="1"/>
    </xf>
    <xf numFmtId="164" fontId="3" fillId="6" borderId="11" xfId="0" applyNumberFormat="1" applyFont="1" applyFill="1" applyBorder="1" applyAlignment="1">
      <alignment vertical="center" wrapText="1"/>
    </xf>
    <xf numFmtId="43" fontId="8" fillId="6" borderId="11" xfId="0" applyNumberFormat="1" applyFont="1" applyFill="1" applyBorder="1" applyAlignment="1">
      <alignment horizontal="center" vertical="center" wrapText="1"/>
    </xf>
    <xf numFmtId="164" fontId="3" fillId="0" borderId="11" xfId="0" applyNumberFormat="1" applyFont="1" applyBorder="1" applyAlignment="1">
      <alignment vertical="center" wrapText="1"/>
    </xf>
    <xf numFmtId="164" fontId="3" fillId="0" borderId="11" xfId="0" applyNumberFormat="1" applyFont="1" applyBorder="1" applyAlignment="1">
      <alignment horizontal="center" vertical="center" wrapText="1"/>
    </xf>
    <xf numFmtId="43" fontId="3" fillId="0" borderId="11" xfId="0" applyNumberFormat="1" applyFont="1" applyBorder="1" applyAlignment="1">
      <alignment horizontal="center" vertical="center" wrapText="1"/>
    </xf>
    <xf numFmtId="43" fontId="8" fillId="0" borderId="11" xfId="0" applyNumberFormat="1" applyFont="1" applyBorder="1" applyAlignment="1">
      <alignment horizontal="center" vertical="center" wrapText="1"/>
    </xf>
    <xf numFmtId="164" fontId="3" fillId="8" borderId="11" xfId="0" applyNumberFormat="1" applyFont="1" applyFill="1" applyBorder="1" applyAlignment="1">
      <alignment horizontal="center" vertical="center" wrapText="1"/>
    </xf>
    <xf numFmtId="0" fontId="3" fillId="6" borderId="38" xfId="0" applyFont="1" applyFill="1" applyBorder="1" applyAlignment="1">
      <alignment horizontal="center" vertical="center" wrapText="1"/>
    </xf>
    <xf numFmtId="164" fontId="3" fillId="6" borderId="38" xfId="0" applyNumberFormat="1" applyFont="1" applyFill="1" applyBorder="1" applyAlignment="1">
      <alignment vertical="center"/>
    </xf>
    <xf numFmtId="164" fontId="3" fillId="6" borderId="38" xfId="0" applyNumberFormat="1" applyFont="1" applyFill="1" applyBorder="1" applyAlignment="1">
      <alignment horizontal="center" vertical="center" wrapText="1"/>
    </xf>
    <xf numFmtId="43" fontId="3" fillId="6" borderId="38" xfId="0" applyNumberFormat="1" applyFont="1" applyFill="1" applyBorder="1" applyAlignment="1">
      <alignment horizontal="center" vertical="center" wrapText="1"/>
    </xf>
    <xf numFmtId="41" fontId="2" fillId="0" borderId="0" xfId="0" applyNumberFormat="1" applyFont="1" applyAlignment="1">
      <alignment horizontal="center" vertical="center" wrapText="1"/>
    </xf>
    <xf numFmtId="164" fontId="3" fillId="8" borderId="33" xfId="0" applyNumberFormat="1" applyFont="1" applyFill="1" applyBorder="1" applyAlignment="1">
      <alignment horizontal="center" vertical="center" wrapText="1"/>
    </xf>
    <xf numFmtId="164" fontId="3" fillId="6" borderId="33" xfId="0" applyNumberFormat="1" applyFont="1" applyFill="1" applyBorder="1" applyAlignment="1">
      <alignment vertical="center"/>
    </xf>
    <xf numFmtId="0" fontId="3" fillId="9" borderId="33" xfId="0" applyFont="1" applyFill="1" applyBorder="1" applyAlignment="1">
      <alignment horizontal="center" vertical="center" wrapText="1"/>
    </xf>
    <xf numFmtId="164" fontId="2" fillId="9" borderId="33" xfId="0" applyNumberFormat="1" applyFont="1" applyFill="1" applyBorder="1" applyAlignment="1">
      <alignment vertical="center" wrapText="1"/>
    </xf>
    <xf numFmtId="167" fontId="2" fillId="9" borderId="33" xfId="0" applyNumberFormat="1" applyFont="1" applyFill="1" applyBorder="1" applyAlignment="1">
      <alignment vertical="center" wrapText="1"/>
    </xf>
    <xf numFmtId="164" fontId="2" fillId="9" borderId="33" xfId="0" applyNumberFormat="1" applyFont="1" applyFill="1" applyBorder="1" applyAlignment="1">
      <alignment horizontal="center" vertical="center" wrapText="1"/>
    </xf>
    <xf numFmtId="41" fontId="3" fillId="0" borderId="0" xfId="0" applyNumberFormat="1" applyFont="1" applyAlignment="1">
      <alignment horizontal="center" vertical="center" wrapText="1"/>
    </xf>
    <xf numFmtId="164" fontId="3" fillId="9" borderId="33" xfId="0" applyNumberFormat="1" applyFont="1" applyFill="1" applyBorder="1" applyAlignment="1">
      <alignment vertical="center" wrapText="1"/>
    </xf>
    <xf numFmtId="43" fontId="8" fillId="9" borderId="33" xfId="0" applyNumberFormat="1" applyFont="1" applyFill="1" applyBorder="1" applyAlignment="1">
      <alignment horizontal="center" vertical="center" wrapText="1"/>
    </xf>
    <xf numFmtId="164" fontId="8" fillId="9" borderId="33" xfId="0" applyNumberFormat="1" applyFont="1" applyFill="1" applyBorder="1" applyAlignment="1">
      <alignment horizontal="center" vertical="center" wrapText="1"/>
    </xf>
    <xf numFmtId="0" fontId="3" fillId="9" borderId="35" xfId="0" applyFont="1" applyFill="1" applyBorder="1" applyAlignment="1">
      <alignment horizontal="center" vertical="center" wrapText="1"/>
    </xf>
    <xf numFmtId="43" fontId="3" fillId="9" borderId="35" xfId="0" applyNumberFormat="1" applyFont="1" applyFill="1" applyBorder="1" applyAlignment="1">
      <alignment vertical="center" wrapText="1"/>
    </xf>
    <xf numFmtId="43" fontId="8" fillId="9" borderId="35" xfId="0" applyNumberFormat="1" applyFont="1" applyFill="1" applyBorder="1" applyAlignment="1">
      <alignment horizontal="center" vertical="center" wrapText="1"/>
    </xf>
    <xf numFmtId="164" fontId="8" fillId="9" borderId="35" xfId="0" applyNumberFormat="1" applyFont="1" applyFill="1" applyBorder="1" applyAlignment="1">
      <alignment horizontal="center" vertical="center" wrapText="1"/>
    </xf>
    <xf numFmtId="164" fontId="3" fillId="9" borderId="35" xfId="0" applyNumberFormat="1" applyFont="1" applyFill="1" applyBorder="1" applyAlignment="1">
      <alignment horizontal="center" vertical="center" wrapText="1"/>
    </xf>
    <xf numFmtId="3" fontId="3" fillId="9" borderId="35" xfId="0" applyNumberFormat="1" applyFont="1" applyFill="1" applyBorder="1" applyAlignment="1">
      <alignment horizontal="center" vertical="center" wrapText="1"/>
    </xf>
    <xf numFmtId="0" fontId="3" fillId="9" borderId="11" xfId="0" applyFont="1" applyFill="1" applyBorder="1" applyAlignment="1">
      <alignment horizontal="center" vertical="center"/>
    </xf>
    <xf numFmtId="43" fontId="3" fillId="9" borderId="11" xfId="0" applyNumberFormat="1" applyFont="1" applyFill="1" applyBorder="1" applyAlignment="1">
      <alignment vertical="center"/>
    </xf>
    <xf numFmtId="43" fontId="3" fillId="9" borderId="11" xfId="0" applyNumberFormat="1" applyFont="1" applyFill="1" applyBorder="1" applyAlignment="1">
      <alignment horizontal="center" vertical="center"/>
    </xf>
    <xf numFmtId="0" fontId="3" fillId="11" borderId="11" xfId="0" applyFont="1" applyFill="1" applyBorder="1" applyAlignment="1">
      <alignment horizontal="center" vertical="center" wrapText="1"/>
    </xf>
    <xf numFmtId="164" fontId="15" fillId="11" borderId="11" xfId="0" applyNumberFormat="1" applyFont="1" applyFill="1" applyBorder="1" applyAlignment="1">
      <alignment vertical="center" wrapText="1"/>
    </xf>
    <xf numFmtId="164" fontId="15" fillId="11" borderId="11" xfId="0" applyNumberFormat="1" applyFont="1" applyFill="1" applyBorder="1" applyAlignment="1">
      <alignment horizontal="center" vertical="center" wrapText="1"/>
    </xf>
    <xf numFmtId="43" fontId="15" fillId="11" borderId="11" xfId="0" applyNumberFormat="1" applyFont="1" applyFill="1" applyBorder="1" applyAlignment="1">
      <alignment horizontal="center" vertical="center" wrapText="1"/>
    </xf>
    <xf numFmtId="164" fontId="16" fillId="11" borderId="11" xfId="0" applyNumberFormat="1" applyFont="1" applyFill="1" applyBorder="1" applyAlignment="1">
      <alignment horizontal="center" vertical="center" wrapText="1"/>
    </xf>
    <xf numFmtId="164" fontId="16" fillId="11" borderId="11" xfId="0" applyNumberFormat="1" applyFont="1" applyFill="1" applyBorder="1" applyAlignment="1">
      <alignment vertical="center" wrapText="1"/>
    </xf>
    <xf numFmtId="43" fontId="30" fillId="11" borderId="11" xfId="0" applyNumberFormat="1" applyFont="1" applyFill="1" applyBorder="1" applyAlignment="1">
      <alignment horizontal="center" vertical="center" wrapText="1"/>
    </xf>
    <xf numFmtId="164" fontId="30" fillId="11" borderId="11" xfId="0" applyNumberFormat="1" applyFont="1" applyFill="1" applyBorder="1" applyAlignment="1">
      <alignment horizontal="center" vertical="center" wrapText="1"/>
    </xf>
    <xf numFmtId="164" fontId="31" fillId="11" borderId="11" xfId="0" applyNumberFormat="1" applyFont="1" applyFill="1" applyBorder="1" applyAlignment="1">
      <alignment horizontal="center" vertical="center" wrapText="1"/>
    </xf>
    <xf numFmtId="43" fontId="3" fillId="11" borderId="11" xfId="0" applyNumberFormat="1" applyFont="1" applyFill="1" applyBorder="1" applyAlignment="1">
      <alignment vertical="center" wrapText="1"/>
    </xf>
    <xf numFmtId="164" fontId="3" fillId="11" borderId="11" xfId="0" applyNumberFormat="1" applyFont="1" applyFill="1" applyBorder="1" applyAlignment="1">
      <alignment horizontal="center" vertical="center" wrapText="1"/>
    </xf>
    <xf numFmtId="3" fontId="3" fillId="11" borderId="11" xfId="0" applyNumberFormat="1" applyFont="1" applyFill="1" applyBorder="1" applyAlignment="1">
      <alignment horizontal="center" vertical="center" wrapText="1"/>
    </xf>
    <xf numFmtId="0" fontId="3" fillId="0" borderId="38" xfId="0" applyFont="1" applyBorder="1" applyAlignment="1">
      <alignment horizontal="center" vertical="center" wrapText="1"/>
    </xf>
    <xf numFmtId="164" fontId="3" fillId="0" borderId="38" xfId="0" applyNumberFormat="1" applyFont="1" applyBorder="1" applyAlignment="1">
      <alignment horizontal="center" vertical="center" wrapText="1"/>
    </xf>
    <xf numFmtId="164" fontId="2" fillId="14" borderId="33" xfId="0" applyNumberFormat="1" applyFont="1" applyFill="1" applyBorder="1" applyAlignment="1">
      <alignment vertical="center" wrapText="1"/>
    </xf>
    <xf numFmtId="164" fontId="2" fillId="14" borderId="33" xfId="0" applyNumberFormat="1" applyFont="1" applyFill="1" applyBorder="1" applyAlignment="1">
      <alignment horizontal="center" vertical="center" wrapText="1"/>
    </xf>
    <xf numFmtId="43" fontId="3" fillId="0" borderId="0" xfId="0" applyNumberFormat="1" applyFont="1" applyAlignment="1">
      <alignment vertical="center" wrapText="1"/>
    </xf>
    <xf numFmtId="43" fontId="8" fillId="0" borderId="0" xfId="0" applyNumberFormat="1" applyFont="1" applyAlignment="1">
      <alignment horizontal="center" vertical="center" wrapText="1"/>
    </xf>
    <xf numFmtId="164" fontId="8" fillId="0" borderId="0" xfId="0" applyNumberFormat="1" applyFont="1" applyAlignment="1">
      <alignment horizontal="center" vertical="center" wrapText="1"/>
    </xf>
    <xf numFmtId="164" fontId="3" fillId="0" borderId="0" xfId="0" applyNumberFormat="1" applyFont="1" applyAlignment="1">
      <alignment horizontal="center" vertical="center" wrapText="1"/>
    </xf>
    <xf numFmtId="3" fontId="3" fillId="0" borderId="0" xfId="0" applyNumberFormat="1" applyFont="1" applyAlignment="1">
      <alignment horizontal="center" vertical="center" wrapText="1"/>
    </xf>
    <xf numFmtId="43" fontId="3" fillId="0" borderId="0" xfId="0" applyNumberFormat="1" applyFont="1" applyAlignment="1">
      <alignment horizontal="center" vertical="center" wrapText="1"/>
    </xf>
    <xf numFmtId="0" fontId="2" fillId="0" borderId="36" xfId="0" applyFont="1" applyBorder="1" applyAlignment="1">
      <alignment horizontal="center" vertical="center" wrapText="1"/>
    </xf>
    <xf numFmtId="164" fontId="2" fillId="0" borderId="34" xfId="0" applyNumberFormat="1" applyFont="1" applyBorder="1" applyAlignment="1">
      <alignment horizontal="center" vertical="center" wrapText="1"/>
    </xf>
    <xf numFmtId="0" fontId="2" fillId="0" borderId="33" xfId="0" applyFont="1" applyBorder="1" applyAlignment="1">
      <alignment horizontal="center" vertical="center" wrapText="1"/>
    </xf>
    <xf numFmtId="43" fontId="33" fillId="8" borderId="33" xfId="0" applyNumberFormat="1" applyFont="1" applyFill="1" applyBorder="1" applyAlignment="1">
      <alignment vertical="center"/>
    </xf>
    <xf numFmtId="43" fontId="33" fillId="0" borderId="33" xfId="0" applyNumberFormat="1" applyFont="1" applyBorder="1" applyAlignment="1">
      <alignment vertical="center"/>
    </xf>
    <xf numFmtId="43" fontId="33" fillId="0" borderId="34" xfId="0" applyNumberFormat="1" applyFont="1" applyBorder="1" applyAlignment="1">
      <alignment vertical="center"/>
    </xf>
    <xf numFmtId="4" fontId="8" fillId="0" borderId="33" xfId="0" applyNumberFormat="1" applyFont="1" applyBorder="1" applyAlignment="1">
      <alignment vertical="center"/>
    </xf>
    <xf numFmtId="43" fontId="34" fillId="0" borderId="33" xfId="0" applyNumberFormat="1" applyFont="1" applyBorder="1" applyAlignment="1">
      <alignment vertical="center"/>
    </xf>
    <xf numFmtId="43" fontId="34" fillId="8" borderId="34" xfId="0" applyNumberFormat="1" applyFont="1" applyFill="1" applyBorder="1" applyAlignment="1">
      <alignment vertical="center"/>
    </xf>
    <xf numFmtId="0" fontId="3" fillId="0" borderId="0" xfId="0" applyFont="1" applyAlignment="1">
      <alignment horizontal="center" vertical="center" wrapText="1"/>
    </xf>
    <xf numFmtId="41" fontId="2" fillId="0" borderId="11" xfId="0" applyNumberFormat="1" applyFont="1" applyBorder="1" applyAlignment="1">
      <alignment horizontal="center" vertical="center"/>
    </xf>
    <xf numFmtId="41" fontId="3" fillId="0" borderId="11" xfId="0" applyNumberFormat="1" applyFont="1" applyBorder="1" applyAlignment="1">
      <alignment horizontal="center" vertical="center"/>
    </xf>
    <xf numFmtId="167" fontId="33" fillId="0" borderId="33" xfId="0" applyNumberFormat="1" applyFont="1" applyBorder="1" applyAlignment="1">
      <alignment vertical="center"/>
    </xf>
    <xf numFmtId="43" fontId="34" fillId="8" borderId="33" xfId="0" applyNumberFormat="1" applyFont="1" applyFill="1" applyBorder="1" applyAlignment="1">
      <alignment vertical="center"/>
    </xf>
    <xf numFmtId="43" fontId="33" fillId="0" borderId="11" xfId="0" applyNumberFormat="1" applyFont="1" applyBorder="1" applyAlignment="1">
      <alignment vertical="center"/>
    </xf>
    <xf numFmtId="43" fontId="34" fillId="8" borderId="11" xfId="0" applyNumberFormat="1" applyFont="1" applyFill="1" applyBorder="1" applyAlignment="1">
      <alignment vertical="center"/>
    </xf>
    <xf numFmtId="43" fontId="34" fillId="0" borderId="11" xfId="0" applyNumberFormat="1" applyFont="1" applyBorder="1" applyAlignment="1">
      <alignment vertical="center"/>
    </xf>
    <xf numFmtId="0" fontId="2" fillId="5" borderId="11" xfId="0" applyFont="1" applyFill="1" applyBorder="1" applyAlignment="1">
      <alignment horizontal="center" vertical="center" wrapText="1"/>
    </xf>
    <xf numFmtId="164" fontId="32" fillId="5" borderId="11" xfId="0" applyNumberFormat="1" applyFont="1" applyFill="1" applyBorder="1" applyAlignment="1">
      <alignment vertical="center"/>
    </xf>
    <xf numFmtId="43" fontId="36" fillId="5" borderId="11" xfId="0" applyNumberFormat="1" applyFont="1" applyFill="1" applyBorder="1" applyAlignment="1">
      <alignment vertical="center"/>
    </xf>
    <xf numFmtId="43" fontId="32" fillId="5" borderId="11" xfId="0" applyNumberFormat="1" applyFont="1" applyFill="1" applyBorder="1" applyAlignment="1">
      <alignment vertical="center"/>
    </xf>
    <xf numFmtId="0" fontId="37" fillId="0" borderId="11" xfId="0" applyFont="1" applyBorder="1" applyAlignment="1">
      <alignment horizontal="center" vertical="center"/>
    </xf>
    <xf numFmtId="43" fontId="32" fillId="0" borderId="11" xfId="0" applyNumberFormat="1" applyFont="1" applyBorder="1" applyAlignment="1">
      <alignment horizontal="center" vertical="center"/>
    </xf>
    <xf numFmtId="0" fontId="35" fillId="0" borderId="11" xfId="0" applyFont="1" applyBorder="1" applyAlignment="1">
      <alignment horizontal="center" vertical="center"/>
    </xf>
    <xf numFmtId="43" fontId="33" fillId="0" borderId="11" xfId="0" applyNumberFormat="1" applyFont="1" applyBorder="1" applyAlignment="1">
      <alignment horizontal="center" vertical="center"/>
    </xf>
    <xf numFmtId="43" fontId="32" fillId="2" borderId="11" xfId="0" quotePrefix="1" applyNumberFormat="1" applyFont="1" applyFill="1" applyBorder="1" applyAlignment="1">
      <alignment horizontal="center" vertical="center"/>
    </xf>
    <xf numFmtId="43" fontId="32" fillId="2" borderId="11" xfId="0" applyNumberFormat="1" applyFont="1" applyFill="1" applyBorder="1" applyAlignment="1">
      <alignment horizontal="center" vertical="center"/>
    </xf>
    <xf numFmtId="43" fontId="32" fillId="2" borderId="11" xfId="0" applyNumberFormat="1" applyFont="1" applyFill="1" applyBorder="1" applyAlignment="1">
      <alignment vertical="center"/>
    </xf>
    <xf numFmtId="164" fontId="2" fillId="0" borderId="33" xfId="0" applyNumberFormat="1" applyFont="1" applyBorder="1" applyAlignment="1">
      <alignment horizontal="center" vertical="center" wrapText="1"/>
    </xf>
    <xf numFmtId="164" fontId="8" fillId="0" borderId="33" xfId="0" applyNumberFormat="1" applyFont="1" applyBorder="1" applyAlignment="1">
      <alignment horizontal="center" vertical="center" wrapText="1"/>
    </xf>
    <xf numFmtId="164" fontId="8" fillId="0" borderId="35" xfId="0" applyNumberFormat="1" applyFont="1" applyBorder="1" applyAlignment="1">
      <alignment horizontal="center" vertical="center" wrapText="1"/>
    </xf>
    <xf numFmtId="164" fontId="8" fillId="0" borderId="11" xfId="0" applyNumberFormat="1" applyFont="1" applyBorder="1" applyAlignment="1">
      <alignment horizontal="center" vertical="center" wrapText="1"/>
    </xf>
    <xf numFmtId="0" fontId="15" fillId="5" borderId="33" xfId="0" applyFont="1" applyFill="1" applyBorder="1" applyAlignment="1">
      <alignment horizontal="center" vertical="center" wrapText="1"/>
    </xf>
    <xf numFmtId="164" fontId="15" fillId="5" borderId="33" xfId="0" applyNumberFormat="1" applyFont="1" applyFill="1" applyBorder="1" applyAlignment="1">
      <alignment horizontal="center" vertical="center" wrapText="1"/>
    </xf>
    <xf numFmtId="43" fontId="15" fillId="5" borderId="34" xfId="0" applyNumberFormat="1" applyFont="1" applyFill="1" applyBorder="1" applyAlignment="1">
      <alignment horizontal="center" vertical="center" wrapText="1"/>
    </xf>
    <xf numFmtId="43" fontId="30" fillId="5" borderId="33" xfId="0" applyNumberFormat="1" applyFont="1" applyFill="1" applyBorder="1" applyAlignment="1">
      <alignment horizontal="center" vertical="center" wrapText="1"/>
    </xf>
    <xf numFmtId="164" fontId="30" fillId="5" borderId="33" xfId="0" applyNumberFormat="1" applyFont="1" applyFill="1" applyBorder="1" applyAlignment="1">
      <alignment horizontal="center" vertical="center" wrapText="1"/>
    </xf>
    <xf numFmtId="164" fontId="15" fillId="5" borderId="34" xfId="0" applyNumberFormat="1" applyFont="1" applyFill="1" applyBorder="1" applyAlignment="1">
      <alignment horizontal="center" vertical="center" wrapText="1"/>
    </xf>
    <xf numFmtId="0" fontId="2" fillId="0" borderId="33" xfId="0" applyFont="1" applyBorder="1" applyAlignment="1">
      <alignment horizontal="center" vertical="center"/>
    </xf>
    <xf numFmtId="0" fontId="14" fillId="0" borderId="33" xfId="0" applyFont="1" applyBorder="1" applyAlignment="1">
      <alignment horizontal="center" vertical="center"/>
    </xf>
    <xf numFmtId="3" fontId="14" fillId="0" borderId="33" xfId="0" applyNumberFormat="1" applyFont="1" applyBorder="1" applyAlignment="1">
      <alignment horizontal="center" vertical="center" wrapText="1"/>
    </xf>
    <xf numFmtId="0" fontId="14" fillId="0" borderId="33" xfId="0" applyFont="1" applyBorder="1" applyAlignment="1">
      <alignment horizontal="center" vertical="center" wrapText="1"/>
    </xf>
    <xf numFmtId="3" fontId="14" fillId="0" borderId="33" xfId="0" quotePrefix="1" applyNumberFormat="1" applyFont="1" applyBorder="1" applyAlignment="1">
      <alignment horizontal="center" vertical="center" wrapText="1"/>
    </xf>
    <xf numFmtId="0" fontId="5" fillId="0" borderId="33" xfId="0" applyFont="1" applyBorder="1" applyAlignment="1">
      <alignment horizontal="center" vertical="center"/>
    </xf>
    <xf numFmtId="43" fontId="5" fillId="0" borderId="33" xfId="0" applyNumberFormat="1" applyFont="1" applyBorder="1" applyAlignment="1">
      <alignment horizontal="center" vertical="center"/>
    </xf>
    <xf numFmtId="164" fontId="5" fillId="0" borderId="33" xfId="0" applyNumberFormat="1" applyFont="1" applyBorder="1" applyAlignment="1">
      <alignment horizontal="center" vertical="center"/>
    </xf>
    <xf numFmtId="43" fontId="5" fillId="0" borderId="33" xfId="0" applyNumberFormat="1" applyFont="1" applyBorder="1" applyAlignment="1">
      <alignment horizontal="right" vertical="center"/>
    </xf>
    <xf numFmtId="168" fontId="5" fillId="0" borderId="33" xfId="0" applyNumberFormat="1" applyFont="1" applyBorder="1" applyAlignment="1">
      <alignment horizontal="center" vertical="center"/>
    </xf>
    <xf numFmtId="168" fontId="5" fillId="0" borderId="33" xfId="0" applyNumberFormat="1" applyFont="1" applyBorder="1" applyAlignment="1">
      <alignment horizontal="right" vertical="center"/>
    </xf>
    <xf numFmtId="0" fontId="2" fillId="0" borderId="11" xfId="0" applyFont="1" applyBorder="1" applyAlignment="1">
      <alignment horizontal="left" vertical="center"/>
    </xf>
    <xf numFmtId="169" fontId="5" fillId="0" borderId="33" xfId="0" applyNumberFormat="1" applyFont="1" applyBorder="1" applyAlignment="1">
      <alignment horizontal="center" vertical="center"/>
    </xf>
    <xf numFmtId="170" fontId="5" fillId="0" borderId="33" xfId="0" applyNumberFormat="1" applyFont="1" applyBorder="1" applyAlignment="1">
      <alignment horizontal="center" vertical="center"/>
    </xf>
    <xf numFmtId="0" fontId="5" fillId="8" borderId="33" xfId="0" applyFont="1" applyFill="1" applyBorder="1" applyAlignment="1">
      <alignment horizontal="center" vertical="center"/>
    </xf>
    <xf numFmtId="168" fontId="5" fillId="8" borderId="33" xfId="0" applyNumberFormat="1" applyFont="1" applyFill="1" applyBorder="1" applyAlignment="1">
      <alignment horizontal="center" vertical="center"/>
    </xf>
    <xf numFmtId="0" fontId="5" fillId="0" borderId="35" xfId="0" applyFont="1" applyBorder="1" applyAlignment="1">
      <alignment horizontal="center" vertical="center"/>
    </xf>
    <xf numFmtId="170" fontId="5" fillId="0" borderId="35" xfId="0" applyNumberFormat="1" applyFont="1" applyBorder="1" applyAlignment="1">
      <alignment horizontal="center" vertical="center"/>
    </xf>
    <xf numFmtId="168" fontId="5" fillId="0" borderId="35" xfId="0" applyNumberFormat="1" applyFont="1" applyBorder="1" applyAlignment="1">
      <alignment horizontal="center" vertical="center"/>
    </xf>
    <xf numFmtId="164" fontId="5" fillId="0" borderId="35" xfId="0" applyNumberFormat="1" applyFont="1" applyBorder="1" applyAlignment="1">
      <alignment horizontal="center" vertical="center"/>
    </xf>
    <xf numFmtId="170" fontId="5" fillId="0" borderId="11" xfId="0" applyNumberFormat="1" applyFont="1" applyBorder="1" applyAlignment="1">
      <alignment horizontal="center" vertical="center"/>
    </xf>
    <xf numFmtId="168" fontId="5" fillId="0" borderId="11" xfId="0" applyNumberFormat="1" applyFont="1" applyBorder="1" applyAlignment="1">
      <alignment horizontal="center" vertical="center"/>
    </xf>
    <xf numFmtId="164" fontId="5" fillId="0" borderId="11" xfId="0" applyNumberFormat="1" applyFont="1" applyBorder="1" applyAlignment="1">
      <alignment horizontal="center" vertical="center"/>
    </xf>
    <xf numFmtId="43" fontId="5" fillId="0" borderId="11" xfId="0" applyNumberFormat="1" applyFont="1" applyBorder="1" applyAlignment="1">
      <alignment horizontal="center" vertical="center" wrapText="1"/>
    </xf>
    <xf numFmtId="169" fontId="5" fillId="0" borderId="11" xfId="0" applyNumberFormat="1" applyFont="1" applyBorder="1" applyAlignment="1">
      <alignment horizontal="center" vertical="center"/>
    </xf>
    <xf numFmtId="41" fontId="3" fillId="0" borderId="39" xfId="0" applyNumberFormat="1" applyFont="1" applyBorder="1" applyAlignment="1">
      <alignment horizontal="center" vertical="center"/>
    </xf>
    <xf numFmtId="0" fontId="5" fillId="0" borderId="11" xfId="0" applyFont="1" applyBorder="1" applyAlignment="1">
      <alignment horizontal="center" vertical="center" wrapText="1"/>
    </xf>
    <xf numFmtId="43" fontId="5" fillId="0" borderId="35" xfId="0" applyNumberFormat="1" applyFont="1" applyBorder="1" applyAlignment="1">
      <alignment horizontal="center" vertical="center"/>
    </xf>
    <xf numFmtId="164" fontId="5" fillId="0" borderId="35" xfId="0" applyNumberFormat="1" applyFont="1" applyBorder="1" applyAlignment="1">
      <alignment horizontal="center" vertical="center" wrapText="1"/>
    </xf>
    <xf numFmtId="3" fontId="5" fillId="0" borderId="35" xfId="0" applyNumberFormat="1" applyFont="1" applyBorder="1" applyAlignment="1">
      <alignment horizontal="right" vertical="center" wrapText="1"/>
    </xf>
    <xf numFmtId="168" fontId="5" fillId="0" borderId="11" xfId="0" applyNumberFormat="1" applyFont="1" applyBorder="1" applyAlignment="1">
      <alignment horizontal="center" vertical="center" wrapText="1"/>
    </xf>
    <xf numFmtId="164" fontId="5" fillId="0" borderId="11" xfId="0" applyNumberFormat="1" applyFont="1" applyBorder="1" applyAlignment="1">
      <alignment horizontal="center" vertical="center" wrapText="1"/>
    </xf>
    <xf numFmtId="169" fontId="5" fillId="0" borderId="11" xfId="0" applyNumberFormat="1" applyFont="1" applyBorder="1" applyAlignment="1">
      <alignment horizontal="center" vertical="center" wrapText="1"/>
    </xf>
    <xf numFmtId="3" fontId="5" fillId="0" borderId="11" xfId="0" applyNumberFormat="1" applyFont="1" applyBorder="1" applyAlignment="1">
      <alignment horizontal="right" vertical="center" wrapText="1"/>
    </xf>
    <xf numFmtId="0" fontId="5" fillId="0" borderId="0" xfId="0" applyFont="1" applyAlignment="1">
      <alignment horizontal="center" vertical="center" wrapText="1"/>
    </xf>
    <xf numFmtId="0" fontId="9" fillId="0" borderId="0" xfId="0" applyFont="1" applyAlignment="1">
      <alignment vertical="center"/>
    </xf>
    <xf numFmtId="164" fontId="35" fillId="0" borderId="33" xfId="0" applyNumberFormat="1" applyFont="1" applyBorder="1" applyAlignment="1">
      <alignment horizontal="center" vertical="center" wrapText="1"/>
    </xf>
    <xf numFmtId="41" fontId="9" fillId="0" borderId="0" xfId="0" applyNumberFormat="1" applyFont="1" applyAlignment="1">
      <alignment horizontal="center" vertical="center"/>
    </xf>
    <xf numFmtId="0" fontId="9" fillId="0" borderId="0" xfId="0" applyFont="1" applyAlignment="1">
      <alignment horizontal="center" vertical="center"/>
    </xf>
    <xf numFmtId="168" fontId="35" fillId="0" borderId="33" xfId="0" applyNumberFormat="1" applyFont="1" applyBorder="1" applyAlignment="1">
      <alignment horizontal="center" vertical="center" wrapText="1"/>
    </xf>
    <xf numFmtId="168" fontId="35" fillId="0" borderId="35" xfId="0" applyNumberFormat="1" applyFont="1" applyBorder="1" applyAlignment="1">
      <alignment horizontal="center" vertical="center" wrapText="1"/>
    </xf>
    <xf numFmtId="164" fontId="35" fillId="0" borderId="35" xfId="0" applyNumberFormat="1" applyFont="1" applyBorder="1" applyAlignment="1">
      <alignment horizontal="center" vertical="center" wrapText="1"/>
    </xf>
    <xf numFmtId="168" fontId="35" fillId="0" borderId="11" xfId="0" applyNumberFormat="1" applyFont="1" applyBorder="1" applyAlignment="1">
      <alignment horizontal="center" vertical="center"/>
    </xf>
    <xf numFmtId="168" fontId="35" fillId="0" borderId="11" xfId="0" applyNumberFormat="1" applyFont="1" applyBorder="1" applyAlignment="1">
      <alignment horizontal="center" vertical="center" wrapText="1"/>
    </xf>
    <xf numFmtId="164" fontId="35" fillId="0" borderId="11" xfId="0" applyNumberFormat="1" applyFont="1" applyBorder="1" applyAlignment="1">
      <alignment horizontal="center" vertical="center" wrapText="1"/>
    </xf>
    <xf numFmtId="43" fontId="35" fillId="0" borderId="33" xfId="0" applyNumberFormat="1" applyFont="1" applyBorder="1" applyAlignment="1">
      <alignment horizontal="center" vertical="center"/>
    </xf>
    <xf numFmtId="43" fontId="5" fillId="0" borderId="33" xfId="0" applyNumberFormat="1" applyFont="1" applyBorder="1" applyAlignment="1">
      <alignment horizontal="center" vertical="center" wrapText="1"/>
    </xf>
    <xf numFmtId="164" fontId="5" fillId="0" borderId="33" xfId="0" applyNumberFormat="1" applyFont="1" applyBorder="1" applyAlignment="1">
      <alignment horizontal="center" vertical="center" wrapText="1"/>
    </xf>
    <xf numFmtId="168" fontId="5" fillId="0" borderId="33" xfId="0" applyNumberFormat="1" applyFont="1" applyBorder="1" applyAlignment="1">
      <alignment horizontal="center" vertical="center" wrapText="1"/>
    </xf>
    <xf numFmtId="168" fontId="5" fillId="0" borderId="35" xfId="0" applyNumberFormat="1" applyFont="1" applyBorder="1" applyAlignment="1">
      <alignment horizontal="center" vertical="center" wrapText="1"/>
    </xf>
    <xf numFmtId="0" fontId="2" fillId="3" borderId="11" xfId="0" applyFont="1" applyFill="1" applyBorder="1" applyAlignment="1">
      <alignment horizontal="center" vertical="center" wrapText="1"/>
    </xf>
    <xf numFmtId="0" fontId="2" fillId="3" borderId="11" xfId="0" applyFont="1" applyFill="1" applyBorder="1" applyAlignment="1">
      <alignment horizontal="center" vertical="center"/>
    </xf>
    <xf numFmtId="0" fontId="2" fillId="3" borderId="12" xfId="0" applyFont="1" applyFill="1" applyBorder="1" applyAlignment="1">
      <alignment horizontal="center" vertical="center"/>
    </xf>
    <xf numFmtId="3" fontId="2" fillId="0" borderId="11" xfId="0" applyNumberFormat="1" applyFont="1" applyBorder="1" applyAlignment="1">
      <alignment horizontal="center" vertical="center" wrapText="1"/>
    </xf>
    <xf numFmtId="0" fontId="3" fillId="3" borderId="20" xfId="0" applyFont="1" applyFill="1" applyBorder="1" applyAlignment="1">
      <alignment horizontal="center" vertical="center"/>
    </xf>
    <xf numFmtId="3" fontId="3" fillId="3" borderId="11" xfId="0" applyNumberFormat="1" applyFont="1" applyFill="1" applyBorder="1" applyAlignment="1">
      <alignment horizontal="center" vertical="center"/>
    </xf>
    <xf numFmtId="2" fontId="3" fillId="0" borderId="11" xfId="0" applyNumberFormat="1" applyFont="1" applyBorder="1" applyAlignment="1">
      <alignment horizontal="center" vertical="center"/>
    </xf>
    <xf numFmtId="41" fontId="3" fillId="3" borderId="11" xfId="0" applyNumberFormat="1" applyFont="1" applyFill="1" applyBorder="1" applyAlignment="1">
      <alignment horizontal="center" vertical="center"/>
    </xf>
    <xf numFmtId="0" fontId="3" fillId="3" borderId="11" xfId="0" applyFont="1" applyFill="1" applyBorder="1" applyAlignment="1">
      <alignment horizontal="center" vertical="center"/>
    </xf>
    <xf numFmtId="4" fontId="3" fillId="3" borderId="11" xfId="0" applyNumberFormat="1" applyFont="1" applyFill="1" applyBorder="1" applyAlignment="1">
      <alignment horizontal="center" vertical="center"/>
    </xf>
    <xf numFmtId="41" fontId="15" fillId="15" borderId="11" xfId="2" applyFont="1" applyFill="1" applyBorder="1" applyAlignment="1">
      <alignment horizontal="center" vertical="center"/>
    </xf>
    <xf numFmtId="2" fontId="15" fillId="15" borderId="11" xfId="0" applyNumberFormat="1" applyFont="1" applyFill="1" applyBorder="1" applyAlignment="1">
      <alignment horizontal="center" vertical="center"/>
    </xf>
    <xf numFmtId="4" fontId="15" fillId="15" borderId="11" xfId="0" applyNumberFormat="1" applyFont="1" applyFill="1" applyBorder="1" applyAlignment="1">
      <alignment horizontal="center" vertical="center"/>
    </xf>
    <xf numFmtId="2" fontId="2" fillId="0" borderId="0" xfId="0" applyNumberFormat="1" applyFont="1" applyAlignment="1">
      <alignment vertical="center"/>
    </xf>
    <xf numFmtId="0" fontId="3" fillId="0" borderId="35" xfId="0" applyFont="1" applyBorder="1" applyAlignment="1">
      <alignment vertical="center"/>
    </xf>
    <xf numFmtId="0" fontId="2" fillId="0" borderId="0" xfId="0" applyFont="1" applyAlignment="1">
      <alignment horizontal="left" vertical="center" wrapText="1"/>
    </xf>
    <xf numFmtId="3" fontId="2" fillId="0" borderId="0" xfId="0" applyNumberFormat="1" applyFont="1" applyAlignment="1">
      <alignment horizontal="center" vertical="center"/>
    </xf>
    <xf numFmtId="0" fontId="2" fillId="0" borderId="61" xfId="0" applyFont="1" applyBorder="1" applyAlignment="1">
      <alignment horizontal="center" vertical="center"/>
    </xf>
    <xf numFmtId="0" fontId="2" fillId="0" borderId="62" xfId="0" applyFont="1" applyBorder="1" applyAlignment="1">
      <alignment horizontal="center" vertical="center"/>
    </xf>
    <xf numFmtId="0" fontId="3" fillId="0" borderId="65" xfId="0" applyFont="1" applyBorder="1" applyAlignment="1">
      <alignment horizontal="center" vertical="center"/>
    </xf>
    <xf numFmtId="0" fontId="3" fillId="0" borderId="66" xfId="0" applyFont="1" applyBorder="1" applyAlignment="1">
      <alignment horizontal="center" vertical="center"/>
    </xf>
    <xf numFmtId="14" fontId="3" fillId="0" borderId="66" xfId="0" applyNumberFormat="1" applyFont="1" applyBorder="1" applyAlignment="1">
      <alignment horizontal="center" vertical="center"/>
    </xf>
    <xf numFmtId="43" fontId="3" fillId="0" borderId="66" xfId="0" applyNumberFormat="1" applyFont="1" applyBorder="1" applyAlignment="1">
      <alignment horizontal="right" vertical="center"/>
    </xf>
    <xf numFmtId="164" fontId="3" fillId="0" borderId="66" xfId="0" applyNumberFormat="1" applyFont="1" applyBorder="1" applyAlignment="1">
      <alignment horizontal="right" vertical="center"/>
    </xf>
    <xf numFmtId="4" fontId="3" fillId="0" borderId="66" xfId="0" applyNumberFormat="1" applyFont="1" applyBorder="1" applyAlignment="1">
      <alignment horizontal="right" vertical="center"/>
    </xf>
    <xf numFmtId="3" fontId="3" fillId="0" borderId="67" xfId="0" applyNumberFormat="1" applyFont="1" applyBorder="1" applyAlignment="1">
      <alignment horizontal="right" vertical="center"/>
    </xf>
    <xf numFmtId="14" fontId="3" fillId="0" borderId="20" xfId="0" applyNumberFormat="1" applyFont="1" applyBorder="1" applyAlignment="1">
      <alignment horizontal="center" vertical="center"/>
    </xf>
    <xf numFmtId="164" fontId="3" fillId="0" borderId="20" xfId="0" applyNumberFormat="1" applyFont="1" applyBorder="1" applyAlignment="1">
      <alignment horizontal="right" vertical="center"/>
    </xf>
    <xf numFmtId="43" fontId="3" fillId="0" borderId="20" xfId="0" applyNumberFormat="1" applyFont="1" applyBorder="1" applyAlignment="1">
      <alignment vertical="center"/>
    </xf>
    <xf numFmtId="0" fontId="3" fillId="0" borderId="20" xfId="0" applyFont="1" applyBorder="1" applyAlignment="1">
      <alignment vertical="center"/>
    </xf>
    <xf numFmtId="14" fontId="3" fillId="0" borderId="11" xfId="0" applyNumberFormat="1" applyFont="1" applyBorder="1" applyAlignment="1">
      <alignment horizontal="center" vertical="center"/>
    </xf>
    <xf numFmtId="0" fontId="3" fillId="0" borderId="11" xfId="0" quotePrefix="1" applyFont="1" applyBorder="1" applyAlignment="1">
      <alignment horizontal="center" vertical="center"/>
    </xf>
    <xf numFmtId="164" fontId="3" fillId="0" borderId="11" xfId="0" applyNumberFormat="1" applyFont="1" applyBorder="1" applyAlignment="1">
      <alignment horizontal="right" vertical="center"/>
    </xf>
    <xf numFmtId="0" fontId="3" fillId="0" borderId="11" xfId="0" applyFont="1" applyBorder="1" applyAlignment="1">
      <alignment vertical="center"/>
    </xf>
    <xf numFmtId="14" fontId="3" fillId="0" borderId="11" xfId="0" quotePrefix="1" applyNumberFormat="1" applyFont="1" applyBorder="1" applyAlignment="1">
      <alignment horizontal="center" vertical="center"/>
    </xf>
    <xf numFmtId="167" fontId="3" fillId="0" borderId="11" xfId="0" applyNumberFormat="1" applyFont="1" applyBorder="1" applyAlignment="1">
      <alignment horizontal="right" vertical="center"/>
    </xf>
    <xf numFmtId="14" fontId="3" fillId="0" borderId="15" xfId="0" applyNumberFormat="1" applyFont="1" applyBorder="1" applyAlignment="1">
      <alignment horizontal="center" vertical="center"/>
    </xf>
    <xf numFmtId="0" fontId="3" fillId="0" borderId="15" xfId="0" quotePrefix="1" applyFont="1" applyBorder="1" applyAlignment="1">
      <alignment horizontal="center" vertical="center"/>
    </xf>
    <xf numFmtId="164" fontId="3" fillId="0" borderId="15" xfId="0" applyNumberFormat="1" applyFont="1" applyBorder="1" applyAlignment="1">
      <alignment horizontal="right" vertical="center"/>
    </xf>
    <xf numFmtId="167" fontId="3" fillId="0" borderId="15" xfId="0" applyNumberFormat="1" applyFont="1" applyBorder="1" applyAlignment="1">
      <alignment horizontal="right" vertical="center"/>
    </xf>
    <xf numFmtId="0" fontId="3" fillId="0" borderId="15" xfId="0" applyFont="1" applyBorder="1" applyAlignment="1">
      <alignment vertical="center"/>
    </xf>
    <xf numFmtId="0" fontId="3" fillId="0" borderId="15" xfId="0" applyFont="1" applyBorder="1" applyAlignment="1">
      <alignment horizontal="right" vertical="center"/>
    </xf>
    <xf numFmtId="43" fontId="15" fillId="17" borderId="11" xfId="0" applyNumberFormat="1" applyFont="1" applyFill="1" applyBorder="1" applyAlignment="1">
      <alignment vertical="center"/>
    </xf>
    <xf numFmtId="164" fontId="15" fillId="17" borderId="11" xfId="0" applyNumberFormat="1" applyFont="1" applyFill="1" applyBorder="1" applyAlignment="1">
      <alignment vertical="center"/>
    </xf>
    <xf numFmtId="0" fontId="15" fillId="17" borderId="11" xfId="0" applyFont="1" applyFill="1" applyBorder="1" applyAlignment="1">
      <alignment horizontal="right" vertical="center"/>
    </xf>
    <xf numFmtId="0" fontId="2" fillId="17" borderId="11" xfId="0" applyFont="1" applyFill="1" applyBorder="1" applyAlignment="1">
      <alignment vertical="center"/>
    </xf>
    <xf numFmtId="0" fontId="2" fillId="17" borderId="11" xfId="0" applyFont="1" applyFill="1" applyBorder="1" applyAlignment="1">
      <alignment horizontal="center" vertical="center"/>
    </xf>
    <xf numFmtId="0" fontId="2" fillId="0" borderId="0" xfId="0" quotePrefix="1" applyFont="1" applyAlignment="1">
      <alignment vertical="center"/>
    </xf>
    <xf numFmtId="1" fontId="2" fillId="0" borderId="0" xfId="0" applyNumberFormat="1" applyFont="1" applyAlignment="1">
      <alignment horizontal="center" vertical="center"/>
    </xf>
    <xf numFmtId="2" fontId="2" fillId="0" borderId="0" xfId="0" applyNumberFormat="1" applyFont="1" applyAlignment="1">
      <alignment horizontal="center" vertical="center"/>
    </xf>
    <xf numFmtId="4" fontId="2" fillId="0" borderId="0" xfId="0" applyNumberFormat="1" applyFont="1" applyAlignment="1">
      <alignment horizontal="center" vertical="center"/>
    </xf>
    <xf numFmtId="0" fontId="20" fillId="0" borderId="0" xfId="0" applyFont="1" applyAlignment="1">
      <alignment vertical="center"/>
    </xf>
    <xf numFmtId="0" fontId="5" fillId="0" borderId="0" xfId="0" applyFont="1"/>
    <xf numFmtId="3" fontId="2" fillId="0" borderId="12" xfId="0" applyNumberFormat="1" applyFont="1" applyBorder="1" applyAlignment="1">
      <alignment horizontal="center" vertical="center" wrapText="1"/>
    </xf>
    <xf numFmtId="41" fontId="5" fillId="0" borderId="11" xfId="2" applyFont="1" applyBorder="1" applyAlignment="1">
      <alignment horizontal="center" vertical="center"/>
    </xf>
    <xf numFmtId="2" fontId="3" fillId="0" borderId="12" xfId="0" applyNumberFormat="1" applyFont="1" applyBorder="1" applyAlignment="1">
      <alignment horizontal="center" vertical="center"/>
    </xf>
    <xf numFmtId="2" fontId="15" fillId="15" borderId="12" xfId="0" applyNumberFormat="1" applyFont="1" applyFill="1" applyBorder="1" applyAlignment="1">
      <alignment horizontal="center" vertical="center"/>
    </xf>
    <xf numFmtId="41" fontId="14" fillId="0" borderId="0" xfId="0" applyNumberFormat="1" applyFont="1"/>
    <xf numFmtId="3" fontId="3" fillId="4" borderId="14" xfId="0" applyNumberFormat="1" applyFont="1" applyFill="1" applyBorder="1" applyAlignment="1">
      <alignment horizontal="center" vertical="center" wrapText="1"/>
    </xf>
    <xf numFmtId="3" fontId="2" fillId="4" borderId="18" xfId="0" applyNumberFormat="1" applyFont="1" applyFill="1" applyBorder="1" applyAlignment="1">
      <alignment horizontal="center" vertical="center" wrapText="1"/>
    </xf>
    <xf numFmtId="3" fontId="3" fillId="0" borderId="11" xfId="0" applyNumberFormat="1" applyFont="1" applyBorder="1" applyAlignment="1">
      <alignment horizontal="center" vertical="center" wrapText="1"/>
    </xf>
    <xf numFmtId="0" fontId="16" fillId="3" borderId="0" xfId="0" quotePrefix="1" applyFont="1" applyFill="1" applyAlignment="1">
      <alignment horizontal="center" wrapText="1"/>
    </xf>
    <xf numFmtId="0" fontId="17" fillId="0" borderId="0" xfId="0" applyFont="1" applyAlignment="1">
      <alignment horizontal="center" vertical="center" wrapText="1"/>
    </xf>
    <xf numFmtId="43" fontId="3" fillId="4" borderId="17" xfId="1" applyFont="1" applyFill="1" applyBorder="1" applyAlignment="1">
      <alignment horizontal="center" vertical="center" wrapText="1"/>
    </xf>
    <xf numFmtId="164" fontId="5" fillId="0" borderId="33" xfId="0" applyNumberFormat="1" applyFont="1" applyBorder="1" applyAlignment="1">
      <alignment horizontal="right" vertical="center" wrapText="1"/>
    </xf>
    <xf numFmtId="43" fontId="3" fillId="0" borderId="0" xfId="1" applyFont="1" applyBorder="1" applyAlignment="1">
      <alignment horizontal="center" vertical="center" wrapText="1"/>
    </xf>
    <xf numFmtId="0" fontId="16" fillId="3" borderId="0" xfId="0" quotePrefix="1" applyFont="1" applyFill="1" applyAlignment="1">
      <alignment horizontal="left" wrapText="1"/>
    </xf>
    <xf numFmtId="0" fontId="17" fillId="0" borderId="0" xfId="0" applyFont="1" applyAlignment="1">
      <alignment vertical="center" wrapText="1"/>
    </xf>
    <xf numFmtId="0" fontId="5" fillId="0" borderId="0" xfId="0" applyFont="1" applyAlignment="1">
      <alignment vertical="center" wrapText="1"/>
    </xf>
    <xf numFmtId="164" fontId="3" fillId="0" borderId="11" xfId="1" applyNumberFormat="1" applyFont="1" applyBorder="1" applyAlignment="1">
      <alignment horizontal="center" vertical="center" wrapText="1"/>
    </xf>
    <xf numFmtId="164" fontId="8" fillId="4" borderId="11" xfId="1" applyNumberFormat="1" applyFont="1" applyFill="1" applyBorder="1" applyAlignment="1">
      <alignment horizontal="center" vertical="center" wrapText="1"/>
    </xf>
    <xf numFmtId="164" fontId="3" fillId="4" borderId="11" xfId="1" applyNumberFormat="1" applyFont="1" applyFill="1" applyBorder="1" applyAlignment="1">
      <alignment horizontal="center" vertical="center" wrapText="1"/>
    </xf>
    <xf numFmtId="43" fontId="14" fillId="4" borderId="11" xfId="0" applyNumberFormat="1" applyFont="1" applyFill="1" applyBorder="1" applyAlignment="1">
      <alignment horizontal="center" vertical="center" wrapText="1"/>
    </xf>
    <xf numFmtId="0" fontId="5" fillId="0" borderId="11" xfId="0" applyFont="1" applyBorder="1" applyAlignment="1">
      <alignment horizontal="right" vertical="center" wrapText="1"/>
    </xf>
    <xf numFmtId="164" fontId="8" fillId="0" borderId="11" xfId="1" applyNumberFormat="1" applyFont="1" applyBorder="1" applyAlignment="1">
      <alignment horizontal="center" vertical="center" wrapText="1"/>
    </xf>
    <xf numFmtId="0" fontId="1" fillId="0" borderId="0" xfId="0" applyFont="1" applyAlignment="1">
      <alignment wrapText="1"/>
    </xf>
    <xf numFmtId="4" fontId="8" fillId="0" borderId="11" xfId="0" applyNumberFormat="1" applyFont="1" applyBorder="1" applyAlignment="1">
      <alignment horizontal="center" vertical="center" wrapText="1"/>
    </xf>
    <xf numFmtId="165" fontId="8" fillId="0" borderId="11" xfId="0" applyNumberFormat="1" applyFont="1" applyBorder="1" applyAlignment="1">
      <alignment horizontal="center" vertical="center" wrapText="1"/>
    </xf>
    <xf numFmtId="4" fontId="8" fillId="4" borderId="11" xfId="0" applyNumberFormat="1" applyFont="1" applyFill="1" applyBorder="1" applyAlignment="1">
      <alignment horizontal="center" vertical="center" wrapText="1"/>
    </xf>
    <xf numFmtId="3" fontId="3" fillId="4" borderId="11" xfId="0" applyNumberFormat="1" applyFont="1" applyFill="1" applyBorder="1" applyAlignment="1">
      <alignment horizontal="center" vertical="center" wrapText="1"/>
    </xf>
    <xf numFmtId="4" fontId="3" fillId="4" borderId="11" xfId="0" applyNumberFormat="1" applyFont="1" applyFill="1" applyBorder="1" applyAlignment="1">
      <alignment horizontal="center" vertical="center" wrapText="1"/>
    </xf>
    <xf numFmtId="4" fontId="3" fillId="4" borderId="17" xfId="0" applyNumberFormat="1" applyFont="1" applyFill="1" applyBorder="1" applyAlignment="1">
      <alignment horizontal="center" vertical="center" wrapText="1"/>
    </xf>
    <xf numFmtId="165" fontId="3" fillId="0" borderId="0" xfId="0" applyNumberFormat="1" applyFont="1" applyAlignment="1">
      <alignment horizontal="center" vertical="center" wrapText="1"/>
    </xf>
    <xf numFmtId="41" fontId="3" fillId="0" borderId="25" xfId="0" applyNumberFormat="1" applyFont="1" applyBorder="1" applyAlignment="1">
      <alignment horizontal="center" vertical="center"/>
    </xf>
    <xf numFmtId="41" fontId="3" fillId="0" borderId="37" xfId="0" applyNumberFormat="1" applyFont="1" applyBorder="1" applyAlignment="1">
      <alignment horizontal="center" vertical="center"/>
    </xf>
    <xf numFmtId="41" fontId="3" fillId="0" borderId="34" xfId="0" applyNumberFormat="1" applyFont="1" applyBorder="1" applyAlignment="1">
      <alignment horizontal="center" vertical="center"/>
    </xf>
    <xf numFmtId="43" fontId="9" fillId="0" borderId="11" xfId="1" applyFont="1" applyFill="1" applyBorder="1" applyAlignment="1">
      <alignment horizontal="center" vertical="center" wrapText="1"/>
    </xf>
    <xf numFmtId="43" fontId="9" fillId="0" borderId="11" xfId="1" applyFont="1" applyFill="1" applyBorder="1" applyAlignment="1">
      <alignment vertical="center" wrapText="1"/>
    </xf>
    <xf numFmtId="165" fontId="3" fillId="0" borderId="11" xfId="0" applyNumberFormat="1" applyFont="1" applyBorder="1" applyAlignment="1">
      <alignment horizontal="center" vertical="center" wrapText="1"/>
    </xf>
    <xf numFmtId="43" fontId="9" fillId="0" borderId="11" xfId="1" applyFont="1" applyFill="1" applyBorder="1" applyAlignment="1">
      <alignment horizontal="center" vertical="center"/>
    </xf>
    <xf numFmtId="43" fontId="11" fillId="0" borderId="11" xfId="1" applyFont="1" applyFill="1" applyBorder="1" applyAlignment="1">
      <alignment horizontal="center" vertical="center" wrapText="1"/>
    </xf>
    <xf numFmtId="43" fontId="11" fillId="0" borderId="11" xfId="1" applyFont="1" applyFill="1" applyBorder="1" applyAlignment="1">
      <alignment vertical="center" wrapText="1"/>
    </xf>
    <xf numFmtId="164" fontId="11" fillId="0" borderId="11" xfId="1" applyNumberFormat="1" applyFont="1" applyFill="1" applyBorder="1" applyAlignment="1">
      <alignment horizontal="center" vertical="center" wrapText="1"/>
    </xf>
    <xf numFmtId="0" fontId="9" fillId="0" borderId="11" xfId="0" applyFont="1" applyBorder="1" applyAlignment="1">
      <alignment horizontal="right" vertical="center" wrapText="1"/>
    </xf>
    <xf numFmtId="41" fontId="2" fillId="0" borderId="11" xfId="0" applyNumberFormat="1" applyFont="1" applyBorder="1" applyAlignment="1">
      <alignment horizontal="center" vertical="center" wrapText="1"/>
    </xf>
    <xf numFmtId="41" fontId="3" fillId="0" borderId="11" xfId="0" applyNumberFormat="1" applyFont="1" applyBorder="1" applyAlignment="1">
      <alignment horizontal="center" vertical="center" wrapText="1"/>
    </xf>
    <xf numFmtId="41" fontId="3" fillId="0" borderId="36" xfId="0" applyNumberFormat="1" applyFont="1" applyBorder="1" applyAlignment="1">
      <alignment horizontal="center" vertical="center"/>
    </xf>
    <xf numFmtId="41" fontId="3" fillId="0" borderId="11" xfId="0" applyNumberFormat="1" applyFont="1" applyBorder="1" applyAlignment="1">
      <alignment vertical="center"/>
    </xf>
    <xf numFmtId="41" fontId="2" fillId="0" borderId="36" xfId="0" applyNumberFormat="1" applyFont="1" applyBorder="1" applyAlignment="1">
      <alignment horizontal="center" vertical="center"/>
    </xf>
    <xf numFmtId="0" fontId="15" fillId="5" borderId="11" xfId="0" applyFont="1" applyFill="1" applyBorder="1" applyAlignment="1">
      <alignment horizontal="center" vertical="center" wrapText="1"/>
    </xf>
    <xf numFmtId="43" fontId="15" fillId="5" borderId="11" xfId="0" applyNumberFormat="1" applyFont="1" applyFill="1" applyBorder="1" applyAlignment="1">
      <alignment vertical="center"/>
    </xf>
    <xf numFmtId="43" fontId="30" fillId="5" borderId="11" xfId="0" applyNumberFormat="1" applyFont="1" applyFill="1" applyBorder="1" applyAlignment="1">
      <alignment vertical="center"/>
    </xf>
    <xf numFmtId="43" fontId="2" fillId="0" borderId="34" xfId="0" applyNumberFormat="1" applyFont="1" applyBorder="1" applyAlignment="1">
      <alignment horizontal="center" vertical="center" wrapText="1"/>
    </xf>
    <xf numFmtId="43" fontId="14" fillId="0" borderId="11" xfId="0" applyNumberFormat="1" applyFont="1" applyBorder="1" applyAlignment="1">
      <alignment horizontal="center" vertical="center"/>
    </xf>
    <xf numFmtId="43" fontId="14" fillId="0" borderId="33" xfId="0" applyNumberFormat="1" applyFont="1" applyBorder="1" applyAlignment="1">
      <alignment horizontal="center" vertical="center" wrapText="1"/>
    </xf>
    <xf numFmtId="43" fontId="5" fillId="0" borderId="33" xfId="0" quotePrefix="1" applyNumberFormat="1" applyFont="1" applyBorder="1" applyAlignment="1">
      <alignment horizontal="center" vertical="center"/>
    </xf>
    <xf numFmtId="43" fontId="17" fillId="0" borderId="0" xfId="0" applyNumberFormat="1" applyFont="1" applyAlignment="1">
      <alignment vertical="center"/>
    </xf>
    <xf numFmtId="43" fontId="5" fillId="0" borderId="0" xfId="0" applyNumberFormat="1" applyFont="1" applyAlignment="1">
      <alignment vertical="center"/>
    </xf>
    <xf numFmtId="43" fontId="8" fillId="0" borderId="11" xfId="1" applyFont="1" applyBorder="1" applyAlignment="1">
      <alignment vertical="center"/>
    </xf>
    <xf numFmtId="43" fontId="8" fillId="4" borderId="11" xfId="1" applyFont="1" applyFill="1" applyBorder="1" applyAlignment="1">
      <alignment vertical="center"/>
    </xf>
    <xf numFmtId="43" fontId="8" fillId="4" borderId="17" xfId="1" applyFont="1" applyFill="1" applyBorder="1" applyAlignment="1">
      <alignment vertical="center"/>
    </xf>
    <xf numFmtId="43" fontId="3" fillId="0" borderId="0" xfId="0" quotePrefix="1" applyNumberFormat="1" applyFont="1" applyAlignment="1">
      <alignment vertical="center" wrapText="1"/>
    </xf>
    <xf numFmtId="43" fontId="0" fillId="0" borderId="0" xfId="0" applyNumberFormat="1"/>
    <xf numFmtId="43" fontId="5" fillId="0" borderId="33" xfId="0" applyNumberFormat="1" applyFont="1" applyBorder="1" applyAlignment="1">
      <alignment vertical="center"/>
    </xf>
    <xf numFmtId="43" fontId="5" fillId="0" borderId="33" xfId="0" quotePrefix="1" applyNumberFormat="1" applyFont="1" applyBorder="1" applyAlignment="1">
      <alignment vertical="center"/>
    </xf>
    <xf numFmtId="43" fontId="5" fillId="0" borderId="35" xfId="0" applyNumberFormat="1" applyFont="1" applyBorder="1" applyAlignment="1">
      <alignment vertical="center"/>
    </xf>
    <xf numFmtId="43" fontId="35" fillId="0" borderId="11" xfId="0" applyNumberFormat="1" applyFont="1" applyBorder="1" applyAlignment="1">
      <alignment vertical="center"/>
    </xf>
    <xf numFmtId="43" fontId="3" fillId="0" borderId="0" xfId="1" applyFont="1" applyBorder="1" applyAlignment="1">
      <alignment vertical="center"/>
    </xf>
    <xf numFmtId="43" fontId="12" fillId="0" borderId="11" xfId="0" applyNumberFormat="1" applyFont="1" applyBorder="1" applyAlignment="1">
      <alignment vertical="center"/>
    </xf>
    <xf numFmtId="43" fontId="14" fillId="4" borderId="11" xfId="0" applyNumberFormat="1" applyFont="1" applyFill="1" applyBorder="1" applyAlignment="1">
      <alignment vertical="center"/>
    </xf>
    <xf numFmtId="43" fontId="16" fillId="3" borderId="0" xfId="0" quotePrefix="1" applyNumberFormat="1" applyFont="1" applyFill="1"/>
    <xf numFmtId="43" fontId="34" fillId="0" borderId="35" xfId="0" applyNumberFormat="1" applyFont="1" applyBorder="1" applyAlignment="1">
      <alignment vertical="center"/>
    </xf>
    <xf numFmtId="43" fontId="33" fillId="0" borderId="35" xfId="0" applyNumberFormat="1" applyFont="1" applyBorder="1" applyAlignment="1">
      <alignment vertical="center"/>
    </xf>
    <xf numFmtId="43" fontId="33" fillId="8" borderId="38" xfId="0" applyNumberFormat="1" applyFont="1" applyFill="1" applyBorder="1" applyAlignment="1">
      <alignment vertical="center"/>
    </xf>
    <xf numFmtId="167" fontId="33" fillId="0" borderId="38" xfId="0" applyNumberFormat="1" applyFont="1" applyBorder="1" applyAlignment="1">
      <alignment vertical="center"/>
    </xf>
    <xf numFmtId="43" fontId="34" fillId="8" borderId="30" xfId="0" applyNumberFormat="1" applyFont="1" applyFill="1" applyBorder="1" applyAlignment="1">
      <alignment vertical="center"/>
    </xf>
    <xf numFmtId="0" fontId="3" fillId="19" borderId="11" xfId="0" applyFont="1" applyFill="1" applyBorder="1" applyAlignment="1">
      <alignment horizontal="center" vertical="center" wrapText="1"/>
    </xf>
    <xf numFmtId="43" fontId="32" fillId="19" borderId="11" xfId="0" applyNumberFormat="1" applyFont="1" applyFill="1" applyBorder="1" applyAlignment="1">
      <alignment vertical="center"/>
    </xf>
    <xf numFmtId="43" fontId="36" fillId="18" borderId="12" xfId="0" applyNumberFormat="1" applyFont="1" applyFill="1" applyBorder="1" applyAlignment="1">
      <alignment vertical="center"/>
    </xf>
    <xf numFmtId="43" fontId="36" fillId="19" borderId="11" xfId="0" applyNumberFormat="1" applyFont="1" applyFill="1" applyBorder="1" applyAlignment="1">
      <alignment vertical="center"/>
    </xf>
    <xf numFmtId="167" fontId="9" fillId="0" borderId="11" xfId="1" applyNumberFormat="1" applyFont="1" applyFill="1" applyBorder="1" applyAlignment="1">
      <alignment horizontal="center" vertical="center"/>
    </xf>
    <xf numFmtId="167" fontId="2" fillId="4" borderId="11" xfId="1" applyNumberFormat="1" applyFont="1" applyFill="1" applyBorder="1" applyAlignment="1">
      <alignment horizontal="center" vertical="center"/>
    </xf>
    <xf numFmtId="167" fontId="2" fillId="4" borderId="11" xfId="1" applyNumberFormat="1" applyFont="1" applyFill="1" applyBorder="1" applyAlignment="1">
      <alignment vertical="center"/>
    </xf>
    <xf numFmtId="167" fontId="33" fillId="8" borderId="38" xfId="0" applyNumberFormat="1" applyFont="1" applyFill="1" applyBorder="1" applyAlignment="1">
      <alignment vertical="center"/>
    </xf>
    <xf numFmtId="167" fontId="32" fillId="19" borderId="11" xfId="0" applyNumberFormat="1" applyFont="1" applyFill="1" applyBorder="1" applyAlignment="1">
      <alignment vertical="center"/>
    </xf>
    <xf numFmtId="167" fontId="33" fillId="0" borderId="11" xfId="0" applyNumberFormat="1" applyFont="1" applyBorder="1" applyAlignment="1">
      <alignment horizontal="center" vertical="center"/>
    </xf>
    <xf numFmtId="167" fontId="32" fillId="2" borderId="11" xfId="0" applyNumberFormat="1" applyFont="1" applyFill="1" applyBorder="1" applyAlignment="1">
      <alignment horizontal="center" vertical="center"/>
    </xf>
    <xf numFmtId="41" fontId="5" fillId="0" borderId="33" xfId="2" applyFont="1" applyBorder="1" applyAlignment="1">
      <alignment horizontal="center" vertical="center"/>
    </xf>
    <xf numFmtId="172" fontId="5" fillId="0" borderId="33" xfId="2" applyNumberFormat="1" applyFont="1" applyBorder="1" applyAlignment="1">
      <alignment horizontal="center" vertical="center"/>
    </xf>
    <xf numFmtId="168" fontId="5" fillId="0" borderId="33" xfId="0" quotePrefix="1" applyNumberFormat="1" applyFont="1" applyBorder="1" applyAlignment="1">
      <alignment horizontal="center" vertical="center"/>
    </xf>
    <xf numFmtId="43" fontId="5" fillId="0" borderId="33" xfId="0" quotePrefix="1" applyNumberFormat="1" applyFont="1" applyBorder="1" applyAlignment="1">
      <alignment horizontal="right" vertical="center"/>
    </xf>
    <xf numFmtId="164" fontId="5" fillId="0" borderId="33" xfId="0" quotePrefix="1" applyNumberFormat="1" applyFont="1" applyBorder="1" applyAlignment="1">
      <alignment horizontal="center" vertical="center" wrapText="1"/>
    </xf>
    <xf numFmtId="43" fontId="11" fillId="0" borderId="11" xfId="1" applyFont="1" applyFill="1" applyBorder="1" applyAlignment="1">
      <alignment horizontal="right" vertical="center" wrapText="1"/>
    </xf>
    <xf numFmtId="43" fontId="9" fillId="0" borderId="11" xfId="1" applyFont="1" applyFill="1" applyBorder="1" applyAlignment="1">
      <alignment horizontal="right" vertical="center" wrapText="1"/>
    </xf>
    <xf numFmtId="43" fontId="9" fillId="0" borderId="11" xfId="1" applyFont="1" applyBorder="1" applyAlignment="1">
      <alignment horizontal="right" vertical="center" wrapText="1"/>
    </xf>
    <xf numFmtId="43" fontId="11" fillId="0" borderId="11" xfId="1" applyFont="1" applyBorder="1" applyAlignment="1">
      <alignment horizontal="right" vertical="center" wrapText="1"/>
    </xf>
    <xf numFmtId="43" fontId="3" fillId="0" borderId="11" xfId="1" applyFont="1" applyBorder="1" applyAlignment="1">
      <alignment horizontal="right" vertical="center" wrapText="1"/>
    </xf>
    <xf numFmtId="43" fontId="8" fillId="0" borderId="11" xfId="1" applyFont="1" applyBorder="1" applyAlignment="1">
      <alignment horizontal="right" vertical="center" wrapText="1"/>
    </xf>
    <xf numFmtId="43" fontId="8" fillId="4" borderId="11" xfId="1" applyFont="1" applyFill="1" applyBorder="1" applyAlignment="1">
      <alignment horizontal="right" vertical="center" wrapText="1"/>
    </xf>
    <xf numFmtId="43" fontId="3" fillId="4" borderId="11" xfId="1" applyFont="1" applyFill="1" applyBorder="1" applyAlignment="1">
      <alignment horizontal="right" vertical="center" wrapText="1"/>
    </xf>
    <xf numFmtId="43" fontId="3" fillId="4" borderId="17" xfId="1" applyFont="1" applyFill="1" applyBorder="1" applyAlignment="1">
      <alignment horizontal="right" vertical="center" wrapText="1"/>
    </xf>
    <xf numFmtId="0" fontId="3" fillId="0" borderId="0" xfId="0" quotePrefix="1" applyFont="1" applyAlignment="1">
      <alignment horizontal="right" vertical="center" wrapText="1"/>
    </xf>
    <xf numFmtId="0" fontId="0" fillId="0" borderId="0" xfId="0" applyAlignment="1">
      <alignment horizontal="right"/>
    </xf>
    <xf numFmtId="164" fontId="35" fillId="0" borderId="33" xfId="0" applyNumberFormat="1" applyFont="1" applyBorder="1" applyAlignment="1">
      <alignment horizontal="right" vertical="center" wrapText="1"/>
    </xf>
    <xf numFmtId="164" fontId="35" fillId="0" borderId="11" xfId="0" applyNumberFormat="1" applyFont="1" applyBorder="1" applyAlignment="1">
      <alignment horizontal="right" vertical="center" wrapText="1"/>
    </xf>
    <xf numFmtId="164" fontId="5" fillId="0" borderId="11" xfId="0" applyNumberFormat="1" applyFont="1" applyBorder="1" applyAlignment="1">
      <alignment horizontal="right" vertical="center" wrapText="1"/>
    </xf>
    <xf numFmtId="164" fontId="5" fillId="0" borderId="35" xfId="0" quotePrefix="1" applyNumberFormat="1" applyFont="1" applyBorder="1" applyAlignment="1">
      <alignment horizontal="right" vertical="center" wrapText="1"/>
    </xf>
    <xf numFmtId="164" fontId="5" fillId="0" borderId="11" xfId="0" quotePrefix="1" applyNumberFormat="1" applyFont="1" applyBorder="1" applyAlignment="1">
      <alignment horizontal="right" vertical="center" wrapText="1"/>
    </xf>
    <xf numFmtId="43" fontId="3" fillId="0" borderId="0" xfId="1" applyFont="1" applyBorder="1" applyAlignment="1">
      <alignment horizontal="right" vertical="center" wrapText="1"/>
    </xf>
    <xf numFmtId="0" fontId="3" fillId="0" borderId="0" xfId="0" applyFont="1" applyAlignment="1">
      <alignment horizontal="right" vertical="center" wrapText="1"/>
    </xf>
    <xf numFmtId="0" fontId="16" fillId="3" borderId="0" xfId="0" quotePrefix="1" applyFont="1" applyFill="1" applyAlignment="1">
      <alignment horizontal="right" wrapText="1"/>
    </xf>
    <xf numFmtId="43" fontId="1" fillId="0" borderId="0" xfId="1" applyFont="1" applyAlignment="1">
      <alignment horizontal="right" wrapText="1"/>
    </xf>
    <xf numFmtId="49" fontId="3" fillId="0" borderId="0" xfId="0" quotePrefix="1" applyNumberFormat="1" applyFont="1" applyAlignment="1">
      <alignment horizontal="right" vertical="center" wrapText="1"/>
    </xf>
    <xf numFmtId="0" fontId="17" fillId="0" borderId="0" xfId="0" applyFont="1" applyAlignment="1">
      <alignment horizontal="right" vertical="center" wrapText="1"/>
    </xf>
    <xf numFmtId="0" fontId="5" fillId="0" borderId="0" xfId="0" applyFont="1" applyAlignment="1">
      <alignment horizontal="right" vertical="center" wrapText="1"/>
    </xf>
    <xf numFmtId="164" fontId="35" fillId="0" borderId="33" xfId="0" applyNumberFormat="1" applyFont="1" applyBorder="1" applyAlignment="1">
      <alignment vertical="center"/>
    </xf>
    <xf numFmtId="41" fontId="3" fillId="0" borderId="15" xfId="0" applyNumberFormat="1" applyFont="1" applyBorder="1" applyAlignment="1">
      <alignment horizontal="center" vertical="center" wrapText="1"/>
    </xf>
    <xf numFmtId="41" fontId="3" fillId="0" borderId="27" xfId="0" applyNumberFormat="1" applyFont="1" applyBorder="1" applyAlignment="1">
      <alignment horizontal="center" vertical="center"/>
    </xf>
    <xf numFmtId="41" fontId="15" fillId="0" borderId="11" xfId="0" applyNumberFormat="1" applyFont="1" applyBorder="1" applyAlignment="1">
      <alignment horizontal="center" vertical="center" wrapText="1"/>
    </xf>
    <xf numFmtId="41" fontId="3" fillId="0" borderId="11" xfId="2" applyFont="1" applyFill="1" applyBorder="1" applyAlignment="1">
      <alignment horizontal="center" vertical="center"/>
    </xf>
    <xf numFmtId="41" fontId="3" fillId="0" borderId="11" xfId="2" applyFont="1" applyBorder="1" applyAlignment="1">
      <alignment horizontal="center" vertical="center"/>
    </xf>
    <xf numFmtId="0" fontId="37" fillId="0" borderId="0" xfId="0" applyFont="1" applyAlignment="1">
      <alignment horizontal="center" vertical="center"/>
    </xf>
    <xf numFmtId="43" fontId="32" fillId="0" borderId="0" xfId="0" quotePrefix="1" applyNumberFormat="1" applyFont="1" applyAlignment="1">
      <alignment horizontal="center" vertical="center"/>
    </xf>
    <xf numFmtId="167" fontId="32" fillId="0" borderId="0" xfId="0" applyNumberFormat="1" applyFont="1" applyAlignment="1">
      <alignment horizontal="center" vertical="center"/>
    </xf>
    <xf numFmtId="43" fontId="32" fillId="0" borderId="0" xfId="0" applyNumberFormat="1" applyFont="1" applyAlignment="1">
      <alignment horizontal="center" vertical="center"/>
    </xf>
    <xf numFmtId="43" fontId="32" fillId="0" borderId="0" xfId="0" applyNumberFormat="1" applyFont="1" applyAlignment="1">
      <alignment vertical="center"/>
    </xf>
    <xf numFmtId="43" fontId="33" fillId="0" borderId="0" xfId="0" applyNumberFormat="1" applyFont="1" applyAlignment="1">
      <alignment horizontal="center" vertical="center"/>
    </xf>
    <xf numFmtId="43" fontId="33" fillId="0" borderId="0" xfId="0" applyNumberFormat="1" applyFont="1" applyAlignment="1">
      <alignment horizontal="right" vertical="center"/>
    </xf>
    <xf numFmtId="41" fontId="3" fillId="0" borderId="15" xfId="0" applyNumberFormat="1" applyFont="1" applyBorder="1" applyAlignment="1">
      <alignment horizontal="center" vertical="center"/>
    </xf>
    <xf numFmtId="41" fontId="3" fillId="0" borderId="26" xfId="0" applyNumberFormat="1" applyFont="1" applyBorder="1" applyAlignment="1">
      <alignment horizontal="center" vertical="center"/>
    </xf>
    <xf numFmtId="41" fontId="2" fillId="2" borderId="11" xfId="0" applyNumberFormat="1" applyFont="1" applyFill="1" applyBorder="1" applyAlignment="1">
      <alignment horizontal="center" vertical="center"/>
    </xf>
    <xf numFmtId="41" fontId="2" fillId="2" borderId="13" xfId="0" applyNumberFormat="1" applyFont="1" applyFill="1" applyBorder="1" applyAlignment="1">
      <alignment horizontal="center" vertical="center"/>
    </xf>
    <xf numFmtId="41" fontId="3" fillId="2" borderId="30" xfId="0" applyNumberFormat="1" applyFont="1" applyFill="1" applyBorder="1" applyAlignment="1">
      <alignment horizontal="center" vertical="center"/>
    </xf>
    <xf numFmtId="41" fontId="3" fillId="2" borderId="13" xfId="0" applyNumberFormat="1" applyFont="1" applyFill="1" applyBorder="1" applyAlignment="1">
      <alignment horizontal="center" vertical="center"/>
    </xf>
    <xf numFmtId="41" fontId="3" fillId="2" borderId="11" xfId="0" applyNumberFormat="1" applyFont="1" applyFill="1" applyBorder="1" applyAlignment="1">
      <alignment horizontal="center" vertical="center"/>
    </xf>
    <xf numFmtId="41" fontId="12" fillId="0" borderId="34" xfId="0" applyNumberFormat="1" applyFont="1" applyBorder="1" applyAlignment="1">
      <alignment horizontal="center" vertical="center" wrapText="1"/>
    </xf>
    <xf numFmtId="41" fontId="2" fillId="2" borderId="12" xfId="0" applyNumberFormat="1" applyFont="1" applyFill="1" applyBorder="1" applyAlignment="1">
      <alignment horizontal="center" vertical="center"/>
    </xf>
    <xf numFmtId="172" fontId="3" fillId="0" borderId="11" xfId="0" applyNumberFormat="1" applyFont="1" applyBorder="1" applyAlignment="1">
      <alignment horizontal="center" vertical="center"/>
    </xf>
    <xf numFmtId="0" fontId="3" fillId="0" borderId="0" xfId="0" applyFont="1"/>
    <xf numFmtId="0" fontId="3" fillId="0" borderId="11" xfId="0" applyFont="1" applyBorder="1"/>
    <xf numFmtId="164" fontId="3" fillId="0" borderId="11" xfId="0" applyNumberFormat="1" applyFont="1" applyBorder="1" applyAlignment="1">
      <alignment vertical="center"/>
    </xf>
    <xf numFmtId="0" fontId="35" fillId="0" borderId="0" xfId="0" applyFont="1"/>
    <xf numFmtId="41" fontId="3" fillId="6" borderId="33" xfId="0" applyNumberFormat="1" applyFont="1" applyFill="1" applyBorder="1" applyAlignment="1">
      <alignment horizontal="center" vertical="center" wrapText="1"/>
    </xf>
    <xf numFmtId="167" fontId="3" fillId="0" borderId="33" xfId="0" applyNumberFormat="1" applyFont="1" applyBorder="1" applyAlignment="1">
      <alignment vertical="center" wrapText="1"/>
    </xf>
    <xf numFmtId="164" fontId="8" fillId="8" borderId="35" xfId="0" applyNumberFormat="1" applyFont="1" applyFill="1" applyBorder="1" applyAlignment="1">
      <alignment horizontal="center" vertical="center" wrapText="1"/>
    </xf>
    <xf numFmtId="41" fontId="3" fillId="6" borderId="11" xfId="0" applyNumberFormat="1" applyFont="1" applyFill="1" applyBorder="1" applyAlignment="1">
      <alignment horizontal="center" vertical="center" wrapText="1"/>
    </xf>
    <xf numFmtId="41" fontId="3" fillId="0" borderId="0" xfId="0" applyNumberFormat="1" applyFont="1"/>
    <xf numFmtId="0" fontId="3" fillId="0" borderId="13" xfId="0" applyFont="1" applyBorder="1" applyAlignment="1">
      <alignment horizontal="center" vertical="center" wrapText="1"/>
    </xf>
    <xf numFmtId="0" fontId="37" fillId="0" borderId="11" xfId="0" applyFont="1" applyBorder="1" applyAlignment="1">
      <alignment horizontal="center"/>
    </xf>
    <xf numFmtId="0" fontId="3" fillId="0" borderId="32" xfId="0" applyFont="1" applyBorder="1" applyAlignment="1">
      <alignment horizontal="center" vertical="center" wrapText="1"/>
    </xf>
    <xf numFmtId="0" fontId="35" fillId="0" borderId="0" xfId="0" applyFont="1" applyAlignment="1">
      <alignment horizontal="center" vertical="center"/>
    </xf>
    <xf numFmtId="0" fontId="37" fillId="0" borderId="0" xfId="0" applyFont="1" applyAlignment="1">
      <alignment horizontal="left" vertical="center"/>
    </xf>
    <xf numFmtId="43" fontId="34" fillId="8" borderId="12" xfId="0" applyNumberFormat="1" applyFont="1" applyFill="1" applyBorder="1" applyAlignment="1">
      <alignment vertical="center"/>
    </xf>
    <xf numFmtId="43" fontId="34" fillId="0" borderId="0" xfId="0" applyNumberFormat="1" applyFont="1" applyAlignment="1">
      <alignment vertical="center"/>
    </xf>
    <xf numFmtId="43" fontId="34" fillId="8" borderId="0" xfId="0" applyNumberFormat="1" applyFont="1" applyFill="1" applyAlignment="1">
      <alignment vertical="center"/>
    </xf>
    <xf numFmtId="0" fontId="3" fillId="0" borderId="36" xfId="0" applyFont="1" applyBorder="1" applyAlignment="1">
      <alignment horizontal="center" vertical="center" wrapText="1"/>
    </xf>
    <xf numFmtId="43" fontId="3" fillId="0" borderId="11" xfId="0" applyNumberFormat="1" applyFont="1" applyBorder="1"/>
    <xf numFmtId="0" fontId="3" fillId="9" borderId="34" xfId="0" applyFont="1" applyFill="1" applyBorder="1" applyAlignment="1">
      <alignment horizontal="center" vertical="center" wrapText="1"/>
    </xf>
    <xf numFmtId="0" fontId="2" fillId="0" borderId="34" xfId="0" applyFont="1" applyBorder="1" applyAlignment="1">
      <alignment horizontal="center" vertical="center"/>
    </xf>
    <xf numFmtId="41" fontId="3" fillId="2" borderId="32" xfId="0" applyNumberFormat="1" applyFont="1" applyFill="1" applyBorder="1" applyAlignment="1">
      <alignment horizontal="center" vertical="center"/>
    </xf>
    <xf numFmtId="41" fontId="3" fillId="0" borderId="31" xfId="0" applyNumberFormat="1" applyFont="1" applyBorder="1" applyAlignment="1">
      <alignment horizontal="center" vertical="center"/>
    </xf>
    <xf numFmtId="171" fontId="3" fillId="2" borderId="11" xfId="0" applyNumberFormat="1" applyFont="1" applyFill="1" applyBorder="1" applyAlignment="1">
      <alignment horizontal="center" vertical="center"/>
    </xf>
    <xf numFmtId="171" fontId="2" fillId="2" borderId="11" xfId="0" applyNumberFormat="1" applyFont="1" applyFill="1" applyBorder="1" applyAlignment="1">
      <alignment horizontal="center" vertical="center"/>
    </xf>
    <xf numFmtId="171" fontId="3" fillId="6" borderId="38" xfId="0" applyNumberFormat="1" applyFont="1" applyFill="1" applyBorder="1" applyAlignment="1">
      <alignment horizontal="center" vertical="center" wrapText="1"/>
    </xf>
    <xf numFmtId="43" fontId="2" fillId="9" borderId="33" xfId="0" applyNumberFormat="1" applyFont="1" applyFill="1" applyBorder="1" applyAlignment="1">
      <alignment vertical="center" wrapText="1"/>
    </xf>
    <xf numFmtId="3" fontId="3" fillId="9" borderId="12" xfId="0" applyNumberFormat="1" applyFont="1" applyFill="1" applyBorder="1" applyAlignment="1">
      <alignment horizontal="center" vertical="center"/>
    </xf>
    <xf numFmtId="0" fontId="3" fillId="20" borderId="11" xfId="0" applyFont="1" applyFill="1" applyBorder="1" applyAlignment="1">
      <alignment vertical="center" wrapText="1"/>
    </xf>
    <xf numFmtId="3" fontId="3" fillId="20" borderId="11" xfId="0" applyNumberFormat="1" applyFont="1" applyFill="1" applyBorder="1" applyAlignment="1">
      <alignment vertical="center"/>
    </xf>
    <xf numFmtId="173" fontId="3" fillId="20" borderId="11" xfId="0" applyNumberFormat="1" applyFont="1" applyFill="1" applyBorder="1" applyAlignment="1">
      <alignment vertical="center" wrapText="1"/>
    </xf>
    <xf numFmtId="43" fontId="3" fillId="9" borderId="35" xfId="0" applyNumberFormat="1" applyFont="1" applyFill="1" applyBorder="1" applyAlignment="1">
      <alignment horizontal="center" vertical="center" wrapText="1"/>
    </xf>
    <xf numFmtId="4" fontId="3" fillId="7" borderId="11" xfId="0" applyNumberFormat="1" applyFont="1" applyFill="1" applyBorder="1" applyAlignment="1">
      <alignment horizontal="center" vertical="center"/>
    </xf>
    <xf numFmtId="0" fontId="3" fillId="7" borderId="11" xfId="0" applyFont="1" applyFill="1" applyBorder="1" applyAlignment="1">
      <alignment horizontal="center" vertical="center"/>
    </xf>
    <xf numFmtId="167" fontId="3" fillId="7" borderId="11" xfId="1" applyNumberFormat="1" applyFont="1" applyFill="1" applyBorder="1" applyAlignment="1">
      <alignment horizontal="center" vertical="center"/>
    </xf>
    <xf numFmtId="43" fontId="3" fillId="7" borderId="11" xfId="1" applyFont="1" applyFill="1" applyBorder="1" applyAlignment="1">
      <alignment horizontal="center" vertical="center"/>
    </xf>
    <xf numFmtId="167" fontId="3" fillId="7" borderId="11" xfId="1" applyNumberFormat="1" applyFont="1" applyFill="1" applyBorder="1" applyAlignment="1">
      <alignment vertical="center"/>
    </xf>
    <xf numFmtId="43" fontId="3" fillId="7" borderId="11" xfId="1" applyFont="1" applyFill="1" applyBorder="1" applyAlignment="1">
      <alignment horizontal="right" vertical="center" wrapText="1"/>
    </xf>
    <xf numFmtId="164" fontId="3" fillId="7" borderId="11" xfId="1" applyNumberFormat="1" applyFont="1" applyFill="1" applyBorder="1" applyAlignment="1">
      <alignment horizontal="center" vertical="center" wrapText="1"/>
    </xf>
    <xf numFmtId="3" fontId="3" fillId="7" borderId="11" xfId="0" applyNumberFormat="1" applyFont="1" applyFill="1" applyBorder="1" applyAlignment="1">
      <alignment horizontal="center" vertical="center" wrapText="1"/>
    </xf>
    <xf numFmtId="3" fontId="3" fillId="7" borderId="11" xfId="0" applyNumberFormat="1" applyFont="1" applyFill="1" applyBorder="1" applyAlignment="1">
      <alignment horizontal="center" vertical="center"/>
    </xf>
    <xf numFmtId="3" fontId="3" fillId="7" borderId="14" xfId="0" applyNumberFormat="1" applyFont="1" applyFill="1" applyBorder="1" applyAlignment="1">
      <alignment horizontal="center" vertical="center" wrapText="1"/>
    </xf>
    <xf numFmtId="43" fontId="8" fillId="7" borderId="11" xfId="1" applyFont="1" applyFill="1" applyBorder="1" applyAlignment="1">
      <alignment horizontal="center" vertical="center"/>
    </xf>
    <xf numFmtId="43" fontId="8" fillId="7" borderId="11" xfId="1" applyFont="1" applyFill="1" applyBorder="1" applyAlignment="1">
      <alignment vertical="center"/>
    </xf>
    <xf numFmtId="43" fontId="8" fillId="7" borderId="11" xfId="1" applyFont="1" applyFill="1" applyBorder="1" applyAlignment="1">
      <alignment horizontal="right" vertical="center" wrapText="1"/>
    </xf>
    <xf numFmtId="43" fontId="8" fillId="7" borderId="11" xfId="1" applyFont="1" applyFill="1" applyBorder="1" applyAlignment="1">
      <alignment horizontal="center" vertical="center" wrapText="1"/>
    </xf>
    <xf numFmtId="165" fontId="8" fillId="7" borderId="11" xfId="0" applyNumberFormat="1" applyFont="1" applyFill="1" applyBorder="1" applyAlignment="1">
      <alignment horizontal="center" vertical="center" wrapText="1"/>
    </xf>
    <xf numFmtId="3" fontId="8" fillId="7" borderId="14" xfId="0" applyNumberFormat="1" applyFont="1" applyFill="1" applyBorder="1" applyAlignment="1">
      <alignment horizontal="center" vertical="center" wrapText="1"/>
    </xf>
    <xf numFmtId="4" fontId="3" fillId="7" borderId="11" xfId="0" applyNumberFormat="1" applyFont="1" applyFill="1" applyBorder="1" applyAlignment="1">
      <alignment horizontal="center" vertical="center" wrapText="1"/>
    </xf>
    <xf numFmtId="0" fontId="3" fillId="7" borderId="17" xfId="0" applyFont="1" applyFill="1" applyBorder="1" applyAlignment="1">
      <alignment horizontal="center" vertical="center"/>
    </xf>
    <xf numFmtId="41" fontId="5" fillId="0" borderId="0" xfId="0" applyNumberFormat="1" applyFont="1" applyAlignment="1">
      <alignment vertical="center"/>
    </xf>
    <xf numFmtId="0" fontId="5" fillId="0" borderId="0" xfId="0" quotePrefix="1" applyFont="1" applyAlignment="1">
      <alignment horizontal="right" vertical="center" wrapText="1"/>
    </xf>
    <xf numFmtId="169" fontId="41" fillId="0" borderId="11" xfId="0" applyNumberFormat="1" applyFont="1" applyBorder="1" applyAlignment="1">
      <alignment horizontal="center" vertical="center" wrapText="1"/>
    </xf>
    <xf numFmtId="41" fontId="41" fillId="0" borderId="0" xfId="0" applyNumberFormat="1" applyFont="1" applyAlignment="1">
      <alignment vertical="center"/>
    </xf>
    <xf numFmtId="174" fontId="5" fillId="0" borderId="11" xfId="0" applyNumberFormat="1" applyFont="1" applyBorder="1" applyAlignment="1">
      <alignment horizontal="right" vertical="center" wrapText="1"/>
    </xf>
    <xf numFmtId="164" fontId="5" fillId="0" borderId="11" xfId="0" applyNumberFormat="1" applyFont="1" applyBorder="1" applyAlignment="1">
      <alignment vertical="center"/>
    </xf>
    <xf numFmtId="167" fontId="41" fillId="0" borderId="11" xfId="0" applyNumberFormat="1" applyFont="1" applyBorder="1" applyAlignment="1">
      <alignment vertical="center"/>
    </xf>
    <xf numFmtId="164" fontId="5" fillId="0" borderId="33" xfId="0" applyNumberFormat="1" applyFont="1" applyBorder="1" applyAlignment="1">
      <alignment vertical="center"/>
    </xf>
    <xf numFmtId="164" fontId="5" fillId="0" borderId="35" xfId="0" applyNumberFormat="1" applyFont="1" applyBorder="1" applyAlignment="1">
      <alignment vertical="center"/>
    </xf>
    <xf numFmtId="43" fontId="5" fillId="0" borderId="35" xfId="0" applyNumberFormat="1" applyFont="1" applyBorder="1" applyAlignment="1">
      <alignment horizontal="center" vertical="center" wrapText="1"/>
    </xf>
    <xf numFmtId="169" fontId="5" fillId="0" borderId="35" xfId="0" applyNumberFormat="1" applyFont="1" applyBorder="1" applyAlignment="1">
      <alignment horizontal="center" vertical="center" wrapText="1"/>
    </xf>
    <xf numFmtId="43" fontId="12" fillId="0" borderId="11" xfId="0" applyNumberFormat="1" applyFont="1" applyBorder="1" applyAlignment="1">
      <alignment horizontal="center" vertical="center"/>
    </xf>
    <xf numFmtId="0" fontId="16" fillId="2" borderId="36" xfId="0" applyFont="1" applyFill="1" applyBorder="1" applyAlignment="1">
      <alignment horizontal="center" vertical="center" wrapText="1"/>
    </xf>
    <xf numFmtId="43" fontId="31" fillId="2" borderId="33" xfId="0" applyNumberFormat="1" applyFont="1" applyFill="1" applyBorder="1" applyAlignment="1">
      <alignment vertical="center"/>
    </xf>
    <xf numFmtId="43" fontId="16" fillId="2" borderId="33" xfId="0" applyNumberFormat="1" applyFont="1" applyFill="1" applyBorder="1" applyAlignment="1">
      <alignment vertical="center"/>
    </xf>
    <xf numFmtId="43" fontId="31" fillId="21" borderId="34" xfId="0" applyNumberFormat="1" applyFont="1" applyFill="1" applyBorder="1" applyAlignment="1">
      <alignment vertical="center"/>
    </xf>
    <xf numFmtId="0" fontId="3" fillId="2" borderId="11" xfId="0" applyFont="1" applyFill="1" applyBorder="1" applyAlignment="1">
      <alignment horizontal="center" vertical="center" wrapText="1"/>
    </xf>
    <xf numFmtId="0" fontId="3" fillId="2" borderId="11" xfId="0" applyFont="1" applyFill="1" applyBorder="1"/>
    <xf numFmtId="43" fontId="3" fillId="2" borderId="11" xfId="0" applyNumberFormat="1" applyFont="1" applyFill="1" applyBorder="1"/>
    <xf numFmtId="0" fontId="16" fillId="2" borderId="11" xfId="0" applyFont="1" applyFill="1" applyBorder="1" applyAlignment="1">
      <alignment horizontal="center" vertical="center" wrapText="1"/>
    </xf>
    <xf numFmtId="0" fontId="16" fillId="2" borderId="11" xfId="0" applyFont="1" applyFill="1" applyBorder="1"/>
    <xf numFmtId="43" fontId="16" fillId="2" borderId="11" xfId="0" applyNumberFormat="1" applyFont="1" applyFill="1" applyBorder="1"/>
    <xf numFmtId="0" fontId="3" fillId="2" borderId="0" xfId="0" applyFont="1" applyFill="1" applyAlignment="1">
      <alignment horizontal="center" vertical="center" wrapText="1"/>
    </xf>
    <xf numFmtId="43" fontId="34" fillId="2" borderId="11" xfId="0" applyNumberFormat="1" applyFont="1" applyFill="1" applyBorder="1" applyAlignment="1">
      <alignment vertical="center"/>
    </xf>
    <xf numFmtId="43" fontId="34" fillId="21" borderId="11" xfId="0" applyNumberFormat="1" applyFont="1" applyFill="1" applyBorder="1" applyAlignment="1">
      <alignment vertical="center"/>
    </xf>
    <xf numFmtId="43" fontId="31" fillId="2" borderId="11" xfId="0" applyNumberFormat="1" applyFont="1" applyFill="1" applyBorder="1" applyAlignment="1">
      <alignment vertical="center"/>
    </xf>
    <xf numFmtId="43" fontId="31" fillId="21" borderId="11" xfId="0" applyNumberFormat="1" applyFont="1" applyFill="1" applyBorder="1" applyAlignment="1">
      <alignment vertical="center"/>
    </xf>
    <xf numFmtId="0" fontId="31" fillId="2" borderId="11" xfId="0" applyFont="1" applyFill="1" applyBorder="1" applyAlignment="1">
      <alignment horizontal="center" vertical="center" wrapText="1"/>
    </xf>
    <xf numFmtId="0" fontId="3" fillId="2" borderId="13" xfId="0" applyFont="1" applyFill="1" applyBorder="1" applyAlignment="1">
      <alignment horizontal="center" vertical="center" wrapText="1"/>
    </xf>
    <xf numFmtId="43" fontId="34" fillId="21" borderId="12" xfId="0" applyNumberFormat="1" applyFont="1" applyFill="1" applyBorder="1" applyAlignment="1">
      <alignment vertical="center"/>
    </xf>
    <xf numFmtId="43" fontId="34" fillId="0" borderId="12" xfId="0" applyNumberFormat="1" applyFont="1" applyBorder="1" applyAlignment="1">
      <alignment vertical="center"/>
    </xf>
    <xf numFmtId="0" fontId="35" fillId="2" borderId="0" xfId="0" applyFont="1" applyFill="1" applyAlignment="1">
      <alignment horizontal="center" vertical="center"/>
    </xf>
    <xf numFmtId="43" fontId="31" fillId="21" borderId="12" xfId="0" applyNumberFormat="1" applyFont="1" applyFill="1" applyBorder="1" applyAlignment="1">
      <alignment vertical="center"/>
    </xf>
    <xf numFmtId="0" fontId="42" fillId="22" borderId="11" xfId="0" applyFont="1" applyFill="1" applyBorder="1" applyAlignment="1">
      <alignment horizontal="center" vertical="center" wrapText="1"/>
    </xf>
    <xf numFmtId="43" fontId="43" fillId="22" borderId="11" xfId="0" applyNumberFormat="1" applyFont="1" applyFill="1" applyBorder="1" applyAlignment="1">
      <alignment vertical="center"/>
    </xf>
    <xf numFmtId="43" fontId="16" fillId="0" borderId="11" xfId="0" applyNumberFormat="1" applyFont="1" applyBorder="1"/>
    <xf numFmtId="0" fontId="16" fillId="0" borderId="11" xfId="0" applyFont="1" applyBorder="1"/>
    <xf numFmtId="0" fontId="39" fillId="2" borderId="11" xfId="0" applyFont="1" applyFill="1" applyBorder="1" applyAlignment="1">
      <alignment horizontal="center" vertical="center"/>
    </xf>
    <xf numFmtId="43" fontId="15" fillId="2" borderId="11" xfId="0" quotePrefix="1" applyNumberFormat="1" applyFont="1" applyFill="1" applyBorder="1" applyAlignment="1">
      <alignment horizontal="center" vertical="center"/>
    </xf>
    <xf numFmtId="43" fontId="15" fillId="2" borderId="11" xfId="0" applyNumberFormat="1" applyFont="1" applyFill="1" applyBorder="1" applyAlignment="1">
      <alignment horizontal="center" vertical="center"/>
    </xf>
    <xf numFmtId="43" fontId="15" fillId="2" borderId="11" xfId="0" applyNumberFormat="1" applyFont="1" applyFill="1" applyBorder="1" applyAlignment="1">
      <alignment vertical="center"/>
    </xf>
    <xf numFmtId="0" fontId="31" fillId="2" borderId="36" xfId="0" applyFont="1" applyFill="1" applyBorder="1" applyAlignment="1">
      <alignment horizontal="center" vertical="center" wrapText="1"/>
    </xf>
    <xf numFmtId="2" fontId="34" fillId="0" borderId="11" xfId="0" applyNumberFormat="1" applyFont="1" applyBorder="1" applyAlignment="1">
      <alignment vertical="center"/>
    </xf>
    <xf numFmtId="164" fontId="3" fillId="0" borderId="35" xfId="0" applyNumberFormat="1" applyFont="1" applyBorder="1" applyAlignment="1">
      <alignment horizontal="center" vertical="center" wrapText="1"/>
    </xf>
    <xf numFmtId="0" fontId="15" fillId="2" borderId="11" xfId="0" applyFont="1" applyFill="1" applyBorder="1" applyAlignment="1">
      <alignment horizontal="center" vertical="center"/>
    </xf>
    <xf numFmtId="167" fontId="3" fillId="0" borderId="11" xfId="1" applyNumberFormat="1" applyFont="1" applyFill="1" applyBorder="1" applyAlignment="1">
      <alignment horizontal="center" vertical="center"/>
    </xf>
    <xf numFmtId="43" fontId="3" fillId="0" borderId="11" xfId="1" applyFont="1" applyFill="1" applyBorder="1" applyAlignment="1">
      <alignment horizontal="center" vertical="center"/>
    </xf>
    <xf numFmtId="167" fontId="3" fillId="0" borderId="11" xfId="1" applyNumberFormat="1" applyFont="1" applyFill="1" applyBorder="1" applyAlignment="1">
      <alignment vertical="center"/>
    </xf>
    <xf numFmtId="43" fontId="3" fillId="0" borderId="11" xfId="1" applyFont="1" applyFill="1" applyBorder="1" applyAlignment="1">
      <alignment horizontal="right" vertical="center" wrapText="1"/>
    </xf>
    <xf numFmtId="164" fontId="3" fillId="0" borderId="11" xfId="1" applyNumberFormat="1" applyFont="1" applyFill="1" applyBorder="1" applyAlignment="1">
      <alignment horizontal="center" vertical="center" wrapText="1"/>
    </xf>
    <xf numFmtId="3" fontId="3" fillId="0" borderId="14" xfId="0" applyNumberFormat="1" applyFont="1" applyBorder="1" applyAlignment="1">
      <alignment horizontal="center" vertical="center" wrapText="1"/>
    </xf>
    <xf numFmtId="0" fontId="8" fillId="0" borderId="11" xfId="0" applyFont="1" applyBorder="1" applyAlignment="1">
      <alignment horizontal="center" vertical="center"/>
    </xf>
    <xf numFmtId="43" fontId="8" fillId="0" borderId="11" xfId="1" applyFont="1" applyFill="1" applyBorder="1" applyAlignment="1">
      <alignment horizontal="center" vertical="center"/>
    </xf>
    <xf numFmtId="43" fontId="8" fillId="0" borderId="11" xfId="1" applyFont="1" applyFill="1" applyBorder="1" applyAlignment="1">
      <alignment vertical="center"/>
    </xf>
    <xf numFmtId="43" fontId="8" fillId="0" borderId="11" xfId="1" applyFont="1" applyFill="1" applyBorder="1" applyAlignment="1">
      <alignment horizontal="right" vertical="center" wrapText="1"/>
    </xf>
    <xf numFmtId="43" fontId="8" fillId="0" borderId="11" xfId="1" applyFont="1" applyFill="1" applyBorder="1" applyAlignment="1">
      <alignment horizontal="center" vertical="center" wrapText="1"/>
    </xf>
    <xf numFmtId="167" fontId="9" fillId="0" borderId="11" xfId="3" applyNumberFormat="1" applyFont="1" applyBorder="1" applyAlignment="1">
      <alignment vertical="center"/>
    </xf>
    <xf numFmtId="43" fontId="9" fillId="0" borderId="11" xfId="3" applyNumberFormat="1" applyFont="1" applyBorder="1" applyAlignment="1">
      <alignment vertical="center"/>
    </xf>
    <xf numFmtId="4" fontId="3" fillId="0" borderId="11" xfId="0" applyNumberFormat="1" applyFont="1" applyBorder="1" applyAlignment="1">
      <alignment horizontal="center" vertical="center" wrapText="1"/>
    </xf>
    <xf numFmtId="0" fontId="8" fillId="0" borderId="15" xfId="0" applyFont="1" applyBorder="1" applyAlignment="1">
      <alignment horizontal="center" vertical="center"/>
    </xf>
    <xf numFmtId="43" fontId="8" fillId="0" borderId="15" xfId="1" applyFont="1" applyFill="1" applyBorder="1" applyAlignment="1">
      <alignment horizontal="center" vertical="center"/>
    </xf>
    <xf numFmtId="43" fontId="8" fillId="0" borderId="15" xfId="1" applyFont="1" applyFill="1" applyBorder="1" applyAlignment="1">
      <alignment vertical="center"/>
    </xf>
    <xf numFmtId="43" fontId="8" fillId="0" borderId="15" xfId="1" applyFont="1" applyFill="1" applyBorder="1" applyAlignment="1">
      <alignment horizontal="right" vertical="center" wrapText="1"/>
    </xf>
    <xf numFmtId="43" fontId="8" fillId="0" borderId="15" xfId="1" applyFont="1" applyFill="1" applyBorder="1" applyAlignment="1">
      <alignment horizontal="center" vertical="center" wrapText="1"/>
    </xf>
    <xf numFmtId="4" fontId="8" fillId="0" borderId="15" xfId="0" applyNumberFormat="1" applyFont="1" applyBorder="1" applyAlignment="1">
      <alignment horizontal="center" vertical="center" wrapText="1"/>
    </xf>
    <xf numFmtId="3" fontId="2" fillId="0" borderId="74" xfId="0" applyNumberFormat="1" applyFont="1" applyBorder="1" applyAlignment="1">
      <alignment horizontal="center" vertical="center" wrapText="1"/>
    </xf>
    <xf numFmtId="0" fontId="9" fillId="0" borderId="20" xfId="0" applyFont="1" applyBorder="1" applyAlignment="1">
      <alignment horizontal="center" vertical="center" wrapText="1"/>
    </xf>
    <xf numFmtId="43" fontId="9" fillId="0" borderId="20" xfId="1" applyFont="1" applyFill="1" applyBorder="1" applyAlignment="1">
      <alignment horizontal="center" vertical="center" wrapText="1"/>
    </xf>
    <xf numFmtId="43" fontId="9" fillId="0" borderId="20" xfId="1" applyFont="1" applyFill="1" applyBorder="1" applyAlignment="1">
      <alignment vertical="center" wrapText="1"/>
    </xf>
    <xf numFmtId="43" fontId="9" fillId="0" borderId="20" xfId="1" applyFont="1" applyFill="1" applyBorder="1" applyAlignment="1">
      <alignment horizontal="right" vertical="center" wrapText="1"/>
    </xf>
    <xf numFmtId="164" fontId="9" fillId="0" borderId="20" xfId="1" applyNumberFormat="1" applyFont="1" applyFill="1" applyBorder="1" applyAlignment="1">
      <alignment horizontal="center" vertical="center" wrapText="1"/>
    </xf>
    <xf numFmtId="0" fontId="9" fillId="0" borderId="20" xfId="0" applyFont="1" applyBorder="1" applyAlignment="1">
      <alignment horizontal="right" vertical="center" wrapText="1"/>
    </xf>
    <xf numFmtId="0" fontId="9" fillId="0" borderId="75" xfId="0" applyFont="1" applyBorder="1" applyAlignment="1">
      <alignment horizontal="center" vertical="center" wrapText="1"/>
    </xf>
    <xf numFmtId="0" fontId="8" fillId="23" borderId="11" xfId="0" applyFont="1" applyFill="1" applyBorder="1" applyAlignment="1">
      <alignment horizontal="center" vertical="center"/>
    </xf>
    <xf numFmtId="43" fontId="8" fillId="23" borderId="11" xfId="1" applyFont="1" applyFill="1" applyBorder="1" applyAlignment="1">
      <alignment horizontal="center" vertical="center"/>
    </xf>
    <xf numFmtId="43" fontId="8" fillId="23" borderId="11" xfId="1" applyFont="1" applyFill="1" applyBorder="1" applyAlignment="1">
      <alignment horizontal="right" vertical="center" wrapText="1"/>
    </xf>
    <xf numFmtId="43" fontId="8" fillId="23" borderId="11" xfId="1" applyFont="1" applyFill="1" applyBorder="1" applyAlignment="1">
      <alignment horizontal="center" vertical="center" wrapText="1"/>
    </xf>
    <xf numFmtId="4" fontId="8" fillId="23" borderId="11" xfId="0" applyNumberFormat="1" applyFont="1" applyFill="1" applyBorder="1" applyAlignment="1">
      <alignment horizontal="center" vertical="center" wrapText="1"/>
    </xf>
    <xf numFmtId="4" fontId="8" fillId="23" borderId="11" xfId="0" applyNumberFormat="1" applyFont="1" applyFill="1" applyBorder="1" applyAlignment="1">
      <alignment horizontal="center" vertical="center"/>
    </xf>
    <xf numFmtId="3" fontId="2" fillId="23" borderId="11" xfId="0" applyNumberFormat="1" applyFont="1" applyFill="1" applyBorder="1" applyAlignment="1">
      <alignment horizontal="center" vertical="center" wrapText="1"/>
    </xf>
    <xf numFmtId="0" fontId="3" fillId="23" borderId="11" xfId="0" applyFont="1" applyFill="1" applyBorder="1" applyAlignment="1">
      <alignment horizontal="center" vertical="center"/>
    </xf>
    <xf numFmtId="43" fontId="3" fillId="7" borderId="15" xfId="1" applyFont="1" applyFill="1" applyBorder="1" applyAlignment="1">
      <alignment horizontal="center" vertical="center"/>
    </xf>
    <xf numFmtId="43" fontId="8" fillId="7" borderId="15" xfId="1" applyFont="1" applyFill="1" applyBorder="1" applyAlignment="1">
      <alignment horizontal="center" vertical="center"/>
    </xf>
    <xf numFmtId="43" fontId="8" fillId="7" borderId="15" xfId="1" applyFont="1" applyFill="1" applyBorder="1" applyAlignment="1">
      <alignment vertical="center"/>
    </xf>
    <xf numFmtId="43" fontId="8" fillId="7" borderId="15" xfId="1" applyFont="1" applyFill="1" applyBorder="1" applyAlignment="1">
      <alignment horizontal="right" vertical="center" wrapText="1"/>
    </xf>
    <xf numFmtId="43" fontId="8" fillId="7" borderId="15" xfId="1" applyFont="1" applyFill="1" applyBorder="1" applyAlignment="1">
      <alignment horizontal="center" vertical="center" wrapText="1"/>
    </xf>
    <xf numFmtId="4" fontId="8" fillId="7" borderId="15" xfId="0" applyNumberFormat="1" applyFont="1" applyFill="1" applyBorder="1" applyAlignment="1">
      <alignment horizontal="center" vertical="center" wrapText="1"/>
    </xf>
    <xf numFmtId="3" fontId="8" fillId="7" borderId="74" xfId="0" applyNumberFormat="1" applyFont="1" applyFill="1" applyBorder="1" applyAlignment="1">
      <alignment horizontal="center" vertical="center" wrapText="1"/>
    </xf>
    <xf numFmtId="167" fontId="2" fillId="4" borderId="20" xfId="1" applyNumberFormat="1" applyFont="1" applyFill="1" applyBorder="1" applyAlignment="1">
      <alignment horizontal="center" vertical="center"/>
    </xf>
    <xf numFmtId="43" fontId="2" fillId="4" borderId="20" xfId="1" applyFont="1" applyFill="1" applyBorder="1" applyAlignment="1">
      <alignment horizontal="center" vertical="center"/>
    </xf>
    <xf numFmtId="167" fontId="2" fillId="4" borderId="20" xfId="1" applyNumberFormat="1" applyFont="1" applyFill="1" applyBorder="1" applyAlignment="1">
      <alignment vertical="center"/>
    </xf>
    <xf numFmtId="43" fontId="3" fillId="4" borderId="20" xfId="1" applyFont="1" applyFill="1" applyBorder="1" applyAlignment="1">
      <alignment horizontal="right" vertical="center" wrapText="1"/>
    </xf>
    <xf numFmtId="164" fontId="3" fillId="4" borderId="20" xfId="1" applyNumberFormat="1" applyFont="1" applyFill="1" applyBorder="1" applyAlignment="1">
      <alignment horizontal="center" vertical="center" wrapText="1"/>
    </xf>
    <xf numFmtId="4" fontId="3" fillId="4" borderId="20" xfId="0" applyNumberFormat="1" applyFont="1" applyFill="1" applyBorder="1" applyAlignment="1">
      <alignment horizontal="center" vertical="center" wrapText="1"/>
    </xf>
    <xf numFmtId="4" fontId="3" fillId="4" borderId="20" xfId="0" applyNumberFormat="1" applyFont="1" applyFill="1" applyBorder="1" applyAlignment="1">
      <alignment horizontal="center" vertical="center"/>
    </xf>
    <xf numFmtId="3" fontId="3" fillId="4" borderId="75" xfId="0" applyNumberFormat="1" applyFont="1" applyFill="1" applyBorder="1" applyAlignment="1">
      <alignment horizontal="center" vertical="center" wrapText="1"/>
    </xf>
    <xf numFmtId="43" fontId="3" fillId="23" borderId="11" xfId="1" applyFont="1" applyFill="1" applyBorder="1" applyAlignment="1">
      <alignment horizontal="center" vertical="center"/>
    </xf>
    <xf numFmtId="3" fontId="8" fillId="23" borderId="11" xfId="0" applyNumberFormat="1" applyFont="1" applyFill="1" applyBorder="1" applyAlignment="1">
      <alignment horizontal="center" vertical="center" wrapText="1"/>
    </xf>
    <xf numFmtId="43" fontId="2" fillId="14" borderId="33" xfId="0" applyNumberFormat="1" applyFont="1" applyFill="1" applyBorder="1" applyAlignment="1">
      <alignment vertical="center" wrapText="1"/>
    </xf>
    <xf numFmtId="43" fontId="3" fillId="0" borderId="12" xfId="0" applyNumberFormat="1" applyFont="1" applyBorder="1" applyAlignment="1">
      <alignment horizontal="center" vertical="center" wrapText="1"/>
    </xf>
    <xf numFmtId="43" fontId="8" fillId="0" borderId="12" xfId="0" applyNumberFormat="1" applyFont="1" applyBorder="1" applyAlignment="1">
      <alignment horizontal="center" vertical="center" wrapText="1"/>
    </xf>
    <xf numFmtId="43" fontId="3" fillId="0" borderId="30" xfId="0" applyNumberFormat="1" applyFont="1" applyBorder="1" applyAlignment="1">
      <alignment horizontal="center" vertical="center" wrapText="1"/>
    </xf>
    <xf numFmtId="43" fontId="8" fillId="0" borderId="34" xfId="0" applyNumberFormat="1" applyFont="1" applyBorder="1" applyAlignment="1">
      <alignment horizontal="center" vertical="center" wrapText="1"/>
    </xf>
    <xf numFmtId="43" fontId="3" fillId="0" borderId="34" xfId="0" applyNumberFormat="1" applyFont="1" applyBorder="1" applyAlignment="1">
      <alignment horizontal="center" vertical="center" wrapText="1"/>
    </xf>
    <xf numFmtId="43" fontId="33" fillId="0" borderId="11" xfId="0" applyNumberFormat="1" applyFont="1" applyBorder="1" applyAlignment="1">
      <alignment horizontal="center" vertical="center" wrapText="1"/>
    </xf>
    <xf numFmtId="0" fontId="9" fillId="10" borderId="11" xfId="0" applyFont="1" applyFill="1" applyBorder="1"/>
    <xf numFmtId="41" fontId="2" fillId="0" borderId="34" xfId="0" applyNumberFormat="1" applyFont="1" applyBorder="1" applyAlignment="1">
      <alignment horizontal="center" vertical="center" wrapText="1"/>
    </xf>
    <xf numFmtId="0" fontId="9" fillId="0" borderId="11" xfId="0" applyFont="1" applyBorder="1" applyAlignment="1">
      <alignment horizontal="center" vertical="center"/>
    </xf>
    <xf numFmtId="0" fontId="10" fillId="0" borderId="11" xfId="0" applyFont="1" applyBorder="1" applyAlignment="1">
      <alignment horizontal="center" vertical="center"/>
    </xf>
    <xf numFmtId="0" fontId="10" fillId="2" borderId="11" xfId="0" applyFont="1" applyFill="1" applyBorder="1" applyAlignment="1">
      <alignment horizontal="center" vertical="center"/>
    </xf>
    <xf numFmtId="0" fontId="9" fillId="0" borderId="0" xfId="0" applyFont="1"/>
    <xf numFmtId="0" fontId="8" fillId="0" borderId="0" xfId="0" applyFont="1" applyAlignment="1">
      <alignment vertical="center"/>
    </xf>
    <xf numFmtId="3" fontId="2" fillId="0" borderId="33" xfId="0" applyNumberFormat="1" applyFont="1" applyBorder="1" applyAlignment="1">
      <alignment horizontal="center" vertical="center" wrapText="1"/>
    </xf>
    <xf numFmtId="3" fontId="2" fillId="0" borderId="33" xfId="0" quotePrefix="1" applyNumberFormat="1" applyFont="1" applyBorder="1" applyAlignment="1">
      <alignment horizontal="center" vertical="center" wrapText="1"/>
    </xf>
    <xf numFmtId="41" fontId="15" fillId="0" borderId="0" xfId="0" applyNumberFormat="1" applyFont="1" applyAlignment="1">
      <alignment horizontal="center" vertical="center" wrapText="1"/>
    </xf>
    <xf numFmtId="0" fontId="3" fillId="0" borderId="34" xfId="0" applyFont="1" applyBorder="1" applyAlignment="1">
      <alignment vertical="center"/>
    </xf>
    <xf numFmtId="164" fontId="3" fillId="0" borderId="33" xfId="0" applyNumberFormat="1" applyFont="1" applyBorder="1" applyAlignment="1">
      <alignment horizontal="center" vertical="center"/>
    </xf>
    <xf numFmtId="43" fontId="3" fillId="0" borderId="33" xfId="0" applyNumberFormat="1" applyFont="1" applyBorder="1" applyAlignment="1">
      <alignment horizontal="right" vertical="center"/>
    </xf>
    <xf numFmtId="168" fontId="3" fillId="0" borderId="33" xfId="0" applyNumberFormat="1" applyFont="1" applyBorder="1" applyAlignment="1">
      <alignment horizontal="center" vertical="center"/>
    </xf>
    <xf numFmtId="167" fontId="3" fillId="0" borderId="33" xfId="0" applyNumberFormat="1" applyFont="1" applyBorder="1" applyAlignment="1">
      <alignment horizontal="center" vertical="center"/>
    </xf>
    <xf numFmtId="168" fontId="3" fillId="0" borderId="33" xfId="0" applyNumberFormat="1" applyFont="1" applyBorder="1" applyAlignment="1">
      <alignment horizontal="right" vertical="center"/>
    </xf>
    <xf numFmtId="169" fontId="3" fillId="0" borderId="33" xfId="0" applyNumberFormat="1" applyFont="1" applyBorder="1" applyAlignment="1">
      <alignment horizontal="center" vertical="center"/>
    </xf>
    <xf numFmtId="167" fontId="3" fillId="0" borderId="33" xfId="0" quotePrefix="1" applyNumberFormat="1" applyFont="1" applyBorder="1" applyAlignment="1">
      <alignment horizontal="center" vertical="center"/>
    </xf>
    <xf numFmtId="170" fontId="3" fillId="0" borderId="33" xfId="0" applyNumberFormat="1" applyFont="1" applyBorder="1" applyAlignment="1">
      <alignment horizontal="center" vertical="center"/>
    </xf>
    <xf numFmtId="41" fontId="3" fillId="8" borderId="0" xfId="0" applyNumberFormat="1" applyFont="1" applyFill="1" applyAlignment="1">
      <alignment horizontal="center" vertical="center"/>
    </xf>
    <xf numFmtId="0" fontId="3" fillId="8" borderId="33" xfId="0" applyFont="1" applyFill="1" applyBorder="1" applyAlignment="1">
      <alignment horizontal="center" vertical="center"/>
    </xf>
    <xf numFmtId="168" fontId="3" fillId="8" borderId="33" xfId="0" applyNumberFormat="1" applyFont="1" applyFill="1" applyBorder="1" applyAlignment="1">
      <alignment horizontal="center" vertical="center"/>
    </xf>
    <xf numFmtId="170" fontId="3" fillId="0" borderId="35" xfId="0" applyNumberFormat="1" applyFont="1" applyBorder="1" applyAlignment="1">
      <alignment horizontal="center" vertical="center"/>
    </xf>
    <xf numFmtId="168" fontId="3" fillId="0" borderId="35" xfId="0" applyNumberFormat="1" applyFont="1" applyBorder="1" applyAlignment="1">
      <alignment horizontal="center" vertical="center"/>
    </xf>
    <xf numFmtId="164" fontId="3" fillId="0" borderId="35" xfId="0" applyNumberFormat="1" applyFont="1" applyBorder="1" applyAlignment="1">
      <alignment horizontal="center" vertical="center"/>
    </xf>
    <xf numFmtId="43" fontId="3" fillId="0" borderId="35" xfId="0" quotePrefix="1" applyNumberFormat="1" applyFont="1" applyBorder="1" applyAlignment="1">
      <alignment horizontal="right" vertical="center"/>
    </xf>
    <xf numFmtId="170" fontId="3" fillId="0" borderId="11" xfId="0" applyNumberFormat="1" applyFont="1" applyBorder="1" applyAlignment="1">
      <alignment horizontal="center" vertical="center"/>
    </xf>
    <xf numFmtId="168" fontId="3" fillId="0" borderId="11" xfId="0" applyNumberFormat="1" applyFont="1" applyBorder="1" applyAlignment="1">
      <alignment horizontal="center" vertical="center"/>
    </xf>
    <xf numFmtId="43" fontId="3" fillId="0" borderId="11" xfId="0" quotePrefix="1" applyNumberFormat="1" applyFont="1" applyBorder="1" applyAlignment="1">
      <alignment horizontal="right" vertical="center"/>
    </xf>
    <xf numFmtId="0" fontId="9" fillId="0" borderId="60" xfId="0" applyFont="1" applyBorder="1" applyAlignment="1">
      <alignment horizontal="center" vertical="center" wrapText="1"/>
    </xf>
    <xf numFmtId="0" fontId="9" fillId="0" borderId="34" xfId="0" applyFont="1" applyBorder="1" applyAlignment="1">
      <alignment vertical="center"/>
    </xf>
    <xf numFmtId="0" fontId="9" fillId="0" borderId="36" xfId="0" applyFont="1" applyBorder="1" applyAlignment="1">
      <alignment vertical="center"/>
    </xf>
    <xf numFmtId="0" fontId="9" fillId="0" borderId="33" xfId="0" applyFont="1" applyBorder="1" applyAlignment="1">
      <alignment horizontal="center" vertical="center"/>
    </xf>
    <xf numFmtId="168" fontId="9" fillId="0" borderId="33" xfId="0" applyNumberFormat="1" applyFont="1" applyBorder="1" applyAlignment="1">
      <alignment horizontal="center" vertical="center"/>
    </xf>
    <xf numFmtId="164" fontId="9" fillId="0" borderId="33" xfId="0" applyNumberFormat="1" applyFont="1" applyBorder="1" applyAlignment="1">
      <alignment horizontal="center" vertical="center" wrapText="1"/>
    </xf>
    <xf numFmtId="164" fontId="9" fillId="0" borderId="33" xfId="0" applyNumberFormat="1" applyFont="1" applyBorder="1" applyAlignment="1">
      <alignment horizontal="center" vertical="center"/>
    </xf>
    <xf numFmtId="0" fontId="3" fillId="0" borderId="60" xfId="0" applyFont="1" applyBorder="1" applyAlignment="1">
      <alignment horizontal="center" vertical="center" wrapText="1"/>
    </xf>
    <xf numFmtId="0" fontId="3" fillId="0" borderId="36" xfId="0" applyFont="1" applyBorder="1" applyAlignment="1">
      <alignment vertical="center"/>
    </xf>
    <xf numFmtId="0" fontId="3" fillId="0" borderId="58" xfId="0" applyFont="1" applyBorder="1" applyAlignment="1">
      <alignment horizontal="center" vertical="center" wrapText="1"/>
    </xf>
    <xf numFmtId="0" fontId="3" fillId="0" borderId="71" xfId="0" applyFont="1" applyBorder="1" applyAlignment="1">
      <alignment vertical="center"/>
    </xf>
    <xf numFmtId="0" fontId="3" fillId="0" borderId="72" xfId="0" applyFont="1" applyBorder="1" applyAlignment="1">
      <alignment vertical="center"/>
    </xf>
    <xf numFmtId="3" fontId="3" fillId="0" borderId="35" xfId="0" applyNumberFormat="1" applyFont="1" applyBorder="1" applyAlignment="1">
      <alignment horizontal="right" vertical="center"/>
    </xf>
    <xf numFmtId="0" fontId="9" fillId="0" borderId="12" xfId="0" applyFont="1" applyBorder="1" applyAlignment="1">
      <alignment vertical="center"/>
    </xf>
    <xf numFmtId="0" fontId="9" fillId="0" borderId="13" xfId="0" applyFont="1" applyBorder="1" applyAlignment="1">
      <alignment vertical="center"/>
    </xf>
    <xf numFmtId="168" fontId="9" fillId="0" borderId="11" xfId="0" applyNumberFormat="1" applyFont="1" applyBorder="1" applyAlignment="1">
      <alignment horizontal="center" vertical="center"/>
    </xf>
    <xf numFmtId="0" fontId="3" fillId="0" borderId="12" xfId="0" applyFont="1" applyBorder="1" applyAlignment="1">
      <alignment vertical="center"/>
    </xf>
    <xf numFmtId="0" fontId="3" fillId="0" borderId="13" xfId="0" applyFont="1" applyBorder="1" applyAlignment="1">
      <alignment vertical="center"/>
    </xf>
    <xf numFmtId="169" fontId="3" fillId="0" borderId="11" xfId="0" applyNumberFormat="1" applyFont="1" applyBorder="1" applyAlignment="1">
      <alignment horizontal="center" vertical="center"/>
    </xf>
    <xf numFmtId="168" fontId="3" fillId="0" borderId="11" xfId="0" applyNumberFormat="1" applyFont="1" applyBorder="1" applyAlignment="1">
      <alignment horizontal="center" vertical="center" wrapText="1"/>
    </xf>
    <xf numFmtId="43" fontId="9" fillId="0" borderId="33" xfId="0" applyNumberFormat="1" applyFont="1" applyBorder="1" applyAlignment="1">
      <alignment horizontal="center" vertical="center"/>
    </xf>
    <xf numFmtId="164" fontId="3" fillId="0" borderId="33" xfId="0" applyNumberFormat="1" applyFont="1" applyBorder="1" applyAlignment="1">
      <alignment horizontal="right" vertical="center"/>
    </xf>
    <xf numFmtId="168" fontId="3" fillId="0" borderId="33" xfId="0" applyNumberFormat="1" applyFont="1" applyBorder="1" applyAlignment="1">
      <alignment horizontal="center" vertical="center" wrapText="1"/>
    </xf>
    <xf numFmtId="168" fontId="3" fillId="0" borderId="35" xfId="0" applyNumberFormat="1" applyFont="1" applyBorder="1" applyAlignment="1">
      <alignment horizontal="center" vertical="center" wrapText="1"/>
    </xf>
    <xf numFmtId="164" fontId="3" fillId="0" borderId="12" xfId="0" applyNumberFormat="1" applyFont="1" applyBorder="1" applyAlignment="1">
      <alignment horizontal="center" vertical="center"/>
    </xf>
    <xf numFmtId="169" fontId="3" fillId="0" borderId="11" xfId="0" applyNumberFormat="1" applyFont="1" applyBorder="1" applyAlignment="1">
      <alignment horizontal="center" vertical="center" wrapText="1"/>
    </xf>
    <xf numFmtId="43" fontId="3" fillId="0" borderId="35" xfId="0" applyNumberFormat="1" applyFont="1" applyBorder="1" applyAlignment="1">
      <alignment horizontal="center" vertical="center"/>
    </xf>
    <xf numFmtId="164" fontId="3" fillId="0" borderId="35" xfId="0" quotePrefix="1" applyNumberFormat="1" applyFont="1" applyBorder="1" applyAlignment="1">
      <alignment horizontal="center" vertical="center"/>
    </xf>
    <xf numFmtId="164" fontId="3" fillId="0" borderId="11" xfId="0" quotePrefix="1" applyNumberFormat="1" applyFont="1" applyBorder="1" applyAlignment="1">
      <alignment horizontal="center" vertical="center"/>
    </xf>
    <xf numFmtId="0" fontId="2" fillId="0" borderId="0" xfId="0" applyFont="1"/>
    <xf numFmtId="4" fontId="3" fillId="0" borderId="34" xfId="0" applyNumberFormat="1" applyFont="1" applyBorder="1" applyAlignment="1">
      <alignment horizontal="center" vertical="center"/>
    </xf>
    <xf numFmtId="43" fontId="34" fillId="24" borderId="12" xfId="0" applyNumberFormat="1" applyFont="1" applyFill="1" applyBorder="1" applyAlignment="1">
      <alignment vertical="center"/>
    </xf>
    <xf numFmtId="41" fontId="3" fillId="2" borderId="12" xfId="0" applyNumberFormat="1" applyFont="1" applyFill="1" applyBorder="1" applyAlignment="1">
      <alignment horizontal="center" vertical="center"/>
    </xf>
    <xf numFmtId="41" fontId="3" fillId="0" borderId="13" xfId="0" applyNumberFormat="1" applyFont="1" applyBorder="1" applyAlignment="1">
      <alignment horizontal="center" vertical="center"/>
    </xf>
    <xf numFmtId="41" fontId="13" fillId="0" borderId="11" xfId="0" applyNumberFormat="1" applyFont="1" applyBorder="1" applyAlignment="1">
      <alignment horizontal="center" vertical="center" wrapText="1"/>
    </xf>
    <xf numFmtId="41" fontId="13" fillId="0" borderId="0" xfId="0" applyNumberFormat="1" applyFont="1" applyAlignment="1">
      <alignment horizontal="center" vertical="center" wrapText="1"/>
    </xf>
    <xf numFmtId="41" fontId="2" fillId="0" borderId="34" xfId="0" applyNumberFormat="1" applyFont="1" applyBorder="1" applyAlignment="1">
      <alignment horizontal="center" vertical="center"/>
    </xf>
    <xf numFmtId="41" fontId="2" fillId="2" borderId="24" xfId="0" applyNumberFormat="1" applyFont="1" applyFill="1" applyBorder="1" applyAlignment="1">
      <alignment horizontal="center" vertical="center"/>
    </xf>
    <xf numFmtId="41" fontId="2" fillId="0" borderId="24" xfId="0" applyNumberFormat="1" applyFont="1" applyBorder="1" applyAlignment="1">
      <alignment horizontal="center" vertical="center" wrapText="1"/>
    </xf>
    <xf numFmtId="41" fontId="3" fillId="0" borderId="12" xfId="0" applyNumberFormat="1" applyFont="1" applyBorder="1" applyAlignment="1">
      <alignment horizontal="center" vertical="center"/>
    </xf>
    <xf numFmtId="41" fontId="3" fillId="0" borderId="0" xfId="2" applyFont="1" applyBorder="1" applyAlignment="1">
      <alignment horizontal="center" vertical="center"/>
    </xf>
    <xf numFmtId="172" fontId="3" fillId="0" borderId="12" xfId="0" applyNumberFormat="1" applyFont="1" applyBorder="1" applyAlignment="1">
      <alignment horizontal="center" vertical="center"/>
    </xf>
    <xf numFmtId="41" fontId="3" fillId="0" borderId="12" xfId="2" applyFont="1" applyFill="1" applyBorder="1" applyAlignment="1">
      <alignment horizontal="center" vertical="center"/>
    </xf>
    <xf numFmtId="171" fontId="3" fillId="2" borderId="12" xfId="0" applyNumberFormat="1" applyFont="1" applyFill="1" applyBorder="1" applyAlignment="1">
      <alignment horizontal="center" vertical="center"/>
    </xf>
    <xf numFmtId="171" fontId="2" fillId="2" borderId="12" xfId="0" applyNumberFormat="1" applyFont="1" applyFill="1" applyBorder="1" applyAlignment="1">
      <alignment horizontal="center" vertical="center"/>
    </xf>
    <xf numFmtId="0" fontId="2" fillId="0" borderId="35" xfId="0" applyFont="1" applyBorder="1" applyAlignment="1">
      <alignment horizontal="center" vertical="center" wrapText="1"/>
    </xf>
    <xf numFmtId="0" fontId="2" fillId="0" borderId="27" xfId="0" applyFont="1" applyBorder="1" applyAlignment="1">
      <alignment horizontal="center" vertical="center" wrapText="1"/>
    </xf>
    <xf numFmtId="43" fontId="33" fillId="0" borderId="12" xfId="0" applyNumberFormat="1" applyFont="1" applyBorder="1" applyAlignment="1">
      <alignment horizontal="center" vertical="center"/>
    </xf>
    <xf numFmtId="43" fontId="33" fillId="0" borderId="13" xfId="0" applyNumberFormat="1" applyFont="1" applyBorder="1" applyAlignment="1">
      <alignment horizontal="center" vertical="center"/>
    </xf>
    <xf numFmtId="164" fontId="8" fillId="23" borderId="11" xfId="1" applyNumberFormat="1" applyFont="1" applyFill="1" applyBorder="1" applyAlignment="1">
      <alignment horizontal="center" vertical="center"/>
    </xf>
    <xf numFmtId="43" fontId="8" fillId="23" borderId="14" xfId="1" applyFont="1" applyFill="1" applyBorder="1" applyAlignment="1">
      <alignment horizontal="center" vertical="center"/>
    </xf>
    <xf numFmtId="0" fontId="8" fillId="23" borderId="17" xfId="0" applyFont="1" applyFill="1" applyBorder="1" applyAlignment="1">
      <alignment horizontal="center" vertical="center"/>
    </xf>
    <xf numFmtId="43" fontId="8" fillId="23" borderId="17" xfId="1" applyFont="1" applyFill="1" applyBorder="1" applyAlignment="1">
      <alignment horizontal="center" vertical="center"/>
    </xf>
    <xf numFmtId="43" fontId="8" fillId="23" borderId="17" xfId="1" applyFont="1" applyFill="1" applyBorder="1" applyAlignment="1">
      <alignment horizontal="right" vertical="center" wrapText="1"/>
    </xf>
    <xf numFmtId="43" fontId="8" fillId="23" borderId="17" xfId="1" applyFont="1" applyFill="1" applyBorder="1" applyAlignment="1">
      <alignment horizontal="center" vertical="center" wrapText="1"/>
    </xf>
    <xf numFmtId="4" fontId="8" fillId="23" borderId="17" xfId="0" applyNumberFormat="1" applyFont="1" applyFill="1" applyBorder="1" applyAlignment="1">
      <alignment horizontal="center" vertical="center" wrapText="1"/>
    </xf>
    <xf numFmtId="4" fontId="8" fillId="23" borderId="17" xfId="0" applyNumberFormat="1" applyFont="1" applyFill="1" applyBorder="1" applyAlignment="1">
      <alignment horizontal="center" vertical="center"/>
    </xf>
    <xf numFmtId="3" fontId="2" fillId="23" borderId="18" xfId="0" applyNumberFormat="1" applyFont="1" applyFill="1" applyBorder="1" applyAlignment="1">
      <alignment horizontal="center" vertical="center" wrapText="1"/>
    </xf>
    <xf numFmtId="43" fontId="34" fillId="19" borderId="11" xfId="0" applyNumberFormat="1" applyFont="1" applyFill="1" applyBorder="1" applyAlignment="1">
      <alignment vertical="center"/>
    </xf>
    <xf numFmtId="43" fontId="34" fillId="18" borderId="12" xfId="0" applyNumberFormat="1" applyFont="1" applyFill="1" applyBorder="1" applyAlignment="1">
      <alignment vertical="center"/>
    </xf>
    <xf numFmtId="43" fontId="5" fillId="0" borderId="34" xfId="0" applyNumberFormat="1" applyFont="1" applyBorder="1" applyAlignment="1">
      <alignment horizontal="center" vertical="center" wrapText="1"/>
    </xf>
    <xf numFmtId="43" fontId="5" fillId="0" borderId="34" xfId="0" applyNumberFormat="1" applyFont="1" applyBorder="1" applyAlignment="1">
      <alignment horizontal="center" vertical="center"/>
    </xf>
    <xf numFmtId="43" fontId="5" fillId="0" borderId="11" xfId="0" applyNumberFormat="1" applyFont="1" applyBorder="1" applyAlignment="1">
      <alignment vertical="center" wrapText="1"/>
    </xf>
    <xf numFmtId="3" fontId="5" fillId="0" borderId="11" xfId="0" applyNumberFormat="1" applyFont="1" applyBorder="1" applyAlignment="1">
      <alignment vertical="center"/>
    </xf>
    <xf numFmtId="3" fontId="5" fillId="3" borderId="11" xfId="0" applyNumberFormat="1" applyFont="1" applyFill="1" applyBorder="1" applyAlignment="1">
      <alignment vertical="center"/>
    </xf>
    <xf numFmtId="3" fontId="5" fillId="0" borderId="11" xfId="0" applyNumberFormat="1" applyFont="1" applyBorder="1" applyAlignment="1">
      <alignment vertical="center" wrapText="1"/>
    </xf>
    <xf numFmtId="3" fontId="14" fillId="4" borderId="11" xfId="0" applyNumberFormat="1" applyFont="1" applyFill="1" applyBorder="1" applyAlignment="1">
      <alignment horizontal="right" vertical="center" wrapText="1"/>
    </xf>
    <xf numFmtId="43" fontId="5" fillId="0" borderId="34" xfId="0" quotePrefix="1" applyNumberFormat="1" applyFont="1" applyBorder="1" applyAlignment="1">
      <alignment horizontal="right" vertical="center"/>
    </xf>
    <xf numFmtId="43" fontId="5" fillId="0" borderId="34" xfId="0" applyNumberFormat="1" applyFont="1" applyBorder="1" applyAlignment="1">
      <alignment horizontal="right" vertical="center"/>
    </xf>
    <xf numFmtId="0" fontId="2" fillId="0" borderId="11" xfId="0" applyFont="1" applyBorder="1" applyAlignment="1">
      <alignment vertical="center"/>
    </xf>
    <xf numFmtId="0" fontId="11" fillId="0" borderId="11" xfId="0" applyFont="1" applyBorder="1" applyAlignment="1">
      <alignment horizontal="center" vertical="center" wrapText="1"/>
    </xf>
    <xf numFmtId="164" fontId="3" fillId="7" borderId="11" xfId="1" applyNumberFormat="1" applyFont="1" applyFill="1" applyBorder="1" applyAlignment="1">
      <alignment horizontal="center" vertical="center"/>
    </xf>
    <xf numFmtId="41" fontId="3" fillId="0" borderId="36" xfId="2" applyFont="1" applyBorder="1" applyAlignment="1">
      <alignment horizontal="center" vertical="center"/>
    </xf>
    <xf numFmtId="3" fontId="5" fillId="0" borderId="11" xfId="0" applyNumberFormat="1" applyFont="1" applyBorder="1" applyAlignment="1">
      <alignment horizontal="center" vertical="center"/>
    </xf>
    <xf numFmtId="172" fontId="3" fillId="0" borderId="11" xfId="2" applyNumberFormat="1" applyFont="1" applyBorder="1" applyAlignment="1">
      <alignment horizontal="center" vertical="center"/>
    </xf>
    <xf numFmtId="43" fontId="50" fillId="0" borderId="11" xfId="0" applyNumberFormat="1" applyFont="1" applyBorder="1" applyAlignment="1">
      <alignment horizontal="center" vertical="center"/>
    </xf>
    <xf numFmtId="43" fontId="35" fillId="0" borderId="33" xfId="0" applyNumberFormat="1" applyFont="1" applyBorder="1" applyAlignment="1">
      <alignment vertical="center"/>
    </xf>
    <xf numFmtId="43" fontId="41" fillId="0" borderId="11" xfId="0" applyNumberFormat="1" applyFont="1" applyBorder="1" applyAlignment="1">
      <alignment vertical="center"/>
    </xf>
    <xf numFmtId="43" fontId="33" fillId="8" borderId="11" xfId="0" applyNumberFormat="1" applyFont="1" applyFill="1" applyBorder="1" applyAlignment="1">
      <alignment vertical="center"/>
    </xf>
    <xf numFmtId="4" fontId="8" fillId="0" borderId="11" xfId="0" applyNumberFormat="1" applyFont="1" applyBorder="1" applyAlignment="1">
      <alignment vertical="center"/>
    </xf>
    <xf numFmtId="172" fontId="3" fillId="0" borderId="11" xfId="0" applyNumberFormat="1" applyFont="1" applyBorder="1" applyAlignment="1">
      <alignment vertical="center"/>
    </xf>
    <xf numFmtId="171" fontId="3" fillId="0" borderId="0" xfId="0" applyNumberFormat="1" applyFont="1" applyAlignment="1">
      <alignment horizontal="center" vertical="center"/>
    </xf>
    <xf numFmtId="41" fontId="3" fillId="0" borderId="0" xfId="2" applyFont="1" applyAlignment="1">
      <alignment horizontal="center" vertical="center"/>
    </xf>
    <xf numFmtId="41" fontId="3" fillId="0" borderId="33" xfId="2" applyFont="1" applyBorder="1" applyAlignment="1">
      <alignment horizontal="center" vertical="center"/>
    </xf>
    <xf numFmtId="41" fontId="12" fillId="0" borderId="34" xfId="2" applyFont="1" applyBorder="1" applyAlignment="1">
      <alignment horizontal="center" vertical="center" wrapText="1"/>
    </xf>
    <xf numFmtId="41" fontId="3" fillId="0" borderId="34" xfId="2" applyFont="1" applyBorder="1" applyAlignment="1">
      <alignment horizontal="center" vertical="center"/>
    </xf>
    <xf numFmtId="41" fontId="3" fillId="0" borderId="35" xfId="2" applyFont="1" applyBorder="1" applyAlignment="1">
      <alignment horizontal="center" vertical="center"/>
    </xf>
    <xf numFmtId="41" fontId="9" fillId="0" borderId="11" xfId="2" applyFont="1" applyBorder="1" applyAlignment="1">
      <alignment horizontal="center" vertical="center"/>
    </xf>
    <xf numFmtId="41" fontId="9" fillId="0" borderId="15" xfId="2" applyFont="1" applyBorder="1" applyAlignment="1">
      <alignment horizontal="center" vertical="center"/>
    </xf>
    <xf numFmtId="41" fontId="3" fillId="0" borderId="38" xfId="2" applyFont="1" applyBorder="1" applyAlignment="1">
      <alignment horizontal="center" vertical="center"/>
    </xf>
    <xf numFmtId="41" fontId="3" fillId="0" borderId="25" xfId="2" applyFont="1" applyBorder="1" applyAlignment="1">
      <alignment horizontal="center" vertical="center"/>
    </xf>
    <xf numFmtId="41" fontId="2" fillId="2" borderId="13" xfId="2" applyFont="1" applyFill="1" applyBorder="1" applyAlignment="1">
      <alignment horizontal="center" vertical="center"/>
    </xf>
    <xf numFmtId="41" fontId="2" fillId="2" borderId="11" xfId="2" applyFont="1" applyFill="1" applyBorder="1" applyAlignment="1">
      <alignment horizontal="center" vertical="center"/>
    </xf>
    <xf numFmtId="41" fontId="2" fillId="2" borderId="12" xfId="2" applyFont="1" applyFill="1" applyBorder="1" applyAlignment="1">
      <alignment horizontal="center" vertical="center"/>
    </xf>
    <xf numFmtId="41" fontId="2" fillId="2" borderId="32" xfId="2" applyFont="1" applyFill="1" applyBorder="1" applyAlignment="1">
      <alignment horizontal="center" vertical="center"/>
    </xf>
    <xf numFmtId="41" fontId="3" fillId="2" borderId="38" xfId="2" applyFont="1" applyFill="1" applyBorder="1" applyAlignment="1">
      <alignment horizontal="center" vertical="center"/>
    </xf>
    <xf numFmtId="41" fontId="3" fillId="2" borderId="30" xfId="2" applyFont="1" applyFill="1" applyBorder="1" applyAlignment="1">
      <alignment horizontal="center" vertical="center"/>
    </xf>
    <xf numFmtId="41" fontId="3" fillId="2" borderId="11" xfId="2" applyFont="1" applyFill="1" applyBorder="1" applyAlignment="1">
      <alignment horizontal="center" vertical="center"/>
    </xf>
    <xf numFmtId="41" fontId="2" fillId="2" borderId="27" xfId="2" applyFont="1" applyFill="1" applyBorder="1" applyAlignment="1">
      <alignment horizontal="center" vertical="center"/>
    </xf>
    <xf numFmtId="41" fontId="3" fillId="2" borderId="13" xfId="2" applyFont="1" applyFill="1" applyBorder="1" applyAlignment="1">
      <alignment horizontal="center" vertical="center"/>
    </xf>
    <xf numFmtId="41" fontId="2" fillId="0" borderId="34" xfId="2" applyFont="1" applyBorder="1" applyAlignment="1">
      <alignment horizontal="center" vertical="center" wrapText="1"/>
    </xf>
    <xf numFmtId="41" fontId="2" fillId="0" borderId="36" xfId="2" applyFont="1" applyBorder="1" applyAlignment="1">
      <alignment horizontal="center" vertical="center"/>
    </xf>
    <xf numFmtId="41" fontId="2" fillId="0" borderId="33" xfId="2" applyFont="1" applyBorder="1" applyAlignment="1">
      <alignment horizontal="center" vertical="center"/>
    </xf>
    <xf numFmtId="41" fontId="2" fillId="0" borderId="0" xfId="2" applyFont="1" applyAlignment="1">
      <alignment horizontal="center" vertical="center"/>
    </xf>
    <xf numFmtId="41" fontId="3" fillId="0" borderId="20" xfId="0" applyNumberFormat="1" applyFont="1" applyBorder="1" applyAlignment="1">
      <alignment horizontal="center" vertical="center"/>
    </xf>
    <xf numFmtId="41" fontId="3" fillId="0" borderId="32" xfId="0" applyNumberFormat="1" applyFont="1" applyBorder="1" applyAlignment="1">
      <alignment horizontal="center" vertical="center"/>
    </xf>
    <xf numFmtId="171" fontId="3" fillId="0" borderId="36" xfId="2" applyNumberFormat="1" applyFont="1" applyBorder="1" applyAlignment="1">
      <alignment horizontal="center" vertical="center"/>
    </xf>
    <xf numFmtId="171" fontId="3" fillId="0" borderId="34" xfId="0" applyNumberFormat="1" applyFont="1" applyBorder="1" applyAlignment="1">
      <alignment horizontal="center" vertical="center"/>
    </xf>
    <xf numFmtId="172" fontId="3" fillId="0" borderId="34" xfId="0" applyNumberFormat="1" applyFont="1" applyBorder="1" applyAlignment="1">
      <alignment horizontal="center" vertical="center"/>
    </xf>
    <xf numFmtId="172" fontId="2" fillId="2" borderId="12" xfId="2" applyNumberFormat="1" applyFont="1" applyFill="1" applyBorder="1" applyAlignment="1">
      <alignment horizontal="center" vertical="center"/>
    </xf>
    <xf numFmtId="167" fontId="3" fillId="0" borderId="33" xfId="0" applyNumberFormat="1" applyFont="1" applyBorder="1" applyAlignment="1">
      <alignment vertical="center"/>
    </xf>
    <xf numFmtId="164" fontId="9" fillId="24" borderId="11" xfId="1" applyNumberFormat="1" applyFont="1" applyFill="1" applyBorder="1" applyAlignment="1">
      <alignment horizontal="center" vertical="center" wrapText="1"/>
    </xf>
    <xf numFmtId="43" fontId="3" fillId="6" borderId="11" xfId="0" applyNumberFormat="1" applyFont="1" applyFill="1" applyBorder="1" applyAlignment="1">
      <alignment vertical="center"/>
    </xf>
    <xf numFmtId="172" fontId="2" fillId="2" borderId="11" xfId="2" applyNumberFormat="1" applyFont="1" applyFill="1" applyBorder="1" applyAlignment="1">
      <alignment horizontal="center" vertical="center"/>
    </xf>
    <xf numFmtId="172" fontId="2" fillId="2" borderId="11" xfId="0" applyNumberFormat="1" applyFont="1" applyFill="1" applyBorder="1" applyAlignment="1">
      <alignment horizontal="center" vertical="center"/>
    </xf>
    <xf numFmtId="43" fontId="11" fillId="24" borderId="11" xfId="1" applyFont="1" applyFill="1" applyBorder="1" applyAlignment="1">
      <alignment horizontal="center" vertical="center" wrapText="1"/>
    </xf>
    <xf numFmtId="43" fontId="11" fillId="24" borderId="11" xfId="1" applyFont="1" applyFill="1" applyBorder="1" applyAlignment="1">
      <alignment vertical="center" wrapText="1"/>
    </xf>
    <xf numFmtId="172" fontId="3" fillId="3" borderId="11" xfId="0" applyNumberFormat="1" applyFont="1" applyFill="1" applyBorder="1" applyAlignment="1">
      <alignment horizontal="center" vertical="center"/>
    </xf>
    <xf numFmtId="175" fontId="3" fillId="0" borderId="38" xfId="0" applyNumberFormat="1" applyFont="1" applyBorder="1" applyAlignment="1">
      <alignment horizontal="center" vertical="center"/>
    </xf>
    <xf numFmtId="175" fontId="3" fillId="0" borderId="33" xfId="0" applyNumberFormat="1" applyFont="1" applyBorder="1" applyAlignment="1">
      <alignment horizontal="center" vertical="center"/>
    </xf>
    <xf numFmtId="169" fontId="3" fillId="24" borderId="33" xfId="0" applyNumberFormat="1" applyFont="1" applyFill="1" applyBorder="1" applyAlignment="1">
      <alignment horizontal="center" vertical="center"/>
    </xf>
    <xf numFmtId="41" fontId="5" fillId="0" borderId="0" xfId="2" applyFont="1" applyAlignment="1">
      <alignment horizontal="center" vertical="center"/>
    </xf>
    <xf numFmtId="41" fontId="14" fillId="0" borderId="11" xfId="2" applyFont="1" applyBorder="1" applyAlignment="1">
      <alignment horizontal="center" vertical="center"/>
    </xf>
    <xf numFmtId="41" fontId="41" fillId="0" borderId="11" xfId="2" applyFont="1" applyBorder="1" applyAlignment="1">
      <alignment horizontal="center" vertical="center"/>
    </xf>
    <xf numFmtId="41" fontId="41" fillId="0" borderId="0" xfId="2" applyFont="1" applyBorder="1" applyAlignment="1">
      <alignment horizontal="center" vertical="center"/>
    </xf>
    <xf numFmtId="41" fontId="35" fillId="0" borderId="11" xfId="2" applyFont="1" applyFill="1" applyBorder="1" applyAlignment="1">
      <alignment horizontal="center" vertical="center"/>
    </xf>
    <xf numFmtId="171" fontId="37" fillId="0" borderId="11" xfId="2" applyNumberFormat="1" applyFont="1" applyFill="1" applyBorder="1" applyAlignment="1">
      <alignment horizontal="center" vertical="center"/>
    </xf>
    <xf numFmtId="41" fontId="5" fillId="0" borderId="11" xfId="2" applyFont="1" applyFill="1" applyBorder="1" applyAlignment="1">
      <alignment horizontal="center" vertical="center"/>
    </xf>
    <xf numFmtId="172" fontId="5" fillId="0" borderId="11" xfId="2" applyNumberFormat="1" applyFont="1" applyBorder="1" applyAlignment="1">
      <alignment horizontal="center" vertical="center"/>
    </xf>
    <xf numFmtId="171" fontId="14" fillId="0" borderId="0" xfId="2" applyNumberFormat="1" applyFont="1" applyBorder="1" applyAlignment="1">
      <alignment horizontal="center" vertical="center"/>
    </xf>
    <xf numFmtId="41" fontId="5" fillId="0" borderId="0" xfId="2" applyFont="1" applyFill="1" applyAlignment="1">
      <alignment horizontal="center" vertical="center"/>
    </xf>
    <xf numFmtId="41" fontId="14" fillId="0" borderId="11" xfId="2" applyFont="1" applyFill="1" applyBorder="1" applyAlignment="1">
      <alignment horizontal="center" vertical="center"/>
    </xf>
    <xf numFmtId="41" fontId="39" fillId="0" borderId="0" xfId="2" applyFont="1" applyFill="1" applyAlignment="1">
      <alignment horizontal="center" vertical="center"/>
    </xf>
    <xf numFmtId="41" fontId="14" fillId="0" borderId="0" xfId="2" applyFont="1" applyFill="1" applyAlignment="1">
      <alignment horizontal="center" vertical="center"/>
    </xf>
    <xf numFmtId="172" fontId="3" fillId="3" borderId="11" xfId="2" applyNumberFormat="1" applyFont="1" applyFill="1" applyBorder="1" applyAlignment="1">
      <alignment horizontal="center" vertical="center"/>
    </xf>
    <xf numFmtId="41" fontId="37" fillId="0" borderId="11" xfId="2" applyFont="1" applyFill="1" applyBorder="1" applyAlignment="1">
      <alignment horizontal="center" vertical="center"/>
    </xf>
    <xf numFmtId="41" fontId="5" fillId="0" borderId="0" xfId="2" applyFont="1" applyBorder="1" applyAlignment="1">
      <alignment horizontal="center" vertical="center"/>
    </xf>
    <xf numFmtId="41" fontId="5" fillId="0" borderId="0" xfId="2" applyFont="1" applyBorder="1"/>
    <xf numFmtId="172" fontId="5" fillId="0" borderId="0" xfId="2" applyNumberFormat="1" applyFont="1" applyBorder="1" applyAlignment="1">
      <alignment horizontal="center" vertical="center"/>
    </xf>
    <xf numFmtId="41" fontId="39" fillId="0" borderId="11" xfId="0" applyNumberFormat="1" applyFont="1" applyBorder="1" applyAlignment="1">
      <alignment horizontal="center" vertical="center"/>
    </xf>
    <xf numFmtId="41" fontId="39" fillId="0" borderId="11" xfId="2" applyFont="1" applyBorder="1" applyAlignment="1">
      <alignment horizontal="center" vertical="center"/>
    </xf>
    <xf numFmtId="43" fontId="9" fillId="0" borderId="33" xfId="0" applyNumberFormat="1" applyFont="1" applyBorder="1" applyAlignment="1">
      <alignment horizontal="center" vertical="center" wrapText="1"/>
    </xf>
    <xf numFmtId="169" fontId="9" fillId="24" borderId="33" xfId="0" applyNumberFormat="1" applyFont="1" applyFill="1" applyBorder="1" applyAlignment="1">
      <alignment horizontal="center" vertical="center" wrapText="1"/>
    </xf>
    <xf numFmtId="169" fontId="35" fillId="24" borderId="11" xfId="0" applyNumberFormat="1" applyFont="1" applyFill="1" applyBorder="1" applyAlignment="1">
      <alignment horizontal="center" vertical="center" wrapText="1"/>
    </xf>
    <xf numFmtId="0" fontId="14" fillId="0" borderId="11" xfId="0" applyFont="1" applyBorder="1" applyAlignment="1">
      <alignment horizontal="center" vertical="center"/>
    </xf>
    <xf numFmtId="1" fontId="5" fillId="0" borderId="11" xfId="0" applyNumberFormat="1" applyFont="1" applyBorder="1" applyAlignment="1">
      <alignment horizontal="center" vertical="center"/>
    </xf>
    <xf numFmtId="1" fontId="5" fillId="0" borderId="11" xfId="0" applyNumberFormat="1" applyFont="1" applyBorder="1" applyAlignment="1">
      <alignment horizontal="center" vertical="center" wrapText="1"/>
    </xf>
    <xf numFmtId="1" fontId="14" fillId="0" borderId="11" xfId="0" applyNumberFormat="1" applyFont="1" applyBorder="1" applyAlignment="1">
      <alignment horizontal="center" vertical="center"/>
    </xf>
    <xf numFmtId="0" fontId="14" fillId="7" borderId="11" xfId="0" applyFont="1" applyFill="1" applyBorder="1" applyAlignment="1">
      <alignment horizontal="center" vertical="center"/>
    </xf>
    <xf numFmtId="1" fontId="5" fillId="7" borderId="11" xfId="0" applyNumberFormat="1" applyFont="1" applyFill="1" applyBorder="1" applyAlignment="1">
      <alignment horizontal="center" vertical="center"/>
    </xf>
    <xf numFmtId="0" fontId="5" fillId="7" borderId="11" xfId="0" applyFont="1" applyFill="1" applyBorder="1" applyAlignment="1">
      <alignment horizontal="center" vertical="center"/>
    </xf>
    <xf numFmtId="1" fontId="5" fillId="2" borderId="11" xfId="0" applyNumberFormat="1" applyFont="1" applyFill="1" applyBorder="1" applyAlignment="1">
      <alignment horizontal="center" vertical="center"/>
    </xf>
    <xf numFmtId="0" fontId="14" fillId="2" borderId="11" xfId="0" applyFont="1" applyFill="1" applyBorder="1" applyAlignment="1">
      <alignment horizontal="center" vertical="center"/>
    </xf>
    <xf numFmtId="1" fontId="39" fillId="0" borderId="11" xfId="0" applyNumberFormat="1" applyFont="1" applyBorder="1" applyAlignment="1">
      <alignment horizontal="center" vertical="center"/>
    </xf>
    <xf numFmtId="1" fontId="39" fillId="7" borderId="11" xfId="0" applyNumberFormat="1" applyFont="1" applyFill="1" applyBorder="1" applyAlignment="1">
      <alignment horizontal="center" vertical="center"/>
    </xf>
    <xf numFmtId="167" fontId="41" fillId="0" borderId="34" xfId="0" applyNumberFormat="1" applyFont="1" applyBorder="1" applyAlignment="1">
      <alignment horizontal="right" vertical="center"/>
    </xf>
    <xf numFmtId="168" fontId="41" fillId="0" borderId="33" xfId="0" applyNumberFormat="1" applyFont="1" applyBorder="1" applyAlignment="1">
      <alignment horizontal="center" vertical="center"/>
    </xf>
    <xf numFmtId="164" fontId="41" fillId="0" borderId="33" xfId="0" applyNumberFormat="1" applyFont="1" applyBorder="1" applyAlignment="1">
      <alignment horizontal="center" vertical="center"/>
    </xf>
    <xf numFmtId="0" fontId="8" fillId="23" borderId="15" xfId="0" applyFont="1" applyFill="1" applyBorder="1" applyAlignment="1">
      <alignment horizontal="center" vertical="center"/>
    </xf>
    <xf numFmtId="43" fontId="8" fillId="23" borderId="15" xfId="1" applyFont="1" applyFill="1" applyBorder="1" applyAlignment="1">
      <alignment horizontal="center" vertical="center"/>
    </xf>
    <xf numFmtId="43" fontId="8" fillId="23" borderId="15" xfId="1" applyFont="1" applyFill="1" applyBorder="1" applyAlignment="1">
      <alignment horizontal="right" vertical="center" wrapText="1"/>
    </xf>
    <xf numFmtId="43" fontId="8" fillId="23" borderId="15" xfId="1" applyFont="1" applyFill="1" applyBorder="1" applyAlignment="1">
      <alignment horizontal="center" vertical="center" wrapText="1"/>
    </xf>
    <xf numFmtId="4" fontId="8" fillId="23" borderId="15" xfId="0" applyNumberFormat="1" applyFont="1" applyFill="1" applyBorder="1" applyAlignment="1">
      <alignment horizontal="center" vertical="center" wrapText="1"/>
    </xf>
    <xf numFmtId="4" fontId="8" fillId="23" borderId="15" xfId="0" applyNumberFormat="1" applyFont="1" applyFill="1" applyBorder="1" applyAlignment="1">
      <alignment horizontal="center" vertical="center"/>
    </xf>
    <xf numFmtId="3" fontId="2" fillId="23" borderId="15" xfId="0" applyNumberFormat="1" applyFont="1" applyFill="1" applyBorder="1" applyAlignment="1">
      <alignment horizontal="center" vertical="center" wrapText="1"/>
    </xf>
    <xf numFmtId="4" fontId="8" fillId="7" borderId="11" xfId="0" applyNumberFormat="1" applyFont="1" applyFill="1" applyBorder="1" applyAlignment="1">
      <alignment horizontal="center" vertical="center" wrapText="1"/>
    </xf>
    <xf numFmtId="4" fontId="3" fillId="4" borderId="11" xfId="0" applyNumberFormat="1" applyFont="1" applyFill="1" applyBorder="1" applyAlignment="1">
      <alignment horizontal="center" vertical="center"/>
    </xf>
    <xf numFmtId="43" fontId="3" fillId="4" borderId="11" xfId="1" applyFont="1" applyFill="1" applyBorder="1" applyAlignment="1">
      <alignment horizontal="center" vertical="center" wrapText="1"/>
    </xf>
    <xf numFmtId="3" fontId="2" fillId="4" borderId="11" xfId="0" applyNumberFormat="1" applyFont="1" applyFill="1" applyBorder="1" applyAlignment="1">
      <alignment horizontal="center" vertical="center" wrapText="1"/>
    </xf>
    <xf numFmtId="43" fontId="33" fillId="0" borderId="12" xfId="0" applyNumberFormat="1" applyFont="1" applyBorder="1" applyAlignment="1">
      <alignment vertical="center"/>
    </xf>
    <xf numFmtId="164" fontId="33" fillId="0" borderId="11" xfId="0" applyNumberFormat="1" applyFont="1" applyBorder="1" applyAlignment="1">
      <alignment horizontal="center" vertical="center"/>
    </xf>
    <xf numFmtId="164" fontId="33" fillId="0" borderId="11" xfId="0" applyNumberFormat="1" applyFont="1" applyBorder="1" applyAlignment="1">
      <alignment vertical="center"/>
    </xf>
    <xf numFmtId="164" fontId="32" fillId="19" borderId="11" xfId="0" applyNumberFormat="1" applyFont="1" applyFill="1" applyBorder="1" applyAlignment="1">
      <alignment vertical="center"/>
    </xf>
    <xf numFmtId="164" fontId="33" fillId="0" borderId="33" xfId="0" applyNumberFormat="1" applyFont="1" applyBorder="1" applyAlignment="1">
      <alignment vertical="center"/>
    </xf>
    <xf numFmtId="164" fontId="33" fillId="8" borderId="11" xfId="0" applyNumberFormat="1" applyFont="1" applyFill="1" applyBorder="1" applyAlignment="1">
      <alignment vertical="center"/>
    </xf>
    <xf numFmtId="164" fontId="33" fillId="8" borderId="33" xfId="0" applyNumberFormat="1" applyFont="1" applyFill="1" applyBorder="1" applyAlignment="1">
      <alignment vertical="center"/>
    </xf>
    <xf numFmtId="164" fontId="9" fillId="0" borderId="11" xfId="1" applyNumberFormat="1" applyFont="1" applyFill="1" applyBorder="1" applyAlignment="1">
      <alignment vertical="center" wrapText="1"/>
    </xf>
    <xf numFmtId="164" fontId="9" fillId="24" borderId="11" xfId="1" applyNumberFormat="1" applyFont="1" applyFill="1" applyBorder="1" applyAlignment="1">
      <alignment horizontal="center" vertical="center"/>
    </xf>
    <xf numFmtId="164" fontId="3" fillId="23" borderId="11" xfId="1" applyNumberFormat="1" applyFont="1" applyFill="1" applyBorder="1" applyAlignment="1">
      <alignment horizontal="center" vertical="center"/>
    </xf>
    <xf numFmtId="164" fontId="9" fillId="0" borderId="11" xfId="1" applyNumberFormat="1" applyFont="1" applyBorder="1" applyAlignment="1">
      <alignment horizontal="center" vertical="center" wrapText="1"/>
    </xf>
    <xf numFmtId="164" fontId="9" fillId="0" borderId="11" xfId="1" applyNumberFormat="1" applyFont="1" applyBorder="1" applyAlignment="1">
      <alignment vertical="center" wrapText="1"/>
    </xf>
    <xf numFmtId="164" fontId="9" fillId="23" borderId="11" xfId="1" applyNumberFormat="1" applyFont="1" applyFill="1" applyBorder="1" applyAlignment="1">
      <alignment horizontal="center" vertical="center"/>
    </xf>
    <xf numFmtId="164" fontId="2" fillId="4" borderId="11" xfId="1" applyNumberFormat="1" applyFont="1" applyFill="1" applyBorder="1" applyAlignment="1">
      <alignment horizontal="center" vertical="center"/>
    </xf>
    <xf numFmtId="164" fontId="2" fillId="4" borderId="11" xfId="1" applyNumberFormat="1" applyFont="1" applyFill="1" applyBorder="1" applyAlignment="1">
      <alignment vertical="center"/>
    </xf>
    <xf numFmtId="164" fontId="3" fillId="4" borderId="11" xfId="1" applyNumberFormat="1" applyFont="1" applyFill="1" applyBorder="1" applyAlignment="1">
      <alignment horizontal="center" vertical="center"/>
    </xf>
    <xf numFmtId="164" fontId="9" fillId="0" borderId="11" xfId="1" applyNumberFormat="1" applyFont="1" applyBorder="1" applyAlignment="1">
      <alignment horizontal="center" vertical="center"/>
    </xf>
    <xf numFmtId="164" fontId="9" fillId="0" borderId="11" xfId="1" applyNumberFormat="1" applyFont="1" applyFill="1" applyBorder="1" applyAlignment="1">
      <alignment horizontal="center" vertical="center"/>
    </xf>
    <xf numFmtId="3" fontId="5" fillId="3" borderId="11" xfId="0" applyNumberFormat="1" applyFont="1" applyFill="1" applyBorder="1" applyAlignment="1">
      <alignment horizontal="center" vertical="center"/>
    </xf>
    <xf numFmtId="164" fontId="3" fillId="0" borderId="11" xfId="1" applyNumberFormat="1" applyFont="1" applyFill="1" applyBorder="1" applyAlignment="1">
      <alignment horizontal="center" vertical="center"/>
    </xf>
    <xf numFmtId="164" fontId="3" fillId="0" borderId="11" xfId="1" applyNumberFormat="1" applyFont="1" applyFill="1" applyBorder="1" applyAlignment="1">
      <alignment vertical="center"/>
    </xf>
    <xf numFmtId="164" fontId="9" fillId="0" borderId="11" xfId="3" applyNumberFormat="1" applyFont="1" applyBorder="1" applyAlignment="1">
      <alignment vertical="center"/>
    </xf>
    <xf numFmtId="164" fontId="33" fillId="8" borderId="38" xfId="0" applyNumberFormat="1" applyFont="1" applyFill="1" applyBorder="1" applyAlignment="1">
      <alignment vertical="center"/>
    </xf>
    <xf numFmtId="164" fontId="33" fillId="0" borderId="38" xfId="0" applyNumberFormat="1" applyFont="1" applyBorder="1" applyAlignment="1">
      <alignment vertical="center"/>
    </xf>
    <xf numFmtId="164" fontId="3" fillId="0" borderId="11" xfId="1" applyNumberFormat="1" applyFont="1" applyBorder="1" applyAlignment="1">
      <alignment vertical="center"/>
    </xf>
    <xf numFmtId="43" fontId="34" fillId="8" borderId="34" xfId="0" applyNumberFormat="1" applyFont="1" applyFill="1" applyBorder="1" applyAlignment="1">
      <alignment horizontal="center" vertical="center"/>
    </xf>
    <xf numFmtId="164" fontId="5" fillId="24" borderId="11" xfId="0" applyNumberFormat="1" applyFont="1" applyFill="1" applyBorder="1" applyAlignment="1">
      <alignment horizontal="center" vertical="center" wrapText="1"/>
    </xf>
    <xf numFmtId="0" fontId="19" fillId="0" borderId="0" xfId="0" applyFont="1" applyAlignment="1">
      <alignment vertical="center"/>
    </xf>
    <xf numFmtId="43" fontId="5" fillId="0" borderId="15" xfId="0" applyNumberFormat="1" applyFont="1" applyBorder="1" applyAlignment="1">
      <alignment vertical="center"/>
    </xf>
    <xf numFmtId="164" fontId="8" fillId="0" borderId="11" xfId="1" applyNumberFormat="1" applyFont="1" applyBorder="1" applyAlignment="1">
      <alignment vertical="center"/>
    </xf>
    <xf numFmtId="3" fontId="14" fillId="4" borderId="11" xfId="0" applyNumberFormat="1" applyFont="1" applyFill="1" applyBorder="1" applyAlignment="1">
      <alignment horizontal="center" vertical="center" wrapText="1"/>
    </xf>
    <xf numFmtId="164" fontId="32" fillId="2" borderId="11" xfId="0" applyNumberFormat="1" applyFont="1" applyFill="1" applyBorder="1" applyAlignment="1">
      <alignment horizontal="center" vertical="center"/>
    </xf>
    <xf numFmtId="43" fontId="3" fillId="0" borderId="0" xfId="1" applyFont="1" applyAlignment="1"/>
    <xf numFmtId="43" fontId="3" fillId="0" borderId="0" xfId="1" applyFont="1" applyAlignment="1">
      <alignment horizontal="right" wrapText="1"/>
    </xf>
    <xf numFmtId="0" fontId="3" fillId="0" borderId="0" xfId="0" applyFont="1" applyAlignment="1">
      <alignment wrapText="1"/>
    </xf>
    <xf numFmtId="164" fontId="5" fillId="0" borderId="25" xfId="0" quotePrefix="1" applyNumberFormat="1" applyFont="1" applyBorder="1" applyAlignment="1">
      <alignment horizontal="right" vertical="center" wrapText="1"/>
    </xf>
    <xf numFmtId="164" fontId="5" fillId="0" borderId="12" xfId="0" quotePrefix="1" applyNumberFormat="1" applyFont="1" applyBorder="1" applyAlignment="1">
      <alignment horizontal="right" vertical="center" wrapText="1"/>
    </xf>
    <xf numFmtId="164" fontId="5" fillId="0" borderId="34" xfId="0" quotePrefix="1" applyNumberFormat="1" applyFont="1" applyBorder="1" applyAlignment="1">
      <alignment horizontal="center" vertical="center" wrapText="1"/>
    </xf>
    <xf numFmtId="43" fontId="30" fillId="5" borderId="12" xfId="0" applyNumberFormat="1" applyFont="1" applyFill="1" applyBorder="1" applyAlignment="1">
      <alignment vertical="center"/>
    </xf>
    <xf numFmtId="0" fontId="35" fillId="3" borderId="15" xfId="0" applyFont="1" applyFill="1" applyBorder="1" applyAlignment="1">
      <alignment horizontal="center" vertical="center" wrapText="1"/>
    </xf>
    <xf numFmtId="43" fontId="5" fillId="3" borderId="15" xfId="1" applyFont="1" applyFill="1" applyBorder="1" applyAlignment="1">
      <alignment vertical="center"/>
    </xf>
    <xf numFmtId="43" fontId="5" fillId="3" borderId="11" xfId="1" applyFont="1" applyFill="1" applyBorder="1" applyAlignment="1">
      <alignment vertical="center"/>
    </xf>
    <xf numFmtId="0" fontId="5" fillId="3" borderId="15" xfId="0" applyFont="1" applyFill="1" applyBorder="1" applyAlignment="1">
      <alignment horizontal="center" vertical="center" wrapText="1"/>
    </xf>
    <xf numFmtId="164" fontId="35" fillId="3" borderId="11" xfId="1" applyNumberFormat="1" applyFont="1" applyFill="1" applyBorder="1" applyAlignment="1">
      <alignment horizontal="center" vertical="center" wrapText="1"/>
    </xf>
    <xf numFmtId="164" fontId="5" fillId="3" borderId="11" xfId="1" applyNumberFormat="1" applyFont="1" applyFill="1" applyBorder="1" applyAlignment="1">
      <alignment horizontal="left" vertical="center"/>
    </xf>
    <xf numFmtId="41" fontId="5" fillId="3" borderId="11" xfId="2" applyFont="1" applyFill="1" applyBorder="1" applyAlignment="1">
      <alignment horizontal="center" vertical="center" wrapText="1"/>
    </xf>
    <xf numFmtId="43" fontId="5" fillId="3" borderId="0" xfId="1" applyFont="1" applyFill="1" applyBorder="1" applyAlignment="1">
      <alignment vertical="center"/>
    </xf>
    <xf numFmtId="0" fontId="5" fillId="3" borderId="0" xfId="0" applyFont="1" applyFill="1" applyAlignment="1">
      <alignment vertical="center"/>
    </xf>
    <xf numFmtId="0" fontId="41" fillId="3" borderId="0" xfId="0" applyFont="1" applyFill="1" applyAlignment="1">
      <alignment vertical="center"/>
    </xf>
    <xf numFmtId="0" fontId="35" fillId="3" borderId="0" xfId="0" applyFont="1" applyFill="1" applyAlignment="1">
      <alignment horizontal="center" vertical="center"/>
    </xf>
    <xf numFmtId="0" fontId="14" fillId="3" borderId="0" xfId="0" applyFont="1" applyFill="1" applyAlignment="1">
      <alignment vertical="center"/>
    </xf>
    <xf numFmtId="0" fontId="41" fillId="3" borderId="0" xfId="0" quotePrefix="1" applyFont="1" applyFill="1" applyAlignment="1">
      <alignment horizontal="left"/>
    </xf>
    <xf numFmtId="0" fontId="41" fillId="3" borderId="0" xfId="0" quotePrefix="1" applyFont="1" applyFill="1"/>
    <xf numFmtId="0" fontId="41" fillId="3" borderId="0" xfId="0" quotePrefix="1" applyFont="1" applyFill="1" applyAlignment="1">
      <alignment horizontal="left" vertical="center"/>
    </xf>
    <xf numFmtId="0" fontId="41" fillId="3" borderId="0" xfId="0" quotePrefix="1" applyFont="1" applyFill="1" applyAlignment="1">
      <alignment vertical="center"/>
    </xf>
    <xf numFmtId="0" fontId="5" fillId="3" borderId="0" xfId="0" quotePrefix="1" applyFont="1" applyFill="1" applyAlignment="1">
      <alignment vertical="center"/>
    </xf>
    <xf numFmtId="0" fontId="5" fillId="3" borderId="0" xfId="0" quotePrefix="1" applyFont="1" applyFill="1" applyAlignment="1">
      <alignment vertical="center" wrapText="1"/>
    </xf>
    <xf numFmtId="0" fontId="14" fillId="0" borderId="0" xfId="0" applyFont="1"/>
    <xf numFmtId="41" fontId="39" fillId="0" borderId="0" xfId="2" applyFont="1" applyBorder="1" applyAlignment="1">
      <alignment horizontal="center" vertical="center"/>
    </xf>
    <xf numFmtId="164" fontId="14" fillId="4" borderId="11" xfId="0" applyNumberFormat="1" applyFont="1" applyFill="1" applyBorder="1" applyAlignment="1">
      <alignment horizontal="center" vertical="center"/>
    </xf>
    <xf numFmtId="164" fontId="14" fillId="4" borderId="11" xfId="1" applyNumberFormat="1" applyFont="1" applyFill="1" applyBorder="1" applyAlignment="1">
      <alignment horizontal="right" vertical="center"/>
    </xf>
    <xf numFmtId="164" fontId="14" fillId="4" borderId="13" xfId="1" applyNumberFormat="1" applyFont="1" applyFill="1" applyBorder="1" applyAlignment="1">
      <alignment vertical="center"/>
    </xf>
    <xf numFmtId="0" fontId="52" fillId="3" borderId="0" xfId="0" applyFont="1" applyFill="1" applyAlignment="1">
      <alignment vertical="center"/>
    </xf>
    <xf numFmtId="0" fontId="51" fillId="3" borderId="0" xfId="0" applyFont="1" applyFill="1" applyAlignment="1">
      <alignment vertical="center"/>
    </xf>
    <xf numFmtId="0" fontId="5" fillId="3" borderId="11" xfId="0" applyFont="1" applyFill="1" applyBorder="1" applyAlignment="1">
      <alignment horizontal="center" vertical="center" wrapText="1"/>
    </xf>
    <xf numFmtId="0" fontId="35" fillId="3" borderId="11" xfId="0" applyFont="1" applyFill="1" applyBorder="1" applyAlignment="1">
      <alignment horizontal="center" vertical="center" wrapText="1"/>
    </xf>
    <xf numFmtId="164" fontId="9" fillId="3" borderId="11" xfId="3" applyNumberFormat="1" applyFont="1" applyFill="1" applyBorder="1" applyAlignment="1">
      <alignment vertical="center"/>
    </xf>
    <xf numFmtId="164" fontId="15" fillId="5" borderId="11" xfId="0" applyNumberFormat="1" applyFont="1" applyFill="1" applyBorder="1" applyAlignment="1">
      <alignment vertical="center"/>
    </xf>
    <xf numFmtId="168" fontId="5" fillId="0" borderId="33" xfId="0" applyNumberFormat="1" applyFont="1" applyBorder="1" applyAlignment="1">
      <alignment vertical="center"/>
    </xf>
    <xf numFmtId="169" fontId="5" fillId="0" borderId="33" xfId="0" applyNumberFormat="1" applyFont="1" applyBorder="1" applyAlignment="1">
      <alignment horizontal="right" vertical="center"/>
    </xf>
    <xf numFmtId="170" fontId="5" fillId="0" borderId="33" xfId="0" applyNumberFormat="1" applyFont="1" applyBorder="1" applyAlignment="1">
      <alignment horizontal="right" vertical="center"/>
    </xf>
    <xf numFmtId="164" fontId="5" fillId="0" borderId="33" xfId="0" quotePrefix="1" applyNumberFormat="1" applyFont="1" applyBorder="1" applyAlignment="1">
      <alignment horizontal="center" vertical="center"/>
    </xf>
    <xf numFmtId="164" fontId="5" fillId="0" borderId="34" xfId="0" applyNumberFormat="1" applyFont="1" applyBorder="1" applyAlignment="1">
      <alignment horizontal="right" vertical="center"/>
    </xf>
    <xf numFmtId="41" fontId="3" fillId="0" borderId="11" xfId="2" applyFont="1" applyBorder="1"/>
    <xf numFmtId="0" fontId="3" fillId="7" borderId="15" xfId="0" applyFont="1" applyFill="1" applyBorder="1" applyAlignment="1">
      <alignment horizontal="center" vertical="center"/>
    </xf>
    <xf numFmtId="41" fontId="3" fillId="0" borderId="0" xfId="2" applyFont="1"/>
    <xf numFmtId="41" fontId="2" fillId="0" borderId="11" xfId="2" applyFont="1" applyBorder="1" applyAlignment="1">
      <alignment horizontal="center" vertical="center" wrapText="1"/>
    </xf>
    <xf numFmtId="41" fontId="16" fillId="2" borderId="11" xfId="2" applyFont="1" applyFill="1" applyBorder="1"/>
    <xf numFmtId="41" fontId="3" fillId="2" borderId="11" xfId="2" applyFont="1" applyFill="1" applyBorder="1"/>
    <xf numFmtId="41" fontId="16" fillId="0" borderId="11" xfId="2" applyFont="1" applyBorder="1"/>
    <xf numFmtId="2" fontId="5" fillId="0" borderId="33" xfId="2" applyNumberFormat="1" applyFont="1" applyFill="1" applyBorder="1" applyAlignment="1">
      <alignment vertical="center"/>
    </xf>
    <xf numFmtId="3" fontId="2" fillId="0" borderId="14" xfId="0" applyNumberFormat="1" applyFont="1" applyBorder="1" applyAlignment="1">
      <alignment horizontal="center" vertical="center" wrapText="1"/>
    </xf>
    <xf numFmtId="43" fontId="3" fillId="23" borderId="15" xfId="1" applyFont="1" applyFill="1" applyBorder="1" applyAlignment="1">
      <alignment horizontal="center" vertical="center"/>
    </xf>
    <xf numFmtId="164" fontId="2" fillId="4" borderId="9" xfId="1" applyNumberFormat="1" applyFont="1" applyFill="1" applyBorder="1" applyAlignment="1">
      <alignment horizontal="center" vertical="center"/>
    </xf>
    <xf numFmtId="43" fontId="2" fillId="4" borderId="9" xfId="1" applyFont="1" applyFill="1" applyBorder="1" applyAlignment="1">
      <alignment horizontal="center" vertical="center"/>
    </xf>
    <xf numFmtId="164" fontId="3" fillId="4" borderId="9" xfId="1" applyNumberFormat="1" applyFont="1" applyFill="1" applyBorder="1" applyAlignment="1">
      <alignment horizontal="center" vertical="center" wrapText="1"/>
    </xf>
    <xf numFmtId="4" fontId="3" fillId="4" borderId="9" xfId="0" applyNumberFormat="1" applyFont="1" applyFill="1" applyBorder="1" applyAlignment="1">
      <alignment horizontal="center" vertical="center" wrapText="1"/>
    </xf>
    <xf numFmtId="4" fontId="3" fillId="4" borderId="9" xfId="0" applyNumberFormat="1" applyFont="1" applyFill="1" applyBorder="1" applyAlignment="1">
      <alignment horizontal="center" vertical="center"/>
    </xf>
    <xf numFmtId="43" fontId="36" fillId="18" borderId="11" xfId="0" applyNumberFormat="1" applyFont="1" applyFill="1" applyBorder="1" applyAlignment="1">
      <alignment vertical="center"/>
    </xf>
    <xf numFmtId="0" fontId="15" fillId="0" borderId="63" xfId="0" applyFont="1" applyBorder="1" applyAlignment="1">
      <alignment horizontal="center" vertical="center"/>
    </xf>
    <xf numFmtId="0" fontId="15" fillId="0" borderId="0" xfId="0" applyFont="1" applyAlignment="1">
      <alignment horizontal="center" vertical="center"/>
    </xf>
    <xf numFmtId="0" fontId="15" fillId="0" borderId="0" xfId="0" applyFont="1" applyAlignment="1">
      <alignment horizontal="center" vertical="center" wrapText="1"/>
    </xf>
    <xf numFmtId="43" fontId="30" fillId="0" borderId="0" xfId="0" applyNumberFormat="1" applyFont="1" applyAlignment="1">
      <alignment vertical="center"/>
    </xf>
    <xf numFmtId="43" fontId="31" fillId="0" borderId="0" xfId="0" applyNumberFormat="1" applyFont="1" applyAlignment="1">
      <alignment horizontal="center" vertical="center"/>
    </xf>
    <xf numFmtId="43" fontId="33" fillId="0" borderId="38" xfId="0" applyNumberFormat="1" applyFont="1" applyBorder="1" applyAlignment="1">
      <alignment vertical="center"/>
    </xf>
    <xf numFmtId="0" fontId="32" fillId="8" borderId="11" xfId="0" applyFont="1" applyFill="1" applyBorder="1" applyAlignment="1">
      <alignment vertical="center" wrapText="1"/>
    </xf>
    <xf numFmtId="170" fontId="5" fillId="0" borderId="0" xfId="0" applyNumberFormat="1" applyFont="1" applyAlignment="1">
      <alignment horizontal="center" vertical="center"/>
    </xf>
    <xf numFmtId="170" fontId="5" fillId="0" borderId="0" xfId="0" applyNumberFormat="1" applyFont="1" applyAlignment="1">
      <alignment horizontal="right" vertical="center"/>
    </xf>
    <xf numFmtId="164" fontId="5" fillId="0" borderId="0" xfId="0" applyNumberFormat="1" applyFont="1" applyAlignment="1">
      <alignment horizontal="center" vertical="center"/>
    </xf>
    <xf numFmtId="164" fontId="5" fillId="0" borderId="0" xfId="0" applyNumberFormat="1" applyFont="1" applyAlignment="1">
      <alignment vertical="center"/>
    </xf>
    <xf numFmtId="43" fontId="5" fillId="0" borderId="0" xfId="0" applyNumberFormat="1" applyFont="1" applyAlignment="1">
      <alignment horizontal="right" vertical="center"/>
    </xf>
    <xf numFmtId="170" fontId="5" fillId="0" borderId="35" xfId="0" quotePrefix="1" applyNumberFormat="1" applyFont="1" applyBorder="1" applyAlignment="1">
      <alignment horizontal="right" vertical="center"/>
    </xf>
    <xf numFmtId="167" fontId="5" fillId="0" borderId="35" xfId="0" quotePrefix="1" applyNumberFormat="1" applyFont="1" applyBorder="1" applyAlignment="1">
      <alignment horizontal="center" vertical="center"/>
    </xf>
    <xf numFmtId="43" fontId="5" fillId="0" borderId="25" xfId="0" applyNumberFormat="1" applyFont="1" applyBorder="1" applyAlignment="1">
      <alignment horizontal="right" vertical="center"/>
    </xf>
    <xf numFmtId="170" fontId="5" fillId="0" borderId="11" xfId="0" applyNumberFormat="1" applyFont="1" applyBorder="1" applyAlignment="1">
      <alignment horizontal="right" vertical="center"/>
    </xf>
    <xf numFmtId="167" fontId="5" fillId="3" borderId="11" xfId="1" applyNumberFormat="1" applyFont="1" applyFill="1" applyBorder="1" applyAlignment="1">
      <alignment vertical="center"/>
    </xf>
    <xf numFmtId="0" fontId="53" fillId="0" borderId="11" xfId="0" applyFont="1" applyBorder="1" applyAlignment="1">
      <alignment horizontal="center" vertical="center"/>
    </xf>
    <xf numFmtId="43" fontId="53" fillId="0" borderId="11" xfId="0" applyNumberFormat="1" applyFont="1" applyBorder="1" applyAlignment="1">
      <alignment horizontal="center" vertical="center"/>
    </xf>
    <xf numFmtId="0" fontId="53" fillId="0" borderId="11" xfId="0" applyFont="1" applyBorder="1" applyAlignment="1">
      <alignment horizontal="center" vertical="center" wrapText="1"/>
    </xf>
    <xf numFmtId="0" fontId="9" fillId="3" borderId="0" xfId="0" quotePrefix="1" applyFont="1" applyFill="1" applyAlignment="1">
      <alignment horizontal="left" vertical="center"/>
    </xf>
    <xf numFmtId="43" fontId="9" fillId="3" borderId="0" xfId="0" quotePrefix="1" applyNumberFormat="1" applyFont="1" applyFill="1" applyAlignment="1">
      <alignment vertical="center"/>
    </xf>
    <xf numFmtId="0" fontId="9" fillId="3" borderId="0" xfId="0" quotePrefix="1" applyFont="1" applyFill="1" applyAlignment="1">
      <alignment horizontal="right" vertical="center" wrapText="1"/>
    </xf>
    <xf numFmtId="0" fontId="9" fillId="3" borderId="0" xfId="0" quotePrefix="1" applyFont="1" applyFill="1" applyAlignment="1">
      <alignment horizontal="left" vertical="center" wrapText="1"/>
    </xf>
    <xf numFmtId="0" fontId="16" fillId="3" borderId="0" xfId="0" quotePrefix="1" applyFont="1" applyFill="1" applyAlignment="1">
      <alignment vertical="center"/>
    </xf>
    <xf numFmtId="164" fontId="9" fillId="0" borderId="20" xfId="1" applyNumberFormat="1" applyFont="1" applyFill="1" applyBorder="1" applyAlignment="1">
      <alignment vertical="center" wrapText="1"/>
    </xf>
    <xf numFmtId="167" fontId="8" fillId="23" borderId="11" xfId="1" applyNumberFormat="1" applyFont="1" applyFill="1" applyBorder="1" applyAlignment="1">
      <alignment horizontal="center" vertical="center"/>
    </xf>
    <xf numFmtId="3" fontId="3" fillId="7" borderId="14" xfId="0" applyNumberFormat="1" applyFont="1" applyFill="1" applyBorder="1" applyAlignment="1">
      <alignment horizontal="right" vertical="center" wrapText="1"/>
    </xf>
    <xf numFmtId="3" fontId="8" fillId="7" borderId="14" xfId="0" applyNumberFormat="1" applyFont="1" applyFill="1" applyBorder="1" applyAlignment="1">
      <alignment horizontal="right" vertical="center" wrapText="1"/>
    </xf>
    <xf numFmtId="3" fontId="8" fillId="7" borderId="74" xfId="0" applyNumberFormat="1" applyFont="1" applyFill="1" applyBorder="1" applyAlignment="1">
      <alignment horizontal="right" vertical="center" wrapText="1"/>
    </xf>
    <xf numFmtId="164" fontId="3" fillId="23" borderId="11" xfId="1" applyNumberFormat="1" applyFont="1" applyFill="1" applyBorder="1" applyAlignment="1">
      <alignment horizontal="right" vertical="center"/>
    </xf>
    <xf numFmtId="3" fontId="2" fillId="23" borderId="15" xfId="0" applyNumberFormat="1" applyFont="1" applyFill="1" applyBorder="1" applyAlignment="1">
      <alignment horizontal="right" vertical="center" wrapText="1"/>
    </xf>
    <xf numFmtId="3" fontId="3" fillId="4" borderId="10" xfId="0" applyNumberFormat="1" applyFont="1" applyFill="1" applyBorder="1" applyAlignment="1">
      <alignment horizontal="right" vertical="center" wrapText="1"/>
    </xf>
    <xf numFmtId="3" fontId="3" fillId="4" borderId="14" xfId="0" applyNumberFormat="1" applyFont="1" applyFill="1" applyBorder="1" applyAlignment="1">
      <alignment horizontal="right" vertical="center" wrapText="1"/>
    </xf>
    <xf numFmtId="3" fontId="3" fillId="0" borderId="14" xfId="0" applyNumberFormat="1" applyFont="1" applyBorder="1" applyAlignment="1">
      <alignment horizontal="right" vertical="center" wrapText="1"/>
    </xf>
    <xf numFmtId="0" fontId="16" fillId="0" borderId="0" xfId="0" quotePrefix="1" applyFont="1"/>
    <xf numFmtId="1" fontId="37" fillId="7" borderId="11" xfId="0" applyNumberFormat="1" applyFont="1" applyFill="1" applyBorder="1" applyAlignment="1">
      <alignment horizontal="center" vertical="center"/>
    </xf>
    <xf numFmtId="164" fontId="8" fillId="23" borderId="14" xfId="1" applyNumberFormat="1" applyFont="1" applyFill="1" applyBorder="1" applyAlignment="1">
      <alignment horizontal="center" vertical="center"/>
    </xf>
    <xf numFmtId="43" fontId="34" fillId="0" borderId="34" xfId="0" applyNumberFormat="1" applyFont="1" applyBorder="1" applyAlignment="1">
      <alignment vertical="center"/>
    </xf>
    <xf numFmtId="0" fontId="3" fillId="0" borderId="0" xfId="0" quotePrefix="1" applyFont="1" applyAlignment="1">
      <alignment horizontal="left" vertical="center"/>
    </xf>
    <xf numFmtId="4" fontId="8" fillId="0" borderId="34" xfId="0" applyNumberFormat="1" applyFont="1" applyBorder="1" applyAlignment="1">
      <alignment horizontal="center" vertical="center"/>
    </xf>
    <xf numFmtId="164" fontId="3" fillId="0" borderId="11" xfId="0" applyNumberFormat="1" applyFont="1" applyBorder="1"/>
    <xf numFmtId="41" fontId="2" fillId="0" borderId="0" xfId="0" applyNumberFormat="1" applyFont="1" applyAlignment="1">
      <alignment vertical="center"/>
    </xf>
    <xf numFmtId="172" fontId="3" fillId="0" borderId="34" xfId="2" applyNumberFormat="1" applyFont="1" applyBorder="1" applyAlignment="1">
      <alignment horizontal="center" vertical="center"/>
    </xf>
    <xf numFmtId="3" fontId="3" fillId="0" borderId="39" xfId="0" applyNumberFormat="1" applyFont="1" applyBorder="1" applyAlignment="1">
      <alignment horizontal="center" vertical="center"/>
    </xf>
    <xf numFmtId="4" fontId="3" fillId="0" borderId="38" xfId="0" applyNumberFormat="1" applyFont="1" applyBorder="1" applyAlignment="1">
      <alignment horizontal="center" vertical="center"/>
    </xf>
    <xf numFmtId="4" fontId="3" fillId="0" borderId="36" xfId="0" applyNumberFormat="1" applyFont="1" applyBorder="1" applyAlignment="1">
      <alignment horizontal="center" vertical="center"/>
    </xf>
    <xf numFmtId="4" fontId="2" fillId="0" borderId="27" xfId="0" applyNumberFormat="1" applyFont="1" applyBorder="1" applyAlignment="1">
      <alignment horizontal="center" vertical="center"/>
    </xf>
    <xf numFmtId="4" fontId="9" fillId="24" borderId="11" xfId="0" applyNumberFormat="1" applyFont="1" applyFill="1" applyBorder="1" applyAlignment="1">
      <alignment horizontal="center" vertical="center"/>
    </xf>
    <xf numFmtId="172" fontId="3" fillId="0" borderId="11" xfId="2" applyNumberFormat="1" applyFont="1" applyFill="1" applyBorder="1" applyAlignment="1">
      <alignment horizontal="center" vertical="center"/>
    </xf>
    <xf numFmtId="172" fontId="3" fillId="0" borderId="11" xfId="0" applyNumberFormat="1" applyFont="1" applyBorder="1"/>
    <xf numFmtId="164" fontId="3" fillId="6" borderId="33" xfId="0" applyNumberFormat="1" applyFont="1" applyFill="1" applyBorder="1" applyAlignment="1">
      <alignment horizontal="center" vertical="center"/>
    </xf>
    <xf numFmtId="0" fontId="9" fillId="24" borderId="11" xfId="0" applyFont="1" applyFill="1" applyBorder="1" applyAlignment="1">
      <alignment horizontal="right" vertical="center" wrapText="1"/>
    </xf>
    <xf numFmtId="0" fontId="3" fillId="12" borderId="11" xfId="0" applyFont="1" applyFill="1" applyBorder="1" applyAlignment="1">
      <alignment horizontal="center" vertical="center" wrapText="1"/>
    </xf>
    <xf numFmtId="164" fontId="32" fillId="12" borderId="11" xfId="0" applyNumberFormat="1" applyFont="1" applyFill="1" applyBorder="1" applyAlignment="1">
      <alignment vertical="center"/>
    </xf>
    <xf numFmtId="43" fontId="36" fillId="12" borderId="11" xfId="0" applyNumberFormat="1" applyFont="1" applyFill="1" applyBorder="1" applyAlignment="1">
      <alignment vertical="center"/>
    </xf>
    <xf numFmtId="43" fontId="32" fillId="12" borderId="11" xfId="0" applyNumberFormat="1" applyFont="1" applyFill="1" applyBorder="1" applyAlignment="1">
      <alignment vertical="center"/>
    </xf>
    <xf numFmtId="167" fontId="8" fillId="4" borderId="11" xfId="1" applyNumberFormat="1" applyFont="1" applyFill="1" applyBorder="1" applyAlignment="1">
      <alignment horizontal="center" vertical="center"/>
    </xf>
    <xf numFmtId="165" fontId="8" fillId="4" borderId="11" xfId="0" applyNumberFormat="1" applyFont="1" applyFill="1" applyBorder="1" applyAlignment="1">
      <alignment horizontal="center" vertical="center" wrapText="1"/>
    </xf>
    <xf numFmtId="0" fontId="3" fillId="29" borderId="11" xfId="0" applyFont="1" applyFill="1" applyBorder="1" applyAlignment="1">
      <alignment horizontal="center" vertical="center"/>
    </xf>
    <xf numFmtId="164" fontId="2" fillId="29" borderId="11" xfId="1" applyNumberFormat="1" applyFont="1" applyFill="1" applyBorder="1" applyAlignment="1">
      <alignment horizontal="center" vertical="center"/>
    </xf>
    <xf numFmtId="43" fontId="2" fillId="29" borderId="11" xfId="1" applyFont="1" applyFill="1" applyBorder="1" applyAlignment="1">
      <alignment horizontal="center" vertical="center"/>
    </xf>
    <xf numFmtId="4" fontId="3" fillId="29" borderId="11" xfId="0" applyNumberFormat="1" applyFont="1" applyFill="1" applyBorder="1" applyAlignment="1">
      <alignment horizontal="center" vertical="center" wrapText="1"/>
    </xf>
    <xf numFmtId="4" fontId="3" fillId="29" borderId="11" xfId="0" applyNumberFormat="1" applyFont="1" applyFill="1" applyBorder="1" applyAlignment="1">
      <alignment horizontal="center" vertical="center"/>
    </xf>
    <xf numFmtId="3" fontId="3" fillId="29" borderId="11" xfId="0" applyNumberFormat="1" applyFont="1" applyFill="1" applyBorder="1" applyAlignment="1">
      <alignment horizontal="center" vertical="center" wrapText="1"/>
    </xf>
    <xf numFmtId="43" fontId="3" fillId="29" borderId="11" xfId="1" applyFont="1" applyFill="1" applyBorder="1" applyAlignment="1">
      <alignment horizontal="center" vertical="center"/>
    </xf>
    <xf numFmtId="167" fontId="8" fillId="29" borderId="11" xfId="1" applyNumberFormat="1" applyFont="1" applyFill="1" applyBorder="1" applyAlignment="1">
      <alignment horizontal="center" vertical="center"/>
    </xf>
    <xf numFmtId="43" fontId="8" fillId="29" borderId="11" xfId="1" applyFont="1" applyFill="1" applyBorder="1" applyAlignment="1">
      <alignment vertical="center"/>
    </xf>
    <xf numFmtId="43" fontId="8" fillId="29" borderId="11" xfId="1" applyFont="1" applyFill="1" applyBorder="1" applyAlignment="1">
      <alignment horizontal="right" vertical="center" wrapText="1"/>
    </xf>
    <xf numFmtId="164" fontId="8" fillId="29" borderId="11" xfId="1" applyNumberFormat="1" applyFont="1" applyFill="1" applyBorder="1" applyAlignment="1">
      <alignment horizontal="center" vertical="center" wrapText="1"/>
    </xf>
    <xf numFmtId="165" fontId="8" fillId="29" borderId="11" xfId="0" applyNumberFormat="1" applyFont="1" applyFill="1" applyBorder="1" applyAlignment="1">
      <alignment horizontal="center" vertical="center" wrapText="1"/>
    </xf>
    <xf numFmtId="0" fontId="57" fillId="29" borderId="11" xfId="0" applyFont="1" applyFill="1" applyBorder="1" applyAlignment="1">
      <alignment horizontal="center" vertical="center"/>
    </xf>
    <xf numFmtId="0" fontId="14" fillId="0" borderId="11" xfId="0" applyFont="1" applyBorder="1" applyAlignment="1">
      <alignment horizontal="center" vertical="center" wrapText="1"/>
    </xf>
    <xf numFmtId="164" fontId="5" fillId="0" borderId="11" xfId="1" applyNumberFormat="1" applyFont="1" applyFill="1" applyBorder="1" applyAlignment="1">
      <alignment vertical="center"/>
    </xf>
    <xf numFmtId="43" fontId="5" fillId="0" borderId="11" xfId="1" applyFont="1" applyFill="1" applyBorder="1" applyAlignment="1">
      <alignment vertical="center"/>
    </xf>
    <xf numFmtId="43" fontId="58" fillId="3" borderId="11" xfId="1" applyFont="1" applyFill="1" applyBorder="1" applyAlignment="1">
      <alignment vertical="center" wrapText="1"/>
    </xf>
    <xf numFmtId="0" fontId="59" fillId="3" borderId="0" xfId="0" applyFont="1" applyFill="1" applyAlignment="1">
      <alignment vertical="center"/>
    </xf>
    <xf numFmtId="0" fontId="60" fillId="3" borderId="0" xfId="0" applyFont="1" applyFill="1" applyAlignment="1">
      <alignment vertical="center"/>
    </xf>
    <xf numFmtId="0" fontId="61" fillId="3" borderId="0" xfId="0" applyFont="1" applyFill="1" applyAlignment="1">
      <alignment horizontal="center" vertical="center"/>
    </xf>
    <xf numFmtId="0" fontId="60" fillId="3" borderId="0" xfId="0" quotePrefix="1" applyFont="1" applyFill="1"/>
    <xf numFmtId="0" fontId="60" fillId="3" borderId="0" xfId="0" quotePrefix="1" applyFont="1" applyFill="1" applyAlignment="1">
      <alignment vertical="center"/>
    </xf>
    <xf numFmtId="0" fontId="59" fillId="3" borderId="0" xfId="0" quotePrefix="1" applyFont="1" applyFill="1" applyAlignment="1">
      <alignment vertical="center"/>
    </xf>
    <xf numFmtId="0" fontId="59" fillId="3" borderId="0" xfId="0" quotePrefix="1" applyFont="1" applyFill="1" applyAlignment="1">
      <alignment vertical="center" wrapText="1"/>
    </xf>
    <xf numFmtId="0" fontId="19" fillId="3" borderId="0" xfId="0" applyFont="1" applyFill="1" applyAlignment="1">
      <alignment vertical="center"/>
    </xf>
    <xf numFmtId="0" fontId="2" fillId="3" borderId="0" xfId="0" applyFont="1" applyFill="1" applyAlignment="1">
      <alignment vertical="center"/>
    </xf>
    <xf numFmtId="43" fontId="3" fillId="3" borderId="0" xfId="1" applyFont="1" applyFill="1" applyBorder="1" applyAlignment="1">
      <alignment vertical="center"/>
    </xf>
    <xf numFmtId="0" fontId="62" fillId="3" borderId="0" xfId="0" applyFont="1" applyFill="1" applyAlignment="1">
      <alignment vertical="center"/>
    </xf>
    <xf numFmtId="0" fontId="3" fillId="3" borderId="0" xfId="0" applyFont="1" applyFill="1" applyAlignment="1">
      <alignment vertical="center"/>
    </xf>
    <xf numFmtId="0" fontId="5" fillId="0" borderId="15" xfId="0" applyFont="1" applyBorder="1" applyAlignment="1">
      <alignment horizontal="center" vertical="center" wrapText="1"/>
    </xf>
    <xf numFmtId="43" fontId="14" fillId="0" borderId="11" xfId="0" applyNumberFormat="1" applyFont="1" applyBorder="1" applyAlignment="1">
      <alignment horizontal="center" vertical="center" wrapText="1"/>
    </xf>
    <xf numFmtId="164" fontId="5" fillId="0" borderId="11" xfId="0" quotePrefix="1" applyNumberFormat="1" applyFont="1" applyBorder="1" applyAlignment="1">
      <alignment horizontal="center" vertical="center"/>
    </xf>
    <xf numFmtId="3" fontId="3" fillId="0" borderId="11" xfId="0" applyNumberFormat="1" applyFont="1" applyBorder="1" applyAlignment="1">
      <alignment horizontal="right" vertical="center" wrapText="1"/>
    </xf>
    <xf numFmtId="3" fontId="3" fillId="7" borderId="11" xfId="0" applyNumberFormat="1" applyFont="1" applyFill="1" applyBorder="1" applyAlignment="1">
      <alignment horizontal="right" vertical="center" wrapText="1"/>
    </xf>
    <xf numFmtId="3" fontId="8" fillId="7" borderId="11" xfId="0" applyNumberFormat="1" applyFont="1" applyFill="1" applyBorder="1" applyAlignment="1">
      <alignment horizontal="right" vertical="center" wrapText="1"/>
    </xf>
    <xf numFmtId="3" fontId="2" fillId="23" borderId="11" xfId="0" applyNumberFormat="1" applyFont="1" applyFill="1" applyBorder="1" applyAlignment="1">
      <alignment horizontal="right" vertical="center" wrapText="1"/>
    </xf>
    <xf numFmtId="43" fontId="2" fillId="0" borderId="11" xfId="0" applyNumberFormat="1" applyFont="1" applyBorder="1" applyAlignment="1">
      <alignment horizontal="center" vertical="center" wrapText="1"/>
    </xf>
    <xf numFmtId="0" fontId="3" fillId="0" borderId="11" xfId="0" applyFont="1" applyBorder="1" applyAlignment="1">
      <alignment vertical="center" wrapText="1"/>
    </xf>
    <xf numFmtId="169" fontId="5" fillId="0" borderId="35" xfId="0" applyNumberFormat="1" applyFont="1" applyBorder="1" applyAlignment="1">
      <alignment horizontal="center" vertical="center"/>
    </xf>
    <xf numFmtId="169" fontId="5" fillId="0" borderId="35" xfId="0" applyNumberFormat="1" applyFont="1" applyBorder="1" applyAlignment="1">
      <alignment horizontal="right" vertical="center"/>
    </xf>
    <xf numFmtId="164" fontId="5" fillId="0" borderId="25" xfId="0" applyNumberFormat="1" applyFont="1" applyBorder="1" applyAlignment="1">
      <alignment horizontal="right" vertical="center"/>
    </xf>
    <xf numFmtId="169" fontId="5" fillId="0" borderId="11" xfId="0" applyNumberFormat="1" applyFont="1" applyBorder="1" applyAlignment="1">
      <alignment horizontal="right" vertical="center"/>
    </xf>
    <xf numFmtId="168" fontId="5" fillId="0" borderId="11" xfId="0" applyNumberFormat="1" applyFont="1" applyBorder="1" applyAlignment="1">
      <alignment horizontal="right" vertical="center"/>
    </xf>
    <xf numFmtId="43" fontId="5" fillId="0" borderId="11" xfId="0" quotePrefix="1" applyNumberFormat="1" applyFont="1" applyBorder="1" applyAlignment="1">
      <alignment horizontal="center" vertical="center"/>
    </xf>
    <xf numFmtId="0" fontId="5" fillId="8" borderId="11" xfId="0" applyFont="1" applyFill="1" applyBorder="1" applyAlignment="1">
      <alignment horizontal="center" vertical="center"/>
    </xf>
    <xf numFmtId="168" fontId="5" fillId="8" borderId="11" xfId="0" applyNumberFormat="1" applyFont="1" applyFill="1" applyBorder="1" applyAlignment="1">
      <alignment horizontal="center" vertical="center"/>
    </xf>
    <xf numFmtId="164" fontId="5" fillId="0" borderId="11" xfId="0" applyNumberFormat="1" applyFont="1" applyBorder="1" applyAlignment="1">
      <alignment horizontal="right" vertical="center"/>
    </xf>
    <xf numFmtId="170" fontId="5" fillId="0" borderId="11" xfId="0" quotePrefix="1" applyNumberFormat="1" applyFont="1" applyBorder="1" applyAlignment="1">
      <alignment horizontal="right" vertical="center"/>
    </xf>
    <xf numFmtId="167" fontId="5" fillId="0" borderId="11" xfId="0" quotePrefix="1" applyNumberFormat="1" applyFont="1" applyBorder="1" applyAlignment="1">
      <alignment horizontal="center" vertical="center"/>
    </xf>
    <xf numFmtId="0" fontId="63" fillId="3" borderId="11" xfId="0" applyFont="1" applyFill="1" applyBorder="1" applyAlignment="1">
      <alignment horizontal="center" vertical="center" wrapText="1"/>
    </xf>
    <xf numFmtId="0" fontId="3" fillId="19" borderId="20" xfId="0" applyFont="1" applyFill="1" applyBorder="1" applyAlignment="1">
      <alignment horizontal="center" vertical="center" wrapText="1"/>
    </xf>
    <xf numFmtId="164" fontId="32" fillId="19" borderId="20" xfId="0" applyNumberFormat="1" applyFont="1" applyFill="1" applyBorder="1" applyAlignment="1">
      <alignment vertical="center"/>
    </xf>
    <xf numFmtId="0" fontId="64" fillId="0" borderId="0" xfId="0" applyFont="1" applyAlignment="1">
      <alignment vertical="center"/>
    </xf>
    <xf numFmtId="0" fontId="65" fillId="0" borderId="0" xfId="0" applyFont="1"/>
    <xf numFmtId="0" fontId="57" fillId="0" borderId="0" xfId="0" applyFont="1" applyAlignment="1">
      <alignment vertical="center"/>
    </xf>
    <xf numFmtId="0" fontId="57" fillId="0" borderId="0" xfId="0" quotePrefix="1" applyFont="1" applyAlignment="1">
      <alignment vertical="center"/>
    </xf>
    <xf numFmtId="164" fontId="58" fillId="0" borderId="11" xfId="1" applyNumberFormat="1" applyFont="1" applyFill="1" applyBorder="1" applyAlignment="1">
      <alignment vertical="center"/>
    </xf>
    <xf numFmtId="0" fontId="5" fillId="0" borderId="80" xfId="0" applyFont="1" applyBorder="1" applyAlignment="1">
      <alignment horizontal="center" vertical="center" wrapText="1"/>
    </xf>
    <xf numFmtId="43" fontId="5" fillId="0" borderId="39" xfId="0" applyNumberFormat="1" applyFont="1" applyBorder="1" applyAlignment="1">
      <alignment horizontal="center" vertical="center"/>
    </xf>
    <xf numFmtId="3" fontId="14" fillId="0" borderId="11" xfId="0" quotePrefix="1" applyNumberFormat="1" applyFont="1" applyBorder="1" applyAlignment="1">
      <alignment horizontal="center" vertical="center" wrapText="1"/>
    </xf>
    <xf numFmtId="0" fontId="5" fillId="0" borderId="15" xfId="0" applyFont="1" applyBorder="1" applyAlignment="1">
      <alignment horizontal="center" vertical="center"/>
    </xf>
    <xf numFmtId="164" fontId="5" fillId="0" borderId="15" xfId="0" applyNumberFormat="1" applyFont="1" applyBorder="1" applyAlignment="1">
      <alignment horizontal="center" vertical="center" wrapText="1"/>
    </xf>
    <xf numFmtId="164" fontId="5" fillId="0" borderId="21" xfId="0" quotePrefix="1" applyNumberFormat="1" applyFont="1" applyBorder="1" applyAlignment="1">
      <alignment horizontal="right" vertical="center" wrapText="1"/>
    </xf>
    <xf numFmtId="0" fontId="5" fillId="0" borderId="20" xfId="0" applyFont="1" applyBorder="1" applyAlignment="1">
      <alignment horizontal="center" vertical="center"/>
    </xf>
    <xf numFmtId="164" fontId="5" fillId="0" borderId="20" xfId="0" applyNumberFormat="1" applyFont="1" applyBorder="1" applyAlignment="1">
      <alignment horizontal="center" vertical="center" wrapText="1"/>
    </xf>
    <xf numFmtId="164" fontId="5" fillId="0" borderId="49" xfId="0" quotePrefix="1" applyNumberFormat="1" applyFont="1" applyBorder="1" applyAlignment="1">
      <alignment horizontal="right" vertical="center" wrapText="1"/>
    </xf>
    <xf numFmtId="168" fontId="5" fillId="0" borderId="15" xfId="0" applyNumberFormat="1" applyFont="1" applyBorder="1" applyAlignment="1">
      <alignment horizontal="center" vertical="center"/>
    </xf>
    <xf numFmtId="169" fontId="5" fillId="0" borderId="20" xfId="0" applyNumberFormat="1" applyFont="1" applyBorder="1" applyAlignment="1">
      <alignment horizontal="center" vertical="center"/>
    </xf>
    <xf numFmtId="169" fontId="5" fillId="0" borderId="39" xfId="0" applyNumberFormat="1" applyFont="1" applyBorder="1" applyAlignment="1">
      <alignment horizontal="center" vertical="center" wrapText="1"/>
    </xf>
    <xf numFmtId="0" fontId="58" fillId="3" borderId="11" xfId="0" applyFont="1" applyFill="1" applyBorder="1" applyAlignment="1">
      <alignment horizontal="center" vertical="center" wrapText="1"/>
    </xf>
    <xf numFmtId="43" fontId="5" fillId="3" borderId="15" xfId="1" applyFont="1" applyFill="1" applyBorder="1" applyAlignment="1">
      <alignment horizontal="center" vertical="center"/>
    </xf>
    <xf numFmtId="164" fontId="5" fillId="3" borderId="15" xfId="1" applyNumberFormat="1" applyFont="1" applyFill="1" applyBorder="1" applyAlignment="1">
      <alignment horizontal="center" vertical="center"/>
    </xf>
    <xf numFmtId="3" fontId="3" fillId="24" borderId="11" xfId="0" applyNumberFormat="1" applyFont="1" applyFill="1" applyBorder="1" applyAlignment="1">
      <alignment horizontal="right" vertical="center" wrapText="1"/>
    </xf>
    <xf numFmtId="43" fontId="8" fillId="23" borderId="81" xfId="1" applyFont="1" applyFill="1" applyBorder="1" applyAlignment="1">
      <alignment horizontal="center" vertical="center"/>
    </xf>
    <xf numFmtId="43" fontId="8" fillId="23" borderId="81" xfId="1" applyFont="1" applyFill="1" applyBorder="1" applyAlignment="1">
      <alignment horizontal="right" vertical="center" wrapText="1"/>
    </xf>
    <xf numFmtId="43" fontId="8" fillId="23" borderId="81" xfId="1" applyFont="1" applyFill="1" applyBorder="1" applyAlignment="1">
      <alignment horizontal="center" vertical="center" wrapText="1"/>
    </xf>
    <xf numFmtId="4" fontId="8" fillId="23" borderId="81" xfId="0" applyNumberFormat="1" applyFont="1" applyFill="1" applyBorder="1" applyAlignment="1">
      <alignment horizontal="center" vertical="center" wrapText="1"/>
    </xf>
    <xf numFmtId="4" fontId="8" fillId="23" borderId="81" xfId="0" applyNumberFormat="1" applyFont="1" applyFill="1" applyBorder="1" applyAlignment="1">
      <alignment horizontal="center" vertical="center"/>
    </xf>
    <xf numFmtId="3" fontId="2" fillId="23" borderId="81" xfId="0" applyNumberFormat="1" applyFont="1" applyFill="1" applyBorder="1" applyAlignment="1">
      <alignment horizontal="center" vertical="center" wrapText="1"/>
    </xf>
    <xf numFmtId="3" fontId="3" fillId="4" borderId="11" xfId="0" applyNumberFormat="1" applyFont="1" applyFill="1" applyBorder="1" applyAlignment="1">
      <alignment horizontal="right" vertical="center" wrapText="1"/>
    </xf>
    <xf numFmtId="1" fontId="39" fillId="0" borderId="0" xfId="0" applyNumberFormat="1" applyFont="1" applyAlignment="1">
      <alignment horizontal="center" vertical="center"/>
    </xf>
    <xf numFmtId="1" fontId="14" fillId="0" borderId="0" xfId="0" applyNumberFormat="1" applyFont="1" applyAlignment="1">
      <alignment horizontal="center" vertical="center"/>
    </xf>
    <xf numFmtId="1" fontId="39" fillId="7" borderId="0" xfId="0" applyNumberFormat="1" applyFont="1" applyFill="1" applyAlignment="1">
      <alignment horizontal="center" vertical="center"/>
    </xf>
    <xf numFmtId="1" fontId="37" fillId="0" borderId="11" xfId="0" applyNumberFormat="1" applyFont="1" applyBorder="1" applyAlignment="1">
      <alignment horizontal="center" vertical="center"/>
    </xf>
    <xf numFmtId="0" fontId="5" fillId="0" borderId="34" xfId="0" applyFont="1" applyBorder="1" applyAlignment="1">
      <alignment vertical="center"/>
    </xf>
    <xf numFmtId="0" fontId="35" fillId="0" borderId="36" xfId="0" applyFont="1" applyBorder="1"/>
    <xf numFmtId="0" fontId="32" fillId="0" borderId="0" xfId="0" applyFont="1" applyAlignment="1">
      <alignment horizontal="left" vertical="center" wrapText="1"/>
    </xf>
    <xf numFmtId="164" fontId="5" fillId="3" borderId="15" xfId="0" applyNumberFormat="1" applyFont="1" applyFill="1" applyBorder="1" applyAlignment="1">
      <alignment vertical="center"/>
    </xf>
    <xf numFmtId="43" fontId="5" fillId="3" borderId="11" xfId="1" applyFont="1" applyFill="1" applyBorder="1" applyAlignment="1">
      <alignment vertical="center" wrapText="1"/>
    </xf>
    <xf numFmtId="0" fontId="5" fillId="3" borderId="74" xfId="0" applyFont="1" applyFill="1" applyBorder="1" applyAlignment="1">
      <alignment horizontal="center" vertical="center" wrapText="1"/>
    </xf>
    <xf numFmtId="164" fontId="59" fillId="3" borderId="11" xfId="0" applyNumberFormat="1" applyFont="1" applyFill="1" applyBorder="1" applyAlignment="1">
      <alignment vertical="center"/>
    </xf>
    <xf numFmtId="0" fontId="59" fillId="3" borderId="0" xfId="0" quotePrefix="1" applyFont="1" applyFill="1" applyAlignment="1">
      <alignment horizontal="left" vertical="center" wrapText="1"/>
    </xf>
    <xf numFmtId="0" fontId="60" fillId="3" borderId="0" xfId="0" applyFont="1" applyFill="1"/>
    <xf numFmtId="0" fontId="59" fillId="3" borderId="0" xfId="0" quotePrefix="1" applyFont="1" applyFill="1" applyAlignment="1">
      <alignment horizontal="left" vertical="center"/>
    </xf>
    <xf numFmtId="43" fontId="5" fillId="0" borderId="11" xfId="1" applyFont="1" applyBorder="1" applyAlignment="1">
      <alignment vertical="center"/>
    </xf>
    <xf numFmtId="168" fontId="5" fillId="0" borderId="11" xfId="1" applyNumberFormat="1" applyFont="1" applyBorder="1" applyAlignment="1">
      <alignment vertical="center"/>
    </xf>
    <xf numFmtId="2" fontId="5" fillId="0" borderId="33" xfId="2" applyNumberFormat="1" applyFont="1" applyFill="1" applyBorder="1" applyAlignment="1">
      <alignment horizontal="right" vertical="center"/>
    </xf>
    <xf numFmtId="176" fontId="5" fillId="0" borderId="33" xfId="2" applyNumberFormat="1" applyFont="1" applyFill="1" applyBorder="1" applyAlignment="1">
      <alignment horizontal="right" vertical="center"/>
    </xf>
    <xf numFmtId="3" fontId="17" fillId="0" borderId="0" xfId="0" applyNumberFormat="1" applyFont="1" applyAlignment="1">
      <alignment vertical="center"/>
    </xf>
    <xf numFmtId="0" fontId="17" fillId="0" borderId="0" xfId="0" quotePrefix="1" applyFont="1" applyAlignment="1">
      <alignment vertical="center"/>
    </xf>
    <xf numFmtId="0" fontId="3" fillId="4" borderId="15" xfId="0" applyFont="1" applyFill="1" applyBorder="1" applyAlignment="1">
      <alignment horizontal="center" vertical="center"/>
    </xf>
    <xf numFmtId="43" fontId="3" fillId="4" borderId="15" xfId="1" applyFont="1" applyFill="1" applyBorder="1" applyAlignment="1">
      <alignment horizontal="center" vertical="center"/>
    </xf>
    <xf numFmtId="167" fontId="8" fillId="4" borderId="15" xfId="1" applyNumberFormat="1" applyFont="1" applyFill="1" applyBorder="1" applyAlignment="1">
      <alignment horizontal="center" vertical="center"/>
    </xf>
    <xf numFmtId="43" fontId="8" fillId="4" borderId="15" xfId="1" applyFont="1" applyFill="1" applyBorder="1" applyAlignment="1">
      <alignment vertical="center"/>
    </xf>
    <xf numFmtId="43" fontId="8" fillId="4" borderId="15" xfId="1" applyFont="1" applyFill="1" applyBorder="1" applyAlignment="1">
      <alignment horizontal="right" vertical="center" wrapText="1"/>
    </xf>
    <xf numFmtId="164" fontId="8" fillId="4" borderId="15" xfId="1" applyNumberFormat="1" applyFont="1" applyFill="1" applyBorder="1" applyAlignment="1">
      <alignment horizontal="center" vertical="center" wrapText="1"/>
    </xf>
    <xf numFmtId="165" fontId="8" fillId="4" borderId="15" xfId="0" applyNumberFormat="1" applyFont="1" applyFill="1" applyBorder="1" applyAlignment="1">
      <alignment horizontal="center" vertical="center" wrapText="1"/>
    </xf>
    <xf numFmtId="164" fontId="9" fillId="0" borderId="11" xfId="1" applyNumberFormat="1" applyFont="1" applyBorder="1" applyAlignment="1">
      <alignment horizontal="right" vertical="center" wrapText="1"/>
    </xf>
    <xf numFmtId="164" fontId="33" fillId="0" borderId="11" xfId="1" applyNumberFormat="1" applyFont="1" applyBorder="1" applyAlignment="1">
      <alignment horizontal="center" vertical="center"/>
    </xf>
    <xf numFmtId="165" fontId="3" fillId="7" borderId="11" xfId="0" applyNumberFormat="1" applyFont="1" applyFill="1" applyBorder="1" applyAlignment="1">
      <alignment horizontal="center" vertical="center" wrapText="1"/>
    </xf>
    <xf numFmtId="165" fontId="3" fillId="7" borderId="11" xfId="0" applyNumberFormat="1" applyFont="1" applyFill="1" applyBorder="1" applyAlignment="1">
      <alignment horizontal="center" vertical="center"/>
    </xf>
    <xf numFmtId="164" fontId="11" fillId="0" borderId="11" xfId="1" applyNumberFormat="1" applyFont="1" applyFill="1" applyBorder="1" applyAlignment="1">
      <alignment vertical="center" wrapText="1"/>
    </xf>
    <xf numFmtId="165" fontId="3" fillId="4" borderId="11" xfId="0" applyNumberFormat="1" applyFont="1" applyFill="1" applyBorder="1" applyAlignment="1">
      <alignment horizontal="center" vertical="center" wrapText="1"/>
    </xf>
    <xf numFmtId="165" fontId="3" fillId="4" borderId="11" xfId="0" applyNumberFormat="1" applyFont="1" applyFill="1" applyBorder="1" applyAlignment="1">
      <alignment horizontal="center" vertical="center"/>
    </xf>
    <xf numFmtId="43" fontId="33" fillId="23" borderId="11" xfId="0" applyNumberFormat="1" applyFont="1" applyFill="1" applyBorder="1" applyAlignment="1">
      <alignment vertical="center"/>
    </xf>
    <xf numFmtId="0" fontId="3" fillId="23" borderId="11" xfId="0" applyFont="1" applyFill="1" applyBorder="1" applyAlignment="1">
      <alignment horizontal="center" vertical="center" wrapText="1"/>
    </xf>
    <xf numFmtId="43" fontId="36" fillId="23" borderId="11" xfId="0" applyNumberFormat="1" applyFont="1" applyFill="1" applyBorder="1" applyAlignment="1">
      <alignment vertical="center"/>
    </xf>
    <xf numFmtId="43" fontId="32" fillId="23" borderId="11" xfId="0" applyNumberFormat="1" applyFont="1" applyFill="1" applyBorder="1" applyAlignment="1">
      <alignment vertical="center"/>
    </xf>
    <xf numFmtId="43" fontId="33" fillId="12" borderId="11" xfId="0" applyNumberFormat="1" applyFont="1" applyFill="1" applyBorder="1" applyAlignment="1">
      <alignment vertical="center"/>
    </xf>
    <xf numFmtId="168" fontId="35" fillId="0" borderId="11" xfId="1" applyNumberFormat="1" applyFont="1" applyBorder="1" applyAlignment="1">
      <alignment vertical="center"/>
    </xf>
    <xf numFmtId="169" fontId="35" fillId="0" borderId="11" xfId="1" applyNumberFormat="1" applyFont="1" applyBorder="1" applyAlignment="1">
      <alignment vertical="center"/>
    </xf>
    <xf numFmtId="168" fontId="35" fillId="0" borderId="11" xfId="1" applyNumberFormat="1" applyFont="1" applyBorder="1" applyAlignment="1">
      <alignment horizontal="center" vertical="center"/>
    </xf>
    <xf numFmtId="168" fontId="35" fillId="0" borderId="11" xfId="1" applyNumberFormat="1" applyFont="1" applyFill="1" applyBorder="1" applyAlignment="1">
      <alignment horizontal="center" vertical="center"/>
    </xf>
    <xf numFmtId="169" fontId="35" fillId="0" borderId="11" xfId="1" applyNumberFormat="1" applyFont="1" applyBorder="1" applyAlignment="1">
      <alignment horizontal="center" vertical="center"/>
    </xf>
    <xf numFmtId="43" fontId="35" fillId="0" borderId="11" xfId="1" applyFont="1" applyBorder="1" applyAlignment="1">
      <alignment horizontal="center" vertical="center"/>
    </xf>
    <xf numFmtId="43" fontId="35" fillId="0" borderId="11" xfId="1" applyFont="1" applyBorder="1" applyAlignment="1">
      <alignment vertical="center"/>
    </xf>
    <xf numFmtId="168" fontId="9" fillId="0" borderId="11" xfId="1" applyNumberFormat="1" applyFont="1" applyBorder="1" applyAlignment="1">
      <alignment horizontal="center" vertical="center"/>
    </xf>
    <xf numFmtId="168" fontId="5" fillId="0" borderId="39" xfId="0" applyNumberFormat="1" applyFont="1" applyBorder="1" applyAlignment="1">
      <alignment horizontal="center" vertical="center" wrapText="1"/>
    </xf>
    <xf numFmtId="43" fontId="8" fillId="29" borderId="11" xfId="1" applyFont="1" applyFill="1" applyBorder="1" applyAlignment="1">
      <alignment horizontal="center" vertical="center"/>
    </xf>
    <xf numFmtId="3" fontId="8" fillId="7" borderId="11" xfId="0" applyNumberFormat="1" applyFont="1" applyFill="1" applyBorder="1" applyAlignment="1">
      <alignment horizontal="center" vertical="center" wrapText="1"/>
    </xf>
    <xf numFmtId="43" fontId="5" fillId="0" borderId="25" xfId="0" applyNumberFormat="1" applyFont="1" applyBorder="1" applyAlignment="1">
      <alignment horizontal="center" vertical="center" wrapText="1"/>
    </xf>
    <xf numFmtId="0" fontId="35" fillId="0" borderId="15" xfId="0" applyFont="1" applyBorder="1" applyAlignment="1">
      <alignment horizontal="center" vertical="center"/>
    </xf>
    <xf numFmtId="41" fontId="3" fillId="0" borderId="0" xfId="2" applyFont="1" applyAlignment="1">
      <alignment vertical="center" wrapText="1"/>
    </xf>
    <xf numFmtId="41" fontId="3" fillId="0" borderId="0" xfId="2" applyFont="1" applyAlignment="1">
      <alignment vertical="center"/>
    </xf>
    <xf numFmtId="41" fontId="3" fillId="0" borderId="0" xfId="0" applyNumberFormat="1" applyFont="1" applyAlignment="1">
      <alignment vertical="center"/>
    </xf>
    <xf numFmtId="164" fontId="32" fillId="23" borderId="11" xfId="0" applyNumberFormat="1" applyFont="1" applyFill="1" applyBorder="1" applyAlignment="1">
      <alignment vertical="center"/>
    </xf>
    <xf numFmtId="3" fontId="3" fillId="4" borderId="74" xfId="0" applyNumberFormat="1" applyFont="1" applyFill="1" applyBorder="1" applyAlignment="1">
      <alignment horizontal="center" vertical="center" wrapText="1"/>
    </xf>
    <xf numFmtId="168" fontId="5" fillId="0" borderId="15" xfId="1" applyNumberFormat="1" applyFont="1" applyBorder="1" applyAlignment="1">
      <alignment vertical="center"/>
    </xf>
    <xf numFmtId="168" fontId="5" fillId="0" borderId="35" xfId="0" applyNumberFormat="1" applyFont="1" applyBorder="1" applyAlignment="1">
      <alignment horizontal="right" vertical="center"/>
    </xf>
    <xf numFmtId="164" fontId="5" fillId="0" borderId="35" xfId="0" quotePrefix="1" applyNumberFormat="1" applyFont="1" applyBorder="1" applyAlignment="1">
      <alignment horizontal="right" vertical="center"/>
    </xf>
    <xf numFmtId="169" fontId="5" fillId="0" borderId="20" xfId="0" applyNumberFormat="1" applyFont="1" applyBorder="1" applyAlignment="1">
      <alignment horizontal="right" vertical="center"/>
    </xf>
    <xf numFmtId="164" fontId="5" fillId="0" borderId="20" xfId="0" applyNumberFormat="1" applyFont="1" applyBorder="1" applyAlignment="1">
      <alignment horizontal="center" vertical="center"/>
    </xf>
    <xf numFmtId="164" fontId="5" fillId="0" borderId="20" xfId="0" quotePrefix="1" applyNumberFormat="1" applyFont="1" applyBorder="1" applyAlignment="1">
      <alignment horizontal="center" vertical="center"/>
    </xf>
    <xf numFmtId="43" fontId="5" fillId="0" borderId="20" xfId="0" applyNumberFormat="1" applyFont="1" applyBorder="1" applyAlignment="1">
      <alignment horizontal="right" vertical="center"/>
    </xf>
    <xf numFmtId="43" fontId="5" fillId="0" borderId="11" xfId="0" quotePrefix="1" applyNumberFormat="1" applyFont="1" applyBorder="1" applyAlignment="1">
      <alignment vertical="center"/>
    </xf>
    <xf numFmtId="43" fontId="5" fillId="0" borderId="11" xfId="0" quotePrefix="1" applyNumberFormat="1" applyFont="1" applyBorder="1" applyAlignment="1">
      <alignment horizontal="right" vertical="center"/>
    </xf>
    <xf numFmtId="168" fontId="35" fillId="0" borderId="15" xfId="1" applyNumberFormat="1" applyFont="1" applyBorder="1" applyAlignment="1">
      <alignment vertical="center"/>
    </xf>
    <xf numFmtId="164" fontId="5" fillId="0" borderId="15" xfId="0" applyNumberFormat="1" applyFont="1" applyBorder="1" applyAlignment="1">
      <alignment vertical="center"/>
    </xf>
    <xf numFmtId="164" fontId="14" fillId="0" borderId="0" xfId="0" applyNumberFormat="1" applyFont="1" applyAlignment="1">
      <alignment vertical="center"/>
    </xf>
    <xf numFmtId="3" fontId="14" fillId="0" borderId="0" xfId="0" applyNumberFormat="1" applyFont="1" applyAlignment="1">
      <alignment horizontal="center" vertical="center"/>
    </xf>
    <xf numFmtId="43" fontId="14" fillId="0" borderId="0" xfId="0" applyNumberFormat="1" applyFont="1" applyAlignment="1">
      <alignment horizontal="center" vertical="center"/>
    </xf>
    <xf numFmtId="3" fontId="14" fillId="0" borderId="0" xfId="0" applyNumberFormat="1" applyFont="1" applyAlignment="1">
      <alignment horizontal="center" vertical="center" wrapText="1"/>
    </xf>
    <xf numFmtId="43" fontId="14" fillId="0" borderId="0" xfId="0" applyNumberFormat="1" applyFont="1" applyAlignment="1">
      <alignment horizontal="center" vertical="center" wrapText="1"/>
    </xf>
    <xf numFmtId="164" fontId="17" fillId="3" borderId="11" xfId="1" applyNumberFormat="1" applyFont="1" applyFill="1" applyBorder="1" applyAlignment="1">
      <alignment vertical="center"/>
    </xf>
    <xf numFmtId="43" fontId="9" fillId="0" borderId="11" xfId="1" applyFont="1" applyBorder="1" applyAlignment="1">
      <alignment horizontal="right" vertical="center"/>
    </xf>
    <xf numFmtId="164" fontId="8" fillId="0" borderId="11" xfId="1" applyNumberFormat="1" applyFont="1" applyFill="1" applyBorder="1" applyAlignment="1">
      <alignment vertical="center"/>
    </xf>
    <xf numFmtId="164" fontId="8" fillId="7" borderId="11" xfId="1" applyNumberFormat="1" applyFont="1" applyFill="1" applyBorder="1" applyAlignment="1">
      <alignment vertical="center"/>
    </xf>
    <xf numFmtId="164" fontId="8" fillId="4" borderId="11" xfId="1" applyNumberFormat="1" applyFont="1" applyFill="1" applyBorder="1" applyAlignment="1">
      <alignment vertical="center"/>
    </xf>
    <xf numFmtId="3" fontId="5" fillId="3" borderId="15" xfId="1" applyNumberFormat="1" applyFont="1" applyFill="1" applyBorder="1" applyAlignment="1">
      <alignment horizontal="center" vertical="center"/>
    </xf>
    <xf numFmtId="0" fontId="5" fillId="3" borderId="15" xfId="1" applyNumberFormat="1" applyFont="1" applyFill="1" applyBorder="1" applyAlignment="1">
      <alignment horizontal="center" vertical="center"/>
    </xf>
    <xf numFmtId="166" fontId="5" fillId="3" borderId="15" xfId="1" applyNumberFormat="1" applyFont="1" applyFill="1" applyBorder="1" applyAlignment="1">
      <alignment horizontal="center" vertical="center"/>
    </xf>
    <xf numFmtId="164" fontId="5" fillId="3" borderId="11" xfId="1" applyNumberFormat="1" applyFont="1" applyFill="1" applyBorder="1" applyAlignment="1">
      <alignment horizontal="center" vertical="center" wrapText="1"/>
    </xf>
    <xf numFmtId="164" fontId="35" fillId="3" borderId="11" xfId="0" applyNumberFormat="1" applyFont="1" applyFill="1" applyBorder="1" applyAlignment="1">
      <alignment horizontal="center" vertical="center" wrapText="1"/>
    </xf>
    <xf numFmtId="0" fontId="5" fillId="17" borderId="11" xfId="0" applyFont="1" applyFill="1" applyBorder="1" applyAlignment="1">
      <alignment horizontal="center" vertical="center" wrapText="1"/>
    </xf>
    <xf numFmtId="164" fontId="14" fillId="17" borderId="11" xfId="0" applyNumberFormat="1" applyFont="1" applyFill="1" applyBorder="1" applyAlignment="1">
      <alignment vertical="center"/>
    </xf>
    <xf numFmtId="43" fontId="14" fillId="17" borderId="11" xfId="0" applyNumberFormat="1" applyFont="1" applyFill="1" applyBorder="1" applyAlignment="1">
      <alignment horizontal="center" vertical="center"/>
    </xf>
    <xf numFmtId="43" fontId="14" fillId="17" borderId="11" xfId="0" applyNumberFormat="1" applyFont="1" applyFill="1" applyBorder="1" applyAlignment="1">
      <alignment horizontal="center" vertical="center" wrapText="1"/>
    </xf>
    <xf numFmtId="3" fontId="14" fillId="17" borderId="11" xfId="0" applyNumberFormat="1" applyFont="1" applyFill="1" applyBorder="1" applyAlignment="1">
      <alignment horizontal="center" vertical="center"/>
    </xf>
    <xf numFmtId="164" fontId="39" fillId="4" borderId="11" xfId="0" applyNumberFormat="1" applyFont="1" applyFill="1" applyBorder="1" applyAlignment="1">
      <alignment vertical="center"/>
    </xf>
    <xf numFmtId="43" fontId="39" fillId="4" borderId="11" xfId="0" applyNumberFormat="1" applyFont="1" applyFill="1" applyBorder="1" applyAlignment="1">
      <alignment horizontal="center" vertical="center"/>
    </xf>
    <xf numFmtId="43" fontId="39" fillId="4" borderId="11" xfId="0" applyNumberFormat="1" applyFont="1" applyFill="1" applyBorder="1" applyAlignment="1">
      <alignment horizontal="center" vertical="center" wrapText="1"/>
    </xf>
    <xf numFmtId="3" fontId="39" fillId="4" borderId="11" xfId="0" applyNumberFormat="1" applyFont="1" applyFill="1" applyBorder="1" applyAlignment="1">
      <alignment horizontal="center" vertical="center"/>
    </xf>
    <xf numFmtId="0" fontId="41" fillId="4" borderId="11" xfId="0" applyFont="1" applyFill="1" applyBorder="1" applyAlignment="1">
      <alignment horizontal="center" vertical="center" wrapText="1"/>
    </xf>
    <xf numFmtId="164" fontId="59" fillId="3" borderId="0" xfId="0" applyNumberFormat="1" applyFont="1" applyFill="1" applyAlignment="1">
      <alignment vertical="center"/>
    </xf>
    <xf numFmtId="43" fontId="41" fillId="0" borderId="11" xfId="0" applyNumberFormat="1" applyFont="1" applyBorder="1" applyAlignment="1">
      <alignment horizontal="center" vertical="center" wrapText="1"/>
    </xf>
    <xf numFmtId="0" fontId="67" fillId="29" borderId="11" xfId="0" applyFont="1" applyFill="1" applyBorder="1" applyAlignment="1">
      <alignment horizontal="center" vertical="center"/>
    </xf>
    <xf numFmtId="164" fontId="15" fillId="29" borderId="11" xfId="1" applyNumberFormat="1" applyFont="1" applyFill="1" applyBorder="1" applyAlignment="1">
      <alignment horizontal="center" vertical="center"/>
    </xf>
    <xf numFmtId="43" fontId="15" fillId="29" borderId="11" xfId="1" applyFont="1" applyFill="1" applyBorder="1" applyAlignment="1">
      <alignment horizontal="center" vertical="center"/>
    </xf>
    <xf numFmtId="4" fontId="16" fillId="29" borderId="11" xfId="0" applyNumberFormat="1" applyFont="1" applyFill="1" applyBorder="1" applyAlignment="1">
      <alignment horizontal="center" vertical="center" wrapText="1"/>
    </xf>
    <xf numFmtId="4" fontId="16" fillId="29" borderId="11" xfId="0" applyNumberFormat="1" applyFont="1" applyFill="1" applyBorder="1" applyAlignment="1">
      <alignment horizontal="center" vertical="center"/>
    </xf>
    <xf numFmtId="3" fontId="16" fillId="29" borderId="11" xfId="0" applyNumberFormat="1" applyFont="1" applyFill="1" applyBorder="1" applyAlignment="1">
      <alignment horizontal="center" vertical="center" wrapText="1"/>
    </xf>
    <xf numFmtId="0" fontId="16" fillId="29" borderId="11" xfId="0" applyFont="1" applyFill="1" applyBorder="1" applyAlignment="1">
      <alignment horizontal="center" vertical="center"/>
    </xf>
    <xf numFmtId="43" fontId="16" fillId="29" borderId="11" xfId="1" applyFont="1" applyFill="1" applyBorder="1" applyAlignment="1">
      <alignment horizontal="center" vertical="center"/>
    </xf>
    <xf numFmtId="43" fontId="31" fillId="29" borderId="11" xfId="1" applyFont="1" applyFill="1" applyBorder="1" applyAlignment="1">
      <alignment vertical="center"/>
    </xf>
    <xf numFmtId="43" fontId="31" fillId="29" borderId="11" xfId="1" applyFont="1" applyFill="1" applyBorder="1" applyAlignment="1">
      <alignment horizontal="right" vertical="center" wrapText="1"/>
    </xf>
    <xf numFmtId="164" fontId="31" fillId="29" borderId="11" xfId="1" applyNumberFormat="1" applyFont="1" applyFill="1" applyBorder="1" applyAlignment="1">
      <alignment horizontal="center" vertical="center" wrapText="1"/>
    </xf>
    <xf numFmtId="165" fontId="31" fillId="29" borderId="11" xfId="0" applyNumberFormat="1" applyFont="1" applyFill="1" applyBorder="1" applyAlignment="1">
      <alignment horizontal="center" vertical="center" wrapText="1"/>
    </xf>
    <xf numFmtId="167" fontId="31" fillId="29" borderId="11" xfId="1" applyNumberFormat="1" applyFont="1" applyFill="1" applyBorder="1" applyAlignment="1">
      <alignment horizontal="center" vertical="center"/>
    </xf>
    <xf numFmtId="168" fontId="5" fillId="0" borderId="35" xfId="0" quotePrefix="1" applyNumberFormat="1" applyFont="1" applyBorder="1" applyAlignment="1">
      <alignment horizontal="right" vertical="center"/>
    </xf>
    <xf numFmtId="168" fontId="5" fillId="0" borderId="11" xfId="0" quotePrefix="1" applyNumberFormat="1" applyFont="1" applyBorder="1" applyAlignment="1">
      <alignment horizontal="right" vertical="center"/>
    </xf>
    <xf numFmtId="171" fontId="3" fillId="0" borderId="11" xfId="2" applyNumberFormat="1" applyFont="1" applyBorder="1" applyAlignment="1">
      <alignment horizontal="center" vertical="center"/>
    </xf>
    <xf numFmtId="164" fontId="5" fillId="3" borderId="11" xfId="1" applyNumberFormat="1" applyFont="1" applyFill="1" applyBorder="1" applyAlignment="1">
      <alignment horizontal="right" vertical="center"/>
    </xf>
    <xf numFmtId="3" fontId="14" fillId="17" borderId="11" xfId="0" applyNumberFormat="1" applyFont="1" applyFill="1" applyBorder="1" applyAlignment="1">
      <alignment horizontal="right" vertical="center" wrapText="1"/>
    </xf>
    <xf numFmtId="3" fontId="39" fillId="4" borderId="11" xfId="0" applyNumberFormat="1" applyFont="1" applyFill="1" applyBorder="1" applyAlignment="1">
      <alignment horizontal="right" vertical="center" wrapText="1"/>
    </xf>
    <xf numFmtId="172" fontId="3" fillId="0" borderId="33" xfId="0" applyNumberFormat="1" applyFont="1" applyBorder="1" applyAlignment="1">
      <alignment horizontal="right" vertical="center"/>
    </xf>
    <xf numFmtId="172" fontId="9" fillId="7" borderId="33" xfId="0" applyNumberFormat="1" applyFont="1" applyFill="1" applyBorder="1" applyAlignment="1">
      <alignment horizontal="right" vertical="center" wrapText="1"/>
    </xf>
    <xf numFmtId="172" fontId="3" fillId="6" borderId="33" xfId="0" applyNumberFormat="1" applyFont="1" applyFill="1" applyBorder="1" applyAlignment="1">
      <alignment horizontal="right" vertical="center"/>
    </xf>
    <xf numFmtId="172" fontId="9" fillId="0" borderId="33" xfId="0" applyNumberFormat="1" applyFont="1" applyBorder="1" applyAlignment="1">
      <alignment horizontal="right" vertical="center" wrapText="1"/>
    </xf>
    <xf numFmtId="172" fontId="3" fillId="0" borderId="33" xfId="0" applyNumberFormat="1" applyFont="1" applyBorder="1" applyAlignment="1">
      <alignment horizontal="right" vertical="center" wrapText="1"/>
    </xf>
    <xf numFmtId="172" fontId="3" fillId="6" borderId="33" xfId="0" applyNumberFormat="1" applyFont="1" applyFill="1" applyBorder="1" applyAlignment="1">
      <alignment horizontal="right" vertical="center" wrapText="1"/>
    </xf>
    <xf numFmtId="172" fontId="3" fillId="0" borderId="35" xfId="0" applyNumberFormat="1" applyFont="1" applyBorder="1" applyAlignment="1">
      <alignment horizontal="right" vertical="center" wrapText="1"/>
    </xf>
    <xf numFmtId="172" fontId="3" fillId="6" borderId="11" xfId="0" applyNumberFormat="1" applyFont="1" applyFill="1" applyBorder="1" applyAlignment="1">
      <alignment horizontal="right" vertical="center" wrapText="1"/>
    </xf>
    <xf numFmtId="172" fontId="3" fillId="0" borderId="11" xfId="0" applyNumberFormat="1" applyFont="1" applyBorder="1" applyAlignment="1">
      <alignment horizontal="right" vertical="center" wrapText="1"/>
    </xf>
    <xf numFmtId="172" fontId="3" fillId="6" borderId="38" xfId="0" applyNumberFormat="1" applyFont="1" applyFill="1" applyBorder="1" applyAlignment="1">
      <alignment horizontal="right" vertical="center" wrapText="1"/>
    </xf>
    <xf numFmtId="172" fontId="3" fillId="9" borderId="36" xfId="0" applyNumberFormat="1" applyFont="1" applyFill="1" applyBorder="1" applyAlignment="1">
      <alignment horizontal="right" vertical="center" wrapText="1"/>
    </xf>
    <xf numFmtId="172" fontId="3" fillId="9" borderId="33" xfId="0" applyNumberFormat="1" applyFont="1" applyFill="1" applyBorder="1" applyAlignment="1">
      <alignment horizontal="right" vertical="center" wrapText="1"/>
    </xf>
    <xf numFmtId="172" fontId="3" fillId="9" borderId="35" xfId="0" applyNumberFormat="1" applyFont="1" applyFill="1" applyBorder="1" applyAlignment="1">
      <alignment horizontal="right" vertical="center" wrapText="1"/>
    </xf>
    <xf numFmtId="172" fontId="3" fillId="9" borderId="13" xfId="0" applyNumberFormat="1" applyFont="1" applyFill="1" applyBorder="1" applyAlignment="1">
      <alignment horizontal="right" vertical="center"/>
    </xf>
    <xf numFmtId="43" fontId="3" fillId="0" borderId="11" xfId="0" applyNumberFormat="1" applyFont="1" applyBorder="1" applyAlignment="1">
      <alignment vertical="center" wrapText="1"/>
    </xf>
    <xf numFmtId="164" fontId="3" fillId="2" borderId="11" xfId="0" applyNumberFormat="1" applyFont="1" applyFill="1" applyBorder="1"/>
    <xf numFmtId="41" fontId="14" fillId="0" borderId="0" xfId="2" applyFont="1" applyAlignment="1">
      <alignment horizontal="center" vertical="center"/>
    </xf>
    <xf numFmtId="3" fontId="14" fillId="0" borderId="0" xfId="0" applyNumberFormat="1" applyFont="1" applyAlignment="1">
      <alignment horizontal="right" vertical="center"/>
    </xf>
    <xf numFmtId="3" fontId="14" fillId="0" borderId="0" xfId="0" applyNumberFormat="1" applyFont="1" applyAlignment="1">
      <alignment horizontal="right" vertical="center" wrapText="1"/>
    </xf>
    <xf numFmtId="3" fontId="5" fillId="3" borderId="11" xfId="1" applyNumberFormat="1" applyFont="1" applyFill="1" applyBorder="1" applyAlignment="1">
      <alignment horizontal="center" vertical="center"/>
    </xf>
    <xf numFmtId="0" fontId="5" fillId="3" borderId="11" xfId="1" applyNumberFormat="1" applyFont="1" applyFill="1" applyBorder="1" applyAlignment="1">
      <alignment horizontal="center" vertical="center"/>
    </xf>
    <xf numFmtId="166" fontId="5" fillId="3" borderId="11" xfId="1" applyNumberFormat="1" applyFont="1" applyFill="1" applyBorder="1" applyAlignment="1">
      <alignment horizontal="center" vertical="center"/>
    </xf>
    <xf numFmtId="0" fontId="35" fillId="3" borderId="11" xfId="0" applyFont="1" applyFill="1" applyBorder="1" applyAlignment="1">
      <alignment vertical="center"/>
    </xf>
    <xf numFmtId="43" fontId="35" fillId="0" borderId="11" xfId="0" applyNumberFormat="1" applyFont="1" applyBorder="1" applyAlignment="1">
      <alignment horizontal="center" vertical="center" wrapText="1"/>
    </xf>
    <xf numFmtId="167" fontId="9" fillId="0" borderId="33" xfId="0" applyNumberFormat="1" applyFont="1" applyBorder="1" applyAlignment="1">
      <alignment horizontal="center" vertical="center"/>
    </xf>
    <xf numFmtId="164" fontId="16" fillId="0" borderId="11" xfId="0" applyNumberFormat="1" applyFont="1" applyBorder="1"/>
    <xf numFmtId="41" fontId="2" fillId="2" borderId="12" xfId="0" applyNumberFormat="1" applyFont="1" applyFill="1" applyBorder="1" applyAlignment="1">
      <alignment horizontal="left" vertical="center"/>
    </xf>
    <xf numFmtId="0" fontId="13" fillId="0" borderId="11" xfId="0" applyFont="1" applyBorder="1" applyAlignment="1">
      <alignment horizontal="center" vertical="center" wrapText="1"/>
    </xf>
    <xf numFmtId="164" fontId="8" fillId="9" borderId="11" xfId="0" applyNumberFormat="1" applyFont="1" applyFill="1" applyBorder="1" applyAlignment="1">
      <alignment horizontal="center" vertical="center"/>
    </xf>
    <xf numFmtId="164" fontId="8" fillId="9" borderId="11" xfId="0" applyNumberFormat="1" applyFont="1" applyFill="1" applyBorder="1" applyAlignment="1">
      <alignment vertical="center"/>
    </xf>
    <xf numFmtId="172" fontId="9" fillId="20" borderId="11" xfId="0" applyNumberFormat="1" applyFont="1" applyFill="1" applyBorder="1" applyAlignment="1">
      <alignment horizontal="right" vertical="center" wrapText="1"/>
    </xf>
    <xf numFmtId="164" fontId="15" fillId="2" borderId="11" xfId="0" applyNumberFormat="1" applyFont="1" applyFill="1" applyBorder="1" applyAlignment="1">
      <alignment horizontal="center" vertical="center"/>
    </xf>
    <xf numFmtId="164" fontId="31" fillId="2" borderId="33" xfId="0" applyNumberFormat="1" applyFont="1" applyFill="1" applyBorder="1" applyAlignment="1">
      <alignment vertical="center"/>
    </xf>
    <xf numFmtId="164" fontId="31" fillId="2" borderId="11" xfId="0" applyNumberFormat="1" applyFont="1" applyFill="1" applyBorder="1" applyAlignment="1">
      <alignment vertical="center"/>
    </xf>
    <xf numFmtId="164" fontId="42" fillId="22" borderId="11" xfId="0" applyNumberFormat="1" applyFont="1" applyFill="1" applyBorder="1" applyAlignment="1">
      <alignment vertical="center"/>
    </xf>
    <xf numFmtId="164" fontId="8" fillId="0" borderId="35" xfId="0" applyNumberFormat="1" applyFont="1" applyBorder="1" applyAlignment="1">
      <alignment horizontal="center" vertical="center"/>
    </xf>
    <xf numFmtId="164" fontId="35" fillId="0" borderId="33" xfId="0" applyNumberFormat="1" applyFont="1" applyBorder="1" applyAlignment="1">
      <alignment horizontal="center" vertical="center"/>
    </xf>
    <xf numFmtId="172" fontId="2" fillId="2" borderId="13" xfId="0" applyNumberFormat="1" applyFont="1" applyFill="1" applyBorder="1" applyAlignment="1">
      <alignment horizontal="center" vertical="center"/>
    </xf>
    <xf numFmtId="172" fontId="3" fillId="2" borderId="30" xfId="2" applyNumberFormat="1" applyFont="1" applyFill="1" applyBorder="1" applyAlignment="1">
      <alignment horizontal="center" vertical="center"/>
    </xf>
    <xf numFmtId="172" fontId="3" fillId="2" borderId="11" xfId="2" applyNumberFormat="1" applyFont="1" applyFill="1" applyBorder="1" applyAlignment="1">
      <alignment horizontal="center" vertical="center"/>
    </xf>
    <xf numFmtId="164" fontId="3" fillId="0" borderId="34" xfId="0" applyNumberFormat="1" applyFont="1" applyBorder="1" applyAlignment="1">
      <alignment horizontal="right" vertical="center"/>
    </xf>
    <xf numFmtId="175" fontId="3" fillId="0" borderId="38" xfId="2" applyNumberFormat="1" applyFont="1" applyBorder="1" applyAlignment="1">
      <alignment horizontal="center" vertical="center"/>
    </xf>
    <xf numFmtId="164" fontId="69" fillId="0" borderId="33" xfId="0" applyNumberFormat="1" applyFont="1" applyBorder="1" applyAlignment="1">
      <alignment horizontal="center" vertical="center"/>
    </xf>
    <xf numFmtId="41" fontId="3" fillId="0" borderId="30" xfId="2" applyFont="1" applyBorder="1" applyAlignment="1">
      <alignment horizontal="center" vertical="center"/>
    </xf>
    <xf numFmtId="168" fontId="3" fillId="24" borderId="33" xfId="0" applyNumberFormat="1" applyFont="1" applyFill="1" applyBorder="1" applyAlignment="1">
      <alignment horizontal="center" vertical="center"/>
    </xf>
    <xf numFmtId="164" fontId="3" fillId="24" borderId="33" xfId="0" applyNumberFormat="1" applyFont="1" applyFill="1" applyBorder="1" applyAlignment="1">
      <alignment horizontal="center" vertical="center"/>
    </xf>
    <xf numFmtId="170" fontId="3" fillId="3" borderId="33" xfId="0" applyNumberFormat="1" applyFont="1" applyFill="1" applyBorder="1" applyAlignment="1">
      <alignment horizontal="center" vertical="center"/>
    </xf>
    <xf numFmtId="170" fontId="3" fillId="24" borderId="11" xfId="0" applyNumberFormat="1" applyFont="1" applyFill="1" applyBorder="1" applyAlignment="1">
      <alignment horizontal="center" vertical="center"/>
    </xf>
    <xf numFmtId="170" fontId="3" fillId="3" borderId="35" xfId="0" applyNumberFormat="1" applyFont="1" applyFill="1" applyBorder="1" applyAlignment="1">
      <alignment horizontal="center" vertical="center"/>
    </xf>
    <xf numFmtId="175" fontId="3" fillId="24" borderId="38" xfId="2" applyNumberFormat="1" applyFont="1" applyFill="1" applyBorder="1" applyAlignment="1">
      <alignment horizontal="center" vertical="center"/>
    </xf>
    <xf numFmtId="168" fontId="9" fillId="24" borderId="33" xfId="0" applyNumberFormat="1" applyFont="1" applyFill="1" applyBorder="1" applyAlignment="1">
      <alignment horizontal="center" vertical="center" wrapText="1"/>
    </xf>
    <xf numFmtId="168" fontId="3" fillId="24" borderId="11" xfId="0" applyNumberFormat="1" applyFont="1" applyFill="1" applyBorder="1" applyAlignment="1">
      <alignment horizontal="center" vertical="center" wrapText="1"/>
    </xf>
    <xf numFmtId="168" fontId="3" fillId="24" borderId="35" xfId="0" applyNumberFormat="1" applyFont="1" applyFill="1" applyBorder="1" applyAlignment="1">
      <alignment horizontal="center" vertical="center" wrapText="1"/>
    </xf>
    <xf numFmtId="41" fontId="2" fillId="24" borderId="11" xfId="0" applyNumberFormat="1" applyFont="1" applyFill="1" applyBorder="1" applyAlignment="1">
      <alignment horizontal="center" vertical="center"/>
    </xf>
    <xf numFmtId="0" fontId="3" fillId="0" borderId="20" xfId="0" applyFont="1" applyBorder="1" applyAlignment="1">
      <alignment horizontal="center" vertical="center" wrapText="1"/>
    </xf>
    <xf numFmtId="0" fontId="3" fillId="0" borderId="15" xfId="0" applyFont="1" applyBorder="1" applyAlignment="1">
      <alignment horizontal="center" vertical="center" wrapText="1"/>
    </xf>
    <xf numFmtId="0" fontId="2" fillId="0" borderId="61" xfId="0" applyFont="1" applyBorder="1" applyAlignment="1">
      <alignment horizontal="center" vertical="center" wrapText="1"/>
    </xf>
    <xf numFmtId="3" fontId="3" fillId="23" borderId="11" xfId="0" applyNumberFormat="1" applyFont="1" applyFill="1" applyBorder="1" applyAlignment="1">
      <alignment horizontal="center" vertical="center"/>
    </xf>
    <xf numFmtId="165" fontId="3" fillId="23" borderId="11" xfId="0" applyNumberFormat="1" applyFont="1" applyFill="1" applyBorder="1" applyAlignment="1">
      <alignment horizontal="right" vertical="center"/>
    </xf>
    <xf numFmtId="43" fontId="9" fillId="3" borderId="11" xfId="3" applyNumberFormat="1" applyFont="1" applyFill="1" applyBorder="1" applyAlignment="1">
      <alignment vertical="center"/>
    </xf>
    <xf numFmtId="4" fontId="3" fillId="0" borderId="11" xfId="0" applyNumberFormat="1" applyFont="1" applyBorder="1" applyAlignment="1">
      <alignment horizontal="right" vertical="center"/>
    </xf>
    <xf numFmtId="4" fontId="3" fillId="0" borderId="11" xfId="0" applyNumberFormat="1" applyFont="1" applyBorder="1" applyAlignment="1">
      <alignment vertical="center"/>
    </xf>
    <xf numFmtId="0" fontId="9" fillId="4" borderId="11" xfId="0" applyFont="1" applyFill="1" applyBorder="1" applyAlignment="1">
      <alignment horizontal="center" vertical="center"/>
    </xf>
    <xf numFmtId="43" fontId="10" fillId="4" borderId="11" xfId="1" applyFont="1" applyFill="1" applyBorder="1" applyAlignment="1">
      <alignment horizontal="center" vertical="center"/>
    </xf>
    <xf numFmtId="164" fontId="10" fillId="4" borderId="11" xfId="1" applyNumberFormat="1" applyFont="1" applyFill="1" applyBorder="1" applyAlignment="1">
      <alignment horizontal="center" vertical="center"/>
    </xf>
    <xf numFmtId="4" fontId="10" fillId="4" borderId="11" xfId="0" applyNumberFormat="1" applyFont="1" applyFill="1" applyBorder="1" applyAlignment="1">
      <alignment horizontal="right" vertical="center"/>
    </xf>
    <xf numFmtId="0" fontId="16" fillId="4" borderId="11" xfId="0" applyFont="1" applyFill="1" applyBorder="1" applyAlignment="1">
      <alignment horizontal="center" vertical="center"/>
    </xf>
    <xf numFmtId="43" fontId="15" fillId="4" borderId="11" xfId="1" applyFont="1" applyFill="1" applyBorder="1" applyAlignment="1">
      <alignment horizontal="center" vertical="center"/>
    </xf>
    <xf numFmtId="164" fontId="15" fillId="4" borderId="11" xfId="1" applyNumberFormat="1" applyFont="1" applyFill="1" applyBorder="1" applyAlignment="1">
      <alignment horizontal="center" vertical="center"/>
    </xf>
    <xf numFmtId="4" fontId="15" fillId="4" borderId="11" xfId="0" applyNumberFormat="1" applyFont="1" applyFill="1" applyBorder="1" applyAlignment="1">
      <alignment vertical="center"/>
    </xf>
    <xf numFmtId="43" fontId="30" fillId="4" borderId="11" xfId="1" applyFont="1" applyFill="1" applyBorder="1" applyAlignment="1">
      <alignment horizontal="center" vertical="center"/>
    </xf>
    <xf numFmtId="164" fontId="30" fillId="4" borderId="11" xfId="1" applyNumberFormat="1" applyFont="1" applyFill="1" applyBorder="1" applyAlignment="1">
      <alignment horizontal="center" vertical="center"/>
    </xf>
    <xf numFmtId="4" fontId="30" fillId="4" borderId="11" xfId="0" applyNumberFormat="1" applyFont="1" applyFill="1" applyBorder="1" applyAlignment="1">
      <alignment vertical="center"/>
    </xf>
    <xf numFmtId="3" fontId="15" fillId="4" borderId="11" xfId="0" applyNumberFormat="1" applyFont="1" applyFill="1" applyBorder="1" applyAlignment="1">
      <alignment vertical="center"/>
    </xf>
    <xf numFmtId="4" fontId="15" fillId="4" borderId="11" xfId="0" applyNumberFormat="1" applyFont="1" applyFill="1" applyBorder="1" applyAlignment="1">
      <alignment horizontal="right" vertical="center"/>
    </xf>
    <xf numFmtId="4" fontId="15" fillId="4" borderId="11" xfId="0" applyNumberFormat="1" applyFont="1" applyFill="1" applyBorder="1" applyAlignment="1">
      <alignment horizontal="center" vertical="center"/>
    </xf>
    <xf numFmtId="170" fontId="3" fillId="0" borderId="11" xfId="0" applyNumberFormat="1" applyFont="1" applyBorder="1" applyAlignment="1">
      <alignment horizontal="center" vertical="center" wrapText="1"/>
    </xf>
    <xf numFmtId="41" fontId="3" fillId="0" borderId="37" xfId="2" applyFont="1" applyBorder="1" applyAlignment="1">
      <alignment horizontal="center" vertical="center"/>
    </xf>
    <xf numFmtId="41" fontId="9" fillId="3" borderId="11" xfId="2" applyFont="1" applyFill="1" applyBorder="1" applyAlignment="1">
      <alignment vertical="center"/>
    </xf>
    <xf numFmtId="41" fontId="3" fillId="0" borderId="26" xfId="2" applyFont="1" applyBorder="1" applyAlignment="1">
      <alignment horizontal="center" vertical="center"/>
    </xf>
    <xf numFmtId="41" fontId="3" fillId="0" borderId="27" xfId="2" applyFont="1" applyBorder="1" applyAlignment="1">
      <alignment horizontal="center" vertical="center"/>
    </xf>
    <xf numFmtId="41" fontId="2" fillId="0" borderId="0" xfId="2" applyFont="1" applyAlignment="1">
      <alignment horizontal="center" vertical="center" wrapText="1"/>
    </xf>
    <xf numFmtId="0" fontId="71" fillId="0" borderId="0" xfId="0" quotePrefix="1" applyFont="1" applyAlignment="1">
      <alignment horizontal="left" vertical="center" wrapText="1"/>
    </xf>
    <xf numFmtId="41" fontId="3" fillId="0" borderId="38" xfId="2" applyFont="1" applyFill="1" applyBorder="1" applyAlignment="1">
      <alignment horizontal="center" vertical="center"/>
    </xf>
    <xf numFmtId="41" fontId="35" fillId="0" borderId="33" xfId="2" applyFont="1" applyBorder="1" applyAlignment="1">
      <alignment horizontal="center" vertical="center"/>
    </xf>
    <xf numFmtId="0" fontId="3" fillId="17" borderId="11" xfId="0" applyFont="1" applyFill="1" applyBorder="1" applyAlignment="1">
      <alignment horizontal="center" vertical="center"/>
    </xf>
    <xf numFmtId="164" fontId="15" fillId="17" borderId="11" xfId="1" applyNumberFormat="1" applyFont="1" applyFill="1" applyBorder="1" applyAlignment="1">
      <alignment horizontal="center" vertical="center"/>
    </xf>
    <xf numFmtId="43" fontId="15" fillId="17" borderId="11" xfId="1" applyFont="1" applyFill="1" applyBorder="1" applyAlignment="1">
      <alignment horizontal="center" vertical="center"/>
    </xf>
    <xf numFmtId="3" fontId="2" fillId="17" borderId="11" xfId="0" applyNumberFormat="1" applyFont="1" applyFill="1" applyBorder="1" applyAlignment="1">
      <alignment vertical="center"/>
    </xf>
    <xf numFmtId="0" fontId="8" fillId="17" borderId="11" xfId="0" applyFont="1" applyFill="1" applyBorder="1" applyAlignment="1">
      <alignment horizontal="center" vertical="center"/>
    </xf>
    <xf numFmtId="43" fontId="2" fillId="17" borderId="11" xfId="1" applyFont="1" applyFill="1" applyBorder="1" applyAlignment="1">
      <alignment horizontal="center" vertical="center"/>
    </xf>
    <xf numFmtId="43" fontId="19" fillId="17" borderId="11" xfId="1" applyFont="1" applyFill="1" applyBorder="1" applyAlignment="1">
      <alignment horizontal="center" vertical="center"/>
    </xf>
    <xf numFmtId="164" fontId="19" fillId="17" borderId="11" xfId="1" applyNumberFormat="1" applyFont="1" applyFill="1" applyBorder="1" applyAlignment="1">
      <alignment horizontal="center" vertical="center"/>
    </xf>
    <xf numFmtId="165" fontId="19" fillId="17" borderId="11" xfId="0" applyNumberFormat="1" applyFont="1" applyFill="1" applyBorder="1" applyAlignment="1">
      <alignment vertical="center"/>
    </xf>
    <xf numFmtId="0" fontId="9" fillId="17" borderId="11" xfId="0" applyFont="1" applyFill="1" applyBorder="1" applyAlignment="1">
      <alignment horizontal="center" vertical="center"/>
    </xf>
    <xf numFmtId="4" fontId="10" fillId="17" borderId="11" xfId="0" applyNumberFormat="1" applyFont="1" applyFill="1" applyBorder="1" applyAlignment="1">
      <alignment vertical="center"/>
    </xf>
    <xf numFmtId="0" fontId="11" fillId="17" borderId="11" xfId="0" applyFont="1" applyFill="1" applyBorder="1" applyAlignment="1">
      <alignment horizontal="center" vertical="center"/>
    </xf>
    <xf numFmtId="43" fontId="10" fillId="17" borderId="11" xfId="1" applyFont="1" applyFill="1" applyBorder="1" applyAlignment="1">
      <alignment horizontal="center" vertical="center"/>
    </xf>
    <xf numFmtId="43" fontId="70" fillId="17" borderId="11" xfId="1" applyFont="1" applyFill="1" applyBorder="1" applyAlignment="1">
      <alignment horizontal="center" vertical="center"/>
    </xf>
    <xf numFmtId="4" fontId="70" fillId="17" borderId="11" xfId="0" applyNumberFormat="1" applyFont="1" applyFill="1" applyBorder="1" applyAlignment="1">
      <alignment vertical="center"/>
    </xf>
    <xf numFmtId="0" fontId="16" fillId="17" borderId="11" xfId="0" applyFont="1" applyFill="1" applyBorder="1" applyAlignment="1">
      <alignment horizontal="center" vertical="center"/>
    </xf>
    <xf numFmtId="0" fontId="31" fillId="17" borderId="11" xfId="0" applyFont="1" applyFill="1" applyBorder="1" applyAlignment="1">
      <alignment horizontal="center" vertical="center"/>
    </xf>
    <xf numFmtId="43" fontId="30" fillId="17" borderId="11" xfId="1" applyFont="1" applyFill="1" applyBorder="1" applyAlignment="1">
      <alignment horizontal="center" vertical="center"/>
    </xf>
    <xf numFmtId="164" fontId="30" fillId="17" borderId="11" xfId="1" applyNumberFormat="1" applyFont="1" applyFill="1" applyBorder="1" applyAlignment="1">
      <alignment horizontal="center" vertical="center"/>
    </xf>
    <xf numFmtId="4" fontId="15" fillId="17" borderId="11" xfId="0" applyNumberFormat="1" applyFont="1" applyFill="1" applyBorder="1" applyAlignment="1">
      <alignment horizontal="right" vertical="center"/>
    </xf>
    <xf numFmtId="4" fontId="30" fillId="17" borderId="11" xfId="0" applyNumberFormat="1" applyFont="1" applyFill="1" applyBorder="1" applyAlignment="1">
      <alignment horizontal="right" vertical="center"/>
    </xf>
    <xf numFmtId="0" fontId="10" fillId="12" borderId="11" xfId="0" applyFont="1" applyFill="1" applyBorder="1" applyAlignment="1">
      <alignment horizontal="center" vertical="center"/>
    </xf>
    <xf numFmtId="164" fontId="10" fillId="12" borderId="11" xfId="1" applyNumberFormat="1" applyFont="1" applyFill="1" applyBorder="1" applyAlignment="1">
      <alignment horizontal="center" vertical="center"/>
    </xf>
    <xf numFmtId="43" fontId="10" fillId="12" borderId="11" xfId="1" applyFont="1" applyFill="1" applyBorder="1" applyAlignment="1">
      <alignment horizontal="center" vertical="center"/>
    </xf>
    <xf numFmtId="3" fontId="10" fillId="12" borderId="11" xfId="0" applyNumberFormat="1" applyFont="1" applyFill="1" applyBorder="1" applyAlignment="1">
      <alignment vertical="center"/>
    </xf>
    <xf numFmtId="0" fontId="70" fillId="12" borderId="11" xfId="0" applyFont="1" applyFill="1" applyBorder="1" applyAlignment="1">
      <alignment horizontal="center" vertical="center"/>
    </xf>
    <xf numFmtId="43" fontId="70" fillId="12" borderId="11" xfId="1" applyFont="1" applyFill="1" applyBorder="1" applyAlignment="1">
      <alignment horizontal="center" vertical="center"/>
    </xf>
    <xf numFmtId="4" fontId="70" fillId="12" borderId="11" xfId="0" applyNumberFormat="1" applyFont="1" applyFill="1" applyBorder="1" applyAlignment="1">
      <alignment vertical="center"/>
    </xf>
    <xf numFmtId="4" fontId="10" fillId="12" borderId="11" xfId="0" applyNumberFormat="1" applyFont="1" applyFill="1" applyBorder="1" applyAlignment="1">
      <alignment vertical="center"/>
    </xf>
    <xf numFmtId="41" fontId="3" fillId="0" borderId="0" xfId="2" applyFont="1" applyAlignment="1">
      <alignment horizontal="center" vertical="center" wrapText="1"/>
    </xf>
    <xf numFmtId="41" fontId="5" fillId="0" borderId="0" xfId="0" applyNumberFormat="1" applyFont="1" applyAlignment="1">
      <alignment horizontal="center" vertical="center"/>
    </xf>
    <xf numFmtId="41" fontId="14" fillId="0" borderId="0" xfId="0" applyNumberFormat="1" applyFont="1" applyAlignment="1">
      <alignment horizontal="center" vertical="center"/>
    </xf>
    <xf numFmtId="41" fontId="14" fillId="0" borderId="0" xfId="0" applyNumberFormat="1" applyFont="1" applyAlignment="1">
      <alignment horizontal="center" vertical="center" wrapText="1"/>
    </xf>
    <xf numFmtId="41" fontId="5" fillId="0" borderId="0" xfId="0" applyNumberFormat="1" applyFont="1" applyAlignment="1">
      <alignment horizontal="center" vertical="center" wrapText="1"/>
    </xf>
    <xf numFmtId="41" fontId="5" fillId="8" borderId="0" xfId="0" applyNumberFormat="1" applyFont="1" applyFill="1" applyAlignment="1">
      <alignment horizontal="center" vertical="center"/>
    </xf>
    <xf numFmtId="41" fontId="35" fillId="0" borderId="0" xfId="0" applyNumberFormat="1" applyFont="1" applyAlignment="1">
      <alignment horizontal="center" vertical="center"/>
    </xf>
    <xf numFmtId="2" fontId="14" fillId="0" borderId="0" xfId="0" applyNumberFormat="1" applyFont="1" applyAlignment="1">
      <alignment vertical="center"/>
    </xf>
    <xf numFmtId="0" fontId="14" fillId="2" borderId="10" xfId="0" applyFont="1" applyFill="1" applyBorder="1" applyAlignment="1">
      <alignment horizontal="center" vertical="center" wrapText="1"/>
    </xf>
    <xf numFmtId="0" fontId="14" fillId="2" borderId="14" xfId="0" applyFont="1" applyFill="1" applyBorder="1" applyAlignment="1">
      <alignment horizontal="center" vertical="center" wrapText="1"/>
    </xf>
    <xf numFmtId="3" fontId="5" fillId="23" borderId="14" xfId="0" applyNumberFormat="1" applyFont="1" applyFill="1" applyBorder="1" applyAlignment="1">
      <alignment horizontal="center" vertical="center"/>
    </xf>
    <xf numFmtId="3" fontId="5" fillId="0" borderId="14" xfId="0" applyNumberFormat="1" applyFont="1" applyBorder="1" applyAlignment="1">
      <alignment horizontal="center" vertical="center"/>
    </xf>
    <xf numFmtId="3" fontId="14" fillId="0" borderId="14" xfId="0" applyNumberFormat="1" applyFont="1" applyBorder="1" applyAlignment="1">
      <alignment horizontal="center" vertical="center"/>
    </xf>
    <xf numFmtId="3" fontId="14" fillId="23" borderId="14" xfId="0" applyNumberFormat="1" applyFont="1" applyFill="1" applyBorder="1" applyAlignment="1">
      <alignment horizontal="center" vertical="center"/>
    </xf>
    <xf numFmtId="3" fontId="37" fillId="12" borderId="11" xfId="0" applyNumberFormat="1" applyFont="1" applyFill="1" applyBorder="1" applyAlignment="1">
      <alignment horizontal="center" vertical="center"/>
    </xf>
    <xf numFmtId="3" fontId="39" fillId="4" borderId="11" xfId="0" applyNumberFormat="1" applyFont="1" applyFill="1" applyBorder="1" applyAlignment="1">
      <alignment vertical="center"/>
    </xf>
    <xf numFmtId="2" fontId="73" fillId="12" borderId="11" xfId="0" applyNumberFormat="1" applyFont="1" applyFill="1" applyBorder="1" applyAlignment="1">
      <alignment horizontal="center" vertical="center"/>
    </xf>
    <xf numFmtId="4" fontId="73" fillId="12" borderId="11" xfId="0" applyNumberFormat="1" applyFont="1" applyFill="1" applyBorder="1" applyAlignment="1">
      <alignment horizontal="center" vertical="center"/>
    </xf>
    <xf numFmtId="2" fontId="73" fillId="12" borderId="12" xfId="0" applyNumberFormat="1" applyFont="1" applyFill="1" applyBorder="1" applyAlignment="1">
      <alignment horizontal="center" vertical="center"/>
    </xf>
    <xf numFmtId="3" fontId="37" fillId="12" borderId="11" xfId="0" applyNumberFormat="1" applyFont="1" applyFill="1" applyBorder="1" applyAlignment="1">
      <alignment vertical="center"/>
    </xf>
    <xf numFmtId="0" fontId="14" fillId="2" borderId="11" xfId="0" applyFont="1" applyFill="1" applyBorder="1" applyAlignment="1">
      <alignment horizontal="center" vertical="center" wrapText="1"/>
    </xf>
    <xf numFmtId="3" fontId="5" fillId="23" borderId="11" xfId="0" applyNumberFormat="1" applyFont="1" applyFill="1" applyBorder="1" applyAlignment="1">
      <alignment horizontal="center" vertical="center"/>
    </xf>
    <xf numFmtId="3" fontId="14" fillId="0" borderId="11" xfId="0" applyNumberFormat="1" applyFont="1" applyBorder="1" applyAlignment="1">
      <alignment horizontal="center" vertical="center"/>
    </xf>
    <xf numFmtId="3" fontId="5" fillId="23" borderId="11" xfId="0" applyNumberFormat="1" applyFont="1" applyFill="1" applyBorder="1" applyAlignment="1">
      <alignment vertical="center"/>
    </xf>
    <xf numFmtId="0" fontId="2" fillId="17" borderId="11" xfId="0" applyFont="1" applyFill="1" applyBorder="1" applyAlignment="1">
      <alignment horizontal="center" vertical="center" wrapText="1"/>
    </xf>
    <xf numFmtId="3" fontId="35" fillId="17" borderId="11" xfId="0" applyNumberFormat="1" applyFont="1" applyFill="1" applyBorder="1" applyAlignment="1">
      <alignment horizontal="center" vertical="center"/>
    </xf>
    <xf numFmtId="3" fontId="37" fillId="4" borderId="11" xfId="0" applyNumberFormat="1" applyFont="1" applyFill="1" applyBorder="1" applyAlignment="1">
      <alignment horizontal="center" vertical="center"/>
    </xf>
    <xf numFmtId="43" fontId="70" fillId="4" borderId="11" xfId="1" applyFont="1" applyFill="1" applyBorder="1" applyAlignment="1">
      <alignment horizontal="center" vertical="center"/>
    </xf>
    <xf numFmtId="4" fontId="10" fillId="4" borderId="11" xfId="0" applyNumberFormat="1" applyFont="1" applyFill="1" applyBorder="1" applyAlignment="1">
      <alignment horizontal="center" vertical="center"/>
    </xf>
    <xf numFmtId="3" fontId="39" fillId="17" borderId="11" xfId="0" applyNumberFormat="1" applyFont="1" applyFill="1" applyBorder="1" applyAlignment="1">
      <alignment horizontal="center" vertical="center"/>
    </xf>
    <xf numFmtId="3" fontId="72" fillId="17" borderId="11" xfId="0" applyNumberFormat="1" applyFont="1" applyFill="1" applyBorder="1" applyAlignment="1">
      <alignment horizontal="center" vertical="center"/>
    </xf>
    <xf numFmtId="41" fontId="74" fillId="0" borderId="11" xfId="2" applyFont="1" applyFill="1" applyBorder="1" applyAlignment="1">
      <alignment horizontal="center" vertical="center"/>
    </xf>
    <xf numFmtId="164" fontId="5" fillId="6" borderId="33" xfId="0" applyNumberFormat="1" applyFont="1" applyFill="1" applyBorder="1" applyAlignment="1">
      <alignment horizontal="center" vertical="center"/>
    </xf>
    <xf numFmtId="172" fontId="5" fillId="6" borderId="11" xfId="0" applyNumberFormat="1" applyFont="1" applyFill="1" applyBorder="1" applyAlignment="1">
      <alignment horizontal="right" vertical="center" wrapText="1"/>
    </xf>
    <xf numFmtId="172" fontId="5" fillId="0" borderId="11" xfId="0" applyNumberFormat="1" applyFont="1" applyBorder="1" applyAlignment="1">
      <alignment horizontal="right" vertical="center" wrapText="1"/>
    </xf>
    <xf numFmtId="0" fontId="14" fillId="5" borderId="33" xfId="0" applyFont="1" applyFill="1" applyBorder="1" applyAlignment="1">
      <alignment horizontal="center" vertical="center" wrapText="1"/>
    </xf>
    <xf numFmtId="0" fontId="14" fillId="5" borderId="34" xfId="0" applyFont="1" applyFill="1" applyBorder="1" applyAlignment="1">
      <alignment horizontal="center" vertical="center"/>
    </xf>
    <xf numFmtId="0" fontId="2" fillId="12" borderId="61" xfId="0" applyFont="1" applyFill="1" applyBorder="1" applyAlignment="1">
      <alignment horizontal="center" vertical="center"/>
    </xf>
    <xf numFmtId="0" fontId="2" fillId="12" borderId="61" xfId="0" applyFont="1" applyFill="1" applyBorder="1" applyAlignment="1">
      <alignment horizontal="center" vertical="center" wrapText="1"/>
    </xf>
    <xf numFmtId="0" fontId="2" fillId="12" borderId="85" xfId="0" applyFont="1" applyFill="1" applyBorder="1" applyAlignment="1">
      <alignment horizontal="center" vertical="center" wrapText="1"/>
    </xf>
    <xf numFmtId="0" fontId="3" fillId="12" borderId="11" xfId="0" applyFont="1" applyFill="1" applyBorder="1"/>
    <xf numFmtId="0" fontId="2" fillId="12" borderId="11" xfId="0" applyFont="1" applyFill="1" applyBorder="1" applyAlignment="1">
      <alignment vertical="center" wrapText="1"/>
    </xf>
    <xf numFmtId="0" fontId="2" fillId="12" borderId="23" xfId="0" applyFont="1" applyFill="1" applyBorder="1" applyAlignment="1">
      <alignment vertical="center" wrapText="1"/>
    </xf>
    <xf numFmtId="0" fontId="2" fillId="12" borderId="62" xfId="0" applyFont="1" applyFill="1" applyBorder="1" applyAlignment="1">
      <alignment horizontal="center" vertical="center"/>
    </xf>
    <xf numFmtId="0" fontId="2" fillId="12" borderId="86" xfId="0" applyFont="1" applyFill="1" applyBorder="1" applyAlignment="1">
      <alignment horizontal="center" vertical="center"/>
    </xf>
    <xf numFmtId="0" fontId="2" fillId="12" borderId="64" xfId="0" applyFont="1" applyFill="1" applyBorder="1" applyAlignment="1">
      <alignment vertical="center" wrapText="1"/>
    </xf>
    <xf numFmtId="0" fontId="3" fillId="12" borderId="65" xfId="0" applyFont="1" applyFill="1" applyBorder="1" applyAlignment="1">
      <alignment horizontal="center" vertical="center"/>
    </xf>
    <xf numFmtId="0" fontId="3" fillId="12" borderId="66" xfId="0" applyFont="1" applyFill="1" applyBorder="1" applyAlignment="1">
      <alignment horizontal="center" vertical="center"/>
    </xf>
    <xf numFmtId="14" fontId="3" fillId="12" borderId="66" xfId="0" applyNumberFormat="1" applyFont="1" applyFill="1" applyBorder="1" applyAlignment="1">
      <alignment horizontal="center" vertical="center"/>
    </xf>
    <xf numFmtId="43" fontId="3" fillId="12" borderId="66" xfId="0" applyNumberFormat="1" applyFont="1" applyFill="1" applyBorder="1" applyAlignment="1">
      <alignment horizontal="right" vertical="center"/>
    </xf>
    <xf numFmtId="164" fontId="3" fillId="12" borderId="66" xfId="0" applyNumberFormat="1" applyFont="1" applyFill="1" applyBorder="1" applyAlignment="1">
      <alignment horizontal="right" vertical="center"/>
    </xf>
    <xf numFmtId="4" fontId="3" fillId="12" borderId="66" xfId="0" applyNumberFormat="1" applyFont="1" applyFill="1" applyBorder="1" applyAlignment="1">
      <alignment horizontal="right" vertical="center"/>
    </xf>
    <xf numFmtId="3" fontId="3" fillId="12" borderId="67" xfId="0" applyNumberFormat="1" applyFont="1" applyFill="1" applyBorder="1" applyAlignment="1">
      <alignment horizontal="right" vertical="center"/>
    </xf>
    <xf numFmtId="0" fontId="3" fillId="12" borderId="11" xfId="0" applyFont="1" applyFill="1" applyBorder="1" applyAlignment="1">
      <alignment vertical="center"/>
    </xf>
    <xf numFmtId="0" fontId="3" fillId="12" borderId="70" xfId="0" applyFont="1" applyFill="1" applyBorder="1" applyAlignment="1">
      <alignment vertical="center"/>
    </xf>
    <xf numFmtId="0" fontId="3" fillId="12" borderId="11" xfId="0" applyFont="1" applyFill="1" applyBorder="1" applyAlignment="1">
      <alignment horizontal="center" vertical="center"/>
    </xf>
    <xf numFmtId="14" fontId="3" fillId="12" borderId="11" xfId="0" applyNumberFormat="1" applyFont="1" applyFill="1" applyBorder="1" applyAlignment="1">
      <alignment horizontal="center" vertical="center"/>
    </xf>
    <xf numFmtId="0" fontId="3" fillId="12" borderId="11" xfId="0" quotePrefix="1" applyFont="1" applyFill="1" applyBorder="1" applyAlignment="1">
      <alignment horizontal="center" vertical="center"/>
    </xf>
    <xf numFmtId="164" fontId="3" fillId="12" borderId="11" xfId="0" applyNumberFormat="1" applyFont="1" applyFill="1" applyBorder="1" applyAlignment="1">
      <alignment horizontal="right" vertical="center"/>
    </xf>
    <xf numFmtId="0" fontId="3" fillId="12" borderId="12" xfId="0" applyFont="1" applyFill="1" applyBorder="1" applyAlignment="1">
      <alignment vertical="center"/>
    </xf>
    <xf numFmtId="0" fontId="3" fillId="12" borderId="13" xfId="0" applyFont="1" applyFill="1" applyBorder="1" applyAlignment="1">
      <alignment vertical="center"/>
    </xf>
    <xf numFmtId="167" fontId="3" fillId="12" borderId="11" xfId="0" applyNumberFormat="1" applyFont="1" applyFill="1" applyBorder="1" applyAlignment="1">
      <alignment horizontal="right" vertical="center"/>
    </xf>
    <xf numFmtId="0" fontId="3" fillId="12" borderId="15" xfId="0" applyFont="1" applyFill="1" applyBorder="1" applyAlignment="1">
      <alignment horizontal="center" vertical="center"/>
    </xf>
    <xf numFmtId="14" fontId="3" fillId="12" borderId="15" xfId="0" applyNumberFormat="1" applyFont="1" applyFill="1" applyBorder="1" applyAlignment="1">
      <alignment horizontal="center" vertical="center"/>
    </xf>
    <xf numFmtId="0" fontId="3" fillId="12" borderId="15" xfId="0" quotePrefix="1" applyFont="1" applyFill="1" applyBorder="1" applyAlignment="1">
      <alignment horizontal="center" vertical="center"/>
    </xf>
    <xf numFmtId="164" fontId="3" fillId="12" borderId="15" xfId="0" applyNumberFormat="1" applyFont="1" applyFill="1" applyBorder="1" applyAlignment="1">
      <alignment horizontal="right" vertical="center"/>
    </xf>
    <xf numFmtId="167" fontId="3" fillId="12" borderId="15" xfId="0" applyNumberFormat="1" applyFont="1" applyFill="1" applyBorder="1" applyAlignment="1">
      <alignment horizontal="right" vertical="center"/>
    </xf>
    <xf numFmtId="0" fontId="3" fillId="12" borderId="15" xfId="0" applyFont="1" applyFill="1" applyBorder="1" applyAlignment="1">
      <alignment vertical="center"/>
    </xf>
    <xf numFmtId="0" fontId="3" fillId="12" borderId="21" xfId="0" applyFont="1" applyFill="1" applyBorder="1" applyAlignment="1">
      <alignment vertical="center"/>
    </xf>
    <xf numFmtId="0" fontId="2" fillId="12" borderId="11" xfId="0" applyFont="1" applyFill="1" applyBorder="1" applyAlignment="1">
      <alignment horizontal="left" vertical="center"/>
    </xf>
    <xf numFmtId="0" fontId="3" fillId="12" borderId="15" xfId="0" applyFont="1" applyFill="1" applyBorder="1" applyAlignment="1">
      <alignment horizontal="right" vertical="center"/>
    </xf>
    <xf numFmtId="0" fontId="3" fillId="12" borderId="21" xfId="0" applyFont="1" applyFill="1" applyBorder="1" applyAlignment="1">
      <alignment horizontal="right" vertical="center"/>
    </xf>
    <xf numFmtId="0" fontId="2" fillId="12" borderId="11" xfId="0" applyFont="1" applyFill="1" applyBorder="1" applyAlignment="1">
      <alignment vertical="center"/>
    </xf>
    <xf numFmtId="0" fontId="2" fillId="12" borderId="13" xfId="0" applyFont="1" applyFill="1" applyBorder="1" applyAlignment="1">
      <alignment vertical="center"/>
    </xf>
    <xf numFmtId="43" fontId="15" fillId="12" borderId="11" xfId="0" applyNumberFormat="1" applyFont="1" applyFill="1" applyBorder="1" applyAlignment="1">
      <alignment vertical="center"/>
    </xf>
    <xf numFmtId="164" fontId="15" fillId="12" borderId="11" xfId="0" applyNumberFormat="1" applyFont="1" applyFill="1" applyBorder="1" applyAlignment="1">
      <alignment vertical="center"/>
    </xf>
    <xf numFmtId="0" fontId="15" fillId="12" borderId="11" xfId="0" applyFont="1" applyFill="1" applyBorder="1" applyAlignment="1">
      <alignment horizontal="right" vertical="center"/>
    </xf>
    <xf numFmtId="0" fontId="15" fillId="12" borderId="11" xfId="0" applyFont="1" applyFill="1" applyBorder="1" applyAlignment="1">
      <alignment vertical="center"/>
    </xf>
    <xf numFmtId="0" fontId="15" fillId="12" borderId="13" xfId="0" applyFont="1" applyFill="1" applyBorder="1" applyAlignment="1">
      <alignment vertical="center"/>
    </xf>
    <xf numFmtId="0" fontId="27" fillId="0" borderId="0" xfId="0" applyFont="1"/>
    <xf numFmtId="166" fontId="9" fillId="0" borderId="11" xfId="0" applyNumberFormat="1" applyFont="1" applyBorder="1" applyAlignment="1">
      <alignment horizontal="center" vertical="center" wrapText="1"/>
    </xf>
    <xf numFmtId="2" fontId="15" fillId="12" borderId="12" xfId="0" applyNumberFormat="1" applyFont="1" applyFill="1" applyBorder="1" applyAlignment="1">
      <alignment horizontal="right" vertical="center"/>
    </xf>
    <xf numFmtId="3" fontId="37" fillId="17" borderId="11" xfId="0" applyNumberFormat="1" applyFont="1" applyFill="1" applyBorder="1" applyAlignment="1">
      <alignment horizontal="center" vertical="center"/>
    </xf>
    <xf numFmtId="43" fontId="3" fillId="0" borderId="35" xfId="0" applyNumberFormat="1" applyFont="1" applyBorder="1" applyAlignment="1">
      <alignment horizontal="center" vertical="center" wrapText="1"/>
    </xf>
    <xf numFmtId="164" fontId="73" fillId="12" borderId="11" xfId="0" applyNumberFormat="1" applyFont="1" applyFill="1" applyBorder="1" applyAlignment="1">
      <alignment horizontal="center" vertical="center"/>
    </xf>
    <xf numFmtId="41" fontId="73" fillId="12" borderId="11" xfId="2" applyFont="1" applyFill="1" applyBorder="1" applyAlignment="1">
      <alignment horizontal="center" vertical="center"/>
    </xf>
    <xf numFmtId="164" fontId="5" fillId="24" borderId="11" xfId="0" applyNumberFormat="1" applyFont="1" applyFill="1" applyBorder="1" applyAlignment="1">
      <alignment horizontal="center" vertical="center"/>
    </xf>
    <xf numFmtId="164" fontId="2" fillId="0" borderId="0" xfId="0" applyNumberFormat="1" applyFont="1" applyAlignment="1">
      <alignment horizontal="center" vertical="center" wrapText="1"/>
    </xf>
    <xf numFmtId="164" fontId="2" fillId="0" borderId="0" xfId="0" applyNumberFormat="1" applyFont="1" applyAlignment="1">
      <alignment vertical="center" wrapText="1"/>
    </xf>
    <xf numFmtId="43" fontId="2" fillId="0" borderId="0" xfId="0" applyNumberFormat="1" applyFont="1" applyAlignment="1">
      <alignment vertical="center" wrapText="1"/>
    </xf>
    <xf numFmtId="164" fontId="2" fillId="14" borderId="11" xfId="0" applyNumberFormat="1" applyFont="1" applyFill="1" applyBorder="1" applyAlignment="1">
      <alignment vertical="center" wrapText="1"/>
    </xf>
    <xf numFmtId="164" fontId="2" fillId="14" borderId="11" xfId="0" applyNumberFormat="1" applyFont="1" applyFill="1" applyBorder="1" applyAlignment="1">
      <alignment horizontal="center" vertical="center" wrapText="1"/>
    </xf>
    <xf numFmtId="43" fontId="2" fillId="14" borderId="11" xfId="0" applyNumberFormat="1" applyFont="1" applyFill="1" applyBorder="1" applyAlignment="1">
      <alignment vertical="center" wrapText="1"/>
    </xf>
    <xf numFmtId="164" fontId="3" fillId="0" borderId="0" xfId="0" applyNumberFormat="1" applyFont="1" applyAlignment="1">
      <alignment vertical="center" wrapText="1"/>
    </xf>
    <xf numFmtId="164" fontId="14" fillId="14" borderId="11" xfId="0" applyNumberFormat="1" applyFont="1" applyFill="1" applyBorder="1" applyAlignment="1">
      <alignment vertical="center" wrapText="1"/>
    </xf>
    <xf numFmtId="164" fontId="39" fillId="11" borderId="11" xfId="0" applyNumberFormat="1" applyFont="1" applyFill="1" applyBorder="1" applyAlignment="1">
      <alignment vertical="center" wrapText="1"/>
    </xf>
    <xf numFmtId="164" fontId="5" fillId="6" borderId="33" xfId="0" applyNumberFormat="1" applyFont="1" applyFill="1" applyBorder="1" applyAlignment="1">
      <alignment vertical="center"/>
    </xf>
    <xf numFmtId="0" fontId="3" fillId="6" borderId="35" xfId="0" applyFont="1" applyFill="1" applyBorder="1" applyAlignment="1">
      <alignment horizontal="center" vertical="center" wrapText="1"/>
    </xf>
    <xf numFmtId="164" fontId="3" fillId="6" borderId="35" xfId="0" applyNumberFormat="1" applyFont="1" applyFill="1" applyBorder="1" applyAlignment="1">
      <alignment vertical="center" wrapText="1"/>
    </xf>
    <xf numFmtId="43" fontId="8" fillId="6" borderId="35" xfId="0" applyNumberFormat="1" applyFont="1" applyFill="1" applyBorder="1" applyAlignment="1">
      <alignment horizontal="center" vertical="center" wrapText="1"/>
    </xf>
    <xf numFmtId="164" fontId="3" fillId="6" borderId="35" xfId="0" applyNumberFormat="1" applyFont="1" applyFill="1" applyBorder="1" applyAlignment="1">
      <alignment horizontal="center" vertical="center" wrapText="1"/>
    </xf>
    <xf numFmtId="164" fontId="8" fillId="8" borderId="11" xfId="0" applyNumberFormat="1" applyFont="1" applyFill="1" applyBorder="1" applyAlignment="1">
      <alignment horizontal="center" vertical="center" wrapText="1"/>
    </xf>
    <xf numFmtId="0" fontId="75" fillId="31" borderId="11" xfId="0" applyFont="1" applyFill="1" applyBorder="1" applyAlignment="1">
      <alignment vertical="center" wrapText="1"/>
    </xf>
    <xf numFmtId="0" fontId="75" fillId="17" borderId="11" xfId="0" applyFont="1" applyFill="1" applyBorder="1"/>
    <xf numFmtId="173" fontId="78" fillId="31" borderId="11" xfId="0" applyNumberFormat="1" applyFont="1" applyFill="1" applyBorder="1" applyAlignment="1">
      <alignment vertical="center" wrapText="1"/>
    </xf>
    <xf numFmtId="172" fontId="76" fillId="31" borderId="11" xfId="0" applyNumberFormat="1" applyFont="1" applyFill="1" applyBorder="1" applyAlignment="1">
      <alignment horizontal="right" vertical="center" wrapText="1"/>
    </xf>
    <xf numFmtId="0" fontId="75" fillId="31" borderId="11" xfId="0" applyFont="1" applyFill="1" applyBorder="1" applyAlignment="1">
      <alignment horizontal="center" vertical="center"/>
    </xf>
    <xf numFmtId="43" fontId="75" fillId="31" borderId="11" xfId="0" applyNumberFormat="1" applyFont="1" applyFill="1" applyBorder="1" applyAlignment="1">
      <alignment vertical="center"/>
    </xf>
    <xf numFmtId="43" fontId="75" fillId="31" borderId="11" xfId="0" applyNumberFormat="1" applyFont="1" applyFill="1" applyBorder="1" applyAlignment="1">
      <alignment horizontal="center" vertical="center"/>
    </xf>
    <xf numFmtId="3" fontId="75" fillId="31" borderId="11" xfId="0" applyNumberFormat="1" applyFont="1" applyFill="1" applyBorder="1" applyAlignment="1">
      <alignment vertical="center"/>
    </xf>
    <xf numFmtId="164" fontId="77" fillId="31" borderId="11" xfId="0" applyNumberFormat="1" applyFont="1" applyFill="1" applyBorder="1" applyAlignment="1">
      <alignment vertical="center"/>
    </xf>
    <xf numFmtId="164" fontId="77" fillId="31" borderId="11" xfId="0" applyNumberFormat="1" applyFont="1" applyFill="1" applyBorder="1" applyAlignment="1">
      <alignment horizontal="center" vertical="center"/>
    </xf>
    <xf numFmtId="0" fontId="73" fillId="31" borderId="11" xfId="0" applyFont="1" applyFill="1" applyBorder="1" applyAlignment="1">
      <alignment horizontal="center" vertical="center"/>
    </xf>
    <xf numFmtId="164" fontId="73" fillId="31" borderId="11" xfId="0" applyNumberFormat="1" applyFont="1" applyFill="1" applyBorder="1" applyAlignment="1">
      <alignment vertical="center"/>
    </xf>
    <xf numFmtId="43" fontId="73" fillId="31" borderId="11" xfId="0" applyNumberFormat="1" applyFont="1" applyFill="1" applyBorder="1" applyAlignment="1">
      <alignment vertical="center"/>
    </xf>
    <xf numFmtId="3" fontId="75" fillId="31" borderId="11" xfId="0" applyNumberFormat="1" applyFont="1" applyFill="1" applyBorder="1" applyAlignment="1">
      <alignment horizontal="center" vertical="center"/>
    </xf>
    <xf numFmtId="41" fontId="2" fillId="2" borderId="0" xfId="0" applyNumberFormat="1" applyFont="1" applyFill="1" applyAlignment="1">
      <alignment horizontal="center" vertical="center"/>
    </xf>
    <xf numFmtId="41" fontId="2" fillId="2" borderId="0" xfId="2" applyFont="1" applyFill="1" applyBorder="1" applyAlignment="1">
      <alignment horizontal="center" vertical="center"/>
    </xf>
    <xf numFmtId="172" fontId="2" fillId="2" borderId="0" xfId="2" applyNumberFormat="1" applyFont="1" applyFill="1" applyBorder="1" applyAlignment="1">
      <alignment horizontal="center" vertical="center"/>
    </xf>
    <xf numFmtId="172" fontId="2" fillId="2" borderId="0" xfId="0" applyNumberFormat="1" applyFont="1" applyFill="1" applyAlignment="1">
      <alignment horizontal="center" vertical="center"/>
    </xf>
    <xf numFmtId="164" fontId="2" fillId="0" borderId="11" xfId="0" applyNumberFormat="1" applyFont="1" applyBorder="1" applyAlignment="1">
      <alignment horizontal="center" vertical="center" wrapText="1"/>
    </xf>
    <xf numFmtId="164" fontId="3" fillId="0" borderId="20" xfId="0" applyNumberFormat="1" applyFont="1" applyBorder="1" applyAlignment="1">
      <alignment horizontal="center" vertical="center" wrapText="1"/>
    </xf>
    <xf numFmtId="164" fontId="15" fillId="5" borderId="11" xfId="0" applyNumberFormat="1" applyFont="1" applyFill="1" applyBorder="1" applyAlignment="1">
      <alignment horizontal="center" vertical="center" wrapText="1"/>
    </xf>
    <xf numFmtId="43" fontId="15" fillId="5" borderId="11" xfId="0" applyNumberFormat="1" applyFont="1" applyFill="1" applyBorder="1" applyAlignment="1">
      <alignment horizontal="center" vertical="center" wrapText="1"/>
    </xf>
    <xf numFmtId="43" fontId="30" fillId="5" borderId="11" xfId="0" applyNumberFormat="1" applyFont="1" applyFill="1" applyBorder="1" applyAlignment="1">
      <alignment horizontal="center" vertical="center" wrapText="1"/>
    </xf>
    <xf numFmtId="164" fontId="30" fillId="5" borderId="11" xfId="0" applyNumberFormat="1" applyFont="1" applyFill="1" applyBorder="1" applyAlignment="1">
      <alignment horizontal="center" vertical="center" wrapText="1"/>
    </xf>
    <xf numFmtId="0" fontId="3" fillId="0" borderId="38" xfId="0" applyFont="1" applyBorder="1" applyAlignment="1">
      <alignment horizontal="center" vertical="center"/>
    </xf>
    <xf numFmtId="168" fontId="3" fillId="0" borderId="38" xfId="0" applyNumberFormat="1" applyFont="1" applyBorder="1" applyAlignment="1">
      <alignment horizontal="center" vertical="center"/>
    </xf>
    <xf numFmtId="164" fontId="3" fillId="0" borderId="38" xfId="0" applyNumberFormat="1" applyFont="1" applyBorder="1" applyAlignment="1">
      <alignment horizontal="center" vertical="center"/>
    </xf>
    <xf numFmtId="3" fontId="2" fillId="0" borderId="11" xfId="0" quotePrefix="1" applyNumberFormat="1" applyFont="1" applyBorder="1" applyAlignment="1">
      <alignment horizontal="center" vertical="center" wrapText="1"/>
    </xf>
    <xf numFmtId="43" fontId="3" fillId="0" borderId="11" xfId="0" applyNumberFormat="1" applyFont="1" applyBorder="1" applyAlignment="1">
      <alignment horizontal="right" vertical="center"/>
    </xf>
    <xf numFmtId="168" fontId="3" fillId="0" borderId="11" xfId="0" applyNumberFormat="1" applyFont="1" applyBorder="1" applyAlignment="1">
      <alignment horizontal="right" vertical="center"/>
    </xf>
    <xf numFmtId="170" fontId="3" fillId="0" borderId="0" xfId="0" applyNumberFormat="1" applyFont="1" applyAlignment="1">
      <alignment horizontal="center" vertical="center"/>
    </xf>
    <xf numFmtId="164" fontId="3" fillId="0" borderId="0" xfId="0" applyNumberFormat="1" applyFont="1" applyAlignment="1">
      <alignment horizontal="center" vertical="center"/>
    </xf>
    <xf numFmtId="43" fontId="3" fillId="0" borderId="0" xfId="0" quotePrefix="1" applyNumberFormat="1" applyFont="1" applyAlignment="1">
      <alignment horizontal="right" vertical="center"/>
    </xf>
    <xf numFmtId="43" fontId="3" fillId="0" borderId="35" xfId="0" applyNumberFormat="1" applyFont="1" applyBorder="1" applyAlignment="1">
      <alignment horizontal="right" vertical="center"/>
    </xf>
    <xf numFmtId="3" fontId="3" fillId="0" borderId="15" xfId="0" applyNumberFormat="1" applyFont="1" applyBorder="1" applyAlignment="1">
      <alignment horizontal="center" vertical="center"/>
    </xf>
    <xf numFmtId="169" fontId="9" fillId="0" borderId="11" xfId="0" applyNumberFormat="1" applyFont="1" applyBorder="1" applyAlignment="1">
      <alignment horizontal="center" vertical="center" wrapText="1"/>
    </xf>
    <xf numFmtId="164" fontId="9" fillId="0" borderId="11" xfId="0" applyNumberFormat="1" applyFont="1" applyBorder="1" applyAlignment="1">
      <alignment horizontal="center" vertical="center"/>
    </xf>
    <xf numFmtId="168" fontId="9" fillId="0" borderId="11" xfId="0" applyNumberFormat="1" applyFont="1" applyBorder="1" applyAlignment="1">
      <alignment horizontal="center" vertical="center" wrapText="1"/>
    </xf>
    <xf numFmtId="167" fontId="9" fillId="0" borderId="11" xfId="0" applyNumberFormat="1" applyFont="1" applyBorder="1" applyAlignment="1">
      <alignment horizontal="center" vertical="center"/>
    </xf>
    <xf numFmtId="168" fontId="3" fillId="0" borderId="15" xfId="0" applyNumberFormat="1" applyFont="1" applyBorder="1" applyAlignment="1">
      <alignment horizontal="center" vertical="center"/>
    </xf>
    <xf numFmtId="168" fontId="3" fillId="0" borderId="15" xfId="0" applyNumberFormat="1" applyFont="1" applyBorder="1" applyAlignment="1">
      <alignment horizontal="center" vertical="center" wrapText="1"/>
    </xf>
    <xf numFmtId="3" fontId="41" fillId="17" borderId="11" xfId="0" applyNumberFormat="1" applyFont="1" applyFill="1" applyBorder="1" applyAlignment="1">
      <alignment horizontal="center" vertical="center"/>
    </xf>
    <xf numFmtId="41" fontId="5" fillId="6" borderId="33" xfId="0" applyNumberFormat="1" applyFont="1" applyFill="1" applyBorder="1" applyAlignment="1">
      <alignment horizontal="center" vertical="center" wrapText="1"/>
    </xf>
    <xf numFmtId="173" fontId="76" fillId="31" borderId="11" xfId="0" applyNumberFormat="1" applyFont="1" applyFill="1" applyBorder="1" applyAlignment="1">
      <alignment vertical="center" wrapText="1"/>
    </xf>
    <xf numFmtId="41" fontId="76" fillId="31" borderId="11" xfId="0" applyNumberFormat="1" applyFont="1" applyFill="1" applyBorder="1" applyAlignment="1">
      <alignment horizontal="right" vertical="center" wrapText="1"/>
    </xf>
    <xf numFmtId="41" fontId="5" fillId="0" borderId="11" xfId="0" applyNumberFormat="1" applyFont="1" applyBorder="1" applyAlignment="1">
      <alignment horizontal="right" vertical="center" wrapText="1"/>
    </xf>
    <xf numFmtId="41" fontId="5" fillId="6" borderId="11" xfId="0" applyNumberFormat="1" applyFont="1" applyFill="1" applyBorder="1" applyAlignment="1">
      <alignment horizontal="right" vertical="center" wrapText="1"/>
    </xf>
    <xf numFmtId="41" fontId="35" fillId="0" borderId="33" xfId="0" applyNumberFormat="1" applyFont="1" applyBorder="1" applyAlignment="1">
      <alignment horizontal="right" vertical="center" wrapText="1"/>
    </xf>
    <xf numFmtId="41" fontId="3" fillId="0" borderId="33" xfId="0" applyNumberFormat="1" applyFont="1" applyBorder="1" applyAlignment="1">
      <alignment horizontal="right" vertical="center" wrapText="1"/>
    </xf>
    <xf numFmtId="41" fontId="5" fillId="6" borderId="33" xfId="0" applyNumberFormat="1" applyFont="1" applyFill="1" applyBorder="1" applyAlignment="1">
      <alignment horizontal="right" vertical="center" wrapText="1"/>
    </xf>
    <xf numFmtId="41" fontId="3" fillId="6" borderId="35" xfId="0" applyNumberFormat="1" applyFont="1" applyFill="1" applyBorder="1" applyAlignment="1">
      <alignment horizontal="right" vertical="center" wrapText="1"/>
    </xf>
    <xf numFmtId="164" fontId="34" fillId="8" borderId="11" xfId="0" applyNumberFormat="1" applyFont="1" applyFill="1" applyBorder="1" applyAlignment="1">
      <alignment vertical="center"/>
    </xf>
    <xf numFmtId="164" fontId="34" fillId="0" borderId="11" xfId="0" applyNumberFormat="1" applyFont="1" applyBorder="1" applyAlignment="1">
      <alignment vertical="center"/>
    </xf>
    <xf numFmtId="43" fontId="3" fillId="32" borderId="11" xfId="0" applyNumberFormat="1" applyFont="1" applyFill="1" applyBorder="1" applyAlignment="1">
      <alignment vertical="center"/>
    </xf>
    <xf numFmtId="43" fontId="3" fillId="32" borderId="33" xfId="0" applyNumberFormat="1" applyFont="1" applyFill="1" applyBorder="1" applyAlignment="1">
      <alignment vertical="center"/>
    </xf>
    <xf numFmtId="164" fontId="3" fillId="24" borderId="33" xfId="0" applyNumberFormat="1" applyFont="1" applyFill="1" applyBorder="1" applyAlignment="1">
      <alignment vertical="center" wrapText="1"/>
    </xf>
    <xf numFmtId="164" fontId="3" fillId="32" borderId="33" xfId="0" applyNumberFormat="1" applyFont="1" applyFill="1" applyBorder="1" applyAlignment="1">
      <alignment vertical="center"/>
    </xf>
    <xf numFmtId="164" fontId="3" fillId="32" borderId="11" xfId="0" applyNumberFormat="1" applyFont="1" applyFill="1" applyBorder="1" applyAlignment="1">
      <alignment vertical="center"/>
    </xf>
    <xf numFmtId="43" fontId="3" fillId="24" borderId="33" xfId="0" applyNumberFormat="1" applyFont="1" applyFill="1" applyBorder="1" applyAlignment="1">
      <alignment vertical="center" wrapText="1"/>
    </xf>
    <xf numFmtId="4" fontId="9" fillId="0" borderId="11" xfId="0" applyNumberFormat="1" applyFont="1" applyBorder="1" applyAlignment="1">
      <alignment horizontal="center" vertical="center"/>
    </xf>
    <xf numFmtId="164" fontId="9" fillId="0" borderId="11" xfId="0" applyNumberFormat="1" applyFont="1" applyBorder="1" applyAlignment="1">
      <alignment vertical="center" wrapText="1"/>
    </xf>
    <xf numFmtId="43" fontId="9" fillId="0" borderId="11" xfId="0" applyNumberFormat="1" applyFont="1" applyBorder="1" applyAlignment="1">
      <alignment vertical="center" wrapText="1"/>
    </xf>
    <xf numFmtId="41" fontId="35" fillId="0" borderId="11" xfId="0" applyNumberFormat="1" applyFont="1" applyBorder="1" applyAlignment="1">
      <alignment horizontal="right" vertical="center" wrapText="1"/>
    </xf>
    <xf numFmtId="43" fontId="11" fillId="0" borderId="11" xfId="0" applyNumberFormat="1" applyFont="1" applyBorder="1" applyAlignment="1">
      <alignment horizontal="center" vertical="center" wrapText="1"/>
    </xf>
    <xf numFmtId="164" fontId="11" fillId="0" borderId="11" xfId="0" applyNumberFormat="1" applyFont="1" applyBorder="1" applyAlignment="1">
      <alignment horizontal="center" vertical="center" wrapText="1"/>
    </xf>
    <xf numFmtId="172" fontId="35" fillId="0" borderId="11" xfId="0" applyNumberFormat="1" applyFont="1" applyBorder="1" applyAlignment="1">
      <alignment horizontal="right" vertical="center" wrapText="1"/>
    </xf>
    <xf numFmtId="164" fontId="9" fillId="0" borderId="11" xfId="0" applyNumberFormat="1" applyFont="1" applyBorder="1" applyAlignment="1">
      <alignment vertical="center"/>
    </xf>
    <xf numFmtId="43" fontId="9" fillId="0" borderId="11" xfId="0" applyNumberFormat="1" applyFont="1" applyBorder="1" applyAlignment="1">
      <alignment vertical="center"/>
    </xf>
    <xf numFmtId="167" fontId="11" fillId="0" borderId="11" xfId="0" applyNumberFormat="1" applyFont="1" applyBorder="1" applyAlignment="1">
      <alignment horizontal="center" vertical="center" wrapText="1"/>
    </xf>
    <xf numFmtId="43" fontId="9" fillId="0" borderId="11" xfId="0" applyNumberFormat="1" applyFont="1" applyBorder="1" applyAlignment="1">
      <alignment horizontal="center" vertical="center" wrapText="1"/>
    </xf>
    <xf numFmtId="0" fontId="9" fillId="0" borderId="38" xfId="0" applyFont="1" applyBorder="1" applyAlignment="1">
      <alignment horizontal="center" vertical="center" wrapText="1"/>
    </xf>
    <xf numFmtId="164" fontId="9" fillId="0" borderId="38" xfId="0" applyNumberFormat="1" applyFont="1" applyBorder="1" applyAlignment="1">
      <alignment vertical="center"/>
    </xf>
    <xf numFmtId="43" fontId="9" fillId="0" borderId="38" xfId="0" applyNumberFormat="1" applyFont="1" applyBorder="1" applyAlignment="1">
      <alignment horizontal="center" vertical="center" wrapText="1"/>
    </xf>
    <xf numFmtId="164" fontId="9" fillId="0" borderId="38" xfId="0" applyNumberFormat="1" applyFont="1" applyBorder="1" applyAlignment="1">
      <alignment horizontal="center" vertical="center" wrapText="1"/>
    </xf>
    <xf numFmtId="41" fontId="9" fillId="0" borderId="38" xfId="0" applyNumberFormat="1" applyFont="1" applyBorder="1" applyAlignment="1">
      <alignment horizontal="center" vertical="center" wrapText="1"/>
    </xf>
    <xf numFmtId="172" fontId="35" fillId="0" borderId="38" xfId="0" applyNumberFormat="1" applyFont="1" applyBorder="1" applyAlignment="1">
      <alignment horizontal="right" vertical="center" wrapText="1"/>
    </xf>
    <xf numFmtId="0" fontId="9" fillId="0" borderId="33" xfId="0" applyFont="1" applyBorder="1" applyAlignment="1">
      <alignment horizontal="center" vertical="center" wrapText="1"/>
    </xf>
    <xf numFmtId="164" fontId="9" fillId="0" borderId="33" xfId="0" applyNumberFormat="1" applyFont="1" applyBorder="1" applyAlignment="1">
      <alignment vertical="center" wrapText="1"/>
    </xf>
    <xf numFmtId="43" fontId="11" fillId="0" borderId="33" xfId="0" applyNumberFormat="1" applyFont="1" applyBorder="1" applyAlignment="1">
      <alignment horizontal="center" vertical="center" wrapText="1"/>
    </xf>
    <xf numFmtId="172" fontId="35" fillId="0" borderId="33" xfId="0" applyNumberFormat="1" applyFont="1" applyBorder="1" applyAlignment="1">
      <alignment horizontal="right" vertical="center" wrapText="1"/>
    </xf>
    <xf numFmtId="164" fontId="9" fillId="0" borderId="33" xfId="0" applyNumberFormat="1" applyFont="1" applyBorder="1" applyAlignment="1">
      <alignment vertical="center"/>
    </xf>
    <xf numFmtId="43" fontId="9" fillId="0" borderId="33" xfId="0" applyNumberFormat="1" applyFont="1" applyBorder="1" applyAlignment="1">
      <alignment vertical="center"/>
    </xf>
    <xf numFmtId="41" fontId="9" fillId="0" borderId="33" xfId="0" applyNumberFormat="1" applyFont="1" applyBorder="1" applyAlignment="1">
      <alignment horizontal="center" vertical="center" wrapText="1"/>
    </xf>
    <xf numFmtId="0" fontId="9" fillId="0" borderId="35" xfId="0" applyFont="1" applyBorder="1" applyAlignment="1">
      <alignment horizontal="center" vertical="center" wrapText="1"/>
    </xf>
    <xf numFmtId="164" fontId="9" fillId="0" borderId="35" xfId="0" applyNumberFormat="1" applyFont="1" applyBorder="1" applyAlignment="1">
      <alignment vertical="center" wrapText="1"/>
    </xf>
    <xf numFmtId="43" fontId="11" fillId="0" borderId="35" xfId="0" applyNumberFormat="1" applyFont="1" applyBorder="1" applyAlignment="1">
      <alignment horizontal="center" vertical="center" wrapText="1"/>
    </xf>
    <xf numFmtId="164" fontId="9" fillId="0" borderId="35" xfId="0" applyNumberFormat="1" applyFont="1" applyBorder="1" applyAlignment="1">
      <alignment horizontal="center" vertical="center" wrapText="1"/>
    </xf>
    <xf numFmtId="172" fontId="9" fillId="0" borderId="35" xfId="0" applyNumberFormat="1" applyFont="1" applyBorder="1" applyAlignment="1">
      <alignment horizontal="right" vertical="center" wrapText="1"/>
    </xf>
    <xf numFmtId="164" fontId="2" fillId="0" borderId="25" xfId="0" applyNumberFormat="1" applyFont="1" applyBorder="1" applyAlignment="1">
      <alignment horizontal="center" vertical="center" wrapText="1"/>
    </xf>
    <xf numFmtId="164" fontId="8" fillId="0" borderId="11" xfId="0" applyNumberFormat="1" applyFont="1" applyBorder="1" applyAlignment="1">
      <alignment vertical="center"/>
    </xf>
    <xf numFmtId="0" fontId="75" fillId="31" borderId="11" xfId="0" applyFont="1" applyFill="1" applyBorder="1" applyAlignment="1">
      <alignment horizontal="center" vertical="center" wrapText="1"/>
    </xf>
    <xf numFmtId="164" fontId="74" fillId="31" borderId="11" xfId="0" applyNumberFormat="1" applyFont="1" applyFill="1" applyBorder="1" applyAlignment="1">
      <alignment vertical="center" wrapText="1"/>
    </xf>
    <xf numFmtId="164" fontId="73" fillId="31" borderId="11" xfId="0" applyNumberFormat="1" applyFont="1" applyFill="1" applyBorder="1" applyAlignment="1">
      <alignment vertical="center" wrapText="1"/>
    </xf>
    <xf numFmtId="167" fontId="73" fillId="31" borderId="11" xfId="0" applyNumberFormat="1" applyFont="1" applyFill="1" applyBorder="1" applyAlignment="1">
      <alignment vertical="center" wrapText="1"/>
    </xf>
    <xf numFmtId="164" fontId="73" fillId="31" borderId="11" xfId="0" applyNumberFormat="1" applyFont="1" applyFill="1" applyBorder="1" applyAlignment="1">
      <alignment horizontal="center" vertical="center" wrapText="1"/>
    </xf>
    <xf numFmtId="164" fontId="75" fillId="31" borderId="11" xfId="0" applyNumberFormat="1" applyFont="1" applyFill="1" applyBorder="1" applyAlignment="1">
      <alignment vertical="center" wrapText="1"/>
    </xf>
    <xf numFmtId="43" fontId="77" fillId="31" borderId="11" xfId="0" applyNumberFormat="1" applyFont="1" applyFill="1" applyBorder="1" applyAlignment="1">
      <alignment horizontal="center" vertical="center" wrapText="1"/>
    </xf>
    <xf numFmtId="164" fontId="77" fillId="31" borderId="11" xfId="0" applyNumberFormat="1" applyFont="1" applyFill="1" applyBorder="1" applyAlignment="1">
      <alignment horizontal="center" vertical="center" wrapText="1"/>
    </xf>
    <xf numFmtId="43" fontId="73" fillId="31" borderId="11" xfId="0" applyNumberFormat="1" applyFont="1" applyFill="1" applyBorder="1" applyAlignment="1">
      <alignment vertical="center" wrapText="1"/>
    </xf>
    <xf numFmtId="43" fontId="75" fillId="31" borderId="11" xfId="0" applyNumberFormat="1" applyFont="1" applyFill="1" applyBorder="1" applyAlignment="1">
      <alignment vertical="center" wrapText="1"/>
    </xf>
    <xf numFmtId="164" fontId="75" fillId="31" borderId="11" xfId="0" applyNumberFormat="1" applyFont="1" applyFill="1" applyBorder="1" applyAlignment="1">
      <alignment horizontal="center" vertical="center" wrapText="1"/>
    </xf>
    <xf numFmtId="3" fontId="75" fillId="31" borderId="11" xfId="0" applyNumberFormat="1" applyFont="1" applyFill="1" applyBorder="1" applyAlignment="1">
      <alignment horizontal="center" vertical="center" wrapText="1"/>
    </xf>
    <xf numFmtId="43" fontId="75" fillId="31" borderId="11" xfId="0" applyNumberFormat="1" applyFont="1" applyFill="1" applyBorder="1" applyAlignment="1">
      <alignment horizontal="center" vertical="center" wrapText="1"/>
    </xf>
    <xf numFmtId="172" fontId="75" fillId="31" borderId="11" xfId="0" applyNumberFormat="1" applyFont="1" applyFill="1" applyBorder="1" applyAlignment="1">
      <alignment horizontal="right" vertical="center" wrapText="1"/>
    </xf>
    <xf numFmtId="172" fontId="75" fillId="31" borderId="11" xfId="0" applyNumberFormat="1" applyFont="1" applyFill="1" applyBorder="1" applyAlignment="1">
      <alignment horizontal="right" vertical="center"/>
    </xf>
    <xf numFmtId="164" fontId="5" fillId="0" borderId="11" xfId="0" applyNumberFormat="1" applyFont="1" applyBorder="1" applyAlignment="1">
      <alignment vertical="center" wrapText="1"/>
    </xf>
    <xf numFmtId="167" fontId="3" fillId="0" borderId="11" xfId="0" applyNumberFormat="1" applyFont="1" applyBorder="1" applyAlignment="1">
      <alignment vertical="center" wrapText="1"/>
    </xf>
    <xf numFmtId="164" fontId="3" fillId="0" borderId="15" xfId="0" applyNumberFormat="1" applyFont="1" applyBorder="1" applyAlignment="1">
      <alignment horizontal="center" vertical="center"/>
    </xf>
    <xf numFmtId="43" fontId="3" fillId="0" borderId="15" xfId="0" applyNumberFormat="1" applyFont="1" applyBorder="1" applyAlignment="1">
      <alignment horizontal="right" vertical="center"/>
    </xf>
    <xf numFmtId="169" fontId="3" fillId="0" borderId="38" xfId="0" applyNumberFormat="1" applyFont="1" applyBorder="1" applyAlignment="1">
      <alignment horizontal="center" vertical="center"/>
    </xf>
    <xf numFmtId="43" fontId="3" fillId="0" borderId="38" xfId="0" applyNumberFormat="1" applyFont="1" applyBorder="1" applyAlignment="1">
      <alignment horizontal="right" vertical="center"/>
    </xf>
    <xf numFmtId="167" fontId="3" fillId="0" borderId="11" xfId="0" quotePrefix="1" applyNumberFormat="1" applyFont="1" applyBorder="1" applyAlignment="1">
      <alignment horizontal="center" vertical="center"/>
    </xf>
    <xf numFmtId="3" fontId="2" fillId="0" borderId="35" xfId="0" applyNumberFormat="1" applyFont="1" applyBorder="1" applyAlignment="1">
      <alignment horizontal="center" vertical="center" wrapText="1"/>
    </xf>
    <xf numFmtId="3" fontId="2" fillId="0" borderId="35" xfId="0" quotePrefix="1" applyNumberFormat="1" applyFont="1" applyBorder="1" applyAlignment="1">
      <alignment horizontal="center" vertical="center" wrapText="1"/>
    </xf>
    <xf numFmtId="0" fontId="9" fillId="0" borderId="11" xfId="0" applyFont="1" applyBorder="1" applyAlignment="1">
      <alignment vertical="center"/>
    </xf>
    <xf numFmtId="3" fontId="3" fillId="0" borderId="11" xfId="0" applyNumberFormat="1" applyFont="1" applyBorder="1" applyAlignment="1">
      <alignment horizontal="right" vertical="center"/>
    </xf>
    <xf numFmtId="43" fontId="9" fillId="0" borderId="11" xfId="0" applyNumberFormat="1" applyFont="1" applyBorder="1" applyAlignment="1">
      <alignment horizontal="center" vertical="center"/>
    </xf>
    <xf numFmtId="164" fontId="3" fillId="0" borderId="15" xfId="0" applyNumberFormat="1" applyFont="1" applyBorder="1" applyAlignment="1">
      <alignment horizontal="center" vertical="center" wrapText="1"/>
    </xf>
    <xf numFmtId="169" fontId="3" fillId="0" borderId="20" xfId="0" applyNumberFormat="1" applyFont="1" applyBorder="1" applyAlignment="1">
      <alignment horizontal="center" vertical="center"/>
    </xf>
    <xf numFmtId="168" fontId="3" fillId="0" borderId="20" xfId="0" applyNumberFormat="1" applyFont="1" applyBorder="1" applyAlignment="1">
      <alignment horizontal="center" vertical="center" wrapText="1"/>
    </xf>
    <xf numFmtId="3" fontId="3" fillId="0" borderId="20" xfId="0" applyNumberFormat="1" applyFont="1" applyBorder="1" applyAlignment="1">
      <alignment horizontal="center" vertical="center"/>
    </xf>
    <xf numFmtId="164" fontId="3" fillId="0" borderId="20" xfId="0" applyNumberFormat="1" applyFont="1" applyBorder="1" applyAlignment="1">
      <alignment horizontal="center" vertical="center"/>
    </xf>
    <xf numFmtId="0" fontId="3" fillId="0" borderId="38" xfId="0" applyFont="1" applyBorder="1" applyAlignment="1">
      <alignment vertical="center"/>
    </xf>
    <xf numFmtId="171" fontId="5" fillId="0" borderId="33" xfId="0" applyNumberFormat="1" applyFont="1" applyBorder="1" applyAlignment="1">
      <alignment horizontal="right" vertical="center"/>
    </xf>
    <xf numFmtId="171" fontId="35" fillId="7" borderId="33" xfId="0" applyNumberFormat="1" applyFont="1" applyFill="1" applyBorder="1" applyAlignment="1">
      <alignment horizontal="right" vertical="center" wrapText="1"/>
    </xf>
    <xf numFmtId="164" fontId="58" fillId="0" borderId="11" xfId="0" applyNumberFormat="1" applyFont="1" applyBorder="1" applyAlignment="1">
      <alignment horizontal="center" vertical="center"/>
    </xf>
    <xf numFmtId="164" fontId="58" fillId="6" borderId="33" xfId="0" applyNumberFormat="1" applyFont="1" applyFill="1" applyBorder="1" applyAlignment="1">
      <alignment horizontal="center" vertical="center"/>
    </xf>
    <xf numFmtId="41" fontId="58" fillId="0" borderId="11" xfId="2" applyFont="1" applyBorder="1" applyAlignment="1">
      <alignment horizontal="center" vertical="center"/>
    </xf>
    <xf numFmtId="41" fontId="3" fillId="2" borderId="32" xfId="2" applyFont="1" applyFill="1" applyBorder="1" applyAlignment="1">
      <alignment horizontal="center" vertical="center"/>
    </xf>
    <xf numFmtId="41" fontId="80" fillId="0" borderId="11" xfId="2" applyFont="1" applyFill="1" applyBorder="1" applyAlignment="1">
      <alignment horizontal="center" vertical="center"/>
    </xf>
    <xf numFmtId="0" fontId="3" fillId="0" borderId="13" xfId="0" applyFont="1" applyBorder="1" applyAlignment="1">
      <alignment horizontal="center" vertical="center"/>
    </xf>
    <xf numFmtId="0" fontId="3" fillId="0" borderId="11" xfId="0" applyFont="1" applyBorder="1" applyAlignment="1">
      <alignment horizontal="left" vertical="center"/>
    </xf>
    <xf numFmtId="0" fontId="35" fillId="0" borderId="11" xfId="0" applyFont="1" applyBorder="1" applyAlignment="1">
      <alignment vertical="center"/>
    </xf>
    <xf numFmtId="43" fontId="31" fillId="5" borderId="11" xfId="0" applyNumberFormat="1" applyFont="1" applyFill="1" applyBorder="1" applyAlignment="1">
      <alignment horizontal="center" vertical="center"/>
    </xf>
    <xf numFmtId="43" fontId="16" fillId="5" borderId="11" xfId="0" applyNumberFormat="1" applyFont="1" applyFill="1" applyBorder="1" applyAlignment="1">
      <alignment horizontal="center" vertical="center"/>
    </xf>
    <xf numFmtId="0" fontId="0" fillId="0" borderId="11" xfId="0" applyBorder="1"/>
    <xf numFmtId="43" fontId="2" fillId="2" borderId="11" xfId="0" applyNumberFormat="1" applyFont="1" applyFill="1" applyBorder="1" applyAlignment="1">
      <alignment vertical="center" wrapText="1"/>
    </xf>
    <xf numFmtId="0" fontId="2" fillId="7" borderId="15" xfId="0" applyFont="1" applyFill="1" applyBorder="1" applyAlignment="1">
      <alignment horizontal="center" vertical="center" wrapText="1"/>
    </xf>
    <xf numFmtId="43" fontId="3" fillId="23" borderId="12" xfId="1" applyFont="1" applyFill="1" applyBorder="1" applyAlignment="1">
      <alignment vertical="center"/>
    </xf>
    <xf numFmtId="43" fontId="3" fillId="23" borderId="13" xfId="1" applyFont="1" applyFill="1" applyBorder="1" applyAlignment="1">
      <alignment vertical="center"/>
    </xf>
    <xf numFmtId="43" fontId="3" fillId="23" borderId="11" xfId="1" applyFont="1" applyFill="1" applyBorder="1" applyAlignment="1">
      <alignment vertical="center"/>
    </xf>
    <xf numFmtId="0" fontId="35" fillId="0" borderId="11" xfId="0" applyFont="1" applyBorder="1" applyAlignment="1">
      <alignment horizontal="left" vertical="center"/>
    </xf>
    <xf numFmtId="0" fontId="2" fillId="4" borderId="15" xfId="0" applyFont="1" applyFill="1" applyBorder="1" applyAlignment="1">
      <alignment horizontal="center" vertical="center" wrapText="1"/>
    </xf>
    <xf numFmtId="0" fontId="3" fillId="0" borderId="34" xfId="0" applyFont="1" applyBorder="1" applyAlignment="1">
      <alignment horizontal="center" vertical="center"/>
    </xf>
    <xf numFmtId="0" fontId="3" fillId="0" borderId="25" xfId="0" applyFont="1" applyBorder="1" applyAlignment="1">
      <alignment horizontal="center" vertical="center"/>
    </xf>
    <xf numFmtId="0" fontId="3" fillId="0" borderId="25" xfId="0" applyFont="1" applyBorder="1" applyAlignment="1">
      <alignment vertical="center"/>
    </xf>
    <xf numFmtId="0" fontId="3" fillId="0" borderId="12" xfId="0" applyFont="1" applyBorder="1" applyAlignment="1">
      <alignment horizontal="center" vertical="center"/>
    </xf>
    <xf numFmtId="41" fontId="3" fillId="0" borderId="34" xfId="0" applyNumberFormat="1" applyFont="1" applyBorder="1" applyAlignment="1">
      <alignment vertical="center"/>
    </xf>
    <xf numFmtId="0" fontId="8" fillId="0" borderId="20" xfId="0" applyFont="1" applyBorder="1" applyAlignment="1">
      <alignment horizontal="center" vertical="center"/>
    </xf>
    <xf numFmtId="0" fontId="5" fillId="0" borderId="12" xfId="0" applyFont="1" applyBorder="1" applyAlignment="1">
      <alignment horizontal="center" vertical="center" wrapText="1"/>
    </xf>
    <xf numFmtId="0" fontId="14" fillId="0" borderId="34" xfId="0" applyFont="1" applyBorder="1" applyAlignment="1">
      <alignment horizontal="center" vertical="center" wrapText="1"/>
    </xf>
    <xf numFmtId="171" fontId="35" fillId="0" borderId="34" xfId="0" applyNumberFormat="1" applyFont="1" applyBorder="1" applyAlignment="1">
      <alignment vertical="center"/>
    </xf>
    <xf numFmtId="41" fontId="5" fillId="0" borderId="34" xfId="0" applyNumberFormat="1" applyFont="1" applyBorder="1" applyAlignment="1">
      <alignment vertical="center"/>
    </xf>
    <xf numFmtId="41" fontId="5" fillId="0" borderId="36" xfId="0" applyNumberFormat="1" applyFont="1" applyBorder="1" applyAlignment="1">
      <alignment vertical="center"/>
    </xf>
    <xf numFmtId="41" fontId="5" fillId="0" borderId="71" xfId="0" applyNumberFormat="1" applyFont="1" applyBorder="1" applyAlignment="1">
      <alignment vertical="center"/>
    </xf>
    <xf numFmtId="41" fontId="5" fillId="0" borderId="72" xfId="0" applyNumberFormat="1" applyFont="1" applyBorder="1" applyAlignment="1">
      <alignment vertical="center"/>
    </xf>
    <xf numFmtId="41" fontId="2" fillId="0" borderId="34" xfId="0" applyNumberFormat="1" applyFont="1" applyBorder="1" applyAlignment="1">
      <alignment vertical="center"/>
    </xf>
    <xf numFmtId="41" fontId="2" fillId="0" borderId="36" xfId="0" applyNumberFormat="1" applyFont="1" applyBorder="1" applyAlignment="1">
      <alignment vertical="center"/>
    </xf>
    <xf numFmtId="0" fontId="35" fillId="0" borderId="13" xfId="0" applyFont="1" applyBorder="1" applyAlignment="1">
      <alignment horizontal="center" vertical="center"/>
    </xf>
    <xf numFmtId="0" fontId="2" fillId="2" borderId="11" xfId="0" applyFont="1" applyFill="1" applyBorder="1" applyAlignment="1">
      <alignment vertical="center" wrapText="1"/>
    </xf>
    <xf numFmtId="4" fontId="8" fillId="7" borderId="11" xfId="0" applyNumberFormat="1" applyFont="1" applyFill="1" applyBorder="1" applyAlignment="1">
      <alignment vertical="center"/>
    </xf>
    <xf numFmtId="0" fontId="2" fillId="0" borderId="11" xfId="0" applyFont="1" applyBorder="1" applyAlignment="1">
      <alignment vertical="center" wrapText="1"/>
    </xf>
    <xf numFmtId="166" fontId="11" fillId="0" borderId="11" xfId="0" applyNumberFormat="1" applyFont="1" applyBorder="1" applyAlignment="1">
      <alignment vertical="center" wrapText="1"/>
    </xf>
    <xf numFmtId="2" fontId="11" fillId="0" borderId="11" xfId="0" applyNumberFormat="1" applyFont="1" applyBorder="1" applyAlignment="1">
      <alignment vertical="center" wrapText="1"/>
    </xf>
    <xf numFmtId="4" fontId="8" fillId="0" borderId="12" xfId="0" applyNumberFormat="1" applyFont="1" applyBorder="1" applyAlignment="1">
      <alignment vertical="center"/>
    </xf>
    <xf numFmtId="4" fontId="8" fillId="0" borderId="13" xfId="0" applyNumberFormat="1" applyFont="1" applyBorder="1" applyAlignment="1">
      <alignment vertical="center"/>
    </xf>
    <xf numFmtId="4" fontId="8" fillId="4" borderId="11" xfId="0" applyNumberFormat="1" applyFont="1" applyFill="1" applyBorder="1" applyAlignment="1">
      <alignment vertical="center"/>
    </xf>
    <xf numFmtId="0" fontId="9" fillId="0" borderId="11" xfId="0" applyFont="1" applyBorder="1" applyAlignment="1">
      <alignment vertical="center" wrapText="1"/>
    </xf>
    <xf numFmtId="3" fontId="8" fillId="7" borderId="11" xfId="0" applyNumberFormat="1" applyFont="1" applyFill="1" applyBorder="1" applyAlignment="1">
      <alignment vertical="center" wrapText="1"/>
    </xf>
    <xf numFmtId="3" fontId="3" fillId="4" borderId="11" xfId="0" applyNumberFormat="1" applyFont="1" applyFill="1" applyBorder="1" applyAlignment="1">
      <alignment vertical="center" wrapText="1"/>
    </xf>
    <xf numFmtId="3" fontId="3" fillId="0" borderId="15" xfId="0" applyNumberFormat="1" applyFont="1" applyBorder="1" applyAlignment="1">
      <alignment vertical="center" wrapText="1"/>
    </xf>
    <xf numFmtId="3" fontId="3" fillId="0" borderId="20" xfId="0" applyNumberFormat="1" applyFont="1" applyBorder="1" applyAlignment="1">
      <alignment vertical="center" wrapText="1"/>
    </xf>
    <xf numFmtId="0" fontId="2" fillId="2" borderId="23" xfId="0" applyFont="1" applyFill="1" applyBorder="1" applyAlignment="1">
      <alignment horizontal="center" vertical="center" wrapText="1"/>
    </xf>
    <xf numFmtId="0" fontId="82" fillId="3" borderId="15" xfId="0" applyFont="1" applyFill="1" applyBorder="1" applyAlignment="1">
      <alignment vertical="center"/>
    </xf>
    <xf numFmtId="0" fontId="82" fillId="3" borderId="21" xfId="0" applyFont="1" applyFill="1" applyBorder="1" applyAlignment="1">
      <alignment horizontal="center" vertical="center"/>
    </xf>
    <xf numFmtId="0" fontId="2" fillId="3" borderId="15" xfId="0" applyFont="1" applyFill="1" applyBorder="1" applyAlignment="1">
      <alignment horizontal="center" vertical="center" wrapText="1"/>
    </xf>
    <xf numFmtId="0" fontId="82" fillId="3" borderId="16" xfId="0" applyFont="1" applyFill="1" applyBorder="1" applyAlignment="1">
      <alignment vertical="center"/>
    </xf>
    <xf numFmtId="0" fontId="82" fillId="3" borderId="63" xfId="0" applyFont="1" applyFill="1" applyBorder="1" applyAlignment="1">
      <alignment horizontal="center" vertical="center"/>
    </xf>
    <xf numFmtId="0" fontId="82" fillId="3" borderId="20" xfId="0" applyFont="1" applyFill="1" applyBorder="1" applyAlignment="1">
      <alignment horizontal="center" vertical="center" wrapText="1"/>
    </xf>
    <xf numFmtId="0" fontId="2" fillId="3" borderId="16" xfId="0" applyFont="1" applyFill="1" applyBorder="1" applyAlignment="1">
      <alignment vertical="center"/>
    </xf>
    <xf numFmtId="0" fontId="2" fillId="3" borderId="16" xfId="0" applyFont="1" applyFill="1" applyBorder="1" applyAlignment="1">
      <alignment horizontal="center" vertical="center"/>
    </xf>
    <xf numFmtId="0" fontId="82" fillId="3" borderId="16" xfId="0" applyFont="1" applyFill="1" applyBorder="1" applyAlignment="1">
      <alignment horizontal="center" vertical="center"/>
    </xf>
    <xf numFmtId="0" fontId="82" fillId="3" borderId="16" xfId="0" applyFont="1" applyFill="1" applyBorder="1" applyAlignment="1">
      <alignment horizontal="center" vertical="center" wrapText="1"/>
    </xf>
    <xf numFmtId="0" fontId="2" fillId="23" borderId="15" xfId="0" applyFont="1" applyFill="1" applyBorder="1" applyAlignment="1">
      <alignment horizontal="center" vertical="center" wrapText="1"/>
    </xf>
    <xf numFmtId="0" fontId="82" fillId="3" borderId="49" xfId="0" applyFont="1" applyFill="1" applyBorder="1" applyAlignment="1">
      <alignment horizontal="center" vertical="center"/>
    </xf>
    <xf numFmtId="0" fontId="83" fillId="23" borderId="20" xfId="0" applyFont="1" applyFill="1" applyBorder="1" applyAlignment="1">
      <alignment horizontal="center" vertical="center" wrapText="1"/>
    </xf>
    <xf numFmtId="0" fontId="85" fillId="7" borderId="20" xfId="0" applyFont="1" applyFill="1" applyBorder="1" applyAlignment="1">
      <alignment horizontal="center" vertical="center" wrapText="1"/>
    </xf>
    <xf numFmtId="0" fontId="83" fillId="23" borderId="16" xfId="0" applyFont="1" applyFill="1" applyBorder="1" applyAlignment="1">
      <alignment horizontal="center" vertical="center" wrapText="1"/>
    </xf>
    <xf numFmtId="0" fontId="86" fillId="4" borderId="20" xfId="0" applyFont="1" applyFill="1" applyBorder="1" applyAlignment="1">
      <alignment horizontal="center" vertical="center" wrapText="1"/>
    </xf>
    <xf numFmtId="4" fontId="8" fillId="7" borderId="15" xfId="0" applyNumberFormat="1" applyFont="1" applyFill="1" applyBorder="1" applyAlignment="1">
      <alignment vertical="center"/>
    </xf>
    <xf numFmtId="4" fontId="3" fillId="4" borderId="17" xfId="0" applyNumberFormat="1" applyFont="1" applyFill="1" applyBorder="1" applyAlignment="1">
      <alignment vertical="center"/>
    </xf>
    <xf numFmtId="2" fontId="9" fillId="0" borderId="11" xfId="0" applyNumberFormat="1" applyFont="1" applyBorder="1" applyAlignment="1">
      <alignment vertical="center" wrapText="1"/>
    </xf>
    <xf numFmtId="4" fontId="8" fillId="0" borderId="15" xfId="0" applyNumberFormat="1" applyFont="1" applyBorder="1" applyAlignment="1">
      <alignment vertical="center"/>
    </xf>
    <xf numFmtId="166" fontId="9" fillId="0" borderId="11" xfId="0" applyNumberFormat="1" applyFont="1" applyBorder="1" applyAlignment="1">
      <alignment vertical="center" wrapText="1"/>
    </xf>
    <xf numFmtId="0" fontId="13" fillId="0" borderId="63" xfId="0" applyFont="1" applyBorder="1" applyAlignment="1">
      <alignment horizontal="center" vertical="center"/>
    </xf>
    <xf numFmtId="0" fontId="82" fillId="3" borderId="64" xfId="0" applyFont="1" applyFill="1" applyBorder="1" applyAlignment="1">
      <alignment vertical="center"/>
    </xf>
    <xf numFmtId="0" fontId="2" fillId="3" borderId="64" xfId="0" applyFont="1" applyFill="1" applyBorder="1" applyAlignment="1">
      <alignment vertical="center"/>
    </xf>
    <xf numFmtId="0" fontId="82" fillId="3" borderId="20" xfId="0" applyFont="1" applyFill="1" applyBorder="1" applyAlignment="1">
      <alignment horizontal="center" vertical="center"/>
    </xf>
    <xf numFmtId="0" fontId="2" fillId="3" borderId="64" xfId="0" applyFont="1" applyFill="1" applyBorder="1" applyAlignment="1">
      <alignment horizontal="center" vertical="center"/>
    </xf>
    <xf numFmtId="0" fontId="82" fillId="3" borderId="23" xfId="0" applyFont="1" applyFill="1" applyBorder="1" applyAlignment="1">
      <alignment vertical="center"/>
    </xf>
    <xf numFmtId="3" fontId="2" fillId="23" borderId="74" xfId="0" applyNumberFormat="1" applyFont="1" applyFill="1" applyBorder="1" applyAlignment="1">
      <alignment horizontal="center" vertical="center" wrapText="1"/>
    </xf>
    <xf numFmtId="0" fontId="2" fillId="3" borderId="16" xfId="0" applyFont="1" applyFill="1" applyBorder="1" applyAlignment="1">
      <alignment horizontal="center" vertical="center" wrapText="1"/>
    </xf>
    <xf numFmtId="43" fontId="8" fillId="23" borderId="12" xfId="1" applyFont="1" applyFill="1" applyBorder="1" applyAlignment="1">
      <alignment vertical="center"/>
    </xf>
    <xf numFmtId="43" fontId="8" fillId="23" borderId="13" xfId="1" applyFont="1" applyFill="1" applyBorder="1" applyAlignment="1">
      <alignment vertical="center"/>
    </xf>
    <xf numFmtId="0" fontId="2" fillId="2" borderId="15" xfId="0" applyFont="1" applyFill="1" applyBorder="1" applyAlignment="1">
      <alignment vertical="center" wrapText="1"/>
    </xf>
    <xf numFmtId="0" fontId="82" fillId="3" borderId="21" xfId="0" applyFont="1" applyFill="1" applyBorder="1" applyAlignment="1">
      <alignment vertical="center"/>
    </xf>
    <xf numFmtId="0" fontId="82" fillId="3" borderId="15" xfId="0" applyFont="1" applyFill="1" applyBorder="1" applyAlignment="1">
      <alignment horizontal="center" vertical="center"/>
    </xf>
    <xf numFmtId="0" fontId="2" fillId="3" borderId="23" xfId="0" applyFont="1" applyFill="1" applyBorder="1" applyAlignment="1">
      <alignment horizontal="center" vertical="center" wrapText="1"/>
    </xf>
    <xf numFmtId="0" fontId="82" fillId="3" borderId="63" xfId="0" applyFont="1" applyFill="1" applyBorder="1" applyAlignment="1">
      <alignment vertical="center"/>
    </xf>
    <xf numFmtId="0" fontId="82" fillId="3" borderId="50" xfId="0" applyFont="1" applyFill="1" applyBorder="1" applyAlignment="1">
      <alignment horizontal="center" vertical="center" wrapText="1"/>
    </xf>
    <xf numFmtId="0" fontId="2" fillId="3" borderId="63" xfId="0" applyFont="1" applyFill="1" applyBorder="1" applyAlignment="1">
      <alignment vertical="center"/>
    </xf>
    <xf numFmtId="0" fontId="82" fillId="3" borderId="64" xfId="0" applyFont="1" applyFill="1" applyBorder="1" applyAlignment="1">
      <alignment horizontal="center" vertical="center" wrapText="1"/>
    </xf>
    <xf numFmtId="0" fontId="2" fillId="23" borderId="23" xfId="0" applyFont="1" applyFill="1" applyBorder="1" applyAlignment="1">
      <alignment horizontal="center" vertical="center" wrapText="1"/>
    </xf>
    <xf numFmtId="0" fontId="83" fillId="23" borderId="50" xfId="0" applyFont="1" applyFill="1" applyBorder="1" applyAlignment="1">
      <alignment horizontal="center" vertical="center" wrapText="1"/>
    </xf>
    <xf numFmtId="0" fontId="82" fillId="3" borderId="20" xfId="0" applyFont="1" applyFill="1" applyBorder="1" applyAlignment="1">
      <alignment vertical="center"/>
    </xf>
    <xf numFmtId="168" fontId="8" fillId="23" borderId="11" xfId="1" applyNumberFormat="1" applyFont="1" applyFill="1" applyBorder="1" applyAlignment="1">
      <alignment vertical="center"/>
    </xf>
    <xf numFmtId="0" fontId="87" fillId="3" borderId="15" xfId="0" applyFont="1" applyFill="1" applyBorder="1" applyAlignment="1">
      <alignment vertical="center"/>
    </xf>
    <xf numFmtId="0" fontId="87" fillId="3" borderId="16" xfId="0" applyFont="1" applyFill="1" applyBorder="1" applyAlignment="1">
      <alignment vertical="center"/>
    </xf>
    <xf numFmtId="0" fontId="3" fillId="0" borderId="16" xfId="0" applyFont="1" applyBorder="1" applyAlignment="1">
      <alignment vertical="center"/>
    </xf>
    <xf numFmtId="0" fontId="13" fillId="3" borderId="16" xfId="0" applyFont="1" applyFill="1" applyBorder="1" applyAlignment="1">
      <alignment vertical="center"/>
    </xf>
    <xf numFmtId="165" fontId="8" fillId="4" borderId="11" xfId="0" applyNumberFormat="1" applyFont="1" applyFill="1" applyBorder="1" applyAlignment="1">
      <alignment vertical="center"/>
    </xf>
    <xf numFmtId="165" fontId="8" fillId="7" borderId="11" xfId="0" applyNumberFormat="1" applyFont="1" applyFill="1" applyBorder="1" applyAlignment="1">
      <alignment vertical="center"/>
    </xf>
    <xf numFmtId="3" fontId="8" fillId="7" borderId="11" xfId="0" applyNumberFormat="1" applyFont="1" applyFill="1" applyBorder="1" applyAlignment="1">
      <alignment vertical="center"/>
    </xf>
    <xf numFmtId="165" fontId="8" fillId="0" borderId="11" xfId="0" applyNumberFormat="1" applyFont="1" applyBorder="1" applyAlignment="1">
      <alignment vertical="center"/>
    </xf>
    <xf numFmtId="165" fontId="11" fillId="0" borderId="11" xfId="0" applyNumberFormat="1" applyFont="1" applyBorder="1" applyAlignment="1">
      <alignment vertical="center" wrapText="1"/>
    </xf>
    <xf numFmtId="0" fontId="87" fillId="3" borderId="21" xfId="0" applyFont="1" applyFill="1" applyBorder="1" applyAlignment="1">
      <alignment vertical="center"/>
    </xf>
    <xf numFmtId="0" fontId="87" fillId="3" borderId="63" xfId="0" applyFont="1" applyFill="1" applyBorder="1" applyAlignment="1">
      <alignment vertical="center"/>
    </xf>
    <xf numFmtId="0" fontId="8" fillId="0" borderId="13" xfId="0" applyFont="1" applyBorder="1" applyAlignment="1">
      <alignment horizontal="center" vertical="center"/>
    </xf>
    <xf numFmtId="0" fontId="13" fillId="3" borderId="63" xfId="0" applyFont="1" applyFill="1" applyBorder="1" applyAlignment="1">
      <alignment vertical="center"/>
    </xf>
    <xf numFmtId="0" fontId="3" fillId="23" borderId="13" xfId="0" applyFont="1" applyFill="1" applyBorder="1" applyAlignment="1">
      <alignment horizontal="center" vertical="center"/>
    </xf>
    <xf numFmtId="0" fontId="8" fillId="23" borderId="23" xfId="0" applyFont="1" applyFill="1" applyBorder="1" applyAlignment="1">
      <alignment horizontal="center" vertical="center"/>
    </xf>
    <xf numFmtId="0" fontId="3" fillId="7" borderId="13" xfId="0" applyFont="1" applyFill="1" applyBorder="1" applyAlignment="1">
      <alignment horizontal="center" vertical="center"/>
    </xf>
    <xf numFmtId="0" fontId="3" fillId="4" borderId="13" xfId="0" applyFont="1" applyFill="1" applyBorder="1" applyAlignment="1">
      <alignment horizontal="center" vertical="center"/>
    </xf>
    <xf numFmtId="165" fontId="8" fillId="0" borderId="15" xfId="0" applyNumberFormat="1" applyFont="1" applyBorder="1" applyAlignment="1">
      <alignment vertical="center"/>
    </xf>
    <xf numFmtId="0" fontId="81" fillId="33" borderId="11" xfId="0" applyFont="1" applyFill="1" applyBorder="1" applyAlignment="1">
      <alignment horizontal="centerContinuous"/>
    </xf>
    <xf numFmtId="164" fontId="0" fillId="0" borderId="11" xfId="1" applyNumberFormat="1" applyFont="1" applyBorder="1"/>
    <xf numFmtId="0" fontId="0" fillId="0" borderId="15" xfId="0" applyBorder="1"/>
    <xf numFmtId="43" fontId="31" fillId="5" borderId="11" xfId="0" applyNumberFormat="1" applyFont="1" applyFill="1" applyBorder="1" applyAlignment="1">
      <alignment vertical="center"/>
    </xf>
    <xf numFmtId="43" fontId="16" fillId="5" borderId="11" xfId="0" applyNumberFormat="1" applyFont="1" applyFill="1" applyBorder="1" applyAlignment="1">
      <alignment vertical="center"/>
    </xf>
    <xf numFmtId="167" fontId="33" fillId="8" borderId="11" xfId="0" applyNumberFormat="1" applyFont="1" applyFill="1" applyBorder="1" applyAlignment="1">
      <alignment vertical="center"/>
    </xf>
    <xf numFmtId="167" fontId="33" fillId="0" borderId="11" xfId="0" applyNumberFormat="1" applyFont="1" applyBorder="1" applyAlignment="1">
      <alignment vertical="center"/>
    </xf>
    <xf numFmtId="0" fontId="62" fillId="3" borderId="15" xfId="0" applyFont="1" applyFill="1" applyBorder="1" applyAlignment="1">
      <alignment vertical="center"/>
    </xf>
    <xf numFmtId="0" fontId="62" fillId="3" borderId="16" xfId="0" applyFont="1" applyFill="1" applyBorder="1" applyAlignment="1">
      <alignment vertical="center"/>
    </xf>
    <xf numFmtId="0" fontId="62" fillId="3" borderId="20" xfId="0" applyFont="1" applyFill="1" applyBorder="1" applyAlignment="1">
      <alignment vertical="center"/>
    </xf>
    <xf numFmtId="0" fontId="62" fillId="3" borderId="63" xfId="0" applyFont="1" applyFill="1" applyBorder="1" applyAlignment="1">
      <alignment vertical="center"/>
    </xf>
    <xf numFmtId="0" fontId="62" fillId="3" borderId="15" xfId="0" applyFont="1" applyFill="1" applyBorder="1" applyAlignment="1">
      <alignment horizontal="center" vertical="center"/>
    </xf>
    <xf numFmtId="0" fontId="62" fillId="3" borderId="16" xfId="0" applyFont="1" applyFill="1" applyBorder="1" applyAlignment="1">
      <alignment horizontal="center" vertical="center"/>
    </xf>
    <xf numFmtId="0" fontId="62" fillId="3" borderId="20" xfId="0" applyFont="1" applyFill="1" applyBorder="1" applyAlignment="1">
      <alignment horizontal="center" vertical="center"/>
    </xf>
    <xf numFmtId="0" fontId="62" fillId="3" borderId="21" xfId="0" applyFont="1" applyFill="1" applyBorder="1" applyAlignment="1">
      <alignment horizontal="center" vertical="center"/>
    </xf>
    <xf numFmtId="0" fontId="62" fillId="3" borderId="63" xfId="0" applyFont="1" applyFill="1" applyBorder="1" applyAlignment="1">
      <alignment horizontal="center" vertical="center"/>
    </xf>
    <xf numFmtId="0" fontId="2" fillId="8" borderId="23" xfId="0" applyFont="1" applyFill="1" applyBorder="1" applyAlignment="1">
      <alignment horizontal="center" vertical="center" wrapText="1"/>
    </xf>
    <xf numFmtId="0" fontId="82" fillId="8" borderId="50" xfId="0" applyFont="1" applyFill="1" applyBorder="1" applyAlignment="1">
      <alignment horizontal="center" vertical="center" wrapText="1"/>
    </xf>
    <xf numFmtId="0" fontId="82" fillId="3" borderId="22" xfId="0" applyFont="1" applyFill="1" applyBorder="1" applyAlignment="1">
      <alignment horizontal="center" vertical="center"/>
    </xf>
    <xf numFmtId="0" fontId="2" fillId="8" borderId="15" xfId="0" applyFont="1" applyFill="1" applyBorder="1" applyAlignment="1">
      <alignment horizontal="center" vertical="center" wrapText="1"/>
    </xf>
    <xf numFmtId="0" fontId="82" fillId="3" borderId="0" xfId="0" applyFont="1" applyFill="1" applyAlignment="1">
      <alignment horizontal="center" vertical="center"/>
    </xf>
    <xf numFmtId="0" fontId="82" fillId="8" borderId="20" xfId="0" applyFont="1" applyFill="1" applyBorder="1" applyAlignment="1">
      <alignment horizontal="center" vertical="center" wrapText="1"/>
    </xf>
    <xf numFmtId="0" fontId="82" fillId="3" borderId="64" xfId="0" applyFont="1" applyFill="1" applyBorder="1" applyAlignment="1">
      <alignment horizontal="center" vertical="center"/>
    </xf>
    <xf numFmtId="0" fontId="82" fillId="3" borderId="50" xfId="0" applyFont="1" applyFill="1" applyBorder="1" applyAlignment="1">
      <alignment horizontal="center" vertical="center"/>
    </xf>
    <xf numFmtId="0" fontId="3" fillId="0" borderId="20" xfId="0" applyFont="1" applyBorder="1" applyAlignment="1">
      <alignment vertical="center" wrapText="1"/>
    </xf>
    <xf numFmtId="43" fontId="2" fillId="0" borderId="11" xfId="0" applyNumberFormat="1" applyFont="1" applyBorder="1" applyAlignment="1">
      <alignment vertical="center" wrapText="1"/>
    </xf>
    <xf numFmtId="0" fontId="62" fillId="3" borderId="21" xfId="0" applyFont="1" applyFill="1" applyBorder="1" applyAlignment="1">
      <alignment vertical="center" wrapText="1"/>
    </xf>
    <xf numFmtId="0" fontId="2" fillId="3" borderId="0" xfId="0" applyFont="1" applyFill="1" applyAlignment="1">
      <alignment horizontal="center" vertical="center"/>
    </xf>
    <xf numFmtId="0" fontId="2" fillId="8" borderId="64" xfId="0" applyFont="1" applyFill="1" applyBorder="1" applyAlignment="1">
      <alignment horizontal="center" vertical="center" wrapText="1"/>
    </xf>
    <xf numFmtId="0" fontId="62" fillId="3" borderId="64" xfId="0" applyFont="1" applyFill="1" applyBorder="1" applyAlignment="1">
      <alignment horizontal="center" vertical="center"/>
    </xf>
    <xf numFmtId="0" fontId="62" fillId="3" borderId="50" xfId="0" applyFont="1" applyFill="1" applyBorder="1" applyAlignment="1">
      <alignment horizontal="center" vertical="center"/>
    </xf>
    <xf numFmtId="0" fontId="10" fillId="3" borderId="64" xfId="0" applyFont="1" applyFill="1" applyBorder="1" applyAlignment="1">
      <alignment horizontal="center" vertical="center"/>
    </xf>
    <xf numFmtId="0" fontId="82" fillId="3" borderId="54" xfId="0" applyFont="1" applyFill="1" applyBorder="1" applyAlignment="1">
      <alignment horizontal="center" vertical="center"/>
    </xf>
    <xf numFmtId="0" fontId="82" fillId="3" borderId="23" xfId="0" applyFont="1" applyFill="1" applyBorder="1" applyAlignment="1">
      <alignment horizontal="center" vertical="center"/>
    </xf>
    <xf numFmtId="0" fontId="32" fillId="27" borderId="11" xfId="0" applyFont="1" applyFill="1" applyBorder="1" applyAlignment="1">
      <alignment vertical="center"/>
    </xf>
    <xf numFmtId="0" fontId="32" fillId="26" borderId="15" xfId="0" applyFont="1" applyFill="1" applyBorder="1" applyAlignment="1">
      <alignment vertical="center"/>
    </xf>
    <xf numFmtId="0" fontId="62" fillId="3" borderId="23" xfId="0" applyFont="1" applyFill="1" applyBorder="1" applyAlignment="1">
      <alignment horizontal="center" vertical="center"/>
    </xf>
    <xf numFmtId="0" fontId="32" fillId="26" borderId="20" xfId="0" applyFont="1" applyFill="1" applyBorder="1" applyAlignment="1">
      <alignment vertical="center"/>
    </xf>
    <xf numFmtId="43" fontId="2" fillId="0" borderId="77" xfId="0" applyNumberFormat="1" applyFont="1" applyBorder="1" applyAlignment="1">
      <alignment horizontal="center" vertical="center" wrapText="1"/>
    </xf>
    <xf numFmtId="0" fontId="3" fillId="0" borderId="11" xfId="0" applyFont="1" applyBorder="1" applyAlignment="1">
      <alignment horizontal="right" vertical="center"/>
    </xf>
    <xf numFmtId="0" fontId="5" fillId="0" borderId="11" xfId="0" applyFont="1" applyBorder="1" applyAlignment="1">
      <alignment vertical="center"/>
    </xf>
    <xf numFmtId="0" fontId="27" fillId="0" borderId="31" xfId="0" applyFont="1" applyBorder="1"/>
    <xf numFmtId="0" fontId="32" fillId="18" borderId="11" xfId="0" applyFont="1" applyFill="1" applyBorder="1" applyAlignment="1">
      <alignment vertical="center" wrapText="1"/>
    </xf>
    <xf numFmtId="0" fontId="32" fillId="28" borderId="11" xfId="0" applyFont="1" applyFill="1" applyBorder="1" applyAlignment="1">
      <alignment vertical="center" wrapText="1"/>
    </xf>
    <xf numFmtId="0" fontId="62" fillId="3" borderId="21" xfId="0" applyFont="1" applyFill="1" applyBorder="1" applyAlignment="1">
      <alignment vertical="center"/>
    </xf>
    <xf numFmtId="0" fontId="2" fillId="3" borderId="63" xfId="0" applyFont="1" applyFill="1" applyBorder="1" applyAlignment="1">
      <alignment horizontal="center" vertical="center"/>
    </xf>
    <xf numFmtId="0" fontId="3" fillId="23" borderId="11" xfId="0" applyFont="1" applyFill="1" applyBorder="1" applyAlignment="1">
      <alignment vertical="center" wrapText="1"/>
    </xf>
    <xf numFmtId="0" fontId="3" fillId="19" borderId="11" xfId="0" applyFont="1" applyFill="1" applyBorder="1" applyAlignment="1">
      <alignment vertical="center" wrapText="1"/>
    </xf>
    <xf numFmtId="0" fontId="35" fillId="19" borderId="11" xfId="0" applyFont="1" applyFill="1" applyBorder="1" applyAlignment="1">
      <alignment vertical="center"/>
    </xf>
    <xf numFmtId="43" fontId="32" fillId="0" borderId="11" xfId="0" applyNumberFormat="1" applyFont="1" applyBorder="1" applyAlignment="1">
      <alignment vertical="center"/>
    </xf>
    <xf numFmtId="0" fontId="2" fillId="12" borderId="15" xfId="0" applyFont="1" applyFill="1" applyBorder="1" applyAlignment="1">
      <alignment vertical="center"/>
    </xf>
    <xf numFmtId="0" fontId="2" fillId="12" borderId="20" xfId="0" applyFont="1" applyFill="1" applyBorder="1" applyAlignment="1">
      <alignment vertical="center"/>
    </xf>
    <xf numFmtId="0" fontId="3" fillId="0" borderId="15" xfId="0" applyFont="1" applyBorder="1" applyAlignment="1">
      <alignment vertical="center" wrapText="1"/>
    </xf>
    <xf numFmtId="0" fontId="37" fillId="2" borderId="11" xfId="0" applyFont="1" applyFill="1" applyBorder="1" applyAlignment="1">
      <alignment vertical="center"/>
    </xf>
    <xf numFmtId="43" fontId="33" fillId="2" borderId="11" xfId="0" applyNumberFormat="1" applyFont="1" applyFill="1" applyBorder="1" applyAlignment="1">
      <alignment vertical="center"/>
    </xf>
    <xf numFmtId="0" fontId="35" fillId="0" borderId="15" xfId="0" applyFont="1" applyBorder="1" applyAlignment="1">
      <alignment vertical="center"/>
    </xf>
    <xf numFmtId="0" fontId="35" fillId="0" borderId="20" xfId="0" applyFont="1" applyBorder="1" applyAlignment="1">
      <alignment vertical="center"/>
    </xf>
    <xf numFmtId="0" fontId="88" fillId="3" borderId="16" xfId="0" applyFont="1" applyFill="1" applyBorder="1"/>
    <xf numFmtId="0" fontId="88" fillId="3" borderId="20" xfId="0" applyFont="1" applyFill="1" applyBorder="1"/>
    <xf numFmtId="0" fontId="89" fillId="3" borderId="16" xfId="0" applyFont="1" applyFill="1" applyBorder="1" applyAlignment="1">
      <alignment horizontal="center"/>
    </xf>
    <xf numFmtId="0" fontId="88" fillId="3" borderId="21" xfId="0" applyFont="1" applyFill="1" applyBorder="1"/>
    <xf numFmtId="0" fontId="88" fillId="3" borderId="63" xfId="0" applyFont="1" applyFill="1" applyBorder="1"/>
    <xf numFmtId="0" fontId="11" fillId="0" borderId="11" xfId="1" applyNumberFormat="1" applyFont="1" applyFill="1" applyBorder="1" applyAlignment="1">
      <alignment horizontal="center" vertical="center" wrapText="1"/>
    </xf>
    <xf numFmtId="43" fontId="33" fillId="19" borderId="11" xfId="0" applyNumberFormat="1" applyFont="1" applyFill="1" applyBorder="1" applyAlignment="1">
      <alignment vertical="center"/>
    </xf>
    <xf numFmtId="0" fontId="3" fillId="19" borderId="15" xfId="0" applyFont="1" applyFill="1" applyBorder="1" applyAlignment="1">
      <alignment vertical="center" wrapText="1"/>
    </xf>
    <xf numFmtId="0" fontId="3" fillId="19" borderId="20" xfId="0" applyFont="1" applyFill="1" applyBorder="1" applyAlignment="1">
      <alignment vertical="center" wrapText="1"/>
    </xf>
    <xf numFmtId="0" fontId="82" fillId="8" borderId="16" xfId="0" applyFont="1" applyFill="1" applyBorder="1" applyAlignment="1">
      <alignment vertical="center" wrapText="1"/>
    </xf>
    <xf numFmtId="0" fontId="82" fillId="8" borderId="20" xfId="0" applyFont="1" applyFill="1" applyBorder="1" applyAlignment="1">
      <alignment vertical="center" wrapText="1"/>
    </xf>
    <xf numFmtId="0" fontId="27" fillId="0" borderId="36" xfId="0" applyFont="1" applyBorder="1"/>
    <xf numFmtId="0" fontId="27" fillId="0" borderId="27" xfId="0" applyFont="1" applyBorder="1"/>
    <xf numFmtId="0" fontId="35" fillId="0" borderId="88" xfId="0" applyFont="1" applyBorder="1" applyAlignment="1">
      <alignment horizontal="center" vertical="center" wrapText="1"/>
    </xf>
    <xf numFmtId="0" fontId="5" fillId="0" borderId="88" xfId="0" applyFont="1" applyBorder="1" applyAlignment="1">
      <alignment horizontal="center" vertical="center" wrapText="1"/>
    </xf>
    <xf numFmtId="0" fontId="5" fillId="0" borderId="89" xfId="0" applyFont="1" applyBorder="1" applyAlignment="1">
      <alignment horizontal="center" vertical="center" wrapText="1"/>
    </xf>
    <xf numFmtId="0" fontId="35" fillId="0" borderId="12" xfId="0" applyFont="1" applyBorder="1" applyAlignment="1">
      <alignment horizontal="center" vertical="center" wrapText="1"/>
    </xf>
    <xf numFmtId="0" fontId="14" fillId="0" borderId="36" xfId="0" applyFont="1" applyBorder="1" applyAlignment="1">
      <alignment horizontal="center" vertical="center" wrapText="1"/>
    </xf>
    <xf numFmtId="0" fontId="35" fillId="0" borderId="36" xfId="0" applyFont="1" applyBorder="1" applyAlignment="1">
      <alignment horizontal="center" vertical="center"/>
    </xf>
    <xf numFmtId="0" fontId="5" fillId="0" borderId="36" xfId="0" applyFont="1" applyBorder="1" applyAlignment="1">
      <alignment horizontal="center" vertical="center"/>
    </xf>
    <xf numFmtId="0" fontId="5" fillId="0" borderId="27" xfId="0" applyFont="1" applyBorder="1" applyAlignment="1">
      <alignment horizontal="center" vertical="center"/>
    </xf>
    <xf numFmtId="0" fontId="5" fillId="0" borderId="13" xfId="0" applyFont="1" applyBorder="1" applyAlignment="1">
      <alignment horizontal="center" vertical="center"/>
    </xf>
    <xf numFmtId="0" fontId="14" fillId="3" borderId="12" xfId="0" applyFont="1" applyFill="1" applyBorder="1" applyAlignment="1">
      <alignment vertical="center"/>
    </xf>
    <xf numFmtId="0" fontId="27" fillId="3" borderId="13" xfId="0" applyFont="1" applyFill="1" applyBorder="1"/>
    <xf numFmtId="0" fontId="35" fillId="3" borderId="12" xfId="0" applyFont="1" applyFill="1" applyBorder="1" applyAlignment="1">
      <alignment vertical="center"/>
    </xf>
    <xf numFmtId="0" fontId="5" fillId="3" borderId="12" xfId="0" applyFont="1" applyFill="1" applyBorder="1" applyAlignment="1">
      <alignment vertical="center"/>
    </xf>
    <xf numFmtId="0" fontId="5" fillId="3" borderId="13" xfId="0" applyFont="1" applyFill="1" applyBorder="1" applyAlignment="1">
      <alignment vertical="center"/>
    </xf>
    <xf numFmtId="0" fontId="5" fillId="0" borderId="21" xfId="0" applyFont="1" applyBorder="1" applyAlignment="1">
      <alignment horizontal="center" vertical="center" wrapText="1"/>
    </xf>
    <xf numFmtId="171" fontId="35" fillId="0" borderId="36" xfId="0" applyNumberFormat="1" applyFont="1" applyBorder="1" applyAlignment="1">
      <alignment vertical="center"/>
    </xf>
    <xf numFmtId="41" fontId="3" fillId="0" borderId="37" xfId="0" applyNumberFormat="1" applyFont="1" applyBorder="1" applyAlignment="1">
      <alignment vertical="center"/>
    </xf>
    <xf numFmtId="0" fontId="38" fillId="0" borderId="59" xfId="0" applyFont="1" applyBorder="1" applyAlignment="1">
      <alignment vertical="center"/>
    </xf>
    <xf numFmtId="0" fontId="37" fillId="0" borderId="34" xfId="0" applyFont="1" applyBorder="1" applyAlignment="1">
      <alignment vertical="center"/>
    </xf>
    <xf numFmtId="0" fontId="37" fillId="0" borderId="36" xfId="0" applyFont="1" applyBorder="1" applyAlignment="1">
      <alignment vertical="center"/>
    </xf>
    <xf numFmtId="0" fontId="5" fillId="0" borderId="36" xfId="0" applyFont="1" applyBorder="1" applyAlignment="1">
      <alignment vertical="center"/>
    </xf>
    <xf numFmtId="0" fontId="14" fillId="0" borderId="34" xfId="0" applyFont="1" applyBorder="1" applyAlignment="1">
      <alignment vertical="center"/>
    </xf>
    <xf numFmtId="0" fontId="2" fillId="0" borderId="34" xfId="0" applyFont="1" applyBorder="1" applyAlignment="1">
      <alignment vertical="center"/>
    </xf>
    <xf numFmtId="0" fontId="29" fillId="0" borderId="36" xfId="0" applyFont="1" applyBorder="1"/>
    <xf numFmtId="41" fontId="3" fillId="0" borderId="56" xfId="2" applyFont="1" applyBorder="1" applyAlignment="1">
      <alignment vertical="center"/>
    </xf>
    <xf numFmtId="41" fontId="3" fillId="0" borderId="36" xfId="2" applyFont="1" applyBorder="1" applyAlignment="1">
      <alignment vertical="center"/>
    </xf>
    <xf numFmtId="0" fontId="35" fillId="0" borderId="90" xfId="0" applyFont="1" applyBorder="1" applyAlignment="1">
      <alignment vertical="center"/>
    </xf>
    <xf numFmtId="0" fontId="35" fillId="0" borderId="91" xfId="0" applyFont="1" applyBorder="1" applyAlignment="1">
      <alignment vertical="center"/>
    </xf>
    <xf numFmtId="41" fontId="35" fillId="0" borderId="12" xfId="2" applyFont="1" applyBorder="1" applyAlignment="1">
      <alignment vertical="center"/>
    </xf>
    <xf numFmtId="41" fontId="35" fillId="0" borderId="13" xfId="2" applyFont="1" applyBorder="1" applyAlignment="1">
      <alignment vertical="center"/>
    </xf>
    <xf numFmtId="0" fontId="27" fillId="3" borderId="36" xfId="0" applyFont="1" applyFill="1" applyBorder="1"/>
    <xf numFmtId="0" fontId="14" fillId="3" borderId="34" xfId="0" applyFont="1" applyFill="1" applyBorder="1" applyAlignment="1">
      <alignment vertical="center"/>
    </xf>
    <xf numFmtId="0" fontId="5" fillId="3" borderId="34" xfId="0" applyFont="1" applyFill="1" applyBorder="1" applyAlignment="1">
      <alignment vertical="center"/>
    </xf>
    <xf numFmtId="0" fontId="14" fillId="0" borderId="35" xfId="0" applyFont="1" applyBorder="1" applyAlignment="1">
      <alignment horizontal="center" vertical="center" wrapText="1"/>
    </xf>
    <xf numFmtId="0" fontId="0" fillId="0" borderId="0" xfId="0" applyAlignment="1">
      <alignment horizontal="center"/>
    </xf>
    <xf numFmtId="0" fontId="3" fillId="2" borderId="11" xfId="0" applyFont="1" applyFill="1" applyBorder="1" applyAlignment="1">
      <alignment vertical="center" wrapText="1"/>
    </xf>
    <xf numFmtId="0" fontId="5" fillId="0" borderId="57" xfId="0" applyFont="1" applyBorder="1" applyAlignment="1">
      <alignment horizontal="center" vertical="center" wrapText="1"/>
    </xf>
    <xf numFmtId="0" fontId="3" fillId="0" borderId="49" xfId="0" applyFont="1" applyBorder="1" applyAlignment="1">
      <alignment horizontal="center" vertical="center"/>
    </xf>
    <xf numFmtId="0" fontId="0" fillId="33" borderId="0" xfId="0" applyFill="1" applyAlignment="1">
      <alignment horizontal="centerContinuous"/>
    </xf>
    <xf numFmtId="0" fontId="14" fillId="4" borderId="11" xfId="0" applyFont="1" applyFill="1" applyBorder="1" applyAlignment="1">
      <alignment vertical="center"/>
    </xf>
    <xf numFmtId="0" fontId="12" fillId="0" borderId="11" xfId="0" applyFont="1" applyBorder="1" applyAlignment="1">
      <alignment vertical="center" wrapText="1"/>
    </xf>
    <xf numFmtId="0" fontId="12" fillId="0" borderId="11" xfId="0" applyFont="1" applyBorder="1" applyAlignment="1">
      <alignment vertical="center"/>
    </xf>
    <xf numFmtId="0" fontId="5" fillId="0" borderId="12" xfId="0" applyFont="1" applyBorder="1" applyAlignment="1">
      <alignment horizontal="center" vertical="center"/>
    </xf>
    <xf numFmtId="0" fontId="5" fillId="0" borderId="13" xfId="0" applyFont="1" applyBorder="1" applyAlignment="1">
      <alignment horizontal="left" vertical="center" wrapText="1"/>
    </xf>
    <xf numFmtId="43" fontId="5" fillId="3" borderId="20" xfId="1" applyFont="1" applyFill="1" applyBorder="1" applyAlignment="1">
      <alignment vertical="center"/>
    </xf>
    <xf numFmtId="4" fontId="5" fillId="0" borderId="12" xfId="0" applyNumberFormat="1" applyFont="1" applyBorder="1" applyAlignment="1">
      <alignment vertical="center"/>
    </xf>
    <xf numFmtId="4" fontId="5" fillId="0" borderId="24" xfId="0" applyNumberFormat="1" applyFont="1" applyBorder="1" applyAlignment="1">
      <alignment vertical="center"/>
    </xf>
    <xf numFmtId="4" fontId="5" fillId="0" borderId="13" xfId="0" applyNumberFormat="1" applyFont="1" applyBorder="1" applyAlignment="1">
      <alignment vertical="center"/>
    </xf>
    <xf numFmtId="0" fontId="12" fillId="0" borderId="12" xfId="0" applyFont="1" applyBorder="1" applyAlignment="1">
      <alignment horizontal="center" vertical="center"/>
    </xf>
    <xf numFmtId="0" fontId="12" fillId="0" borderId="24" xfId="0" applyFont="1" applyBorder="1" applyAlignment="1">
      <alignment horizontal="center" vertical="center"/>
    </xf>
    <xf numFmtId="0" fontId="12" fillId="0" borderId="13" xfId="0" applyFont="1" applyBorder="1" applyAlignment="1">
      <alignment horizontal="center" vertical="center"/>
    </xf>
    <xf numFmtId="0" fontId="35" fillId="3" borderId="11" xfId="0" applyFont="1" applyFill="1" applyBorder="1" applyAlignment="1">
      <alignment vertical="center" wrapText="1"/>
    </xf>
    <xf numFmtId="0" fontId="5" fillId="3" borderId="11" xfId="0" applyFont="1" applyFill="1" applyBorder="1" applyAlignment="1">
      <alignment vertical="center" wrapText="1"/>
    </xf>
    <xf numFmtId="164" fontId="5" fillId="3" borderId="13" xfId="1" applyNumberFormat="1" applyFont="1" applyFill="1" applyBorder="1" applyAlignment="1">
      <alignment vertical="center"/>
    </xf>
    <xf numFmtId="164" fontId="5" fillId="25" borderId="11" xfId="1" applyNumberFormat="1" applyFont="1" applyFill="1" applyBorder="1" applyAlignment="1">
      <alignment vertical="center"/>
    </xf>
    <xf numFmtId="0" fontId="12" fillId="0" borderId="15" xfId="0" applyFont="1" applyBorder="1" applyAlignment="1">
      <alignment horizontal="center" vertical="center" wrapText="1"/>
    </xf>
    <xf numFmtId="0" fontId="12" fillId="0" borderId="20" xfId="0" applyFont="1" applyBorder="1" applyAlignment="1">
      <alignment horizontal="center" vertical="center" wrapText="1"/>
    </xf>
    <xf numFmtId="164" fontId="5" fillId="15" borderId="12" xfId="1" applyNumberFormat="1" applyFont="1" applyFill="1" applyBorder="1" applyAlignment="1">
      <alignment vertical="center"/>
    </xf>
    <xf numFmtId="164" fontId="5" fillId="15" borderId="24" xfId="1" applyNumberFormat="1" applyFont="1" applyFill="1" applyBorder="1" applyAlignment="1">
      <alignment vertical="center"/>
    </xf>
    <xf numFmtId="164" fontId="5" fillId="15" borderId="13" xfId="1" applyNumberFormat="1" applyFont="1" applyFill="1" applyBorder="1" applyAlignment="1">
      <alignment vertical="center"/>
    </xf>
    <xf numFmtId="0" fontId="5" fillId="0" borderId="21" xfId="0" applyFont="1" applyBorder="1" applyAlignment="1">
      <alignment vertical="center" wrapText="1"/>
    </xf>
    <xf numFmtId="0" fontId="5" fillId="0" borderId="49" xfId="0" applyFont="1" applyBorder="1" applyAlignment="1">
      <alignment vertical="center" wrapText="1"/>
    </xf>
    <xf numFmtId="164" fontId="5" fillId="3" borderId="23" xfId="1" applyNumberFormat="1" applyFont="1" applyFill="1" applyBorder="1" applyAlignment="1">
      <alignment vertical="center"/>
    </xf>
    <xf numFmtId="164" fontId="5" fillId="3" borderId="50" xfId="1" applyNumberFormat="1" applyFont="1" applyFill="1" applyBorder="1" applyAlignment="1">
      <alignment vertical="center"/>
    </xf>
    <xf numFmtId="41" fontId="5" fillId="3" borderId="11" xfId="2" applyFont="1" applyFill="1" applyBorder="1" applyAlignment="1">
      <alignment vertical="center" wrapText="1"/>
    </xf>
    <xf numFmtId="0" fontId="5" fillId="0" borderId="11" xfId="0" applyFont="1" applyBorder="1" applyAlignment="1">
      <alignment vertical="center" wrapText="1"/>
    </xf>
    <xf numFmtId="14" fontId="3" fillId="0" borderId="11" xfId="0" applyNumberFormat="1" applyFont="1" applyBorder="1" applyAlignment="1">
      <alignment horizontal="right" vertical="center"/>
    </xf>
    <xf numFmtId="43" fontId="14" fillId="4" borderId="11" xfId="1" applyFont="1" applyFill="1" applyBorder="1" applyAlignment="1">
      <alignment horizontal="center" vertical="center"/>
    </xf>
    <xf numFmtId="0" fontId="81" fillId="33" borderId="11" xfId="0" applyFont="1" applyFill="1" applyBorder="1" applyAlignment="1" applyProtection="1">
      <alignment horizontal="centerContinuous"/>
      <protection locked="0"/>
    </xf>
    <xf numFmtId="0" fontId="0" fillId="0" borderId="0" xfId="0" applyProtection="1">
      <protection locked="0"/>
    </xf>
    <xf numFmtId="0" fontId="0" fillId="29" borderId="50" xfId="0" applyFill="1" applyBorder="1" applyAlignment="1" applyProtection="1">
      <alignment horizontal="center"/>
      <protection locked="0"/>
    </xf>
    <xf numFmtId="0" fontId="0" fillId="29" borderId="20" xfId="0" applyFill="1" applyBorder="1" applyAlignment="1" applyProtection="1">
      <alignment horizontal="center"/>
      <protection locked="0"/>
    </xf>
    <xf numFmtId="0" fontId="0" fillId="0" borderId="11" xfId="0" applyBorder="1" applyProtection="1">
      <protection locked="0"/>
    </xf>
    <xf numFmtId="164" fontId="0" fillId="0" borderId="11" xfId="1" applyNumberFormat="1" applyFont="1" applyBorder="1" applyProtection="1">
      <protection locked="0"/>
    </xf>
    <xf numFmtId="0" fontId="0" fillId="0" borderId="15" xfId="0" applyBorder="1" applyProtection="1">
      <protection locked="0"/>
    </xf>
    <xf numFmtId="164" fontId="0" fillId="0" borderId="15" xfId="1" applyNumberFormat="1" applyFont="1" applyBorder="1" applyProtection="1">
      <protection locked="0"/>
    </xf>
    <xf numFmtId="0" fontId="2" fillId="2" borderId="10" xfId="0" applyFont="1" applyFill="1" applyBorder="1" applyAlignment="1">
      <alignment horizontal="center" vertical="center" wrapText="1"/>
    </xf>
    <xf numFmtId="0" fontId="2" fillId="2" borderId="14" xfId="0" applyFont="1" applyFill="1" applyBorder="1" applyAlignment="1">
      <alignment horizontal="center" vertical="center" wrapText="1"/>
    </xf>
    <xf numFmtId="3" fontId="3" fillId="24" borderId="14" xfId="0" applyNumberFormat="1" applyFont="1" applyFill="1" applyBorder="1" applyAlignment="1">
      <alignment horizontal="right" vertical="center" wrapText="1"/>
    </xf>
    <xf numFmtId="164" fontId="9" fillId="24" borderId="11" xfId="1" applyNumberFormat="1" applyFont="1" applyFill="1" applyBorder="1" applyAlignment="1">
      <alignment vertical="center" wrapText="1"/>
    </xf>
    <xf numFmtId="43" fontId="9" fillId="24" borderId="11" xfId="1" applyFont="1" applyFill="1" applyBorder="1" applyAlignment="1">
      <alignment horizontal="right" vertical="center"/>
    </xf>
    <xf numFmtId="164" fontId="33" fillId="24" borderId="11" xfId="1" applyNumberFormat="1" applyFont="1" applyFill="1" applyBorder="1" applyAlignment="1">
      <alignment horizontal="center" vertical="center"/>
    </xf>
    <xf numFmtId="164" fontId="9" fillId="24" borderId="11" xfId="0" applyNumberFormat="1" applyFont="1" applyFill="1" applyBorder="1" applyAlignment="1">
      <alignment horizontal="center" vertical="center" wrapText="1"/>
    </xf>
    <xf numFmtId="164" fontId="11" fillId="24" borderId="11" xfId="1" applyNumberFormat="1" applyFont="1" applyFill="1" applyBorder="1" applyAlignment="1">
      <alignment vertical="center" wrapText="1"/>
    </xf>
    <xf numFmtId="43" fontId="11" fillId="24" borderId="11" xfId="1" applyFont="1" applyFill="1" applyBorder="1" applyAlignment="1">
      <alignment horizontal="right" vertical="center" wrapText="1"/>
    </xf>
    <xf numFmtId="164" fontId="11" fillId="24" borderId="11" xfId="1" applyNumberFormat="1" applyFont="1" applyFill="1" applyBorder="1" applyAlignment="1">
      <alignment horizontal="center" vertical="center" wrapText="1"/>
    </xf>
    <xf numFmtId="165" fontId="8" fillId="24" borderId="11" xfId="0" applyNumberFormat="1" applyFont="1" applyFill="1" applyBorder="1" applyAlignment="1">
      <alignment horizontal="center" vertical="center" wrapText="1"/>
    </xf>
    <xf numFmtId="165" fontId="11" fillId="0" borderId="11" xfId="0" applyNumberFormat="1" applyFont="1" applyBorder="1" applyAlignment="1">
      <alignment horizontal="center" vertical="center" wrapText="1"/>
    </xf>
    <xf numFmtId="0" fontId="2" fillId="7" borderId="11" xfId="0" applyFont="1" applyFill="1" applyBorder="1" applyAlignment="1">
      <alignment horizontal="center" vertical="center" wrapText="1"/>
    </xf>
    <xf numFmtId="0" fontId="10" fillId="7" borderId="11" xfId="0" applyFont="1" applyFill="1" applyBorder="1" applyAlignment="1">
      <alignment horizontal="center" vertical="center" wrapText="1"/>
    </xf>
    <xf numFmtId="43" fontId="10" fillId="7" borderId="11" xfId="0" applyNumberFormat="1" applyFont="1" applyFill="1" applyBorder="1" applyAlignment="1">
      <alignment horizontal="center" vertical="center" wrapText="1"/>
    </xf>
    <xf numFmtId="164" fontId="32" fillId="0" borderId="0" xfId="0" applyNumberFormat="1" applyFont="1" applyAlignment="1">
      <alignment horizontal="center" vertical="center"/>
    </xf>
    <xf numFmtId="0" fontId="2" fillId="7" borderId="11" xfId="0" applyFont="1" applyFill="1" applyBorder="1" applyAlignment="1">
      <alignment horizontal="center" vertical="center"/>
    </xf>
    <xf numFmtId="43" fontId="2" fillId="7" borderId="11" xfId="0" applyNumberFormat="1" applyFont="1" applyFill="1" applyBorder="1" applyAlignment="1">
      <alignment horizontal="center" vertical="center" wrapText="1"/>
    </xf>
    <xf numFmtId="3" fontId="14" fillId="7" borderId="11" xfId="0" applyNumberFormat="1" applyFont="1" applyFill="1" applyBorder="1" applyAlignment="1">
      <alignment horizontal="center" vertical="center" wrapText="1"/>
    </xf>
    <xf numFmtId="0" fontId="14" fillId="7" borderId="11" xfId="0" applyFont="1" applyFill="1" applyBorder="1" applyAlignment="1">
      <alignment horizontal="center" vertical="center" wrapText="1"/>
    </xf>
    <xf numFmtId="43" fontId="14" fillId="7" borderId="11" xfId="0" applyNumberFormat="1" applyFont="1" applyFill="1" applyBorder="1" applyAlignment="1">
      <alignment horizontal="center" vertical="center" wrapText="1"/>
    </xf>
    <xf numFmtId="3" fontId="14" fillId="7" borderId="11" xfId="0" quotePrefix="1" applyNumberFormat="1" applyFont="1" applyFill="1" applyBorder="1" applyAlignment="1">
      <alignment horizontal="center" vertical="center" wrapText="1"/>
    </xf>
    <xf numFmtId="2" fontId="5" fillId="24" borderId="11" xfId="2" applyNumberFormat="1" applyFont="1" applyFill="1" applyBorder="1" applyAlignment="1">
      <alignment horizontal="right" vertical="center"/>
    </xf>
    <xf numFmtId="164" fontId="5" fillId="0" borderId="11" xfId="0" quotePrefix="1" applyNumberFormat="1" applyFont="1" applyBorder="1" applyAlignment="1">
      <alignment horizontal="center" vertical="center" wrapText="1"/>
    </xf>
    <xf numFmtId="176" fontId="5" fillId="0" borderId="11" xfId="2" applyNumberFormat="1" applyFont="1" applyFill="1" applyBorder="1" applyAlignment="1">
      <alignment horizontal="right" vertical="center"/>
    </xf>
    <xf numFmtId="164" fontId="5" fillId="0" borderId="11" xfId="0" quotePrefix="1" applyNumberFormat="1" applyFont="1" applyBorder="1" applyAlignment="1">
      <alignment horizontal="right" vertical="center"/>
    </xf>
    <xf numFmtId="164" fontId="35" fillId="0" borderId="0" xfId="0" applyNumberFormat="1" applyFont="1"/>
    <xf numFmtId="169" fontId="35" fillId="0" borderId="11" xfId="0" applyNumberFormat="1" applyFont="1" applyBorder="1" applyAlignment="1">
      <alignment horizontal="center" vertical="center" wrapText="1"/>
    </xf>
    <xf numFmtId="0" fontId="12" fillId="7" borderId="11" xfId="0" applyFont="1" applyFill="1" applyBorder="1" applyAlignment="1">
      <alignment horizontal="center" vertical="center"/>
    </xf>
    <xf numFmtId="43" fontId="12" fillId="7" borderId="11" xfId="0" applyNumberFormat="1" applyFont="1" applyFill="1" applyBorder="1" applyAlignment="1">
      <alignment horizontal="center" vertical="center"/>
    </xf>
    <xf numFmtId="0" fontId="12" fillId="7" borderId="11" xfId="0" applyFont="1" applyFill="1" applyBorder="1" applyAlignment="1">
      <alignment horizontal="center" vertical="center" wrapText="1"/>
    </xf>
    <xf numFmtId="0" fontId="50" fillId="36" borderId="11" xfId="0" applyFont="1" applyFill="1" applyBorder="1" applyAlignment="1">
      <alignment horizontal="center" vertical="center" wrapText="1"/>
    </xf>
    <xf numFmtId="177" fontId="5" fillId="3" borderId="11" xfId="1" applyNumberFormat="1" applyFont="1" applyFill="1" applyBorder="1" applyAlignment="1">
      <alignment horizontal="center" vertical="center"/>
    </xf>
    <xf numFmtId="164" fontId="50" fillId="36" borderId="11" xfId="0" applyNumberFormat="1" applyFont="1" applyFill="1" applyBorder="1" applyAlignment="1">
      <alignment horizontal="center" vertical="center"/>
    </xf>
    <xf numFmtId="1" fontId="5" fillId="3" borderId="11" xfId="0" applyNumberFormat="1" applyFont="1" applyFill="1" applyBorder="1" applyAlignment="1">
      <alignment horizontal="center" vertical="center" wrapText="1"/>
    </xf>
    <xf numFmtId="164" fontId="50" fillId="36" borderId="11" xfId="0" applyNumberFormat="1" applyFont="1" applyFill="1" applyBorder="1" applyAlignment="1">
      <alignment vertical="center"/>
    </xf>
    <xf numFmtId="2" fontId="5" fillId="3" borderId="11" xfId="0" applyNumberFormat="1" applyFont="1" applyFill="1" applyBorder="1" applyAlignment="1">
      <alignment horizontal="center" vertical="center" wrapText="1"/>
    </xf>
    <xf numFmtId="43" fontId="14" fillId="0" borderId="0" xfId="1" applyFont="1" applyFill="1" applyBorder="1" applyAlignment="1">
      <alignment horizontal="center" vertical="center"/>
    </xf>
    <xf numFmtId="164" fontId="14" fillId="0" borderId="0" xfId="0" applyNumberFormat="1" applyFont="1" applyAlignment="1">
      <alignment horizontal="center" vertical="center"/>
    </xf>
    <xf numFmtId="177" fontId="5" fillId="3" borderId="15" xfId="1" applyNumberFormat="1" applyFont="1" applyFill="1" applyBorder="1" applyAlignment="1">
      <alignment horizontal="center" vertical="center"/>
    </xf>
    <xf numFmtId="43" fontId="5" fillId="3" borderId="11" xfId="0" applyNumberFormat="1" applyFont="1" applyFill="1" applyBorder="1" applyAlignment="1">
      <alignment horizontal="center" vertical="center"/>
    </xf>
    <xf numFmtId="0" fontId="50" fillId="36" borderId="97" xfId="0" applyFont="1" applyFill="1" applyBorder="1" applyAlignment="1">
      <alignment horizontal="center" vertical="center" wrapText="1"/>
    </xf>
    <xf numFmtId="0" fontId="50" fillId="36" borderId="98" xfId="0" applyFont="1" applyFill="1" applyBorder="1" applyAlignment="1">
      <alignment horizontal="center" vertical="center" wrapText="1"/>
    </xf>
    <xf numFmtId="0" fontId="53" fillId="7" borderId="11" xfId="0" applyFont="1" applyFill="1" applyBorder="1" applyAlignment="1">
      <alignment horizontal="center" vertical="center"/>
    </xf>
    <xf numFmtId="43" fontId="53" fillId="7" borderId="11" xfId="0" applyNumberFormat="1" applyFont="1" applyFill="1" applyBorder="1" applyAlignment="1">
      <alignment horizontal="center" vertical="center"/>
    </xf>
    <xf numFmtId="0" fontId="53" fillId="7" borderId="11" xfId="0" applyFont="1" applyFill="1" applyBorder="1" applyAlignment="1">
      <alignment horizontal="center" vertical="center" wrapText="1"/>
    </xf>
    <xf numFmtId="0" fontId="60" fillId="3" borderId="0" xfId="0" quotePrefix="1" applyFont="1" applyFill="1" applyAlignment="1">
      <alignment wrapText="1"/>
    </xf>
    <xf numFmtId="0" fontId="61" fillId="3" borderId="0" xfId="0" applyFont="1" applyFill="1" applyAlignment="1">
      <alignment horizontal="center"/>
    </xf>
    <xf numFmtId="3" fontId="5" fillId="0" borderId="11" xfId="5" applyNumberFormat="1" applyFont="1" applyBorder="1" applyAlignment="1">
      <alignment horizontal="center" vertical="center"/>
    </xf>
    <xf numFmtId="0" fontId="50" fillId="0" borderId="11" xfId="0" applyFont="1" applyBorder="1" applyAlignment="1">
      <alignment horizontal="center" vertical="center"/>
    </xf>
    <xf numFmtId="1" fontId="35" fillId="0" borderId="11" xfId="0" applyNumberFormat="1" applyFont="1" applyBorder="1" applyAlignment="1">
      <alignment horizontal="center" vertical="center"/>
    </xf>
    <xf numFmtId="3" fontId="14" fillId="2" borderId="11" xfId="0" applyNumberFormat="1" applyFont="1" applyFill="1" applyBorder="1" applyAlignment="1">
      <alignment horizontal="center" vertical="center"/>
    </xf>
    <xf numFmtId="164" fontId="5" fillId="0" borderId="11" xfId="1" applyNumberFormat="1" applyFont="1" applyBorder="1" applyAlignment="1">
      <alignment horizontal="center" vertical="center"/>
    </xf>
    <xf numFmtId="164" fontId="5" fillId="0" borderId="11" xfId="1" applyNumberFormat="1" applyFont="1" applyBorder="1" applyAlignment="1">
      <alignment vertical="center"/>
    </xf>
    <xf numFmtId="43" fontId="5" fillId="0" borderId="11" xfId="1" applyFont="1" applyBorder="1" applyAlignment="1">
      <alignment horizontal="right" vertical="center" wrapText="1"/>
    </xf>
    <xf numFmtId="164" fontId="5" fillId="0" borderId="11" xfId="1" applyNumberFormat="1" applyFont="1" applyBorder="1" applyAlignment="1">
      <alignment horizontal="center" vertical="center" wrapText="1"/>
    </xf>
    <xf numFmtId="3" fontId="5" fillId="0" borderId="11" xfId="0" applyNumberFormat="1" applyFont="1" applyBorder="1" applyAlignment="1">
      <alignment horizontal="center" vertical="center" wrapText="1"/>
    </xf>
    <xf numFmtId="43" fontId="5" fillId="0" borderId="11" xfId="1" applyFont="1" applyBorder="1" applyAlignment="1">
      <alignment horizontal="center" vertical="center"/>
    </xf>
    <xf numFmtId="43" fontId="56" fillId="0" borderId="11" xfId="1" applyFont="1" applyBorder="1" applyAlignment="1">
      <alignment horizontal="center" vertical="center"/>
    </xf>
    <xf numFmtId="43" fontId="56" fillId="0" borderId="11" xfId="1" applyFont="1" applyBorder="1" applyAlignment="1">
      <alignment vertical="center"/>
    </xf>
    <xf numFmtId="43" fontId="56" fillId="0" borderId="11" xfId="1" applyFont="1" applyBorder="1" applyAlignment="1">
      <alignment horizontal="right" vertical="center" wrapText="1"/>
    </xf>
    <xf numFmtId="164" fontId="56" fillId="0" borderId="11" xfId="1" applyNumberFormat="1" applyFont="1" applyBorder="1" applyAlignment="1">
      <alignment horizontal="center" vertical="center" wrapText="1"/>
    </xf>
    <xf numFmtId="165" fontId="56" fillId="0" borderId="11" xfId="0" applyNumberFormat="1" applyFont="1" applyBorder="1" applyAlignment="1">
      <alignment horizontal="center" vertical="center" wrapText="1"/>
    </xf>
    <xf numFmtId="164" fontId="5" fillId="0" borderId="20" xfId="1" applyNumberFormat="1" applyFont="1" applyBorder="1" applyAlignment="1">
      <alignment horizontal="center" vertical="center"/>
    </xf>
    <xf numFmtId="164" fontId="5" fillId="0" borderId="20" xfId="1" applyNumberFormat="1" applyFont="1" applyBorder="1" applyAlignment="1">
      <alignment vertical="center"/>
    </xf>
    <xf numFmtId="43" fontId="5" fillId="0" borderId="20" xfId="1" applyFont="1" applyBorder="1" applyAlignment="1">
      <alignment horizontal="right" vertical="center" wrapText="1"/>
    </xf>
    <xf numFmtId="164" fontId="5" fillId="0" borderId="20" xfId="1" applyNumberFormat="1" applyFont="1" applyBorder="1" applyAlignment="1">
      <alignment horizontal="center" vertical="center" wrapText="1"/>
    </xf>
    <xf numFmtId="3" fontId="5" fillId="0" borderId="20" xfId="0" applyNumberFormat="1" applyFont="1" applyBorder="1" applyAlignment="1">
      <alignment horizontal="center" vertical="center" wrapText="1"/>
    </xf>
    <xf numFmtId="3" fontId="5" fillId="0" borderId="20" xfId="0" applyNumberFormat="1" applyFont="1" applyBorder="1" applyAlignment="1">
      <alignment horizontal="center" vertical="center"/>
    </xf>
    <xf numFmtId="0" fontId="5" fillId="4" borderId="11" xfId="0" applyFont="1" applyFill="1" applyBorder="1" applyAlignment="1">
      <alignment horizontal="center" vertical="center"/>
    </xf>
    <xf numFmtId="164" fontId="14" fillId="4" borderId="20" xfId="1" applyNumberFormat="1" applyFont="1" applyFill="1" applyBorder="1" applyAlignment="1">
      <alignment horizontal="center" vertical="center"/>
    </xf>
    <xf numFmtId="43" fontId="14" fillId="4" borderId="20" xfId="1" applyFont="1" applyFill="1" applyBorder="1" applyAlignment="1">
      <alignment horizontal="center" vertical="center"/>
    </xf>
    <xf numFmtId="4" fontId="5" fillId="4" borderId="20" xfId="0" applyNumberFormat="1" applyFont="1" applyFill="1" applyBorder="1" applyAlignment="1">
      <alignment horizontal="center" vertical="center" wrapText="1"/>
    </xf>
    <xf numFmtId="4" fontId="5" fillId="4" borderId="20" xfId="0" applyNumberFormat="1" applyFont="1" applyFill="1" applyBorder="1" applyAlignment="1">
      <alignment horizontal="center" vertical="center"/>
    </xf>
    <xf numFmtId="3" fontId="5" fillId="4" borderId="75" xfId="0" applyNumberFormat="1" applyFont="1" applyFill="1" applyBorder="1" applyAlignment="1">
      <alignment horizontal="center" vertical="center" wrapText="1"/>
    </xf>
    <xf numFmtId="43" fontId="5" fillId="4" borderId="11" xfId="1" applyFont="1" applyFill="1" applyBorder="1" applyAlignment="1">
      <alignment horizontal="center" vertical="center"/>
    </xf>
    <xf numFmtId="167" fontId="56" fillId="4" borderId="11" xfId="1" applyNumberFormat="1" applyFont="1" applyFill="1" applyBorder="1" applyAlignment="1">
      <alignment horizontal="center" vertical="center"/>
    </xf>
    <xf numFmtId="43" fontId="56" fillId="4" borderId="11" xfId="1" applyFont="1" applyFill="1" applyBorder="1" applyAlignment="1">
      <alignment vertical="center"/>
    </xf>
    <xf numFmtId="43" fontId="56" fillId="4" borderId="11" xfId="1" applyFont="1" applyFill="1" applyBorder="1" applyAlignment="1">
      <alignment horizontal="right" vertical="center" wrapText="1"/>
    </xf>
    <xf numFmtId="164" fontId="56" fillId="4" borderId="11" xfId="1" applyNumberFormat="1" applyFont="1" applyFill="1" applyBorder="1" applyAlignment="1">
      <alignment horizontal="center" vertical="center" wrapText="1"/>
    </xf>
    <xf numFmtId="165" fontId="56" fillId="4" borderId="11" xfId="0" applyNumberFormat="1" applyFont="1" applyFill="1" applyBorder="1" applyAlignment="1">
      <alignment horizontal="center" vertical="center" wrapText="1"/>
    </xf>
    <xf numFmtId="3" fontId="5" fillId="4" borderId="14" xfId="0" applyNumberFormat="1" applyFont="1" applyFill="1" applyBorder="1" applyAlignment="1">
      <alignment horizontal="center" vertical="center" wrapText="1"/>
    </xf>
    <xf numFmtId="0" fontId="14" fillId="0" borderId="11" xfId="0" applyFont="1" applyBorder="1" applyAlignment="1">
      <alignment vertical="center"/>
    </xf>
    <xf numFmtId="164" fontId="14" fillId="4" borderId="11" xfId="1" applyNumberFormat="1" applyFont="1" applyFill="1" applyBorder="1" applyAlignment="1">
      <alignment horizontal="center" vertical="center"/>
    </xf>
    <xf numFmtId="4" fontId="5" fillId="4" borderId="11" xfId="0" applyNumberFormat="1" applyFont="1" applyFill="1" applyBorder="1" applyAlignment="1">
      <alignment horizontal="center" vertical="center" wrapText="1"/>
    </xf>
    <xf numFmtId="4" fontId="5" fillId="4" borderId="11" xfId="0" applyNumberFormat="1" applyFont="1" applyFill="1" applyBorder="1" applyAlignment="1">
      <alignment horizontal="center" vertical="center"/>
    </xf>
    <xf numFmtId="3" fontId="5" fillId="4" borderId="11" xfId="0" applyNumberFormat="1" applyFont="1" applyFill="1" applyBorder="1" applyAlignment="1">
      <alignment horizontal="center" vertical="center" wrapText="1"/>
    </xf>
    <xf numFmtId="0" fontId="5" fillId="29" borderId="11" xfId="0" applyFont="1" applyFill="1" applyBorder="1" applyAlignment="1">
      <alignment horizontal="center" vertical="center"/>
    </xf>
    <xf numFmtId="164" fontId="14" fillId="29" borderId="11" xfId="1" applyNumberFormat="1" applyFont="1" applyFill="1" applyBorder="1" applyAlignment="1">
      <alignment horizontal="center" vertical="center"/>
    </xf>
    <xf numFmtId="43" fontId="14" fillId="29" borderId="11" xfId="1" applyFont="1" applyFill="1" applyBorder="1" applyAlignment="1">
      <alignment horizontal="center" vertical="center"/>
    </xf>
    <xf numFmtId="4" fontId="5" fillId="29" borderId="11" xfId="0" applyNumberFormat="1" applyFont="1" applyFill="1" applyBorder="1" applyAlignment="1">
      <alignment horizontal="center" vertical="center" wrapText="1"/>
    </xf>
    <xf numFmtId="4" fontId="5" fillId="29" borderId="11" xfId="0" applyNumberFormat="1" applyFont="1" applyFill="1" applyBorder="1" applyAlignment="1">
      <alignment horizontal="center" vertical="center"/>
    </xf>
    <xf numFmtId="3" fontId="5" fillId="29" borderId="11" xfId="0" applyNumberFormat="1" applyFont="1" applyFill="1" applyBorder="1" applyAlignment="1">
      <alignment horizontal="center" vertical="center" wrapText="1"/>
    </xf>
    <xf numFmtId="43" fontId="5" fillId="29" borderId="11" xfId="1" applyFont="1" applyFill="1" applyBorder="1" applyAlignment="1">
      <alignment horizontal="center" vertical="center"/>
    </xf>
    <xf numFmtId="167" fontId="56" fillId="29" borderId="11" xfId="1" applyNumberFormat="1" applyFont="1" applyFill="1" applyBorder="1" applyAlignment="1">
      <alignment horizontal="center" vertical="center"/>
    </xf>
    <xf numFmtId="43" fontId="56" fillId="29" borderId="11" xfId="1" applyFont="1" applyFill="1" applyBorder="1" applyAlignment="1">
      <alignment vertical="center"/>
    </xf>
    <xf numFmtId="43" fontId="56" fillId="29" borderId="11" xfId="1" applyFont="1" applyFill="1" applyBorder="1" applyAlignment="1">
      <alignment horizontal="right" vertical="center" wrapText="1"/>
    </xf>
    <xf numFmtId="164" fontId="56" fillId="29" borderId="11" xfId="1" applyNumberFormat="1" applyFont="1" applyFill="1" applyBorder="1" applyAlignment="1">
      <alignment horizontal="center" vertical="center" wrapText="1"/>
    </xf>
    <xf numFmtId="165" fontId="56" fillId="29" borderId="11" xfId="0" applyNumberFormat="1" applyFont="1" applyFill="1" applyBorder="1" applyAlignment="1">
      <alignment horizontal="center" vertical="center" wrapText="1"/>
    </xf>
    <xf numFmtId="0" fontId="14" fillId="2" borderId="9" xfId="0" applyFont="1" applyFill="1" applyBorder="1" applyAlignment="1">
      <alignment horizontal="center" vertical="center"/>
    </xf>
    <xf numFmtId="0" fontId="14" fillId="2" borderId="9" xfId="0" applyFont="1" applyFill="1" applyBorder="1" applyAlignment="1">
      <alignment horizontal="center" vertical="center" wrapText="1"/>
    </xf>
    <xf numFmtId="3" fontId="5" fillId="0" borderId="14" xfId="0" applyNumberFormat="1" applyFont="1" applyBorder="1" applyAlignment="1">
      <alignment horizontal="center" vertical="center" wrapText="1"/>
    </xf>
    <xf numFmtId="0" fontId="5" fillId="0" borderId="17" xfId="0" applyFont="1" applyBorder="1" applyAlignment="1">
      <alignment horizontal="center" vertical="center"/>
    </xf>
    <xf numFmtId="43" fontId="5" fillId="0" borderId="17" xfId="1" applyFont="1" applyBorder="1" applyAlignment="1">
      <alignment horizontal="center" vertical="center"/>
    </xf>
    <xf numFmtId="43" fontId="56" fillId="0" borderId="17" xfId="1" applyFont="1" applyBorder="1" applyAlignment="1">
      <alignment horizontal="center" vertical="center"/>
    </xf>
    <xf numFmtId="43" fontId="56" fillId="0" borderId="17" xfId="1" applyFont="1" applyBorder="1" applyAlignment="1">
      <alignment vertical="center"/>
    </xf>
    <xf numFmtId="43" fontId="56" fillId="0" borderId="17" xfId="1" applyFont="1" applyBorder="1" applyAlignment="1">
      <alignment horizontal="right" vertical="center" wrapText="1"/>
    </xf>
    <xf numFmtId="164" fontId="56" fillId="0" borderId="17" xfId="1" applyNumberFormat="1" applyFont="1" applyBorder="1" applyAlignment="1">
      <alignment horizontal="center" vertical="center" wrapText="1"/>
    </xf>
    <xf numFmtId="165" fontId="56" fillId="0" borderId="17" xfId="0" applyNumberFormat="1" applyFont="1" applyBorder="1" applyAlignment="1">
      <alignment horizontal="center" vertical="center" wrapText="1"/>
    </xf>
    <xf numFmtId="3" fontId="5" fillId="0" borderId="18" xfId="0" applyNumberFormat="1" applyFont="1" applyBorder="1" applyAlignment="1">
      <alignment horizontal="center" vertical="center" wrapText="1"/>
    </xf>
    <xf numFmtId="0" fontId="5" fillId="4" borderId="15" xfId="0" applyFont="1" applyFill="1" applyBorder="1" applyAlignment="1">
      <alignment horizontal="center" vertical="center"/>
    </xf>
    <xf numFmtId="43" fontId="5" fillId="4" borderId="15" xfId="1" applyFont="1" applyFill="1" applyBorder="1" applyAlignment="1">
      <alignment horizontal="center" vertical="center"/>
    </xf>
    <xf numFmtId="43" fontId="56" fillId="4" borderId="15" xfId="1" applyFont="1" applyFill="1" applyBorder="1" applyAlignment="1">
      <alignment horizontal="center" vertical="center"/>
    </xf>
    <xf numFmtId="43" fontId="56" fillId="4" borderId="15" xfId="1" applyFont="1" applyFill="1" applyBorder="1" applyAlignment="1">
      <alignment vertical="center"/>
    </xf>
    <xf numFmtId="43" fontId="56" fillId="4" borderId="15" xfId="1" applyFont="1" applyFill="1" applyBorder="1" applyAlignment="1">
      <alignment horizontal="right" vertical="center" wrapText="1"/>
    </xf>
    <xf numFmtId="164" fontId="56" fillId="4" borderId="15" xfId="1" applyNumberFormat="1" applyFont="1" applyFill="1" applyBorder="1" applyAlignment="1">
      <alignment horizontal="center" vertical="center" wrapText="1"/>
    </xf>
    <xf numFmtId="165" fontId="56" fillId="4" borderId="15" xfId="0" applyNumberFormat="1" applyFont="1" applyFill="1" applyBorder="1" applyAlignment="1">
      <alignment horizontal="center" vertical="center" wrapText="1"/>
    </xf>
    <xf numFmtId="3" fontId="5" fillId="4" borderId="15" xfId="0" applyNumberFormat="1" applyFont="1" applyFill="1" applyBorder="1" applyAlignment="1">
      <alignment horizontal="center" vertical="center" wrapText="1"/>
    </xf>
    <xf numFmtId="0" fontId="14" fillId="0" borderId="20" xfId="0" applyFont="1" applyBorder="1" applyAlignment="1">
      <alignment vertical="center"/>
    </xf>
    <xf numFmtId="0" fontId="14" fillId="0" borderId="15" xfId="0" applyFont="1" applyBorder="1" applyAlignment="1">
      <alignment vertical="center"/>
    </xf>
    <xf numFmtId="43" fontId="5" fillId="0" borderId="15" xfId="1" applyFont="1" applyBorder="1" applyAlignment="1">
      <alignment horizontal="center" vertical="center"/>
    </xf>
    <xf numFmtId="43" fontId="56" fillId="0" borderId="15" xfId="1" applyFont="1" applyBorder="1" applyAlignment="1">
      <alignment horizontal="center" vertical="center"/>
    </xf>
    <xf numFmtId="43" fontId="56" fillId="0" borderId="15" xfId="1" applyFont="1" applyBorder="1" applyAlignment="1">
      <alignment vertical="center"/>
    </xf>
    <xf numFmtId="43" fontId="56" fillId="0" borderId="15" xfId="1" applyFont="1" applyBorder="1" applyAlignment="1">
      <alignment horizontal="right" vertical="center" wrapText="1"/>
    </xf>
    <xf numFmtId="164" fontId="56" fillId="0" borderId="15" xfId="1" applyNumberFormat="1" applyFont="1" applyBorder="1" applyAlignment="1">
      <alignment horizontal="center" vertical="center" wrapText="1"/>
    </xf>
    <xf numFmtId="165" fontId="56" fillId="0" borderId="15" xfId="0" applyNumberFormat="1" applyFont="1" applyBorder="1" applyAlignment="1">
      <alignment horizontal="center" vertical="center" wrapText="1"/>
    </xf>
    <xf numFmtId="3" fontId="5" fillId="0" borderId="15" xfId="0" applyNumberFormat="1" applyFont="1" applyBorder="1" applyAlignment="1">
      <alignment horizontal="center" vertical="center" wrapText="1"/>
    </xf>
    <xf numFmtId="43" fontId="34" fillId="12" borderId="11" xfId="0" applyNumberFormat="1" applyFont="1" applyFill="1" applyBorder="1" applyAlignment="1">
      <alignment vertical="center"/>
    </xf>
    <xf numFmtId="9" fontId="3" fillId="0" borderId="0" xfId="4" applyFont="1" applyAlignment="1">
      <alignment vertical="center"/>
    </xf>
    <xf numFmtId="0" fontId="2" fillId="15" borderId="99" xfId="0" applyFont="1" applyFill="1" applyBorder="1" applyAlignment="1">
      <alignment vertical="center"/>
    </xf>
    <xf numFmtId="0" fontId="2" fillId="2" borderId="99" xfId="0" applyFont="1" applyFill="1" applyBorder="1" applyAlignment="1">
      <alignment vertical="center"/>
    </xf>
    <xf numFmtId="0" fontId="87" fillId="3" borderId="21" xfId="0" applyFont="1" applyFill="1" applyBorder="1" applyAlignment="1">
      <alignment horizontal="center" vertical="center"/>
    </xf>
    <xf numFmtId="0" fontId="87" fillId="3" borderId="63" xfId="0" applyFont="1" applyFill="1" applyBorder="1" applyAlignment="1">
      <alignment horizontal="center" vertical="center"/>
    </xf>
    <xf numFmtId="0" fontId="13" fillId="3" borderId="63" xfId="0" applyFont="1" applyFill="1" applyBorder="1" applyAlignment="1">
      <alignment horizontal="center" vertical="center"/>
    </xf>
    <xf numFmtId="0" fontId="87" fillId="3" borderId="15" xfId="0" applyFont="1" applyFill="1" applyBorder="1" applyAlignment="1">
      <alignment horizontal="center" vertical="center"/>
    </xf>
    <xf numFmtId="0" fontId="87" fillId="3" borderId="16" xfId="0" applyFont="1" applyFill="1" applyBorder="1" applyAlignment="1">
      <alignment horizontal="center" vertical="center"/>
    </xf>
    <xf numFmtId="0" fontId="13" fillId="3" borderId="16" xfId="0" applyFont="1" applyFill="1" applyBorder="1" applyAlignment="1">
      <alignment horizontal="center" vertical="center"/>
    </xf>
    <xf numFmtId="0" fontId="0" fillId="0" borderId="0" xfId="0" applyAlignment="1">
      <alignment vertical="center"/>
    </xf>
    <xf numFmtId="43" fontId="0" fillId="0" borderId="11" xfId="1" applyFont="1" applyBorder="1"/>
    <xf numFmtId="0" fontId="0" fillId="29" borderId="50" xfId="0" applyFill="1" applyBorder="1" applyAlignment="1">
      <alignment horizontal="center" vertical="center"/>
    </xf>
    <xf numFmtId="0" fontId="0" fillId="29" borderId="20" xfId="0" applyFill="1" applyBorder="1" applyAlignment="1">
      <alignment horizontal="center" vertical="center"/>
    </xf>
    <xf numFmtId="0" fontId="0" fillId="29" borderId="49" xfId="0" applyFill="1" applyBorder="1" applyAlignment="1">
      <alignment horizontal="center" vertical="center"/>
    </xf>
    <xf numFmtId="43" fontId="0" fillId="0" borderId="12" xfId="1" applyFont="1" applyBorder="1"/>
    <xf numFmtId="43" fontId="0" fillId="25" borderId="11" xfId="1" applyFont="1" applyFill="1" applyBorder="1"/>
    <xf numFmtId="43" fontId="0" fillId="0" borderId="13" xfId="1" applyFont="1" applyBorder="1"/>
    <xf numFmtId="43" fontId="0" fillId="25" borderId="12" xfId="1" applyFont="1" applyFill="1" applyBorder="1"/>
    <xf numFmtId="43" fontId="0" fillId="25" borderId="13" xfId="1" applyFont="1" applyFill="1" applyBorder="1"/>
    <xf numFmtId="43" fontId="0" fillId="3" borderId="11" xfId="1" applyFont="1" applyFill="1" applyBorder="1"/>
    <xf numFmtId="43" fontId="0" fillId="3" borderId="12" xfId="1" applyFont="1" applyFill="1" applyBorder="1"/>
    <xf numFmtId="0" fontId="92" fillId="37" borderId="0" xfId="0" applyFont="1" applyFill="1" applyAlignment="1">
      <alignment horizontal="centerContinuous"/>
    </xf>
    <xf numFmtId="0" fontId="93" fillId="33" borderId="11" xfId="0" applyFont="1" applyFill="1" applyBorder="1" applyAlignment="1">
      <alignment horizontal="centerContinuous"/>
    </xf>
    <xf numFmtId="0" fontId="0" fillId="2" borderId="50" xfId="0" applyFill="1" applyBorder="1" applyAlignment="1">
      <alignment horizontal="left" vertical="center"/>
    </xf>
    <xf numFmtId="0" fontId="0" fillId="2" borderId="20" xfId="0" applyFill="1" applyBorder="1" applyAlignment="1">
      <alignment horizontal="center" vertical="center"/>
    </xf>
    <xf numFmtId="0" fontId="0" fillId="2" borderId="49" xfId="0" applyFill="1" applyBorder="1" applyAlignment="1">
      <alignment horizontal="center" vertical="center"/>
    </xf>
    <xf numFmtId="164" fontId="92" fillId="37" borderId="0" xfId="0" applyNumberFormat="1" applyFont="1" applyFill="1" applyAlignment="1">
      <alignment horizontal="centerContinuous"/>
    </xf>
    <xf numFmtId="164" fontId="0" fillId="2" borderId="20" xfId="0" applyNumberFormat="1" applyFill="1" applyBorder="1" applyAlignment="1">
      <alignment horizontal="center" vertical="center"/>
    </xf>
    <xf numFmtId="164" fontId="0" fillId="25" borderId="11" xfId="1" applyNumberFormat="1" applyFont="1" applyFill="1" applyBorder="1"/>
    <xf numFmtId="164" fontId="0" fillId="0" borderId="0" xfId="0" applyNumberFormat="1"/>
    <xf numFmtId="43" fontId="0" fillId="0" borderId="0" xfId="1" applyFont="1"/>
    <xf numFmtId="164" fontId="0" fillId="0" borderId="12" xfId="1" applyNumberFormat="1" applyFont="1" applyBorder="1" applyProtection="1">
      <protection locked="0"/>
    </xf>
    <xf numFmtId="0" fontId="0" fillId="29" borderId="49" xfId="0" applyFill="1" applyBorder="1" applyAlignment="1" applyProtection="1">
      <alignment horizontal="center"/>
      <protection locked="0"/>
    </xf>
    <xf numFmtId="0" fontId="0" fillId="0" borderId="11" xfId="0" applyBorder="1" applyAlignment="1">
      <alignment vertical="center"/>
    </xf>
    <xf numFmtId="180" fontId="5" fillId="0" borderId="33" xfId="2" applyNumberFormat="1" applyFont="1" applyBorder="1" applyAlignment="1">
      <alignment horizontal="center" vertical="center"/>
    </xf>
    <xf numFmtId="178" fontId="51" fillId="0" borderId="33" xfId="0" applyNumberFormat="1" applyFont="1" applyBorder="1" applyAlignment="1">
      <alignment horizontal="center" vertical="center" wrapText="1"/>
    </xf>
    <xf numFmtId="179" fontId="5" fillId="0" borderId="11" xfId="0" applyNumberFormat="1" applyFont="1" applyBorder="1" applyAlignment="1">
      <alignment horizontal="center" vertical="center" wrapText="1"/>
    </xf>
    <xf numFmtId="0" fontId="0" fillId="23" borderId="11" xfId="0" applyFill="1" applyBorder="1" applyAlignment="1">
      <alignment vertical="center"/>
    </xf>
    <xf numFmtId="0" fontId="0" fillId="12" borderId="11" xfId="0" applyFill="1" applyBorder="1" applyAlignment="1">
      <alignment vertical="center"/>
    </xf>
    <xf numFmtId="0" fontId="0" fillId="4" borderId="11" xfId="0" applyFill="1" applyBorder="1" applyAlignment="1">
      <alignment vertical="center"/>
    </xf>
    <xf numFmtId="0" fontId="0" fillId="7" borderId="11" xfId="0" applyFill="1" applyBorder="1" applyAlignment="1">
      <alignment vertical="center"/>
    </xf>
    <xf numFmtId="0" fontId="0" fillId="2" borderId="11" xfId="0" applyFill="1" applyBorder="1" applyAlignment="1">
      <alignment vertical="center"/>
    </xf>
    <xf numFmtId="0" fontId="0" fillId="2" borderId="11" xfId="0" quotePrefix="1" applyFill="1" applyBorder="1" applyAlignment="1">
      <alignment vertical="center"/>
    </xf>
    <xf numFmtId="43" fontId="94" fillId="0" borderId="0" xfId="1" applyFont="1" applyFill="1" applyAlignment="1">
      <alignment horizontal="center" wrapText="1"/>
    </xf>
    <xf numFmtId="43" fontId="0" fillId="0" borderId="0" xfId="1" applyFont="1" applyFill="1" applyAlignment="1">
      <alignment horizontal="center"/>
    </xf>
    <xf numFmtId="164" fontId="0" fillId="0" borderId="11" xfId="1" applyNumberFormat="1" applyFont="1" applyFill="1" applyBorder="1"/>
    <xf numFmtId="0" fontId="5" fillId="0" borderId="25" xfId="0" applyFont="1" applyBorder="1" applyAlignment="1">
      <alignment vertical="center"/>
    </xf>
    <xf numFmtId="0" fontId="5" fillId="0" borderId="20" xfId="0" applyFont="1" applyBorder="1" applyAlignment="1">
      <alignment vertical="center"/>
    </xf>
    <xf numFmtId="0" fontId="35" fillId="0" borderId="27" xfId="0" applyFont="1" applyBorder="1"/>
    <xf numFmtId="0" fontId="35" fillId="0" borderId="11" xfId="0" applyFont="1" applyBorder="1"/>
    <xf numFmtId="0" fontId="35" fillId="0" borderId="20" xfId="0" applyFont="1" applyBorder="1"/>
    <xf numFmtId="0" fontId="35" fillId="7" borderId="11" xfId="0" applyFont="1" applyFill="1" applyBorder="1"/>
    <xf numFmtId="0" fontId="14" fillId="7" borderId="11" xfId="0" applyFont="1" applyFill="1" applyBorder="1" applyAlignment="1">
      <alignment vertical="center"/>
    </xf>
    <xf numFmtId="0" fontId="5" fillId="0" borderId="12" xfId="0" applyFont="1" applyBorder="1" applyAlignment="1">
      <alignment vertical="center"/>
    </xf>
    <xf numFmtId="0" fontId="5" fillId="0" borderId="13" xfId="0" applyFont="1" applyBorder="1" applyAlignment="1">
      <alignment vertical="center"/>
    </xf>
    <xf numFmtId="0" fontId="95" fillId="3" borderId="15" xfId="0" applyFont="1" applyFill="1" applyBorder="1" applyAlignment="1">
      <alignment horizontal="center" vertical="center"/>
    </xf>
    <xf numFmtId="0" fontId="95" fillId="3" borderId="16" xfId="0" applyFont="1" applyFill="1" applyBorder="1" applyAlignment="1">
      <alignment horizontal="center" vertical="center"/>
    </xf>
    <xf numFmtId="0" fontId="0" fillId="4" borderId="15" xfId="0" quotePrefix="1" applyFill="1" applyBorder="1" applyAlignment="1">
      <alignment horizontal="left" vertical="center" wrapText="1"/>
    </xf>
    <xf numFmtId="0" fontId="0" fillId="4" borderId="16" xfId="0" quotePrefix="1" applyFill="1" applyBorder="1" applyAlignment="1">
      <alignment horizontal="left" vertical="center" wrapText="1"/>
    </xf>
    <xf numFmtId="0" fontId="0" fillId="4" borderId="20" xfId="0" quotePrefix="1" applyFill="1" applyBorder="1" applyAlignment="1">
      <alignment horizontal="left" vertical="center" wrapText="1"/>
    </xf>
    <xf numFmtId="0" fontId="95" fillId="23" borderId="15" xfId="0" quotePrefix="1" applyFont="1" applyFill="1" applyBorder="1" applyAlignment="1">
      <alignment horizontal="left" vertical="center" wrapText="1"/>
    </xf>
    <xf numFmtId="0" fontId="95" fillId="23" borderId="16" xfId="0" quotePrefix="1" applyFont="1" applyFill="1" applyBorder="1" applyAlignment="1">
      <alignment horizontal="left" vertical="center"/>
    </xf>
    <xf numFmtId="0" fontId="95" fillId="23" borderId="20" xfId="0" quotePrefix="1" applyFont="1" applyFill="1" applyBorder="1" applyAlignment="1">
      <alignment horizontal="left" vertical="center"/>
    </xf>
    <xf numFmtId="0" fontId="95" fillId="7" borderId="15" xfId="0" quotePrefix="1" applyFont="1" applyFill="1" applyBorder="1" applyAlignment="1">
      <alignment horizontal="left" vertical="center" wrapText="1"/>
    </xf>
    <xf numFmtId="0" fontId="95" fillId="7" borderId="16" xfId="0" quotePrefix="1" applyFont="1" applyFill="1" applyBorder="1" applyAlignment="1">
      <alignment horizontal="left" vertical="center"/>
    </xf>
    <xf numFmtId="0" fontId="95" fillId="7" borderId="20" xfId="0" quotePrefix="1" applyFont="1" applyFill="1" applyBorder="1" applyAlignment="1">
      <alignment horizontal="left" vertical="center"/>
    </xf>
    <xf numFmtId="0" fontId="0" fillId="12" borderId="15" xfId="0" quotePrefix="1" applyFill="1" applyBorder="1" applyAlignment="1">
      <alignment horizontal="left" vertical="center" wrapText="1"/>
    </xf>
    <xf numFmtId="0" fontId="0" fillId="12" borderId="16" xfId="0" quotePrefix="1" applyFill="1" applyBorder="1" applyAlignment="1">
      <alignment horizontal="left" vertical="center" wrapText="1"/>
    </xf>
    <xf numFmtId="0" fontId="0" fillId="12" borderId="20" xfId="0" quotePrefix="1" applyFill="1" applyBorder="1" applyAlignment="1">
      <alignment horizontal="left" vertical="center" wrapText="1"/>
    </xf>
    <xf numFmtId="0" fontId="94" fillId="2" borderId="73" xfId="0" applyFont="1" applyFill="1" applyBorder="1" applyAlignment="1">
      <alignment horizontal="center" vertical="center"/>
    </xf>
    <xf numFmtId="0" fontId="94" fillId="2" borderId="20" xfId="0" applyFont="1" applyFill="1" applyBorder="1" applyAlignment="1">
      <alignment horizontal="center" vertical="center"/>
    </xf>
    <xf numFmtId="0" fontId="94" fillId="2" borderId="49" xfId="0" applyFont="1" applyFill="1" applyBorder="1" applyAlignment="1">
      <alignment horizontal="center" vertical="center"/>
    </xf>
    <xf numFmtId="0" fontId="94" fillId="2" borderId="75" xfId="0" applyFont="1" applyFill="1" applyBorder="1" applyAlignment="1">
      <alignment horizontal="center" vertical="center"/>
    </xf>
    <xf numFmtId="0" fontId="0" fillId="0" borderId="15" xfId="0" applyBorder="1" applyAlignment="1">
      <alignment vertical="center"/>
    </xf>
    <xf numFmtId="0" fontId="9" fillId="0" borderId="11" xfId="0" applyFont="1" applyBorder="1"/>
    <xf numFmtId="0" fontId="91" fillId="0" borderId="0" xfId="0" applyFont="1"/>
    <xf numFmtId="0" fontId="91" fillId="0" borderId="0" xfId="0" applyFont="1" applyAlignment="1">
      <alignment wrapText="1"/>
    </xf>
    <xf numFmtId="164" fontId="91" fillId="0" borderId="12" xfId="1" applyNumberFormat="1" applyFont="1" applyFill="1" applyBorder="1" applyProtection="1">
      <protection locked="0"/>
    </xf>
    <xf numFmtId="0" fontId="82" fillId="33" borderId="11" xfId="0" applyFont="1" applyFill="1" applyBorder="1" applyAlignment="1">
      <alignment horizontal="centerContinuous"/>
    </xf>
    <xf numFmtId="0" fontId="3" fillId="33" borderId="0" xfId="0" applyFont="1" applyFill="1" applyAlignment="1">
      <alignment horizontal="centerContinuous"/>
    </xf>
    <xf numFmtId="0" fontId="3" fillId="33" borderId="0" xfId="0" applyFont="1" applyFill="1"/>
    <xf numFmtId="0" fontId="3" fillId="29" borderId="50" xfId="0" applyFont="1" applyFill="1" applyBorder="1" applyAlignment="1">
      <alignment horizontal="center"/>
    </xf>
    <xf numFmtId="0" fontId="3" fillId="0" borderId="11" xfId="0" applyFont="1" applyBorder="1" applyAlignment="1">
      <alignment horizontal="center"/>
    </xf>
    <xf numFmtId="164" fontId="3" fillId="0" borderId="11" xfId="1" applyNumberFormat="1" applyFont="1" applyBorder="1"/>
    <xf numFmtId="2" fontId="3" fillId="0" borderId="11" xfId="0" applyNumberFormat="1" applyFont="1" applyBorder="1"/>
    <xf numFmtId="0" fontId="3" fillId="0" borderId="15" xfId="0" applyFont="1" applyBorder="1"/>
    <xf numFmtId="164" fontId="3" fillId="0" borderId="15" xfId="1" applyNumberFormat="1" applyFont="1" applyBorder="1"/>
    <xf numFmtId="0" fontId="3" fillId="0" borderId="15" xfId="0" applyFont="1" applyBorder="1" applyAlignment="1">
      <alignment horizontal="center"/>
    </xf>
    <xf numFmtId="2" fontId="3" fillId="0" borderId="15" xfId="0" applyNumberFormat="1" applyFont="1" applyBorder="1"/>
    <xf numFmtId="169" fontId="5" fillId="0" borderId="11" xfId="1" applyNumberFormat="1" applyFont="1" applyBorder="1" applyAlignment="1">
      <alignment vertical="center"/>
    </xf>
    <xf numFmtId="0" fontId="3" fillId="29" borderId="20" xfId="0" applyFont="1" applyFill="1" applyBorder="1" applyAlignment="1">
      <alignment horizontal="center"/>
    </xf>
    <xf numFmtId="0" fontId="3" fillId="0" borderId="13" xfId="0" applyFont="1" applyBorder="1" applyAlignment="1">
      <alignment horizontal="center"/>
    </xf>
    <xf numFmtId="0" fontId="3" fillId="3" borderId="11" xfId="0" applyFont="1" applyFill="1" applyBorder="1"/>
    <xf numFmtId="164" fontId="3" fillId="0" borderId="11" xfId="1" applyNumberFormat="1" applyFont="1" applyBorder="1" applyAlignment="1">
      <alignment horizontal="center"/>
    </xf>
    <xf numFmtId="168" fontId="3" fillId="0" borderId="11" xfId="1" applyNumberFormat="1" applyFont="1" applyFill="1" applyBorder="1" applyAlignment="1">
      <alignment horizontal="center"/>
    </xf>
    <xf numFmtId="0" fontId="3" fillId="3" borderId="15" xfId="0" applyFont="1" applyFill="1" applyBorder="1"/>
    <xf numFmtId="168" fontId="9" fillId="0" borderId="11" xfId="1" applyNumberFormat="1" applyFont="1" applyFill="1" applyBorder="1" applyAlignment="1">
      <alignment horizontal="center"/>
    </xf>
    <xf numFmtId="168" fontId="3" fillId="0" borderId="15" xfId="1" applyNumberFormat="1" applyFont="1" applyFill="1" applyBorder="1" applyAlignment="1">
      <alignment horizontal="center"/>
    </xf>
    <xf numFmtId="0" fontId="0" fillId="0" borderId="13" xfId="0" applyBorder="1" applyAlignment="1" applyProtection="1">
      <alignment horizontal="center"/>
      <protection locked="0"/>
    </xf>
    <xf numFmtId="0" fontId="0" fillId="0" borderId="11" xfId="0" applyBorder="1" applyAlignment="1" applyProtection="1">
      <alignment horizontal="center"/>
      <protection locked="0"/>
    </xf>
    <xf numFmtId="0" fontId="0" fillId="0" borderId="15" xfId="0" applyBorder="1" applyAlignment="1" applyProtection="1">
      <alignment horizontal="center"/>
      <protection locked="0"/>
    </xf>
    <xf numFmtId="0" fontId="0" fillId="0" borderId="13" xfId="0" applyBorder="1" applyAlignment="1">
      <alignment horizontal="center"/>
    </xf>
    <xf numFmtId="0" fontId="0" fillId="0" borderId="11" xfId="0" applyBorder="1" applyAlignment="1">
      <alignment horizontal="center"/>
    </xf>
    <xf numFmtId="0" fontId="0" fillId="0" borderId="15" xfId="0" applyBorder="1" applyAlignment="1">
      <alignment horizontal="center"/>
    </xf>
    <xf numFmtId="0" fontId="94" fillId="2" borderId="11" xfId="0" applyFont="1" applyFill="1" applyBorder="1" applyAlignment="1">
      <alignment horizontal="center" vertical="center"/>
    </xf>
    <xf numFmtId="0" fontId="0" fillId="0" borderId="0" xfId="0" pivotButton="1"/>
    <xf numFmtId="0" fontId="0" fillId="0" borderId="0" xfId="0" applyAlignment="1">
      <alignment horizontal="left"/>
    </xf>
    <xf numFmtId="9" fontId="0" fillId="0" borderId="0" xfId="4" applyFont="1"/>
    <xf numFmtId="0" fontId="89" fillId="39" borderId="103" xfId="0" applyFont="1" applyFill="1" applyBorder="1"/>
    <xf numFmtId="0" fontId="89" fillId="39" borderId="0" xfId="0" applyFont="1" applyFill="1"/>
    <xf numFmtId="0" fontId="0" fillId="0" borderId="63" xfId="0" applyBorder="1"/>
    <xf numFmtId="2" fontId="0" fillId="0" borderId="0" xfId="0" applyNumberFormat="1"/>
    <xf numFmtId="0" fontId="95" fillId="0" borderId="0" xfId="0" quotePrefix="1" applyFont="1"/>
    <xf numFmtId="168" fontId="0" fillId="0" borderId="0" xfId="0" applyNumberFormat="1"/>
    <xf numFmtId="176" fontId="0" fillId="0" borderId="0" xfId="0" applyNumberFormat="1"/>
    <xf numFmtId="0" fontId="96" fillId="0" borderId="0" xfId="0" applyFont="1"/>
    <xf numFmtId="0" fontId="96" fillId="0" borderId="0" xfId="0" applyFont="1" applyAlignment="1">
      <alignment horizontal="left"/>
    </xf>
    <xf numFmtId="0" fontId="97" fillId="0" borderId="0" xfId="0" applyFont="1"/>
    <xf numFmtId="0" fontId="95" fillId="0" borderId="0" xfId="0" applyFont="1"/>
    <xf numFmtId="0" fontId="81" fillId="33" borderId="0" xfId="0" applyFont="1" applyFill="1" applyAlignment="1">
      <alignment horizontal="centerContinuous"/>
    </xf>
    <xf numFmtId="1" fontId="0" fillId="0" borderId="0" xfId="0" applyNumberFormat="1"/>
    <xf numFmtId="0" fontId="3" fillId="29" borderId="11" xfId="0" applyFont="1" applyFill="1" applyBorder="1" applyAlignment="1">
      <alignment horizontal="center"/>
    </xf>
    <xf numFmtId="43" fontId="3" fillId="0" borderId="11" xfId="1" applyFont="1" applyBorder="1" applyAlignment="1">
      <alignment horizontal="center"/>
    </xf>
    <xf numFmtId="0" fontId="0" fillId="0" borderId="23" xfId="0" applyBorder="1" applyAlignment="1">
      <alignment horizontal="center"/>
    </xf>
    <xf numFmtId="0" fontId="3" fillId="0" borderId="23" xfId="0" applyFont="1" applyBorder="1" applyAlignment="1">
      <alignment horizontal="center"/>
    </xf>
    <xf numFmtId="164" fontId="3" fillId="0" borderId="15" xfId="1" applyNumberFormat="1" applyFont="1" applyBorder="1" applyAlignment="1">
      <alignment horizontal="center"/>
    </xf>
    <xf numFmtId="43" fontId="3" fillId="0" borderId="15" xfId="1" applyFont="1" applyBorder="1" applyAlignment="1">
      <alignment horizontal="center"/>
    </xf>
    <xf numFmtId="0" fontId="9" fillId="0" borderId="23" xfId="0" applyFont="1" applyBorder="1" applyAlignment="1">
      <alignment horizontal="center" vertical="center"/>
    </xf>
    <xf numFmtId="0" fontId="5" fillId="0" borderId="11" xfId="0" applyFont="1" applyBorder="1" applyAlignment="1">
      <alignment horizontal="left" vertical="center"/>
    </xf>
    <xf numFmtId="0" fontId="13" fillId="0" borderId="11" xfId="0" applyFont="1" applyBorder="1" applyAlignment="1">
      <alignment horizontal="center" vertical="center"/>
    </xf>
    <xf numFmtId="0" fontId="0" fillId="24" borderId="0" xfId="0" applyFill="1"/>
    <xf numFmtId="0" fontId="0" fillId="0" borderId="23" xfId="0" applyBorder="1" applyAlignment="1" applyProtection="1">
      <alignment horizontal="center"/>
      <protection locked="0"/>
    </xf>
    <xf numFmtId="164" fontId="0" fillId="0" borderId="21" xfId="1" applyNumberFormat="1" applyFont="1" applyBorder="1" applyProtection="1">
      <protection locked="0"/>
    </xf>
    <xf numFmtId="164" fontId="3" fillId="24" borderId="11" xfId="1" applyNumberFormat="1" applyFont="1" applyFill="1" applyBorder="1" applyAlignment="1">
      <alignment horizontal="center"/>
    </xf>
    <xf numFmtId="164" fontId="9" fillId="24" borderId="11" xfId="1" applyNumberFormat="1" applyFont="1" applyFill="1" applyBorder="1" applyAlignment="1">
      <alignment horizontal="center"/>
    </xf>
    <xf numFmtId="164" fontId="3" fillId="24" borderId="15" xfId="1" applyNumberFormat="1" applyFont="1" applyFill="1" applyBorder="1" applyAlignment="1">
      <alignment horizontal="center"/>
    </xf>
    <xf numFmtId="0" fontId="2" fillId="2" borderId="9" xfId="0" applyFont="1" applyFill="1" applyBorder="1" applyAlignment="1">
      <alignment horizontal="center" vertical="center"/>
    </xf>
    <xf numFmtId="0" fontId="3" fillId="0" borderId="17" xfId="0" applyFont="1" applyBorder="1" applyAlignment="1">
      <alignment horizontal="center" vertical="center"/>
    </xf>
    <xf numFmtId="43" fontId="3" fillId="0" borderId="17" xfId="1" applyFont="1" applyBorder="1" applyAlignment="1">
      <alignment horizontal="center" vertical="center"/>
    </xf>
    <xf numFmtId="43" fontId="8" fillId="0" borderId="17" xfId="1" applyFont="1" applyBorder="1" applyAlignment="1">
      <alignment horizontal="center" vertical="center"/>
    </xf>
    <xf numFmtId="43" fontId="8" fillId="0" borderId="17" xfId="1" applyFont="1" applyBorder="1" applyAlignment="1">
      <alignment vertical="center"/>
    </xf>
    <xf numFmtId="43" fontId="8" fillId="0" borderId="17" xfId="1" applyFont="1" applyBorder="1" applyAlignment="1">
      <alignment horizontal="right" vertical="center" wrapText="1"/>
    </xf>
    <xf numFmtId="164" fontId="8" fillId="0" borderId="17" xfId="1" applyNumberFormat="1" applyFont="1" applyBorder="1" applyAlignment="1">
      <alignment horizontal="center" vertical="center" wrapText="1"/>
    </xf>
    <xf numFmtId="165" fontId="8" fillId="0" borderId="17" xfId="0" applyNumberFormat="1" applyFont="1" applyBorder="1" applyAlignment="1">
      <alignment horizontal="center" vertical="center" wrapText="1"/>
    </xf>
    <xf numFmtId="3" fontId="3" fillId="0" borderId="18" xfId="0" applyNumberFormat="1" applyFont="1" applyBorder="1" applyAlignment="1">
      <alignment horizontal="center" vertical="center" wrapText="1"/>
    </xf>
    <xf numFmtId="164" fontId="3" fillId="0" borderId="20" xfId="1" applyNumberFormat="1" applyFont="1" applyBorder="1" applyAlignment="1">
      <alignment horizontal="center" vertical="center"/>
    </xf>
    <xf numFmtId="164" fontId="3" fillId="0" borderId="20" xfId="1" applyNumberFormat="1" applyFont="1" applyBorder="1" applyAlignment="1">
      <alignment vertical="center"/>
    </xf>
    <xf numFmtId="43" fontId="3" fillId="0" borderId="20" xfId="1" applyFont="1" applyBorder="1" applyAlignment="1">
      <alignment horizontal="right" vertical="center" wrapText="1"/>
    </xf>
    <xf numFmtId="164" fontId="3" fillId="0" borderId="20" xfId="1" applyNumberFormat="1" applyFont="1" applyBorder="1" applyAlignment="1">
      <alignment horizontal="center" vertical="center" wrapText="1"/>
    </xf>
    <xf numFmtId="3" fontId="3" fillId="0" borderId="20" xfId="0" applyNumberFormat="1" applyFont="1" applyBorder="1" applyAlignment="1">
      <alignment horizontal="center" vertical="center" wrapText="1"/>
    </xf>
    <xf numFmtId="164" fontId="2" fillId="4" borderId="20" xfId="1" applyNumberFormat="1" applyFont="1" applyFill="1" applyBorder="1" applyAlignment="1">
      <alignment horizontal="center" vertical="center"/>
    </xf>
    <xf numFmtId="0" fontId="2" fillId="0" borderId="15" xfId="0" applyFont="1" applyBorder="1" applyAlignment="1">
      <alignment vertical="center"/>
    </xf>
    <xf numFmtId="43" fontId="3" fillId="0" borderId="15" xfId="1" applyFont="1" applyBorder="1" applyAlignment="1">
      <alignment horizontal="center" vertical="center"/>
    </xf>
    <xf numFmtId="43" fontId="8" fillId="0" borderId="15" xfId="1" applyFont="1" applyBorder="1" applyAlignment="1">
      <alignment horizontal="center" vertical="center"/>
    </xf>
    <xf numFmtId="43" fontId="8" fillId="0" borderId="15" xfId="1" applyFont="1" applyBorder="1" applyAlignment="1">
      <alignment vertical="center"/>
    </xf>
    <xf numFmtId="43" fontId="8" fillId="0" borderId="15" xfId="1" applyFont="1" applyBorder="1" applyAlignment="1">
      <alignment horizontal="right" vertical="center" wrapText="1"/>
    </xf>
    <xf numFmtId="164" fontId="8" fillId="0" borderId="15" xfId="1" applyNumberFormat="1" applyFont="1" applyBorder="1" applyAlignment="1">
      <alignment horizontal="center" vertical="center" wrapText="1"/>
    </xf>
    <xf numFmtId="165" fontId="8" fillId="0" borderId="15" xfId="0" applyNumberFormat="1" applyFont="1" applyBorder="1" applyAlignment="1">
      <alignment horizontal="center" vertical="center" wrapText="1"/>
    </xf>
    <xf numFmtId="3" fontId="3" fillId="0" borderId="15" xfId="0" applyNumberFormat="1" applyFont="1" applyBorder="1" applyAlignment="1">
      <alignment horizontal="center" vertical="center" wrapText="1"/>
    </xf>
    <xf numFmtId="43" fontId="0" fillId="0" borderId="11" xfId="1" applyFont="1" applyFill="1" applyBorder="1"/>
    <xf numFmtId="43" fontId="0" fillId="0" borderId="13" xfId="1" applyFont="1" applyFill="1" applyBorder="1"/>
    <xf numFmtId="43" fontId="0" fillId="0" borderId="12" xfId="1" applyFont="1" applyFill="1" applyBorder="1"/>
    <xf numFmtId="169" fontId="3" fillId="0" borderId="11" xfId="1" applyNumberFormat="1" applyFont="1" applyFill="1" applyBorder="1" applyAlignment="1">
      <alignment horizontal="center"/>
    </xf>
    <xf numFmtId="169" fontId="3" fillId="0" borderId="15" xfId="1" applyNumberFormat="1" applyFont="1" applyFill="1" applyBorder="1" applyAlignment="1">
      <alignment horizontal="center"/>
    </xf>
    <xf numFmtId="169" fontId="35" fillId="0" borderId="15" xfId="1" applyNumberFormat="1" applyFont="1" applyBorder="1" applyAlignment="1">
      <alignment horizontal="center" vertical="center"/>
    </xf>
    <xf numFmtId="169" fontId="5" fillId="0" borderId="15" xfId="0" applyNumberFormat="1" applyFont="1" applyBorder="1" applyAlignment="1">
      <alignment horizontal="center" vertical="center" wrapText="1"/>
    </xf>
    <xf numFmtId="164" fontId="5" fillId="0" borderId="15" xfId="1" applyNumberFormat="1" applyFont="1" applyBorder="1" applyAlignment="1">
      <alignment vertical="center"/>
    </xf>
    <xf numFmtId="164" fontId="5" fillId="0" borderId="15" xfId="0" quotePrefix="1" applyNumberFormat="1" applyFont="1" applyBorder="1" applyAlignment="1">
      <alignment horizontal="center" vertical="center"/>
    </xf>
    <xf numFmtId="164" fontId="5" fillId="0" borderId="15" xfId="0" quotePrefix="1" applyNumberFormat="1" applyFont="1" applyBorder="1" applyAlignment="1">
      <alignment horizontal="right" vertical="center" wrapText="1"/>
    </xf>
    <xf numFmtId="0" fontId="82" fillId="3" borderId="11" xfId="0" applyFont="1" applyFill="1" applyBorder="1" applyAlignment="1">
      <alignment horizontal="center" vertical="center"/>
    </xf>
    <xf numFmtId="0" fontId="13" fillId="3" borderId="16" xfId="0" applyFont="1" applyFill="1" applyBorder="1" applyAlignment="1">
      <alignment horizontal="center" vertical="center" wrapText="1"/>
    </xf>
    <xf numFmtId="0" fontId="12" fillId="3" borderId="16" xfId="0" applyFont="1" applyFill="1" applyBorder="1" applyAlignment="1">
      <alignment horizontal="center" vertical="center"/>
    </xf>
    <xf numFmtId="0" fontId="98" fillId="3" borderId="16" xfId="0" applyFont="1" applyFill="1" applyBorder="1" applyAlignment="1">
      <alignment horizontal="center" vertical="center"/>
    </xf>
    <xf numFmtId="0" fontId="13" fillId="2" borderId="11" xfId="0" applyFont="1" applyFill="1" applyBorder="1" applyAlignment="1">
      <alignment horizontal="center" vertical="center" wrapText="1"/>
    </xf>
    <xf numFmtId="3" fontId="13" fillId="2" borderId="11" xfId="0" applyNumberFormat="1" applyFont="1" applyFill="1" applyBorder="1" applyAlignment="1">
      <alignment horizontal="center" vertical="center" wrapText="1"/>
    </xf>
    <xf numFmtId="0" fontId="87" fillId="3" borderId="20" xfId="0" applyFont="1" applyFill="1" applyBorder="1" applyAlignment="1">
      <alignment horizontal="center" vertical="center" wrapText="1"/>
    </xf>
    <xf numFmtId="0" fontId="22" fillId="0" borderId="13" xfId="0" applyFont="1" applyBorder="1" applyAlignment="1">
      <alignment horizontal="center" vertical="center"/>
    </xf>
    <xf numFmtId="164" fontId="57" fillId="0" borderId="11" xfId="1" applyNumberFormat="1" applyFont="1" applyFill="1" applyBorder="1" applyAlignment="1">
      <alignment horizontal="right" vertical="center"/>
    </xf>
    <xf numFmtId="43" fontId="57" fillId="0" borderId="11" xfId="1" applyFont="1" applyFill="1" applyBorder="1" applyAlignment="1">
      <alignment horizontal="right" vertical="center"/>
    </xf>
    <xf numFmtId="0" fontId="13" fillId="3" borderId="15" xfId="0" applyFont="1" applyFill="1" applyBorder="1" applyAlignment="1">
      <alignment horizontal="center" vertical="center" wrapText="1"/>
    </xf>
    <xf numFmtId="0" fontId="57" fillId="0" borderId="11" xfId="0" applyFont="1" applyBorder="1" applyAlignment="1">
      <alignment horizontal="center" vertical="center"/>
    </xf>
    <xf numFmtId="0" fontId="22" fillId="0" borderId="11" xfId="0" applyFont="1" applyBorder="1" applyAlignment="1">
      <alignment horizontal="center" vertical="center"/>
    </xf>
    <xf numFmtId="0" fontId="57" fillId="23" borderId="13" xfId="0" applyFont="1" applyFill="1" applyBorder="1" applyAlignment="1">
      <alignment horizontal="center" vertical="center"/>
    </xf>
    <xf numFmtId="164" fontId="22" fillId="23" borderId="11" xfId="1" applyNumberFormat="1" applyFont="1" applyFill="1" applyBorder="1" applyAlignment="1">
      <alignment horizontal="right" vertical="center"/>
    </xf>
    <xf numFmtId="43" fontId="22" fillId="23" borderId="11" xfId="1" applyFont="1" applyFill="1" applyBorder="1" applyAlignment="1">
      <alignment horizontal="right" vertical="center"/>
    </xf>
    <xf numFmtId="167" fontId="22" fillId="23" borderId="11" xfId="1" applyNumberFormat="1" applyFont="1" applyFill="1" applyBorder="1" applyAlignment="1">
      <alignment horizontal="right" vertical="center"/>
    </xf>
    <xf numFmtId="168" fontId="22" fillId="23" borderId="11" xfId="1" applyNumberFormat="1" applyFont="1" applyFill="1" applyBorder="1" applyAlignment="1">
      <alignment horizontal="right" vertical="center"/>
    </xf>
    <xf numFmtId="0" fontId="87" fillId="3" borderId="20" xfId="0" applyFont="1" applyFill="1" applyBorder="1" applyAlignment="1">
      <alignment horizontal="center" vertical="center"/>
    </xf>
    <xf numFmtId="0" fontId="22" fillId="23" borderId="23" xfId="0" applyFont="1" applyFill="1" applyBorder="1" applyAlignment="1">
      <alignment horizontal="center" vertical="center"/>
    </xf>
    <xf numFmtId="43" fontId="22" fillId="23" borderId="15" xfId="1" applyFont="1" applyFill="1" applyBorder="1" applyAlignment="1">
      <alignment horizontal="right" vertical="center"/>
    </xf>
    <xf numFmtId="43" fontId="22" fillId="23" borderId="15" xfId="1" applyFont="1" applyFill="1" applyBorder="1" applyAlignment="1">
      <alignment horizontal="right" vertical="center" wrapText="1"/>
    </xf>
    <xf numFmtId="4" fontId="22" fillId="23" borderId="15" xfId="0" applyNumberFormat="1" applyFont="1" applyFill="1" applyBorder="1" applyAlignment="1">
      <alignment horizontal="right" vertical="center" wrapText="1"/>
    </xf>
    <xf numFmtId="4" fontId="22" fillId="23" borderId="15" xfId="0" applyNumberFormat="1" applyFont="1" applyFill="1" applyBorder="1" applyAlignment="1">
      <alignment horizontal="right" vertical="center"/>
    </xf>
    <xf numFmtId="3" fontId="13" fillId="23" borderId="15" xfId="0" applyNumberFormat="1" applyFont="1" applyFill="1" applyBorder="1" applyAlignment="1">
      <alignment horizontal="right" vertical="center" wrapText="1"/>
    </xf>
    <xf numFmtId="0" fontId="99" fillId="0" borderId="11" xfId="0" applyFont="1" applyBorder="1" applyAlignment="1">
      <alignment horizontal="center" vertical="center" wrapText="1"/>
    </xf>
    <xf numFmtId="0" fontId="13" fillId="23" borderId="15" xfId="0" applyFont="1" applyFill="1" applyBorder="1" applyAlignment="1">
      <alignment horizontal="center" vertical="center" wrapText="1"/>
    </xf>
    <xf numFmtId="0" fontId="57" fillId="23" borderId="11" xfId="0" applyFont="1" applyFill="1" applyBorder="1" applyAlignment="1">
      <alignment horizontal="center" vertical="center"/>
    </xf>
    <xf numFmtId="0" fontId="100" fillId="23" borderId="20" xfId="0" applyFont="1" applyFill="1" applyBorder="1" applyAlignment="1">
      <alignment horizontal="center" vertical="center" wrapText="1"/>
    </xf>
    <xf numFmtId="0" fontId="22" fillId="23" borderId="11" xfId="0" applyFont="1" applyFill="1" applyBorder="1" applyAlignment="1">
      <alignment horizontal="center" vertical="center"/>
    </xf>
    <xf numFmtId="43" fontId="22" fillId="23" borderId="11" xfId="1" applyFont="1" applyFill="1" applyBorder="1" applyAlignment="1">
      <alignment horizontal="right" vertical="center" wrapText="1"/>
    </xf>
    <xf numFmtId="4" fontId="22" fillId="23" borderId="11" xfId="0" applyNumberFormat="1" applyFont="1" applyFill="1" applyBorder="1" applyAlignment="1">
      <alignment horizontal="right" vertical="center" wrapText="1"/>
    </xf>
    <xf numFmtId="4" fontId="22" fillId="23" borderId="11" xfId="0" applyNumberFormat="1" applyFont="1" applyFill="1" applyBorder="1" applyAlignment="1">
      <alignment horizontal="right" vertical="center"/>
    </xf>
    <xf numFmtId="3" fontId="13" fillId="23" borderId="11" xfId="0" applyNumberFormat="1" applyFont="1" applyFill="1" applyBorder="1" applyAlignment="1">
      <alignment horizontal="right" vertical="center" wrapText="1"/>
    </xf>
    <xf numFmtId="164" fontId="22" fillId="0" borderId="11" xfId="1" applyNumberFormat="1" applyFont="1" applyFill="1" applyBorder="1" applyAlignment="1">
      <alignment horizontal="right" vertical="center"/>
    </xf>
    <xf numFmtId="43" fontId="22" fillId="0" borderId="11" xfId="1" applyFont="1" applyFill="1" applyBorder="1" applyAlignment="1">
      <alignment horizontal="right" vertical="center"/>
    </xf>
    <xf numFmtId="168" fontId="22" fillId="23" borderId="12" xfId="1" applyNumberFormat="1" applyFont="1" applyFill="1" applyBorder="1" applyAlignment="1">
      <alignment horizontal="right" vertical="center"/>
    </xf>
    <xf numFmtId="164" fontId="22" fillId="23" borderId="61" xfId="1" applyNumberFormat="1" applyFont="1" applyFill="1" applyBorder="1" applyAlignment="1">
      <alignment horizontal="right" vertical="center"/>
    </xf>
    <xf numFmtId="4" fontId="22" fillId="23" borderId="12" xfId="0" applyNumberFormat="1" applyFont="1" applyFill="1" applyBorder="1" applyAlignment="1">
      <alignment horizontal="right" vertical="center"/>
    </xf>
    <xf numFmtId="3" fontId="13" fillId="23" borderId="104" xfId="0" applyNumberFormat="1" applyFont="1" applyFill="1" applyBorder="1" applyAlignment="1">
      <alignment horizontal="right" vertical="center" wrapText="1"/>
    </xf>
    <xf numFmtId="0" fontId="57" fillId="0" borderId="13" xfId="0" applyFont="1" applyBorder="1" applyAlignment="1">
      <alignment horizontal="center" vertical="center"/>
    </xf>
    <xf numFmtId="0" fontId="13" fillId="7" borderId="15" xfId="0" applyFont="1" applyFill="1" applyBorder="1" applyAlignment="1">
      <alignment horizontal="center" vertical="center" wrapText="1"/>
    </xf>
    <xf numFmtId="0" fontId="57" fillId="7" borderId="13" xfId="0" applyFont="1" applyFill="1" applyBorder="1" applyAlignment="1">
      <alignment horizontal="center" vertical="center"/>
    </xf>
    <xf numFmtId="164" fontId="57" fillId="7" borderId="11" xfId="1" applyNumberFormat="1" applyFont="1" applyFill="1" applyBorder="1" applyAlignment="1">
      <alignment horizontal="right" vertical="center"/>
    </xf>
    <xf numFmtId="43" fontId="57" fillId="7" borderId="11" xfId="1" applyFont="1" applyFill="1" applyBorder="1" applyAlignment="1">
      <alignment horizontal="right" vertical="center"/>
    </xf>
    <xf numFmtId="164" fontId="57" fillId="7" borderId="11" xfId="1" applyNumberFormat="1" applyFont="1" applyFill="1" applyBorder="1" applyAlignment="1">
      <alignment horizontal="right" vertical="center" wrapText="1"/>
    </xf>
    <xf numFmtId="3" fontId="57" fillId="7" borderId="11" xfId="0" applyNumberFormat="1" applyFont="1" applyFill="1" applyBorder="1" applyAlignment="1">
      <alignment horizontal="right" vertical="center" wrapText="1"/>
    </xf>
    <xf numFmtId="3" fontId="57" fillId="7" borderId="11" xfId="0" applyNumberFormat="1" applyFont="1" applyFill="1" applyBorder="1" applyAlignment="1">
      <alignment horizontal="right" vertical="center"/>
    </xf>
    <xf numFmtId="0" fontId="101" fillId="7" borderId="20" xfId="0" applyFont="1" applyFill="1" applyBorder="1" applyAlignment="1">
      <alignment horizontal="center" vertical="center" wrapText="1"/>
    </xf>
    <xf numFmtId="0" fontId="57" fillId="7" borderId="11" xfId="1" applyNumberFormat="1" applyFont="1" applyFill="1" applyBorder="1" applyAlignment="1">
      <alignment horizontal="right" vertical="center"/>
    </xf>
    <xf numFmtId="2" fontId="22" fillId="7" borderId="11" xfId="4" applyNumberFormat="1" applyFont="1" applyFill="1" applyBorder="1" applyAlignment="1">
      <alignment horizontal="right" vertical="center"/>
    </xf>
    <xf numFmtId="0" fontId="22" fillId="7" borderId="11" xfId="4" applyNumberFormat="1" applyFont="1" applyFill="1" applyBorder="1" applyAlignment="1">
      <alignment horizontal="right" vertical="center"/>
    </xf>
    <xf numFmtId="0" fontId="22" fillId="7" borderId="11" xfId="1" applyNumberFormat="1" applyFont="1" applyFill="1" applyBorder="1" applyAlignment="1">
      <alignment horizontal="right" vertical="center" wrapText="1"/>
    </xf>
    <xf numFmtId="2" fontId="22" fillId="7" borderId="11" xfId="4" applyNumberFormat="1" applyFont="1" applyFill="1" applyBorder="1" applyAlignment="1">
      <alignment horizontal="right" vertical="center" wrapText="1"/>
    </xf>
    <xf numFmtId="0" fontId="22" fillId="7" borderId="11" xfId="0" applyFont="1" applyFill="1" applyBorder="1" applyAlignment="1">
      <alignment horizontal="right" vertical="center"/>
    </xf>
    <xf numFmtId="0" fontId="22" fillId="7" borderId="11" xfId="0" applyFont="1" applyFill="1" applyBorder="1" applyAlignment="1">
      <alignment horizontal="right" vertical="center" wrapText="1"/>
    </xf>
    <xf numFmtId="0" fontId="57" fillId="7" borderId="11" xfId="0" applyFont="1" applyFill="1" applyBorder="1" applyAlignment="1">
      <alignment horizontal="center" vertical="center"/>
    </xf>
    <xf numFmtId="165" fontId="57" fillId="7" borderId="11" xfId="0" applyNumberFormat="1" applyFont="1" applyFill="1" applyBorder="1" applyAlignment="1">
      <alignment horizontal="right" vertical="center" wrapText="1"/>
    </xf>
    <xf numFmtId="165" fontId="57" fillId="7" borderId="11" xfId="0" applyNumberFormat="1" applyFont="1" applyFill="1" applyBorder="1" applyAlignment="1">
      <alignment horizontal="right" vertical="center"/>
    </xf>
    <xf numFmtId="43" fontId="22" fillId="7" borderId="11" xfId="1" applyFont="1" applyFill="1" applyBorder="1" applyAlignment="1">
      <alignment horizontal="right" vertical="center" wrapText="1"/>
    </xf>
    <xf numFmtId="43" fontId="22" fillId="7" borderId="11" xfId="4" applyNumberFormat="1" applyFont="1" applyFill="1" applyBorder="1" applyAlignment="1">
      <alignment horizontal="right" vertical="center" wrapText="1"/>
    </xf>
    <xf numFmtId="3" fontId="22" fillId="7" borderId="11" xfId="0" applyNumberFormat="1" applyFont="1" applyFill="1" applyBorder="1" applyAlignment="1">
      <alignment horizontal="right" vertical="center"/>
    </xf>
    <xf numFmtId="3" fontId="22" fillId="7" borderId="11" xfId="0" applyNumberFormat="1" applyFont="1" applyFill="1" applyBorder="1" applyAlignment="1">
      <alignment horizontal="right" vertical="center" wrapText="1"/>
    </xf>
    <xf numFmtId="164" fontId="57" fillId="23" borderId="11" xfId="1" applyNumberFormat="1" applyFont="1" applyFill="1" applyBorder="1" applyAlignment="1">
      <alignment horizontal="right" vertical="center"/>
    </xf>
    <xf numFmtId="43" fontId="57" fillId="23" borderId="11" xfId="1" applyFont="1" applyFill="1" applyBorder="1" applyAlignment="1">
      <alignment horizontal="right" vertical="center"/>
    </xf>
    <xf numFmtId="0" fontId="100" fillId="23" borderId="16" xfId="0" applyFont="1" applyFill="1" applyBorder="1" applyAlignment="1">
      <alignment horizontal="center" vertical="center" wrapText="1"/>
    </xf>
    <xf numFmtId="0" fontId="13" fillId="4" borderId="15" xfId="0" applyFont="1" applyFill="1" applyBorder="1" applyAlignment="1">
      <alignment horizontal="center" vertical="center" wrapText="1"/>
    </xf>
    <xf numFmtId="0" fontId="57" fillId="4" borderId="13" xfId="0" applyFont="1" applyFill="1" applyBorder="1" applyAlignment="1">
      <alignment horizontal="center" vertical="center"/>
    </xf>
    <xf numFmtId="164" fontId="13" fillId="4" borderId="11" xfId="1" applyNumberFormat="1" applyFont="1" applyFill="1" applyBorder="1" applyAlignment="1">
      <alignment horizontal="right" vertical="center"/>
    </xf>
    <xf numFmtId="43" fontId="13" fillId="4" borderId="11" xfId="1" applyFont="1" applyFill="1" applyBorder="1" applyAlignment="1">
      <alignment horizontal="right" vertical="center"/>
    </xf>
    <xf numFmtId="164" fontId="57" fillId="4" borderId="11" xfId="1" applyNumberFormat="1" applyFont="1" applyFill="1" applyBorder="1" applyAlignment="1">
      <alignment horizontal="right" vertical="center" wrapText="1"/>
    </xf>
    <xf numFmtId="4" fontId="57" fillId="4" borderId="11" xfId="0" applyNumberFormat="1" applyFont="1" applyFill="1" applyBorder="1" applyAlignment="1">
      <alignment horizontal="right" vertical="center" wrapText="1"/>
    </xf>
    <xf numFmtId="4" fontId="57" fillId="4" borderId="11" xfId="0" applyNumberFormat="1" applyFont="1" applyFill="1" applyBorder="1" applyAlignment="1">
      <alignment horizontal="right" vertical="center"/>
    </xf>
    <xf numFmtId="3" fontId="57" fillId="4" borderId="11" xfId="0" applyNumberFormat="1" applyFont="1" applyFill="1" applyBorder="1" applyAlignment="1">
      <alignment horizontal="right" vertical="center" wrapText="1"/>
    </xf>
    <xf numFmtId="0" fontId="102" fillId="4" borderId="20" xfId="0" applyFont="1" applyFill="1" applyBorder="1" applyAlignment="1">
      <alignment horizontal="center" vertical="center" wrapText="1"/>
    </xf>
    <xf numFmtId="43" fontId="57" fillId="4" borderId="11" xfId="1" applyFont="1" applyFill="1" applyBorder="1" applyAlignment="1">
      <alignment horizontal="right" vertical="center"/>
    </xf>
    <xf numFmtId="2" fontId="22" fillId="4" borderId="11" xfId="4" applyNumberFormat="1" applyFont="1" applyFill="1" applyBorder="1" applyAlignment="1">
      <alignment horizontal="right" vertical="center"/>
    </xf>
    <xf numFmtId="2" fontId="22" fillId="4" borderId="11" xfId="1" applyNumberFormat="1" applyFont="1" applyFill="1" applyBorder="1" applyAlignment="1">
      <alignment horizontal="right" vertical="center" wrapText="1"/>
    </xf>
    <xf numFmtId="2" fontId="22" fillId="4" borderId="11" xfId="4" applyNumberFormat="1" applyFont="1" applyFill="1" applyBorder="1" applyAlignment="1">
      <alignment horizontal="right" vertical="center" wrapText="1"/>
    </xf>
    <xf numFmtId="165" fontId="22" fillId="4" borderId="11" xfId="0" applyNumberFormat="1" applyFont="1" applyFill="1" applyBorder="1" applyAlignment="1">
      <alignment horizontal="right" vertical="center"/>
    </xf>
    <xf numFmtId="0" fontId="57" fillId="4" borderId="11" xfId="0" applyFont="1" applyFill="1" applyBorder="1" applyAlignment="1">
      <alignment horizontal="center" vertical="center"/>
    </xf>
    <xf numFmtId="165" fontId="57" fillId="4" borderId="11" xfId="0" applyNumberFormat="1" applyFont="1" applyFill="1" applyBorder="1" applyAlignment="1">
      <alignment horizontal="right" vertical="center" wrapText="1"/>
    </xf>
    <xf numFmtId="165" fontId="57" fillId="4" borderId="11" xfId="0" applyNumberFormat="1" applyFont="1" applyFill="1" applyBorder="1" applyAlignment="1">
      <alignment horizontal="right" vertical="center"/>
    </xf>
    <xf numFmtId="164" fontId="57" fillId="4" borderId="11" xfId="1" applyNumberFormat="1" applyFont="1" applyFill="1" applyBorder="1" applyAlignment="1">
      <alignment horizontal="right" vertical="center"/>
    </xf>
    <xf numFmtId="43" fontId="22" fillId="4" borderId="11" xfId="1" applyFont="1" applyFill="1" applyBorder="1" applyAlignment="1">
      <alignment horizontal="right" vertical="center"/>
    </xf>
    <xf numFmtId="43" fontId="57" fillId="4" borderId="11" xfId="1" applyFont="1" applyFill="1" applyBorder="1" applyAlignment="1">
      <alignment horizontal="right" vertical="center" wrapText="1"/>
    </xf>
    <xf numFmtId="3" fontId="13" fillId="4" borderId="11" xfId="0" applyNumberFormat="1" applyFont="1" applyFill="1" applyBorder="1" applyAlignment="1">
      <alignment horizontal="right" vertical="center" wrapText="1"/>
    </xf>
    <xf numFmtId="0" fontId="12" fillId="0" borderId="33" xfId="0" applyFont="1" applyBorder="1" applyAlignment="1">
      <alignment horizontal="center" vertical="center" wrapText="1"/>
    </xf>
    <xf numFmtId="0" fontId="98" fillId="3" borderId="15" xfId="0" applyFont="1" applyFill="1" applyBorder="1" applyAlignment="1">
      <alignment horizontal="center" vertical="center"/>
    </xf>
    <xf numFmtId="0" fontId="98" fillId="3" borderId="20" xfId="0" applyFont="1" applyFill="1" applyBorder="1" applyAlignment="1">
      <alignment horizontal="center" vertical="center"/>
    </xf>
    <xf numFmtId="43" fontId="13" fillId="0" borderId="77" xfId="0" applyNumberFormat="1" applyFont="1" applyBorder="1" applyAlignment="1">
      <alignment horizontal="center" vertical="center" wrapText="1"/>
    </xf>
    <xf numFmtId="0" fontId="13" fillId="0" borderId="36" xfId="0" applyFont="1" applyBorder="1" applyAlignment="1">
      <alignment horizontal="center" vertical="center" wrapText="1"/>
    </xf>
    <xf numFmtId="43" fontId="13" fillId="0" borderId="34" xfId="0" applyNumberFormat="1" applyFont="1" applyBorder="1" applyAlignment="1">
      <alignment horizontal="center" vertical="center" wrapText="1"/>
    </xf>
    <xf numFmtId="0" fontId="57" fillId="0" borderId="11" xfId="0" applyFont="1" applyBorder="1" applyAlignment="1">
      <alignment horizontal="center" vertical="center" wrapText="1"/>
    </xf>
    <xf numFmtId="164" fontId="103" fillId="8" borderId="11" xfId="0" applyNumberFormat="1" applyFont="1" applyFill="1" applyBorder="1" applyAlignment="1">
      <alignment vertical="center"/>
    </xf>
    <xf numFmtId="164" fontId="103" fillId="0" borderId="11" xfId="0" applyNumberFormat="1" applyFont="1" applyBorder="1" applyAlignment="1">
      <alignment vertical="center"/>
    </xf>
    <xf numFmtId="10" fontId="104" fillId="0" borderId="11" xfId="4" applyNumberFormat="1" applyFont="1" applyBorder="1" applyAlignment="1">
      <alignment vertical="center"/>
    </xf>
    <xf numFmtId="0" fontId="57" fillId="0" borderId="11" xfId="0" applyFont="1" applyBorder="1" applyAlignment="1">
      <alignment vertical="center" wrapText="1"/>
    </xf>
    <xf numFmtId="9" fontId="22" fillId="0" borderId="11" xfId="4" applyFont="1" applyBorder="1" applyAlignment="1">
      <alignment vertical="center"/>
    </xf>
    <xf numFmtId="43" fontId="104" fillId="0" borderId="11" xfId="0" applyNumberFormat="1" applyFont="1" applyBorder="1" applyAlignment="1">
      <alignment vertical="center"/>
    </xf>
    <xf numFmtId="10" fontId="104" fillId="0" borderId="11" xfId="0" applyNumberFormat="1" applyFont="1" applyBorder="1" applyAlignment="1">
      <alignment vertical="center"/>
    </xf>
    <xf numFmtId="0" fontId="57" fillId="19" borderId="11" xfId="0" applyFont="1" applyFill="1" applyBorder="1" applyAlignment="1">
      <alignment horizontal="center" vertical="center" wrapText="1"/>
    </xf>
    <xf numFmtId="164" fontId="54" fillId="19" borderId="11" xfId="0" applyNumberFormat="1" applyFont="1" applyFill="1" applyBorder="1" applyAlignment="1">
      <alignment vertical="center"/>
    </xf>
    <xf numFmtId="10" fontId="104" fillId="19" borderId="11" xfId="0" applyNumberFormat="1" applyFont="1" applyFill="1" applyBorder="1" applyAlignment="1">
      <alignment vertical="center"/>
    </xf>
    <xf numFmtId="0" fontId="57" fillId="19" borderId="11" xfId="0" applyFont="1" applyFill="1" applyBorder="1" applyAlignment="1">
      <alignment vertical="center" wrapText="1"/>
    </xf>
    <xf numFmtId="9" fontId="105" fillId="19" borderId="11" xfId="4" applyFont="1" applyFill="1" applyBorder="1" applyAlignment="1">
      <alignment vertical="center"/>
    </xf>
    <xf numFmtId="43" fontId="54" fillId="19" borderId="11" xfId="0" applyNumberFormat="1" applyFont="1" applyFill="1" applyBorder="1" applyAlignment="1">
      <alignment vertical="center"/>
    </xf>
    <xf numFmtId="0" fontId="106" fillId="3" borderId="15" xfId="0" applyFont="1" applyFill="1" applyBorder="1" applyAlignment="1">
      <alignment horizontal="center" vertical="center"/>
    </xf>
    <xf numFmtId="0" fontId="106" fillId="3" borderId="16" xfId="0" applyFont="1" applyFill="1" applyBorder="1" applyAlignment="1">
      <alignment horizontal="center" vertical="center"/>
    </xf>
    <xf numFmtId="0" fontId="106" fillId="3" borderId="20" xfId="0" applyFont="1" applyFill="1" applyBorder="1" applyAlignment="1">
      <alignment horizontal="center" vertical="center"/>
    </xf>
    <xf numFmtId="0" fontId="99" fillId="0" borderId="11" xfId="0" applyFont="1" applyBorder="1" applyAlignment="1">
      <alignment vertical="center"/>
    </xf>
    <xf numFmtId="10" fontId="104" fillId="19" borderId="11" xfId="4" applyNumberFormat="1" applyFont="1" applyFill="1" applyBorder="1" applyAlignment="1">
      <alignment vertical="center"/>
    </xf>
    <xf numFmtId="0" fontId="99" fillId="19" borderId="11" xfId="0" applyFont="1" applyFill="1" applyBorder="1" applyAlignment="1">
      <alignment vertical="center"/>
    </xf>
    <xf numFmtId="43" fontId="104" fillId="19" borderId="11" xfId="0" applyNumberFormat="1" applyFont="1" applyFill="1" applyBorder="1" applyAlignment="1">
      <alignment vertical="center"/>
    </xf>
    <xf numFmtId="0" fontId="107" fillId="5" borderId="11" xfId="0" applyFont="1" applyFill="1" applyBorder="1" applyAlignment="1">
      <alignment horizontal="center" vertical="center" wrapText="1"/>
    </xf>
    <xf numFmtId="164" fontId="107" fillId="5" borderId="11" xfId="0" applyNumberFormat="1" applyFont="1" applyFill="1" applyBorder="1" applyAlignment="1">
      <alignment vertical="center"/>
    </xf>
    <xf numFmtId="9" fontId="104" fillId="2" borderId="11" xfId="0" applyNumberFormat="1" applyFont="1" applyFill="1" applyBorder="1" applyAlignment="1">
      <alignment vertical="center"/>
    </xf>
    <xf numFmtId="43" fontId="67" fillId="5" borderId="11" xfId="0" applyNumberFormat="1" applyFont="1" applyFill="1" applyBorder="1" applyAlignment="1">
      <alignment vertical="center"/>
    </xf>
    <xf numFmtId="9" fontId="108" fillId="5" borderId="11" xfId="4" applyFont="1" applyFill="1" applyBorder="1" applyAlignment="1">
      <alignment vertical="center"/>
    </xf>
    <xf numFmtId="43" fontId="108" fillId="5" borderId="11" xfId="0" applyNumberFormat="1" applyFont="1" applyFill="1" applyBorder="1" applyAlignment="1">
      <alignment vertical="center"/>
    </xf>
    <xf numFmtId="43" fontId="109" fillId="5" borderId="11" xfId="0" applyNumberFormat="1" applyFont="1" applyFill="1" applyBorder="1" applyAlignment="1">
      <alignment vertical="center"/>
    </xf>
    <xf numFmtId="0" fontId="63" fillId="0" borderId="11" xfId="0" applyFont="1" applyBorder="1" applyAlignment="1">
      <alignment horizontal="center" vertical="center"/>
    </xf>
    <xf numFmtId="0" fontId="63" fillId="0" borderId="15" xfId="0" applyFont="1" applyBorder="1" applyAlignment="1">
      <alignment horizontal="center" vertical="center"/>
    </xf>
    <xf numFmtId="0" fontId="110" fillId="0" borderId="11" xfId="0" applyFont="1" applyBorder="1" applyAlignment="1">
      <alignment horizontal="center" vertical="center"/>
    </xf>
    <xf numFmtId="43" fontId="54" fillId="0" borderId="11" xfId="0" applyNumberFormat="1" applyFont="1" applyBorder="1" applyAlignment="1">
      <alignment horizontal="center" vertical="center" wrapText="1"/>
    </xf>
    <xf numFmtId="43" fontId="54" fillId="0" borderId="11" xfId="0" applyNumberFormat="1" applyFont="1" applyBorder="1" applyAlignment="1">
      <alignment horizontal="center" vertical="center"/>
    </xf>
    <xf numFmtId="43" fontId="13" fillId="0" borderId="11" xfId="0" applyNumberFormat="1" applyFont="1" applyBorder="1" applyAlignment="1">
      <alignment horizontal="center" vertical="center"/>
    </xf>
    <xf numFmtId="43" fontId="54" fillId="0" borderId="0" xfId="0" applyNumberFormat="1" applyFont="1" applyAlignment="1">
      <alignment vertical="center"/>
    </xf>
    <xf numFmtId="0" fontId="99" fillId="0" borderId="11" xfId="0" applyFont="1" applyBorder="1" applyAlignment="1">
      <alignment horizontal="center" vertical="center"/>
    </xf>
    <xf numFmtId="43" fontId="103" fillId="0" borderId="11" xfId="0" applyNumberFormat="1" applyFont="1" applyBorder="1" applyAlignment="1">
      <alignment horizontal="center" wrapText="1"/>
    </xf>
    <xf numFmtId="43" fontId="103" fillId="0" borderId="11" xfId="0" applyNumberFormat="1" applyFont="1" applyBorder="1" applyAlignment="1">
      <alignment horizontal="center" vertical="center"/>
    </xf>
    <xf numFmtId="164" fontId="103" fillId="0" borderId="11" xfId="0" applyNumberFormat="1" applyFont="1" applyBorder="1" applyAlignment="1">
      <alignment horizontal="center" vertical="center"/>
    </xf>
    <xf numFmtId="10" fontId="103" fillId="0" borderId="11" xfId="4" applyNumberFormat="1" applyFont="1" applyBorder="1" applyAlignment="1">
      <alignment vertical="center"/>
    </xf>
    <xf numFmtId="43" fontId="103" fillId="0" borderId="0" xfId="0" applyNumberFormat="1" applyFont="1" applyAlignment="1">
      <alignment vertical="center"/>
    </xf>
    <xf numFmtId="43" fontId="54" fillId="2" borderId="11" xfId="0" quotePrefix="1" applyNumberFormat="1" applyFont="1" applyFill="1" applyBorder="1" applyAlignment="1">
      <alignment horizontal="center" vertical="center"/>
    </xf>
    <xf numFmtId="164" fontId="54" fillId="2" borderId="11" xfId="0" applyNumberFormat="1" applyFont="1" applyFill="1" applyBorder="1" applyAlignment="1">
      <alignment horizontal="center" vertical="center"/>
    </xf>
    <xf numFmtId="43" fontId="54" fillId="2" borderId="11" xfId="0" applyNumberFormat="1" applyFont="1" applyFill="1" applyBorder="1" applyAlignment="1">
      <alignment horizontal="center" vertical="center"/>
    </xf>
    <xf numFmtId="9" fontId="54" fillId="2" borderId="11" xfId="4" applyFont="1" applyFill="1" applyBorder="1" applyAlignment="1">
      <alignment vertical="center"/>
    </xf>
    <xf numFmtId="0" fontId="13" fillId="0" borderId="0" xfId="0" applyFont="1" applyAlignment="1">
      <alignment vertical="center"/>
    </xf>
    <xf numFmtId="0" fontId="110" fillId="0" borderId="0" xfId="0" applyFont="1" applyAlignment="1">
      <alignment horizontal="center" vertical="center"/>
    </xf>
    <xf numFmtId="43" fontId="54" fillId="0" borderId="0" xfId="0" quotePrefix="1" applyNumberFormat="1" applyFont="1" applyAlignment="1">
      <alignment horizontal="center" vertical="center"/>
    </xf>
    <xf numFmtId="167" fontId="54" fillId="0" borderId="0" xfId="0" applyNumberFormat="1" applyFont="1" applyAlignment="1">
      <alignment horizontal="center" vertical="center"/>
    </xf>
    <xf numFmtId="43" fontId="54" fillId="0" borderId="0" xfId="0" applyNumberFormat="1" applyFont="1" applyAlignment="1">
      <alignment horizontal="center" vertical="center"/>
    </xf>
    <xf numFmtId="43" fontId="103" fillId="0" borderId="0" xfId="0" applyNumberFormat="1" applyFont="1" applyAlignment="1">
      <alignment horizontal="right" vertical="center"/>
    </xf>
    <xf numFmtId="43" fontId="103" fillId="0" borderId="0" xfId="0" applyNumberFormat="1" applyFont="1" applyAlignment="1">
      <alignment horizontal="center" vertical="center"/>
    </xf>
    <xf numFmtId="0" fontId="57" fillId="0" borderId="0" xfId="0" quotePrefix="1" applyFont="1" applyAlignment="1">
      <alignment horizontal="left" vertical="center" wrapText="1"/>
    </xf>
    <xf numFmtId="9" fontId="104" fillId="0" borderId="11" xfId="4" applyFont="1" applyBorder="1" applyAlignment="1">
      <alignment vertical="center"/>
    </xf>
    <xf numFmtId="43" fontId="103" fillId="0" borderId="11" xfId="0" applyNumberFormat="1" applyFont="1" applyBorder="1" applyAlignment="1">
      <alignment vertical="center"/>
    </xf>
    <xf numFmtId="0" fontId="57" fillId="0" borderId="11" xfId="0" applyFont="1" applyBorder="1" applyAlignment="1">
      <alignment vertical="center"/>
    </xf>
    <xf numFmtId="0" fontId="106" fillId="3" borderId="16" xfId="0" applyFont="1" applyFill="1" applyBorder="1" applyAlignment="1">
      <alignment vertical="center"/>
    </xf>
    <xf numFmtId="0" fontId="57" fillId="0" borderId="15" xfId="0" applyFont="1" applyBorder="1" applyAlignment="1">
      <alignment horizontal="center" vertical="center" wrapText="1"/>
    </xf>
    <xf numFmtId="43" fontId="103" fillId="19" borderId="11" xfId="0" applyNumberFormat="1" applyFont="1" applyFill="1" applyBorder="1" applyAlignment="1">
      <alignment vertical="center"/>
    </xf>
    <xf numFmtId="9" fontId="104" fillId="0" borderId="11" xfId="4" applyFont="1" applyFill="1" applyBorder="1" applyAlignment="1">
      <alignment vertical="center"/>
    </xf>
    <xf numFmtId="9" fontId="22" fillId="0" borderId="11" xfId="4" applyFont="1" applyFill="1" applyBorder="1" applyAlignment="1">
      <alignment vertical="center"/>
    </xf>
    <xf numFmtId="0" fontId="57" fillId="0" borderId="20" xfId="0" applyFont="1" applyBorder="1" applyAlignment="1">
      <alignment vertical="center" wrapText="1"/>
    </xf>
    <xf numFmtId="10" fontId="105" fillId="19" borderId="11" xfId="4" applyNumberFormat="1" applyFont="1" applyFill="1" applyBorder="1" applyAlignment="1">
      <alignment vertical="center"/>
    </xf>
    <xf numFmtId="0" fontId="13" fillId="0" borderId="11" xfId="0" applyFont="1" applyBorder="1" applyAlignment="1">
      <alignment vertical="center" wrapText="1"/>
    </xf>
    <xf numFmtId="43" fontId="54" fillId="0" borderId="12" xfId="0" applyNumberFormat="1" applyFont="1" applyBorder="1" applyAlignment="1">
      <alignment vertical="center"/>
    </xf>
    <xf numFmtId="43" fontId="54" fillId="0" borderId="24" xfId="0" applyNumberFormat="1" applyFont="1" applyBorder="1" applyAlignment="1">
      <alignment vertical="center"/>
    </xf>
    <xf numFmtId="0" fontId="99" fillId="0" borderId="15" xfId="0" applyFont="1" applyBorder="1" applyAlignment="1">
      <alignment horizontal="center" vertical="center"/>
    </xf>
    <xf numFmtId="9" fontId="103" fillId="0" borderId="11" xfId="4" applyFont="1" applyBorder="1" applyAlignment="1">
      <alignment vertical="center"/>
    </xf>
    <xf numFmtId="43" fontId="103" fillId="0" borderId="12" xfId="0" applyNumberFormat="1" applyFont="1" applyBorder="1" applyAlignment="1">
      <alignment vertical="center"/>
    </xf>
    <xf numFmtId="43" fontId="103" fillId="0" borderId="24" xfId="0" applyNumberFormat="1" applyFont="1" applyBorder="1" applyAlignment="1">
      <alignment vertical="center"/>
    </xf>
    <xf numFmtId="0" fontId="99" fillId="0" borderId="20" xfId="0" applyFont="1" applyBorder="1" applyAlignment="1">
      <alignment horizontal="center" vertical="center"/>
    </xf>
    <xf numFmtId="0" fontId="110" fillId="2" borderId="11" xfId="0" applyFont="1" applyFill="1" applyBorder="1" applyAlignment="1">
      <alignment vertical="center"/>
    </xf>
    <xf numFmtId="43" fontId="103" fillId="2" borderId="12" xfId="0" applyNumberFormat="1" applyFont="1" applyFill="1" applyBorder="1" applyAlignment="1">
      <alignment vertical="center"/>
    </xf>
    <xf numFmtId="43" fontId="103" fillId="2" borderId="24" xfId="0" applyNumberFormat="1" applyFont="1" applyFill="1" applyBorder="1" applyAlignment="1">
      <alignment vertical="center"/>
    </xf>
    <xf numFmtId="0" fontId="12" fillId="0" borderId="33" xfId="0" applyFont="1" applyBorder="1" applyAlignment="1">
      <alignment horizontal="center" vertical="center"/>
    </xf>
    <xf numFmtId="3" fontId="12" fillId="0" borderId="33" xfId="0" applyNumberFormat="1" applyFont="1" applyBorder="1" applyAlignment="1">
      <alignment horizontal="center" vertical="center" wrapText="1"/>
    </xf>
    <xf numFmtId="43" fontId="12" fillId="0" borderId="33" xfId="0" applyNumberFormat="1" applyFont="1" applyBorder="1" applyAlignment="1">
      <alignment horizontal="center" vertical="center" wrapText="1"/>
    </xf>
    <xf numFmtId="3" fontId="12" fillId="0" borderId="33" xfId="0" quotePrefix="1" applyNumberFormat="1" applyFont="1" applyBorder="1" applyAlignment="1">
      <alignment horizontal="center" vertical="center" wrapText="1"/>
    </xf>
    <xf numFmtId="164" fontId="58" fillId="0" borderId="11" xfId="1" applyNumberFormat="1" applyFont="1" applyBorder="1" applyAlignment="1">
      <alignment vertical="center"/>
    </xf>
    <xf numFmtId="43" fontId="58" fillId="0" borderId="11" xfId="1" applyFont="1" applyBorder="1" applyAlignment="1">
      <alignment vertical="center"/>
    </xf>
    <xf numFmtId="43" fontId="58" fillId="0" borderId="11" xfId="0" applyNumberFormat="1" applyFont="1" applyBorder="1" applyAlignment="1">
      <alignment horizontal="center" vertical="center" wrapText="1"/>
    </xf>
    <xf numFmtId="164" fontId="58" fillId="0" borderId="11" xfId="0" applyNumberFormat="1" applyFont="1" applyBorder="1" applyAlignment="1">
      <alignment vertical="center"/>
    </xf>
    <xf numFmtId="0" fontId="13" fillId="0" borderId="33" xfId="0" applyFont="1" applyBorder="1" applyAlignment="1">
      <alignment horizontal="center" vertical="center"/>
    </xf>
    <xf numFmtId="3" fontId="13" fillId="0" borderId="33" xfId="0" applyNumberFormat="1" applyFont="1" applyBorder="1" applyAlignment="1">
      <alignment horizontal="center" vertical="center" wrapText="1"/>
    </xf>
    <xf numFmtId="43" fontId="13" fillId="0" borderId="33" xfId="0" applyNumberFormat="1" applyFont="1" applyBorder="1" applyAlignment="1">
      <alignment horizontal="center" vertical="center" wrapText="1"/>
    </xf>
    <xf numFmtId="3" fontId="13" fillId="0" borderId="33" xfId="0" quotePrefix="1" applyNumberFormat="1" applyFont="1" applyBorder="1" applyAlignment="1">
      <alignment horizontal="center" vertical="center" wrapText="1"/>
    </xf>
    <xf numFmtId="0" fontId="57" fillId="0" borderId="34" xfId="0" applyFont="1" applyBorder="1" applyAlignment="1">
      <alignment horizontal="center" vertical="center"/>
    </xf>
    <xf numFmtId="0" fontId="57" fillId="0" borderId="33" xfId="0" applyFont="1" applyBorder="1" applyAlignment="1">
      <alignment horizontal="center" vertical="center"/>
    </xf>
    <xf numFmtId="169" fontId="57" fillId="0" borderId="11" xfId="1" applyNumberFormat="1" applyFont="1" applyBorder="1" applyAlignment="1">
      <alignment vertical="center"/>
    </xf>
    <xf numFmtId="164" fontId="57" fillId="0" borderId="11" xfId="1" applyNumberFormat="1" applyFont="1" applyBorder="1" applyAlignment="1">
      <alignment vertical="center"/>
    </xf>
    <xf numFmtId="43" fontId="57" fillId="0" borderId="11" xfId="1" applyFont="1" applyBorder="1" applyAlignment="1">
      <alignment vertical="center"/>
    </xf>
    <xf numFmtId="164" fontId="57" fillId="0" borderId="33" xfId="0" applyNumberFormat="1" applyFont="1" applyBorder="1" applyAlignment="1">
      <alignment horizontal="center" vertical="center"/>
    </xf>
    <xf numFmtId="164" fontId="57" fillId="0" borderId="33" xfId="0" applyNumberFormat="1" applyFont="1" applyBorder="1" applyAlignment="1">
      <alignment vertical="center"/>
    </xf>
    <xf numFmtId="43" fontId="57" fillId="0" borderId="34" xfId="0" applyNumberFormat="1" applyFont="1" applyBorder="1" applyAlignment="1">
      <alignment horizontal="center" vertical="center" wrapText="1"/>
    </xf>
    <xf numFmtId="0" fontId="57" fillId="0" borderId="25" xfId="0" applyFont="1" applyBorder="1" applyAlignment="1">
      <alignment horizontal="center" vertical="center"/>
    </xf>
    <xf numFmtId="0" fontId="57" fillId="0" borderId="35" xfId="0" applyFont="1" applyBorder="1" applyAlignment="1">
      <alignment horizontal="center" vertical="center"/>
    </xf>
    <xf numFmtId="169" fontId="57" fillId="0" borderId="15" xfId="1" applyNumberFormat="1" applyFont="1" applyBorder="1" applyAlignment="1">
      <alignment vertical="center"/>
    </xf>
    <xf numFmtId="164" fontId="57" fillId="0" borderId="35" xfId="0" applyNumberFormat="1" applyFont="1" applyBorder="1" applyAlignment="1">
      <alignment horizontal="center" vertical="center"/>
    </xf>
    <xf numFmtId="164" fontId="57" fillId="0" borderId="35" xfId="0" quotePrefix="1" applyNumberFormat="1" applyFont="1" applyBorder="1" applyAlignment="1">
      <alignment horizontal="right" vertical="center"/>
    </xf>
    <xf numFmtId="43" fontId="57" fillId="0" borderId="25" xfId="0" applyNumberFormat="1" applyFont="1" applyBorder="1" applyAlignment="1">
      <alignment horizontal="center" vertical="center" wrapText="1"/>
    </xf>
    <xf numFmtId="0" fontId="57" fillId="0" borderId="12" xfId="0" applyFont="1" applyBorder="1" applyAlignment="1">
      <alignment horizontal="center" vertical="center"/>
    </xf>
    <xf numFmtId="169" fontId="57" fillId="0" borderId="11" xfId="0" applyNumberFormat="1" applyFont="1" applyBorder="1" applyAlignment="1">
      <alignment horizontal="right" vertical="center"/>
    </xf>
    <xf numFmtId="164" fontId="57" fillId="0" borderId="11" xfId="0" applyNumberFormat="1" applyFont="1" applyBorder="1" applyAlignment="1">
      <alignment horizontal="center" vertical="center"/>
    </xf>
    <xf numFmtId="43" fontId="57" fillId="0" borderId="11" xfId="0" applyNumberFormat="1" applyFont="1" applyBorder="1" applyAlignment="1">
      <alignment horizontal="right" vertical="center"/>
    </xf>
    <xf numFmtId="43" fontId="57" fillId="0" borderId="11" xfId="0" applyNumberFormat="1" applyFont="1" applyBorder="1" applyAlignment="1">
      <alignment horizontal="center" vertical="center" wrapText="1"/>
    </xf>
    <xf numFmtId="164" fontId="57" fillId="0" borderId="11" xfId="0" applyNumberFormat="1" applyFont="1" applyBorder="1" applyAlignment="1">
      <alignment vertical="center"/>
    </xf>
    <xf numFmtId="43" fontId="57" fillId="0" borderId="11" xfId="0" applyNumberFormat="1" applyFont="1" applyBorder="1" applyAlignment="1">
      <alignment horizontal="center" vertical="center"/>
    </xf>
    <xf numFmtId="43" fontId="57" fillId="0" borderId="11" xfId="0" quotePrefix="1" applyNumberFormat="1" applyFont="1" applyBorder="1" applyAlignment="1">
      <alignment vertical="center"/>
    </xf>
    <xf numFmtId="169" fontId="57" fillId="0" borderId="11" xfId="0" applyNumberFormat="1" applyFont="1" applyBorder="1" applyAlignment="1">
      <alignment horizontal="center" vertical="center"/>
    </xf>
    <xf numFmtId="43" fontId="57" fillId="0" borderId="11" xfId="0" quotePrefix="1" applyNumberFormat="1" applyFont="1" applyBorder="1" applyAlignment="1">
      <alignment horizontal="right" vertical="center"/>
    </xf>
    <xf numFmtId="164" fontId="57" fillId="0" borderId="11" xfId="0" applyNumberFormat="1" applyFont="1" applyBorder="1" applyAlignment="1">
      <alignment horizontal="right" vertical="center"/>
    </xf>
    <xf numFmtId="0" fontId="57" fillId="0" borderId="49" xfId="0" applyFont="1" applyBorder="1" applyAlignment="1">
      <alignment horizontal="center" vertical="center"/>
    </xf>
    <xf numFmtId="0" fontId="57" fillId="0" borderId="20" xfId="0" applyFont="1" applyBorder="1" applyAlignment="1">
      <alignment horizontal="center" vertical="center"/>
    </xf>
    <xf numFmtId="169" fontId="57" fillId="0" borderId="20" xfId="0" applyNumberFormat="1" applyFont="1" applyBorder="1" applyAlignment="1">
      <alignment horizontal="center" vertical="center"/>
    </xf>
    <xf numFmtId="169" fontId="57" fillId="0" borderId="20" xfId="0" applyNumberFormat="1" applyFont="1" applyBorder="1" applyAlignment="1">
      <alignment horizontal="right" vertical="center"/>
    </xf>
    <xf numFmtId="164" fontId="57" fillId="0" borderId="20" xfId="0" applyNumberFormat="1" applyFont="1" applyBorder="1" applyAlignment="1">
      <alignment horizontal="center" vertical="center"/>
    </xf>
    <xf numFmtId="164" fontId="57" fillId="0" borderId="20" xfId="0" quotePrefix="1" applyNumberFormat="1" applyFont="1" applyBorder="1" applyAlignment="1">
      <alignment horizontal="center" vertical="center"/>
    </xf>
    <xf numFmtId="43" fontId="57" fillId="0" borderId="20" xfId="0" applyNumberFormat="1" applyFont="1" applyBorder="1" applyAlignment="1">
      <alignment horizontal="right" vertical="center"/>
    </xf>
    <xf numFmtId="170" fontId="57" fillId="0" borderId="11" xfId="0" applyNumberFormat="1" applyFont="1" applyBorder="1" applyAlignment="1">
      <alignment horizontal="center" vertical="center"/>
    </xf>
    <xf numFmtId="43" fontId="57" fillId="0" borderId="11" xfId="0" quotePrefix="1" applyNumberFormat="1" applyFont="1" applyBorder="1" applyAlignment="1">
      <alignment horizontal="center" vertical="center"/>
    </xf>
    <xf numFmtId="0" fontId="67" fillId="40" borderId="11" xfId="0" applyFont="1" applyFill="1" applyBorder="1" applyAlignment="1">
      <alignment horizontal="center" vertical="center"/>
    </xf>
    <xf numFmtId="169" fontId="67" fillId="40" borderId="11" xfId="0" applyNumberFormat="1" applyFont="1" applyFill="1" applyBorder="1" applyAlignment="1">
      <alignment horizontal="center" vertical="center"/>
    </xf>
    <xf numFmtId="169" fontId="67" fillId="24" borderId="11" xfId="0" applyNumberFormat="1" applyFont="1" applyFill="1" applyBorder="1" applyAlignment="1">
      <alignment horizontal="right" vertical="center"/>
    </xf>
    <xf numFmtId="164" fontId="67" fillId="24" borderId="11" xfId="0" applyNumberFormat="1" applyFont="1" applyFill="1" applyBorder="1" applyAlignment="1">
      <alignment horizontal="center" vertical="center"/>
    </xf>
    <xf numFmtId="164" fontId="67" fillId="24" borderId="11" xfId="0" applyNumberFormat="1" applyFont="1" applyFill="1" applyBorder="1" applyAlignment="1">
      <alignment vertical="center"/>
    </xf>
    <xf numFmtId="169" fontId="57" fillId="0" borderId="11" xfId="0" quotePrefix="1" applyNumberFormat="1" applyFont="1" applyBorder="1" applyAlignment="1">
      <alignment horizontal="right" vertical="center"/>
    </xf>
    <xf numFmtId="167" fontId="57" fillId="0" borderId="11" xfId="0" quotePrefix="1" applyNumberFormat="1" applyFont="1" applyBorder="1" applyAlignment="1">
      <alignment horizontal="center" vertical="center"/>
    </xf>
    <xf numFmtId="164" fontId="67" fillId="24" borderId="11" xfId="0" applyNumberFormat="1" applyFont="1" applyFill="1" applyBorder="1" applyAlignment="1">
      <alignment horizontal="right" vertical="center"/>
    </xf>
    <xf numFmtId="168" fontId="58" fillId="0" borderId="11" xfId="0" applyNumberFormat="1" applyFont="1" applyBorder="1" applyAlignment="1">
      <alignment horizontal="center" vertical="center"/>
    </xf>
    <xf numFmtId="168" fontId="58" fillId="0" borderId="11" xfId="0" applyNumberFormat="1" applyFont="1" applyBorder="1" applyAlignment="1">
      <alignment horizontal="center" vertical="center" wrapText="1"/>
    </xf>
    <xf numFmtId="164" fontId="58" fillId="0" borderId="11" xfId="0" quotePrefix="1" applyNumberFormat="1" applyFont="1" applyBorder="1" applyAlignment="1">
      <alignment horizontal="right" vertical="center" wrapText="1"/>
    </xf>
    <xf numFmtId="169" fontId="58" fillId="0" borderId="11" xfId="0" applyNumberFormat="1" applyFont="1" applyBorder="1" applyAlignment="1">
      <alignment horizontal="center" vertical="center" wrapText="1"/>
    </xf>
    <xf numFmtId="0" fontId="99" fillId="0" borderId="13" xfId="0" applyFont="1" applyBorder="1" applyAlignment="1">
      <alignment horizontal="center" vertical="center"/>
    </xf>
    <xf numFmtId="168" fontId="57" fillId="0" borderId="11" xfId="0" applyNumberFormat="1" applyFont="1" applyBorder="1" applyAlignment="1">
      <alignment horizontal="center" vertical="center"/>
    </xf>
    <xf numFmtId="168" fontId="99" fillId="0" borderId="11" xfId="1" applyNumberFormat="1" applyFont="1" applyBorder="1" applyAlignment="1">
      <alignment horizontal="center" vertical="center"/>
    </xf>
    <xf numFmtId="168" fontId="57" fillId="0" borderId="11" xfId="0" applyNumberFormat="1" applyFont="1" applyBorder="1" applyAlignment="1">
      <alignment horizontal="center" vertical="center" wrapText="1"/>
    </xf>
    <xf numFmtId="164" fontId="57" fillId="0" borderId="11" xfId="0" quotePrefix="1" applyNumberFormat="1" applyFont="1" applyBorder="1" applyAlignment="1">
      <alignment horizontal="right" vertical="center" wrapText="1"/>
    </xf>
    <xf numFmtId="0" fontId="57" fillId="3" borderId="12" xfId="0" applyFont="1" applyFill="1" applyBorder="1" applyAlignment="1">
      <alignment horizontal="center" vertical="center"/>
    </xf>
    <xf numFmtId="0" fontId="57" fillId="3" borderId="24" xfId="0" applyFont="1" applyFill="1" applyBorder="1" applyAlignment="1">
      <alignment horizontal="center" vertical="center"/>
    </xf>
    <xf numFmtId="0" fontId="57" fillId="3" borderId="13" xfId="0" applyFont="1" applyFill="1" applyBorder="1" applyAlignment="1">
      <alignment horizontal="center" vertical="center"/>
    </xf>
    <xf numFmtId="168" fontId="99" fillId="0" borderId="11" xfId="1" applyNumberFormat="1" applyFont="1" applyFill="1" applyBorder="1" applyAlignment="1">
      <alignment horizontal="center" vertical="center"/>
    </xf>
    <xf numFmtId="169" fontId="57" fillId="0" borderId="11" xfId="0" applyNumberFormat="1" applyFont="1" applyBorder="1" applyAlignment="1">
      <alignment horizontal="center" vertical="center" wrapText="1"/>
    </xf>
    <xf numFmtId="169" fontId="99" fillId="0" borderId="11" xfId="1" applyNumberFormat="1" applyFont="1" applyBorder="1" applyAlignment="1">
      <alignment horizontal="center" vertical="center"/>
    </xf>
    <xf numFmtId="164" fontId="57" fillId="0" borderId="11" xfId="0" quotePrefix="1" applyNumberFormat="1" applyFont="1" applyBorder="1" applyAlignment="1">
      <alignment horizontal="center" vertical="center"/>
    </xf>
    <xf numFmtId="43" fontId="99" fillId="0" borderId="11" xfId="1" applyFont="1" applyBorder="1" applyAlignment="1">
      <alignment horizontal="center" vertical="center"/>
    </xf>
    <xf numFmtId="0" fontId="87" fillId="3" borderId="49" xfId="0" applyFont="1" applyFill="1" applyBorder="1" applyAlignment="1">
      <alignment horizontal="center" vertical="center"/>
    </xf>
    <xf numFmtId="0" fontId="58" fillId="0" borderId="12" xfId="0" applyFont="1" applyBorder="1" applyAlignment="1">
      <alignment horizontal="center" vertical="center" wrapText="1"/>
    </xf>
    <xf numFmtId="43" fontId="58" fillId="0" borderId="11" xfId="0" applyNumberFormat="1" applyFont="1" applyBorder="1" applyAlignment="1">
      <alignment vertical="center"/>
    </xf>
    <xf numFmtId="0" fontId="58" fillId="0" borderId="57" xfId="0" applyFont="1" applyBorder="1" applyAlignment="1">
      <alignment horizontal="center" vertical="center" wrapText="1"/>
    </xf>
    <xf numFmtId="168" fontId="58" fillId="0" borderId="39" xfId="0" applyNumberFormat="1" applyFont="1" applyBorder="1" applyAlignment="1">
      <alignment horizontal="center" vertical="center" wrapText="1"/>
    </xf>
    <xf numFmtId="164" fontId="58" fillId="0" borderId="49" xfId="0" quotePrefix="1" applyNumberFormat="1" applyFont="1" applyBorder="1" applyAlignment="1">
      <alignment horizontal="right" vertical="center" wrapText="1"/>
    </xf>
    <xf numFmtId="0" fontId="58" fillId="0" borderId="21" xfId="0" applyFont="1" applyBorder="1" applyAlignment="1">
      <alignment horizontal="center" vertical="center" wrapText="1"/>
    </xf>
    <xf numFmtId="168" fontId="58" fillId="0" borderId="35" xfId="0" applyNumberFormat="1" applyFont="1" applyBorder="1" applyAlignment="1">
      <alignment horizontal="center" vertical="center" wrapText="1"/>
    </xf>
    <xf numFmtId="164" fontId="58" fillId="0" borderId="15" xfId="0" applyNumberFormat="1" applyFont="1" applyBorder="1" applyAlignment="1">
      <alignment vertical="center"/>
    </xf>
    <xf numFmtId="164" fontId="58" fillId="0" borderId="21" xfId="0" quotePrefix="1" applyNumberFormat="1" applyFont="1" applyBorder="1" applyAlignment="1">
      <alignment horizontal="right" vertical="center" wrapText="1"/>
    </xf>
    <xf numFmtId="14" fontId="57" fillId="0" borderId="11" xfId="0" applyNumberFormat="1" applyFont="1" applyBorder="1" applyAlignment="1">
      <alignment horizontal="right" vertical="center"/>
    </xf>
    <xf numFmtId="3" fontId="57" fillId="0" borderId="11" xfId="0" applyNumberFormat="1" applyFont="1" applyBorder="1" applyAlignment="1">
      <alignment vertical="center"/>
    </xf>
    <xf numFmtId="10" fontId="57" fillId="0" borderId="11" xfId="4" applyNumberFormat="1" applyFont="1" applyFill="1" applyBorder="1" applyAlignment="1">
      <alignment horizontal="right" vertical="center"/>
    </xf>
    <xf numFmtId="9" fontId="57" fillId="0" borderId="11" xfId="4" applyFont="1" applyFill="1" applyBorder="1" applyAlignment="1">
      <alignment horizontal="right" vertical="center"/>
    </xf>
    <xf numFmtId="43" fontId="57" fillId="0" borderId="11" xfId="0" applyNumberFormat="1" applyFont="1" applyBorder="1" applyAlignment="1">
      <alignment horizontal="right" vertical="center" wrapText="1"/>
    </xf>
    <xf numFmtId="0" fontId="57" fillId="3" borderId="11" xfId="0" applyFont="1" applyFill="1" applyBorder="1" applyAlignment="1">
      <alignment horizontal="center" vertical="center" wrapText="1"/>
    </xf>
    <xf numFmtId="43" fontId="57" fillId="0" borderId="11" xfId="1" applyFont="1" applyFill="1" applyBorder="1" applyAlignment="1">
      <alignment horizontal="right" vertical="center" wrapText="1"/>
    </xf>
    <xf numFmtId="164" fontId="13" fillId="4" borderId="11" xfId="0" applyNumberFormat="1" applyFont="1" applyFill="1" applyBorder="1" applyAlignment="1">
      <alignment horizontal="right" vertical="center"/>
    </xf>
    <xf numFmtId="10" fontId="13" fillId="4" borderId="11" xfId="4" applyNumberFormat="1" applyFont="1" applyFill="1" applyBorder="1" applyAlignment="1">
      <alignment horizontal="right" vertical="center"/>
    </xf>
    <xf numFmtId="3" fontId="13" fillId="4" borderId="11" xfId="0" applyNumberFormat="1" applyFont="1" applyFill="1" applyBorder="1" applyAlignment="1">
      <alignment horizontal="right" vertical="center"/>
    </xf>
    <xf numFmtId="43" fontId="13" fillId="4" borderId="11" xfId="0" applyNumberFormat="1" applyFont="1" applyFill="1" applyBorder="1" applyAlignment="1">
      <alignment horizontal="right" vertical="center"/>
    </xf>
    <xf numFmtId="9" fontId="13" fillId="4" borderId="11" xfId="4" applyFont="1" applyFill="1" applyBorder="1" applyAlignment="1">
      <alignment horizontal="right" vertical="center"/>
    </xf>
    <xf numFmtId="43" fontId="13" fillId="4" borderId="11" xfId="0" applyNumberFormat="1" applyFont="1" applyFill="1" applyBorder="1" applyAlignment="1">
      <alignment horizontal="right" vertical="center" wrapText="1"/>
    </xf>
    <xf numFmtId="43" fontId="13" fillId="4" borderId="11" xfId="0" applyNumberFormat="1" applyFont="1" applyFill="1" applyBorder="1" applyAlignment="1">
      <alignment horizontal="center" vertical="center"/>
    </xf>
    <xf numFmtId="14" fontId="57" fillId="0" borderId="11" xfId="0" applyNumberFormat="1" applyFont="1" applyBorder="1" applyAlignment="1">
      <alignment horizontal="right" vertical="center" wrapText="1"/>
    </xf>
    <xf numFmtId="14" fontId="57" fillId="0" borderId="11" xfId="0" applyNumberFormat="1" applyFont="1" applyBorder="1" applyAlignment="1">
      <alignment horizontal="center" vertical="center" wrapText="1"/>
    </xf>
    <xf numFmtId="0" fontId="99" fillId="3" borderId="11" xfId="0" applyFont="1" applyFill="1" applyBorder="1" applyAlignment="1">
      <alignment horizontal="center" vertical="center" wrapText="1"/>
    </xf>
    <xf numFmtId="164" fontId="57" fillId="3" borderId="11" xfId="1" applyNumberFormat="1" applyFont="1" applyFill="1" applyBorder="1" applyAlignment="1">
      <alignment horizontal="right" vertical="center"/>
    </xf>
    <xf numFmtId="9" fontId="57" fillId="3" borderId="11" xfId="4" applyFont="1" applyFill="1" applyBorder="1" applyAlignment="1">
      <alignment horizontal="right" vertical="center"/>
    </xf>
    <xf numFmtId="164" fontId="57" fillId="3" borderId="11" xfId="0" applyNumberFormat="1" applyFont="1" applyFill="1" applyBorder="1" applyAlignment="1">
      <alignment horizontal="right" vertical="center"/>
    </xf>
    <xf numFmtId="0" fontId="57" fillId="3" borderId="15" xfId="0" applyFont="1" applyFill="1" applyBorder="1" applyAlignment="1">
      <alignment horizontal="center" vertical="center" wrapText="1"/>
    </xf>
    <xf numFmtId="164" fontId="57" fillId="3" borderId="15" xfId="1" applyNumberFormat="1" applyFont="1" applyFill="1" applyBorder="1" applyAlignment="1">
      <alignment horizontal="right" vertical="center"/>
    </xf>
    <xf numFmtId="9" fontId="57" fillId="3" borderId="15" xfId="4" applyFont="1" applyFill="1" applyBorder="1" applyAlignment="1">
      <alignment horizontal="right" vertical="center"/>
    </xf>
    <xf numFmtId="164" fontId="57" fillId="3" borderId="15" xfId="0" applyNumberFormat="1" applyFont="1" applyFill="1" applyBorder="1" applyAlignment="1">
      <alignment horizontal="right" vertical="center"/>
    </xf>
    <xf numFmtId="10" fontId="57" fillId="3" borderId="11" xfId="4" applyNumberFormat="1" applyFont="1" applyFill="1" applyBorder="1" applyAlignment="1">
      <alignment horizontal="right" vertical="center"/>
    </xf>
    <xf numFmtId="10" fontId="57" fillId="3" borderId="15" xfId="4" applyNumberFormat="1" applyFont="1" applyFill="1" applyBorder="1" applyAlignment="1">
      <alignment horizontal="right" vertical="center"/>
    </xf>
    <xf numFmtId="164" fontId="99" fillId="3" borderId="11" xfId="1" applyNumberFormat="1" applyFont="1" applyFill="1" applyBorder="1" applyAlignment="1">
      <alignment horizontal="right" vertical="center" wrapText="1"/>
    </xf>
    <xf numFmtId="3" fontId="13" fillId="4" borderId="11" xfId="0" applyNumberFormat="1" applyFont="1" applyFill="1" applyBorder="1" applyAlignment="1">
      <alignment horizontal="center" vertical="center"/>
    </xf>
    <xf numFmtId="164" fontId="57" fillId="0" borderId="15" xfId="1" applyNumberFormat="1" applyFont="1" applyFill="1" applyBorder="1" applyAlignment="1">
      <alignment horizontal="right" vertical="center"/>
    </xf>
    <xf numFmtId="9" fontId="57" fillId="0" borderId="15" xfId="4" applyFont="1" applyFill="1" applyBorder="1" applyAlignment="1">
      <alignment horizontal="right" vertical="center"/>
    </xf>
    <xf numFmtId="164" fontId="57" fillId="0" borderId="15" xfId="0" applyNumberFormat="1" applyFont="1" applyBorder="1" applyAlignment="1">
      <alignment horizontal="right" vertical="center"/>
    </xf>
    <xf numFmtId="164" fontId="99" fillId="0" borderId="11" xfId="1" applyNumberFormat="1" applyFont="1" applyFill="1" applyBorder="1" applyAlignment="1">
      <alignment horizontal="right" vertical="center" wrapText="1"/>
    </xf>
    <xf numFmtId="43" fontId="57" fillId="0" borderId="0" xfId="0" applyNumberFormat="1" applyFont="1" applyAlignment="1">
      <alignment vertical="center"/>
    </xf>
    <xf numFmtId="0" fontId="57" fillId="0" borderId="0" xfId="0" applyFont="1" applyAlignment="1">
      <alignment horizontal="right" vertical="center" wrapText="1"/>
    </xf>
    <xf numFmtId="0" fontId="57" fillId="0" borderId="0" xfId="0" applyFont="1" applyAlignment="1">
      <alignment vertical="center" wrapText="1"/>
    </xf>
    <xf numFmtId="0" fontId="57" fillId="0" borderId="0" xfId="0" applyFont="1" applyAlignment="1">
      <alignment horizontal="center" vertical="center" wrapText="1"/>
    </xf>
    <xf numFmtId="181" fontId="57" fillId="3" borderId="11" xfId="4" applyNumberFormat="1" applyFont="1" applyFill="1" applyBorder="1" applyAlignment="1">
      <alignment horizontal="right" vertical="center"/>
    </xf>
    <xf numFmtId="43" fontId="9" fillId="0" borderId="11" xfId="1" applyFont="1" applyFill="1" applyBorder="1" applyAlignment="1">
      <alignment horizontal="right" vertical="center"/>
    </xf>
    <xf numFmtId="164" fontId="33" fillId="0" borderId="11" xfId="1" applyNumberFormat="1" applyFont="1" applyFill="1" applyBorder="1" applyAlignment="1">
      <alignment horizontal="center" vertical="center"/>
    </xf>
    <xf numFmtId="0" fontId="22" fillId="0" borderId="0" xfId="0" quotePrefix="1" applyFont="1" applyAlignment="1">
      <alignment horizontal="left" vertical="center"/>
    </xf>
    <xf numFmtId="167" fontId="5" fillId="0" borderId="11" xfId="0" applyNumberFormat="1" applyFont="1" applyBorder="1" applyAlignment="1">
      <alignment vertical="center"/>
    </xf>
    <xf numFmtId="2" fontId="5" fillId="0" borderId="11" xfId="2" applyNumberFormat="1" applyFont="1" applyFill="1" applyBorder="1" applyAlignment="1">
      <alignment horizontal="right" vertical="center"/>
    </xf>
    <xf numFmtId="0" fontId="35" fillId="3" borderId="15" xfId="1" applyNumberFormat="1" applyFont="1" applyFill="1" applyBorder="1" applyAlignment="1">
      <alignment horizontal="center" vertical="center"/>
    </xf>
    <xf numFmtId="3" fontId="35" fillId="3" borderId="11" xfId="1" applyNumberFormat="1" applyFont="1" applyFill="1" applyBorder="1" applyAlignment="1">
      <alignment horizontal="center" vertical="center"/>
    </xf>
    <xf numFmtId="0" fontId="35" fillId="3" borderId="11" xfId="1" applyNumberFormat="1" applyFont="1" applyFill="1" applyBorder="1" applyAlignment="1">
      <alignment horizontal="center" vertical="center"/>
    </xf>
    <xf numFmtId="164" fontId="35" fillId="36" borderId="11" xfId="0" applyNumberFormat="1" applyFont="1" applyFill="1" applyBorder="1" applyAlignment="1">
      <alignment horizontal="center" vertical="center"/>
    </xf>
    <xf numFmtId="43" fontId="35" fillId="3" borderId="11" xfId="1" applyFont="1" applyFill="1" applyBorder="1" applyAlignment="1">
      <alignment vertical="center"/>
    </xf>
    <xf numFmtId="164" fontId="35" fillId="3" borderId="11" xfId="1" applyNumberFormat="1" applyFont="1" applyFill="1" applyBorder="1" applyAlignment="1">
      <alignment vertical="center"/>
    </xf>
    <xf numFmtId="164" fontId="35" fillId="3" borderId="11" xfId="0" applyNumberFormat="1" applyFont="1" applyFill="1" applyBorder="1" applyAlignment="1">
      <alignment horizontal="center" vertical="center"/>
    </xf>
    <xf numFmtId="43" fontId="35" fillId="3" borderId="11" xfId="0" applyNumberFormat="1" applyFont="1" applyFill="1" applyBorder="1" applyAlignment="1">
      <alignment horizontal="center" vertical="center"/>
    </xf>
    <xf numFmtId="164" fontId="35" fillId="36" borderId="11" xfId="0" applyNumberFormat="1" applyFont="1" applyFill="1" applyBorder="1" applyAlignment="1">
      <alignment horizontal="center" vertical="center" wrapText="1"/>
    </xf>
    <xf numFmtId="0" fontId="35" fillId="36" borderId="11" xfId="0" applyFont="1" applyFill="1" applyBorder="1" applyAlignment="1">
      <alignment horizontal="center" vertical="center" wrapText="1"/>
    </xf>
    <xf numFmtId="0" fontId="35" fillId="36" borderId="15" xfId="0" applyFont="1" applyFill="1" applyBorder="1" applyAlignment="1">
      <alignment horizontal="center" vertical="center" wrapText="1"/>
    </xf>
    <xf numFmtId="177" fontId="35" fillId="3" borderId="15" xfId="1" applyNumberFormat="1" applyFont="1" applyFill="1" applyBorder="1" applyAlignment="1">
      <alignment horizontal="center" vertical="center"/>
    </xf>
    <xf numFmtId="0" fontId="113" fillId="3" borderId="0" xfId="0" applyFont="1" applyFill="1"/>
    <xf numFmtId="0" fontId="112" fillId="3" borderId="0" xfId="0" applyFont="1" applyFill="1"/>
    <xf numFmtId="43" fontId="61" fillId="3" borderId="0" xfId="1" applyFont="1" applyFill="1" applyBorder="1" applyAlignment="1">
      <alignment vertical="center"/>
    </xf>
    <xf numFmtId="0" fontId="61" fillId="3" borderId="0" xfId="0" applyFont="1" applyFill="1"/>
    <xf numFmtId="0" fontId="61" fillId="3" borderId="0" xfId="0" quotePrefix="1" applyFont="1" applyFill="1" applyAlignment="1">
      <alignment vertical="center" wrapText="1"/>
    </xf>
    <xf numFmtId="43" fontId="0" fillId="0" borderId="23" xfId="1" applyFont="1" applyFill="1" applyBorder="1"/>
    <xf numFmtId="43" fontId="0" fillId="0" borderId="15" xfId="1" applyFont="1" applyFill="1" applyBorder="1"/>
    <xf numFmtId="164" fontId="0" fillId="0" borderId="15" xfId="1" applyNumberFormat="1" applyFont="1" applyFill="1" applyBorder="1"/>
    <xf numFmtId="43" fontId="0" fillId="0" borderId="21" xfId="1" applyFont="1" applyFill="1" applyBorder="1"/>
    <xf numFmtId="0" fontId="35" fillId="0" borderId="11" xfId="1" applyNumberFormat="1" applyFont="1" applyFill="1" applyBorder="1" applyAlignment="1">
      <alignment horizontal="center" vertical="center"/>
    </xf>
    <xf numFmtId="0" fontId="5" fillId="4" borderId="11" xfId="0" applyFont="1" applyFill="1" applyBorder="1" applyAlignment="1">
      <alignment horizontal="center" vertical="center" wrapText="1"/>
    </xf>
    <xf numFmtId="0" fontId="22" fillId="0" borderId="0" xfId="0" quotePrefix="1" applyFont="1"/>
    <xf numFmtId="0" fontId="53" fillId="18" borderId="11" xfId="0" applyFont="1" applyFill="1" applyBorder="1" applyAlignment="1">
      <alignment horizontal="center" vertical="center" wrapText="1"/>
    </xf>
    <xf numFmtId="164" fontId="57" fillId="0" borderId="20" xfId="1" applyNumberFormat="1" applyFont="1" applyFill="1" applyBorder="1" applyAlignment="1">
      <alignment horizontal="right" vertical="center"/>
    </xf>
    <xf numFmtId="3" fontId="21" fillId="23" borderId="11" xfId="0" applyNumberFormat="1" applyFont="1" applyFill="1" applyBorder="1" applyAlignment="1">
      <alignment horizontal="right" vertical="center" wrapText="1"/>
    </xf>
    <xf numFmtId="14" fontId="57" fillId="0" borderId="11" xfId="0" applyNumberFormat="1" applyFont="1" applyBorder="1" applyAlignment="1">
      <alignment horizontal="center" vertical="center"/>
    </xf>
    <xf numFmtId="0" fontId="0" fillId="0" borderId="11" xfId="0" applyBorder="1" applyAlignment="1">
      <alignment horizontal="center" vertical="center"/>
    </xf>
    <xf numFmtId="43" fontId="50" fillId="0" borderId="11" xfId="0" applyNumberFormat="1" applyFont="1" applyBorder="1" applyAlignment="1">
      <alignment horizontal="center" vertical="center" wrapText="1"/>
    </xf>
    <xf numFmtId="43" fontId="32" fillId="0" borderId="11" xfId="0" applyNumberFormat="1" applyFont="1" applyBorder="1" applyAlignment="1">
      <alignment horizontal="center" vertical="center" wrapText="1"/>
    </xf>
    <xf numFmtId="0" fontId="16" fillId="0" borderId="0" xfId="0" applyFont="1" applyAlignment="1">
      <alignment vertical="center"/>
    </xf>
    <xf numFmtId="0" fontId="14" fillId="0" borderId="11" xfId="5" applyFont="1" applyBorder="1" applyAlignment="1">
      <alignment horizontal="center" vertical="center"/>
    </xf>
    <xf numFmtId="0" fontId="14" fillId="0" borderId="11" xfId="5" applyFont="1" applyBorder="1" applyAlignment="1">
      <alignment horizontal="center" vertical="center" wrapText="1"/>
    </xf>
    <xf numFmtId="3" fontId="14" fillId="0" borderId="11" xfId="5" applyNumberFormat="1" applyFont="1" applyBorder="1" applyAlignment="1">
      <alignment horizontal="center" vertical="center" wrapText="1"/>
    </xf>
    <xf numFmtId="0" fontId="5" fillId="0" borderId="11" xfId="5" applyFont="1" applyBorder="1" applyAlignment="1">
      <alignment horizontal="center" vertical="center"/>
    </xf>
    <xf numFmtId="0" fontId="5" fillId="0" borderId="11" xfId="1" applyNumberFormat="1" applyFont="1" applyBorder="1" applyAlignment="1">
      <alignment horizontal="center" vertical="center"/>
    </xf>
    <xf numFmtId="3" fontId="14" fillId="0" borderId="11" xfId="5" applyNumberFormat="1" applyFont="1" applyBorder="1" applyAlignment="1">
      <alignment horizontal="center" vertical="center"/>
    </xf>
    <xf numFmtId="0" fontId="14" fillId="0" borderId="11" xfId="1" applyNumberFormat="1" applyFont="1" applyBorder="1" applyAlignment="1">
      <alignment horizontal="center" vertical="center"/>
    </xf>
    <xf numFmtId="3" fontId="14" fillId="0" borderId="11" xfId="1" applyNumberFormat="1" applyFont="1" applyBorder="1" applyAlignment="1">
      <alignment horizontal="center" vertical="center"/>
    </xf>
    <xf numFmtId="3" fontId="5" fillId="0" borderId="11" xfId="5" applyNumberFormat="1" applyFont="1" applyBorder="1" applyAlignment="1">
      <alignment horizontal="center" vertical="center" wrapText="1"/>
    </xf>
    <xf numFmtId="43" fontId="35" fillId="7" borderId="11" xfId="1" applyFont="1" applyFill="1" applyBorder="1" applyAlignment="1">
      <alignment vertical="center"/>
    </xf>
    <xf numFmtId="168" fontId="5" fillId="41" borderId="11" xfId="0" applyNumberFormat="1" applyFont="1" applyFill="1" applyBorder="1" applyAlignment="1">
      <alignment horizontal="center" vertical="center"/>
    </xf>
    <xf numFmtId="43" fontId="35" fillId="7" borderId="11" xfId="1" applyFont="1" applyFill="1" applyBorder="1" applyAlignment="1">
      <alignment horizontal="center" vertical="center"/>
    </xf>
    <xf numFmtId="41" fontId="3" fillId="0" borderId="11" xfId="2" applyFont="1" applyBorder="1" applyAlignment="1">
      <alignment vertical="center"/>
    </xf>
    <xf numFmtId="0" fontId="12" fillId="0" borderId="11" xfId="5" applyFont="1" applyBorder="1" applyAlignment="1">
      <alignment horizontal="center" vertical="center" wrapText="1"/>
    </xf>
    <xf numFmtId="0" fontId="9" fillId="3" borderId="11" xfId="0" applyFont="1" applyFill="1" applyBorder="1"/>
    <xf numFmtId="0" fontId="9" fillId="0" borderId="11" xfId="0" applyFont="1" applyBorder="1" applyAlignment="1">
      <alignment horizontal="center"/>
    </xf>
    <xf numFmtId="164" fontId="9" fillId="0" borderId="11" xfId="1" applyNumberFormat="1" applyFont="1" applyBorder="1" applyAlignment="1">
      <alignment horizontal="center"/>
    </xf>
    <xf numFmtId="0" fontId="0" fillId="15" borderId="0" xfId="0" applyFill="1"/>
    <xf numFmtId="41" fontId="0" fillId="0" borderId="0" xfId="2" applyFont="1"/>
    <xf numFmtId="10" fontId="3" fillId="0" borderId="15" xfId="0" applyNumberFormat="1" applyFont="1" applyBorder="1"/>
    <xf numFmtId="0" fontId="9" fillId="3" borderId="14" xfId="0" applyFont="1" applyFill="1" applyBorder="1" applyAlignment="1">
      <alignment vertical="center" wrapText="1"/>
    </xf>
    <xf numFmtId="0" fontId="3" fillId="29" borderId="50" xfId="0" applyFont="1" applyFill="1" applyBorder="1" applyAlignment="1">
      <alignment horizontal="center" vertical="center"/>
    </xf>
    <xf numFmtId="0" fontId="3" fillId="29" borderId="50" xfId="0" applyFont="1" applyFill="1" applyBorder="1" applyAlignment="1">
      <alignment horizontal="left" vertical="center"/>
    </xf>
    <xf numFmtId="10" fontId="3" fillId="0" borderId="11" xfId="4" applyNumberFormat="1" applyFont="1" applyBorder="1" applyAlignment="1">
      <alignment vertical="center"/>
    </xf>
    <xf numFmtId="2" fontId="3" fillId="0" borderId="11" xfId="0" applyNumberFormat="1" applyFont="1" applyBorder="1" applyAlignment="1">
      <alignment vertical="center"/>
    </xf>
    <xf numFmtId="41" fontId="3" fillId="33" borderId="0" xfId="2" applyFont="1" applyFill="1" applyAlignment="1">
      <alignment horizontal="centerContinuous"/>
    </xf>
    <xf numFmtId="41" fontId="3" fillId="29" borderId="50" xfId="2" applyFont="1" applyFill="1" applyBorder="1" applyAlignment="1">
      <alignment horizontal="center" vertical="center"/>
    </xf>
    <xf numFmtId="41" fontId="3" fillId="0" borderId="15" xfId="2" applyFont="1" applyBorder="1"/>
    <xf numFmtId="164" fontId="9" fillId="3" borderId="11" xfId="1" applyNumberFormat="1" applyFont="1" applyFill="1" applyBorder="1" applyAlignment="1">
      <alignment horizontal="center" vertical="center"/>
    </xf>
    <xf numFmtId="164" fontId="9" fillId="3" borderId="11" xfId="1" applyNumberFormat="1" applyFont="1" applyFill="1" applyBorder="1" applyAlignment="1">
      <alignment horizontal="center" vertical="center" wrapText="1"/>
    </xf>
    <xf numFmtId="164" fontId="9" fillId="3" borderId="11" xfId="0" applyNumberFormat="1" applyFont="1" applyFill="1" applyBorder="1" applyAlignment="1">
      <alignment horizontal="center" vertical="center"/>
    </xf>
    <xf numFmtId="41" fontId="0" fillId="0" borderId="0" xfId="0" applyNumberFormat="1"/>
    <xf numFmtId="43" fontId="0" fillId="0" borderId="0" xfId="1" applyFont="1" applyFill="1"/>
    <xf numFmtId="0" fontId="82" fillId="33" borderId="11" xfId="0" applyFont="1" applyFill="1" applyBorder="1" applyAlignment="1">
      <alignment horizontal="center" vertical="center"/>
    </xf>
    <xf numFmtId="164" fontId="114" fillId="3" borderId="11" xfId="1" applyNumberFormat="1" applyFont="1" applyFill="1" applyBorder="1" applyAlignment="1">
      <alignment horizontal="center" vertical="center"/>
    </xf>
    <xf numFmtId="0" fontId="82" fillId="33" borderId="11" xfId="0" applyFont="1" applyFill="1" applyBorder="1" applyAlignment="1">
      <alignment horizontal="centerContinuous" vertical="center"/>
    </xf>
    <xf numFmtId="0" fontId="3" fillId="0" borderId="23" xfId="0" applyFont="1" applyBorder="1" applyAlignment="1">
      <alignment horizontal="center" vertical="center"/>
    </xf>
    <xf numFmtId="164" fontId="3" fillId="0" borderId="11" xfId="1" quotePrefix="1" applyNumberFormat="1" applyFont="1" applyBorder="1" applyAlignment="1">
      <alignment vertical="center"/>
    </xf>
    <xf numFmtId="10" fontId="3" fillId="0" borderId="11" xfId="4" applyNumberFormat="1" applyFont="1" applyBorder="1" applyAlignment="1">
      <alignment horizontal="center" vertical="center"/>
    </xf>
    <xf numFmtId="10" fontId="3" fillId="0" borderId="11" xfId="4" applyNumberFormat="1" applyFont="1" applyBorder="1" applyAlignment="1">
      <alignment horizontal="center"/>
    </xf>
    <xf numFmtId="10" fontId="3" fillId="0" borderId="15" xfId="4" applyNumberFormat="1" applyFont="1" applyBorder="1" applyAlignment="1">
      <alignment horizontal="center"/>
    </xf>
    <xf numFmtId="9" fontId="3" fillId="0" borderId="11" xfId="4" applyFont="1" applyBorder="1" applyAlignment="1">
      <alignment horizontal="center" vertical="center"/>
    </xf>
    <xf numFmtId="0" fontId="3" fillId="33" borderId="0" xfId="0" applyFont="1" applyFill="1" applyAlignment="1">
      <alignment horizontal="center" vertical="center"/>
    </xf>
    <xf numFmtId="9" fontId="3" fillId="0" borderId="15" xfId="4" applyFont="1" applyBorder="1" applyAlignment="1">
      <alignment horizontal="center" vertical="center"/>
    </xf>
    <xf numFmtId="164" fontId="3" fillId="0" borderId="15" xfId="1" applyNumberFormat="1" applyFont="1" applyBorder="1" applyAlignment="1">
      <alignment horizontal="center" vertical="center"/>
    </xf>
    <xf numFmtId="0" fontId="0" fillId="42" borderId="0" xfId="0" applyFill="1"/>
    <xf numFmtId="169" fontId="9" fillId="0" borderId="11" xfId="1" applyNumberFormat="1" applyFont="1" applyFill="1" applyBorder="1" applyAlignment="1">
      <alignment horizontal="center"/>
    </xf>
    <xf numFmtId="164" fontId="3" fillId="0" borderId="11" xfId="1" quotePrefix="1" applyNumberFormat="1" applyFont="1" applyBorder="1" applyAlignment="1">
      <alignment horizontal="center"/>
    </xf>
    <xf numFmtId="164" fontId="3" fillId="0" borderId="11" xfId="1" applyNumberFormat="1" applyFont="1" applyFill="1" applyBorder="1" applyAlignment="1">
      <alignment horizontal="center"/>
    </xf>
    <xf numFmtId="181" fontId="3" fillId="0" borderId="11" xfId="4" applyNumberFormat="1" applyFont="1" applyBorder="1" applyAlignment="1">
      <alignment horizontal="center" vertical="center"/>
    </xf>
    <xf numFmtId="0" fontId="9" fillId="3" borderId="74" xfId="0" applyFont="1" applyFill="1" applyBorder="1" applyAlignment="1">
      <alignment vertical="center" wrapText="1"/>
    </xf>
    <xf numFmtId="3" fontId="9" fillId="3" borderId="15" xfId="1" applyNumberFormat="1" applyFont="1" applyFill="1" applyBorder="1" applyAlignment="1">
      <alignment vertical="center"/>
    </xf>
    <xf numFmtId="3" fontId="9" fillId="3" borderId="11" xfId="1" applyNumberFormat="1" applyFont="1" applyFill="1" applyBorder="1" applyAlignment="1">
      <alignment vertical="center"/>
    </xf>
    <xf numFmtId="3" fontId="9" fillId="3" borderId="20" xfId="1" applyNumberFormat="1" applyFont="1" applyFill="1" applyBorder="1" applyAlignment="1">
      <alignment horizontal="right" vertical="center"/>
    </xf>
    <xf numFmtId="164" fontId="9" fillId="3" borderId="20" xfId="1" applyNumberFormat="1" applyFont="1" applyFill="1" applyBorder="1" applyAlignment="1">
      <alignment horizontal="center" vertical="center"/>
    </xf>
    <xf numFmtId="181" fontId="9" fillId="3" borderId="15" xfId="1" applyNumberFormat="1" applyFont="1" applyFill="1" applyBorder="1" applyAlignment="1">
      <alignment horizontal="center" vertical="center"/>
    </xf>
    <xf numFmtId="181" fontId="9" fillId="3" borderId="11" xfId="1" applyNumberFormat="1" applyFont="1" applyFill="1" applyBorder="1" applyAlignment="1">
      <alignment horizontal="center" vertical="center"/>
    </xf>
    <xf numFmtId="181" fontId="9" fillId="3" borderId="20" xfId="1" applyNumberFormat="1" applyFont="1" applyFill="1" applyBorder="1" applyAlignment="1">
      <alignment horizontal="center" vertical="center"/>
    </xf>
    <xf numFmtId="10" fontId="9" fillId="3" borderId="15" xfId="1" applyNumberFormat="1" applyFont="1" applyFill="1" applyBorder="1" applyAlignment="1">
      <alignment horizontal="center" vertical="center"/>
    </xf>
    <xf numFmtId="10" fontId="9" fillId="3" borderId="11" xfId="1" applyNumberFormat="1" applyFont="1" applyFill="1" applyBorder="1" applyAlignment="1">
      <alignment horizontal="center" vertical="center"/>
    </xf>
    <xf numFmtId="10" fontId="9" fillId="3" borderId="20" xfId="1" applyNumberFormat="1" applyFont="1" applyFill="1" applyBorder="1" applyAlignment="1">
      <alignment horizontal="center" vertical="center"/>
    </xf>
    <xf numFmtId="164" fontId="9" fillId="3" borderId="12" xfId="1" applyNumberFormat="1" applyFont="1" applyFill="1" applyBorder="1" applyAlignment="1">
      <alignment horizontal="center" vertical="center" wrapText="1"/>
    </xf>
    <xf numFmtId="164" fontId="9" fillId="3" borderId="12" xfId="1" applyNumberFormat="1" applyFont="1" applyFill="1" applyBorder="1" applyAlignment="1">
      <alignment vertical="center" wrapText="1"/>
    </xf>
    <xf numFmtId="164" fontId="9" fillId="3" borderId="49" xfId="1" applyNumberFormat="1" applyFont="1" applyFill="1" applyBorder="1" applyAlignment="1">
      <alignment vertical="center" wrapText="1"/>
    </xf>
    <xf numFmtId="164" fontId="9" fillId="3" borderId="11" xfId="1" applyNumberFormat="1" applyFont="1" applyFill="1" applyBorder="1" applyAlignment="1">
      <alignment horizontal="right" vertical="center" wrapText="1"/>
    </xf>
    <xf numFmtId="164" fontId="9" fillId="3" borderId="20" xfId="1" applyNumberFormat="1" applyFont="1" applyFill="1" applyBorder="1" applyAlignment="1">
      <alignment horizontal="right" vertical="center" wrapText="1"/>
    </xf>
    <xf numFmtId="43" fontId="9" fillId="3" borderId="11" xfId="1" applyFont="1" applyFill="1" applyBorder="1" applyAlignment="1">
      <alignment vertical="center" wrapText="1"/>
    </xf>
    <xf numFmtId="43" fontId="9" fillId="3" borderId="20" xfId="1" applyFont="1" applyFill="1" applyBorder="1" applyAlignment="1">
      <alignment vertical="center" wrapText="1"/>
    </xf>
    <xf numFmtId="0" fontId="9" fillId="3" borderId="105" xfId="0" applyFont="1" applyFill="1" applyBorder="1" applyAlignment="1">
      <alignment vertical="center" wrapText="1"/>
    </xf>
    <xf numFmtId="0" fontId="0" fillId="0" borderId="23" xfId="0" applyBorder="1" applyAlignment="1">
      <alignment horizontal="center" vertical="center"/>
    </xf>
    <xf numFmtId="164" fontId="91" fillId="0" borderId="12" xfId="1" applyNumberFormat="1" applyFont="1" applyBorder="1" applyProtection="1">
      <protection locked="0"/>
    </xf>
    <xf numFmtId="43" fontId="95" fillId="25" borderId="11" xfId="1" applyFont="1" applyFill="1" applyBorder="1"/>
    <xf numFmtId="43" fontId="0" fillId="0" borderId="23" xfId="1" applyFont="1" applyBorder="1"/>
    <xf numFmtId="43" fontId="0" fillId="0" borderId="15" xfId="1" applyFont="1" applyBorder="1"/>
    <xf numFmtId="164" fontId="0" fillId="0" borderId="15" xfId="1" applyNumberFormat="1" applyFont="1" applyBorder="1"/>
    <xf numFmtId="43" fontId="0" fillId="0" borderId="21" xfId="1" applyFont="1" applyBorder="1"/>
    <xf numFmtId="0" fontId="0" fillId="0" borderId="16" xfId="0" applyBorder="1"/>
    <xf numFmtId="10" fontId="3" fillId="0" borderId="11" xfId="0" applyNumberFormat="1" applyFont="1" applyBorder="1"/>
    <xf numFmtId="181" fontId="3" fillId="0" borderId="15" xfId="4" applyNumberFormat="1" applyFont="1" applyBorder="1" applyAlignment="1">
      <alignment horizontal="center" vertical="center"/>
    </xf>
    <xf numFmtId="43" fontId="91" fillId="0" borderId="11" xfId="1" applyFont="1" applyFill="1" applyBorder="1"/>
    <xf numFmtId="41" fontId="2" fillId="2" borderId="11" xfId="0" applyNumberFormat="1" applyFont="1" applyFill="1" applyBorder="1" applyAlignment="1">
      <alignment horizontal="center" vertical="center"/>
    </xf>
    <xf numFmtId="41" fontId="2" fillId="2" borderId="12" xfId="0" applyNumberFormat="1" applyFont="1" applyFill="1" applyBorder="1" applyAlignment="1">
      <alignment horizontal="left" vertical="center"/>
    </xf>
    <xf numFmtId="41" fontId="2" fillId="2" borderId="13" xfId="0" applyNumberFormat="1" applyFont="1" applyFill="1" applyBorder="1" applyAlignment="1">
      <alignment horizontal="left" vertical="center"/>
    </xf>
    <xf numFmtId="0" fontId="2" fillId="11" borderId="11" xfId="0" applyFont="1" applyFill="1" applyBorder="1" applyAlignment="1">
      <alignment horizontal="center" vertical="center" wrapText="1"/>
    </xf>
    <xf numFmtId="0" fontId="9" fillId="0" borderId="11" xfId="0" applyFont="1" applyBorder="1"/>
    <xf numFmtId="4" fontId="15" fillId="12" borderId="11" xfId="0" applyNumberFormat="1" applyFont="1" applyFill="1" applyBorder="1" applyAlignment="1">
      <alignment horizontal="center" vertical="center"/>
    </xf>
    <xf numFmtId="0" fontId="15" fillId="12" borderId="11" xfId="0" applyFont="1" applyFill="1" applyBorder="1"/>
    <xf numFmtId="4" fontId="30" fillId="12" borderId="11" xfId="0" applyNumberFormat="1" applyFont="1" applyFill="1" applyBorder="1" applyAlignment="1">
      <alignment horizontal="center" vertical="center"/>
    </xf>
    <xf numFmtId="0" fontId="30" fillId="12" borderId="11" xfId="0" applyFont="1" applyFill="1" applyBorder="1"/>
    <xf numFmtId="0" fontId="2" fillId="0" borderId="0" xfId="0" applyFont="1" applyAlignment="1">
      <alignment horizontal="left" vertical="center"/>
    </xf>
    <xf numFmtId="0" fontId="3" fillId="0" borderId="0" xfId="0" applyFont="1"/>
    <xf numFmtId="0" fontId="2" fillId="5" borderId="35" xfId="0" applyFont="1" applyFill="1" applyBorder="1" applyAlignment="1">
      <alignment horizontal="center" vertical="center"/>
    </xf>
    <xf numFmtId="0" fontId="9" fillId="0" borderId="38" xfId="0" applyFont="1" applyBorder="1"/>
    <xf numFmtId="0" fontId="2" fillId="5" borderId="35" xfId="0" applyFont="1" applyFill="1" applyBorder="1" applyAlignment="1">
      <alignment horizontal="center" vertical="center" wrapText="1"/>
    </xf>
    <xf numFmtId="0" fontId="2" fillId="5" borderId="34" xfId="0" applyFont="1" applyFill="1" applyBorder="1" applyAlignment="1">
      <alignment horizontal="center" vertical="center" wrapText="1"/>
    </xf>
    <xf numFmtId="0" fontId="9" fillId="0" borderId="37" xfId="0" applyFont="1" applyBorder="1"/>
    <xf numFmtId="0" fontId="9" fillId="0" borderId="36" xfId="0" applyFont="1" applyBorder="1"/>
    <xf numFmtId="3" fontId="3" fillId="0" borderId="43" xfId="0" quotePrefix="1" applyNumberFormat="1" applyFont="1" applyBorder="1" applyAlignment="1">
      <alignment horizontal="left" vertical="center" wrapText="1"/>
    </xf>
    <xf numFmtId="3" fontId="3" fillId="0" borderId="44" xfId="0" applyNumberFormat="1" applyFont="1" applyBorder="1" applyAlignment="1">
      <alignment horizontal="left" vertical="center" wrapText="1"/>
    </xf>
    <xf numFmtId="3" fontId="3" fillId="0" borderId="45" xfId="0" applyNumberFormat="1" applyFont="1" applyBorder="1" applyAlignment="1">
      <alignment horizontal="left" vertical="center" wrapText="1"/>
    </xf>
    <xf numFmtId="3" fontId="3" fillId="0" borderId="46" xfId="0" quotePrefix="1" applyNumberFormat="1" applyFont="1" applyBorder="1" applyAlignment="1">
      <alignment horizontal="left" vertical="center" wrapText="1"/>
    </xf>
    <xf numFmtId="3" fontId="3" fillId="0" borderId="47" xfId="0" applyNumberFormat="1" applyFont="1" applyBorder="1" applyAlignment="1">
      <alignment horizontal="left" vertical="center" wrapText="1"/>
    </xf>
    <xf numFmtId="3" fontId="3" fillId="0" borderId="48" xfId="0" applyNumberFormat="1" applyFont="1" applyBorder="1" applyAlignment="1">
      <alignment horizontal="left" vertical="center" wrapText="1"/>
    </xf>
    <xf numFmtId="3" fontId="3" fillId="0" borderId="34" xfId="0" applyNumberFormat="1" applyFont="1" applyBorder="1" applyAlignment="1">
      <alignment horizontal="center" vertical="center" wrapText="1"/>
    </xf>
    <xf numFmtId="0" fontId="2" fillId="5" borderId="25" xfId="0" applyFont="1" applyFill="1" applyBorder="1" applyAlignment="1">
      <alignment horizontal="center" vertical="center" wrapText="1"/>
    </xf>
    <xf numFmtId="0" fontId="9" fillId="0" borderId="26" xfId="0" applyFont="1" applyBorder="1"/>
    <xf numFmtId="0" fontId="9" fillId="0" borderId="27" xfId="0" applyFont="1" applyBorder="1"/>
    <xf numFmtId="0" fontId="9" fillId="0" borderId="30" xfId="0" applyFont="1" applyBorder="1"/>
    <xf numFmtId="0" fontId="9" fillId="0" borderId="31" xfId="0" applyFont="1" applyBorder="1"/>
    <xf numFmtId="0" fontId="9" fillId="0" borderId="32" xfId="0" applyFont="1" applyBorder="1"/>
    <xf numFmtId="0" fontId="3" fillId="0" borderId="35" xfId="0" applyFont="1" applyBorder="1" applyAlignment="1">
      <alignment horizontal="center" vertical="center" wrapText="1"/>
    </xf>
    <xf numFmtId="0" fontId="3" fillId="0" borderId="39" xfId="0" applyFont="1" applyBorder="1" applyAlignment="1">
      <alignment horizontal="center" vertical="center" wrapText="1"/>
    </xf>
    <xf numFmtId="0" fontId="3" fillId="0" borderId="38" xfId="0" applyFont="1" applyBorder="1" applyAlignment="1">
      <alignment horizontal="center" vertical="center" wrapText="1"/>
    </xf>
    <xf numFmtId="0" fontId="32" fillId="8" borderId="51" xfId="0" applyFont="1" applyFill="1" applyBorder="1" applyAlignment="1">
      <alignment horizontal="center" vertical="center"/>
    </xf>
    <xf numFmtId="0" fontId="32" fillId="8" borderId="52" xfId="0" applyFont="1" applyFill="1" applyBorder="1" applyAlignment="1">
      <alignment horizontal="center" vertical="center"/>
    </xf>
    <xf numFmtId="0" fontId="32" fillId="8" borderId="30" xfId="0" applyFont="1" applyFill="1" applyBorder="1" applyAlignment="1">
      <alignment horizontal="center" vertical="center"/>
    </xf>
    <xf numFmtId="0" fontId="32" fillId="8" borderId="32" xfId="0" applyFont="1" applyFill="1" applyBorder="1" applyAlignment="1">
      <alignment horizontal="center" vertical="center"/>
    </xf>
    <xf numFmtId="0" fontId="3" fillId="0" borderId="25" xfId="0" applyFont="1" applyBorder="1" applyAlignment="1">
      <alignment horizontal="center" vertical="center" wrapText="1"/>
    </xf>
    <xf numFmtId="0" fontId="3" fillId="0" borderId="26" xfId="0" applyFont="1" applyBorder="1" applyAlignment="1">
      <alignment horizontal="center" vertical="center" wrapText="1"/>
    </xf>
    <xf numFmtId="0" fontId="3" fillId="0" borderId="27" xfId="0" applyFont="1" applyBorder="1" applyAlignment="1">
      <alignment horizontal="center" vertical="center" wrapText="1"/>
    </xf>
    <xf numFmtId="0" fontId="3" fillId="0" borderId="28" xfId="0" applyFont="1" applyBorder="1" applyAlignment="1">
      <alignment horizontal="center" vertical="center" wrapText="1"/>
    </xf>
    <xf numFmtId="0" fontId="3" fillId="0" borderId="0" xfId="0" applyFont="1" applyAlignment="1">
      <alignment horizontal="center" vertical="center" wrapText="1"/>
    </xf>
    <xf numFmtId="0" fontId="3" fillId="0" borderId="29" xfId="0" applyFont="1" applyBorder="1" applyAlignment="1">
      <alignment horizontal="center" vertical="center" wrapText="1"/>
    </xf>
    <xf numFmtId="0" fontId="3" fillId="0" borderId="30" xfId="0" applyFont="1" applyBorder="1" applyAlignment="1">
      <alignment horizontal="center" vertical="center" wrapText="1"/>
    </xf>
    <xf numFmtId="0" fontId="3" fillId="0" borderId="31" xfId="0" applyFont="1" applyBorder="1" applyAlignment="1">
      <alignment horizontal="center" vertical="center" wrapText="1"/>
    </xf>
    <xf numFmtId="0" fontId="3" fillId="0" borderId="32" xfId="0" applyFont="1" applyBorder="1" applyAlignment="1">
      <alignment horizontal="center" vertical="center" wrapText="1"/>
    </xf>
    <xf numFmtId="0" fontId="9" fillId="0" borderId="0" xfId="0" applyFont="1" applyAlignment="1">
      <alignment horizontal="center"/>
    </xf>
    <xf numFmtId="164" fontId="3" fillId="0" borderId="35" xfId="0" applyNumberFormat="1" applyFont="1" applyBorder="1" applyAlignment="1">
      <alignment horizontal="center" vertical="center" wrapText="1"/>
    </xf>
    <xf numFmtId="164" fontId="3" fillId="0" borderId="39" xfId="0" applyNumberFormat="1" applyFont="1" applyBorder="1" applyAlignment="1">
      <alignment horizontal="center" vertical="center" wrapText="1"/>
    </xf>
    <xf numFmtId="164" fontId="3" fillId="0" borderId="38" xfId="0" applyNumberFormat="1" applyFont="1" applyBorder="1" applyAlignment="1">
      <alignment horizontal="center" vertical="center" wrapText="1"/>
    </xf>
    <xf numFmtId="167" fontId="3" fillId="0" borderId="35" xfId="0" applyNumberFormat="1" applyFont="1" applyBorder="1" applyAlignment="1">
      <alignment horizontal="center" vertical="center" wrapText="1"/>
    </xf>
    <xf numFmtId="167" fontId="3" fillId="0" borderId="39" xfId="0" applyNumberFormat="1" applyFont="1" applyBorder="1" applyAlignment="1">
      <alignment horizontal="center" vertical="center" wrapText="1"/>
    </xf>
    <xf numFmtId="167" fontId="3" fillId="0" borderId="38" xfId="0" applyNumberFormat="1" applyFont="1" applyBorder="1" applyAlignment="1">
      <alignment horizontal="center" vertical="center" wrapText="1"/>
    </xf>
    <xf numFmtId="3" fontId="3" fillId="0" borderId="40" xfId="0" applyNumberFormat="1" applyFont="1" applyBorder="1" applyAlignment="1">
      <alignment horizontal="center" vertical="center" wrapText="1"/>
    </xf>
    <xf numFmtId="0" fontId="9" fillId="0" borderId="41" xfId="0" applyFont="1" applyBorder="1"/>
    <xf numFmtId="0" fontId="9" fillId="0" borderId="42" xfId="0" applyFont="1" applyBorder="1"/>
    <xf numFmtId="41" fontId="2" fillId="0" borderId="11" xfId="0" applyNumberFormat="1" applyFont="1" applyBorder="1" applyAlignment="1">
      <alignment horizontal="center" vertical="center" wrapText="1"/>
    </xf>
    <xf numFmtId="0" fontId="2" fillId="0" borderId="25" xfId="0" applyFont="1" applyBorder="1" applyAlignment="1">
      <alignment horizontal="center" vertical="center"/>
    </xf>
    <xf numFmtId="0" fontId="35" fillId="0" borderId="26" xfId="0" applyFont="1" applyBorder="1"/>
    <xf numFmtId="0" fontId="35" fillId="0" borderId="27" xfId="0" applyFont="1" applyBorder="1"/>
    <xf numFmtId="0" fontId="3" fillId="0" borderId="28" xfId="0" applyFont="1" applyBorder="1" applyAlignment="1">
      <alignment horizontal="center" vertical="center"/>
    </xf>
    <xf numFmtId="0" fontId="35" fillId="0" borderId="29" xfId="0" applyFont="1" applyBorder="1"/>
    <xf numFmtId="0" fontId="3" fillId="0" borderId="30" xfId="0" applyFont="1" applyBorder="1" applyAlignment="1">
      <alignment horizontal="center" vertical="center"/>
    </xf>
    <xf numFmtId="0" fontId="35" fillId="0" borderId="31" xfId="0" applyFont="1" applyBorder="1"/>
    <xf numFmtId="0" fontId="35" fillId="0" borderId="32" xfId="0" applyFont="1" applyBorder="1"/>
    <xf numFmtId="0" fontId="6" fillId="0" borderId="0" xfId="0" applyFont="1" applyAlignment="1">
      <alignment horizontal="center" vertical="center" wrapText="1"/>
    </xf>
    <xf numFmtId="0" fontId="3" fillId="0" borderId="0" xfId="0" applyFont="1" applyAlignment="1">
      <alignment horizontal="center" vertical="center"/>
    </xf>
    <xf numFmtId="4" fontId="3" fillId="7" borderId="11" xfId="0" applyNumberFormat="1" applyFont="1" applyFill="1" applyBorder="1" applyAlignment="1">
      <alignment horizontal="center" vertical="center"/>
    </xf>
    <xf numFmtId="0" fontId="9" fillId="7" borderId="11" xfId="0" applyFont="1" applyFill="1" applyBorder="1"/>
    <xf numFmtId="166" fontId="3" fillId="0" borderId="11" xfId="0" applyNumberFormat="1" applyFont="1" applyBorder="1" applyAlignment="1">
      <alignment horizontal="center" vertical="center" wrapText="1"/>
    </xf>
    <xf numFmtId="0" fontId="2" fillId="0" borderId="39" xfId="0" applyFont="1" applyBorder="1" applyAlignment="1">
      <alignment horizontal="center" vertical="center" wrapText="1"/>
    </xf>
    <xf numFmtId="4" fontId="3" fillId="7" borderId="34" xfId="0" applyNumberFormat="1" applyFont="1" applyFill="1" applyBorder="1" applyAlignment="1">
      <alignment horizontal="center" vertical="center"/>
    </xf>
    <xf numFmtId="0" fontId="9" fillId="7" borderId="36" xfId="0" applyFont="1" applyFill="1" applyBorder="1"/>
    <xf numFmtId="4" fontId="8" fillId="0" borderId="34" xfId="0" applyNumberFormat="1" applyFont="1" applyBorder="1" applyAlignment="1">
      <alignment horizontal="center" vertical="center"/>
    </xf>
    <xf numFmtId="0" fontId="11" fillId="0" borderId="36" xfId="0" applyFont="1" applyBorder="1"/>
    <xf numFmtId="164" fontId="8" fillId="7" borderId="34" xfId="0" applyNumberFormat="1" applyFont="1" applyFill="1" applyBorder="1" applyAlignment="1">
      <alignment horizontal="center" vertical="center"/>
    </xf>
    <xf numFmtId="164" fontId="11" fillId="7" borderId="36" xfId="0" applyNumberFormat="1" applyFont="1" applyFill="1" applyBorder="1"/>
    <xf numFmtId="4" fontId="3" fillId="0" borderId="34" xfId="0" applyNumberFormat="1" applyFont="1" applyBorder="1" applyAlignment="1">
      <alignment horizontal="center" vertical="center"/>
    </xf>
    <xf numFmtId="4" fontId="8" fillId="0" borderId="25" xfId="0" applyNumberFormat="1" applyFont="1" applyBorder="1" applyAlignment="1">
      <alignment horizontal="center" vertical="center"/>
    </xf>
    <xf numFmtId="0" fontId="11" fillId="0" borderId="27" xfId="0" applyFont="1" applyBorder="1"/>
    <xf numFmtId="0" fontId="2" fillId="5" borderId="36" xfId="0" applyFont="1" applyFill="1" applyBorder="1" applyAlignment="1">
      <alignment horizontal="center" vertical="center" wrapText="1"/>
    </xf>
    <xf numFmtId="0" fontId="2" fillId="5" borderId="37" xfId="0" applyFont="1" applyFill="1" applyBorder="1" applyAlignment="1">
      <alignment horizontal="center" vertical="center" wrapText="1"/>
    </xf>
    <xf numFmtId="0" fontId="2" fillId="5" borderId="38" xfId="0" applyFont="1" applyFill="1" applyBorder="1" applyAlignment="1">
      <alignment horizontal="center" vertical="center" wrapText="1"/>
    </xf>
    <xf numFmtId="0" fontId="2" fillId="0" borderId="35" xfId="0" applyFont="1" applyBorder="1" applyAlignment="1">
      <alignment horizontal="center" vertical="center" wrapText="1"/>
    </xf>
    <xf numFmtId="0" fontId="9" fillId="0" borderId="39" xfId="0" applyFont="1" applyBorder="1"/>
    <xf numFmtId="0" fontId="2" fillId="0" borderId="11" xfId="0" applyFont="1" applyBorder="1" applyAlignment="1">
      <alignment horizontal="center" vertical="center" wrapText="1"/>
    </xf>
    <xf numFmtId="0" fontId="2" fillId="5" borderId="34" xfId="0" applyFont="1" applyFill="1" applyBorder="1" applyAlignment="1">
      <alignment horizontal="center" vertical="center"/>
    </xf>
    <xf numFmtId="3" fontId="2" fillId="5" borderId="35" xfId="0" applyNumberFormat="1" applyFont="1" applyFill="1" applyBorder="1" applyAlignment="1">
      <alignment horizontal="center" vertical="center" wrapText="1"/>
    </xf>
    <xf numFmtId="0" fontId="9" fillId="0" borderId="38" xfId="0" applyFont="1" applyBorder="1" applyAlignment="1">
      <alignment wrapText="1"/>
    </xf>
    <xf numFmtId="4" fontId="8" fillId="0" borderId="34" xfId="0" applyNumberFormat="1" applyFont="1" applyBorder="1" applyAlignment="1">
      <alignment horizontal="right" vertical="center"/>
    </xf>
    <xf numFmtId="0" fontId="11" fillId="0" borderId="36" xfId="0" applyFont="1" applyBorder="1" applyAlignment="1">
      <alignment horizontal="right"/>
    </xf>
    <xf numFmtId="0" fontId="2" fillId="9" borderId="11" xfId="0" applyFont="1" applyFill="1" applyBorder="1" applyAlignment="1">
      <alignment horizontal="center" vertical="center" wrapText="1"/>
    </xf>
    <xf numFmtId="4" fontId="3" fillId="7" borderId="25" xfId="0" applyNumberFormat="1" applyFont="1" applyFill="1" applyBorder="1" applyAlignment="1">
      <alignment horizontal="center" vertical="center"/>
    </xf>
    <xf numFmtId="0" fontId="9" fillId="7" borderId="27" xfId="0" applyFont="1" applyFill="1" applyBorder="1"/>
    <xf numFmtId="0" fontId="2" fillId="9" borderId="35" xfId="0" applyFont="1" applyFill="1" applyBorder="1" applyAlignment="1">
      <alignment horizontal="center" vertical="center" wrapText="1"/>
    </xf>
    <xf numFmtId="4" fontId="8" fillId="10" borderId="28" xfId="0" applyNumberFormat="1" applyFont="1" applyFill="1" applyBorder="1" applyAlignment="1">
      <alignment horizontal="center" vertical="center"/>
    </xf>
    <xf numFmtId="0" fontId="11" fillId="10" borderId="29" xfId="0" applyFont="1" applyFill="1" applyBorder="1"/>
    <xf numFmtId="4" fontId="3" fillId="10" borderId="28" xfId="0" applyNumberFormat="1" applyFont="1" applyFill="1" applyBorder="1" applyAlignment="1">
      <alignment horizontal="center" vertical="center"/>
    </xf>
    <xf numFmtId="0" fontId="9" fillId="10" borderId="29" xfId="0" applyFont="1" applyFill="1" applyBorder="1"/>
    <xf numFmtId="0" fontId="2" fillId="0" borderId="38"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20" xfId="0" applyFont="1" applyBorder="1" applyAlignment="1">
      <alignment horizontal="center" vertical="center" wrapText="1"/>
    </xf>
    <xf numFmtId="166" fontId="3" fillId="0" borderId="34" xfId="0" applyNumberFormat="1" applyFont="1" applyBorder="1" applyAlignment="1">
      <alignment horizontal="center" vertical="center" wrapText="1"/>
    </xf>
    <xf numFmtId="0" fontId="32" fillId="8" borderId="25" xfId="0" applyFont="1" applyFill="1" applyBorder="1" applyAlignment="1">
      <alignment horizontal="center" vertical="center"/>
    </xf>
    <xf numFmtId="0" fontId="32" fillId="8" borderId="27" xfId="0" applyFont="1" applyFill="1" applyBorder="1" applyAlignment="1">
      <alignment horizontal="center" vertical="center"/>
    </xf>
    <xf numFmtId="0" fontId="2" fillId="13" borderId="34" xfId="0" applyFont="1" applyFill="1" applyBorder="1" applyAlignment="1">
      <alignment vertical="center" wrapText="1"/>
    </xf>
    <xf numFmtId="3" fontId="3" fillId="13" borderId="34" xfId="0" applyNumberFormat="1" applyFont="1" applyFill="1" applyBorder="1" applyAlignment="1">
      <alignment horizontal="center" vertical="center" wrapText="1"/>
    </xf>
    <xf numFmtId="0" fontId="2" fillId="0" borderId="21" xfId="0" applyFont="1" applyBorder="1" applyAlignment="1">
      <alignment horizontal="center" vertical="center" wrapText="1"/>
    </xf>
    <xf numFmtId="0" fontId="2" fillId="0" borderId="23" xfId="0" applyFont="1" applyBorder="1" applyAlignment="1">
      <alignment horizontal="center" vertical="center" wrapText="1"/>
    </xf>
    <xf numFmtId="0" fontId="2" fillId="0" borderId="49" xfId="0" applyFont="1" applyBorder="1" applyAlignment="1">
      <alignment horizontal="center" vertical="center" wrapText="1"/>
    </xf>
    <xf numFmtId="0" fontId="2" fillId="0" borderId="50" xfId="0" applyFont="1" applyBorder="1" applyAlignment="1">
      <alignment horizontal="center" vertical="center" wrapText="1"/>
    </xf>
    <xf numFmtId="0" fontId="2" fillId="0" borderId="37" xfId="0" applyFont="1" applyBorder="1" applyAlignment="1">
      <alignment horizontal="center" vertical="center" wrapText="1"/>
    </xf>
    <xf numFmtId="0" fontId="2" fillId="0" borderId="36" xfId="0" applyFont="1" applyBorder="1" applyAlignment="1">
      <alignment horizontal="center" vertical="center" wrapText="1"/>
    </xf>
    <xf numFmtId="0" fontId="2" fillId="0" borderId="25" xfId="0" applyFont="1" applyBorder="1" applyAlignment="1">
      <alignment horizontal="center" vertical="center" wrapText="1"/>
    </xf>
    <xf numFmtId="0" fontId="2" fillId="0" borderId="26" xfId="0" applyFont="1" applyBorder="1" applyAlignment="1">
      <alignment horizontal="center" vertical="center" wrapText="1"/>
    </xf>
    <xf numFmtId="0" fontId="2" fillId="0" borderId="27" xfId="0" applyFont="1" applyBorder="1" applyAlignment="1">
      <alignment horizontal="center" vertical="center" wrapText="1"/>
    </xf>
    <xf numFmtId="0" fontId="2" fillId="0" borderId="30" xfId="0" applyFont="1" applyBorder="1" applyAlignment="1">
      <alignment horizontal="center" vertical="center" wrapText="1"/>
    </xf>
    <xf numFmtId="0" fontId="2" fillId="0" borderId="31" xfId="0" applyFont="1" applyBorder="1" applyAlignment="1">
      <alignment horizontal="center" vertical="center" wrapText="1"/>
    </xf>
    <xf numFmtId="0" fontId="2" fillId="0" borderId="32" xfId="0" applyFont="1" applyBorder="1" applyAlignment="1">
      <alignment horizontal="center" vertical="center" wrapText="1"/>
    </xf>
    <xf numFmtId="0" fontId="32" fillId="8" borderId="25" xfId="0" applyFont="1" applyFill="1" applyBorder="1" applyAlignment="1">
      <alignment horizontal="center" vertical="center" wrapText="1"/>
    </xf>
    <xf numFmtId="0" fontId="32" fillId="8" borderId="27" xfId="0" applyFont="1" applyFill="1" applyBorder="1" applyAlignment="1">
      <alignment horizontal="center" vertical="center" wrapText="1"/>
    </xf>
    <xf numFmtId="0" fontId="32" fillId="8" borderId="30" xfId="0" applyFont="1" applyFill="1" applyBorder="1" applyAlignment="1">
      <alignment horizontal="center" vertical="center" wrapText="1"/>
    </xf>
    <xf numFmtId="0" fontId="32" fillId="8" borderId="32" xfId="0" applyFont="1" applyFill="1" applyBorder="1" applyAlignment="1">
      <alignment horizontal="center" vertical="center" wrapText="1"/>
    </xf>
    <xf numFmtId="0" fontId="32" fillId="5" borderId="11" xfId="0" applyFont="1" applyFill="1" applyBorder="1" applyAlignment="1">
      <alignment horizontal="center" vertical="center"/>
    </xf>
    <xf numFmtId="43" fontId="33" fillId="5" borderId="11" xfId="0" applyNumberFormat="1" applyFont="1" applyFill="1" applyBorder="1" applyAlignment="1">
      <alignment horizontal="center" vertical="center"/>
    </xf>
    <xf numFmtId="43" fontId="34" fillId="5" borderId="11" xfId="0" applyNumberFormat="1" applyFont="1" applyFill="1" applyBorder="1" applyAlignment="1">
      <alignment horizontal="center" vertical="center"/>
    </xf>
    <xf numFmtId="0" fontId="10" fillId="0" borderId="12" xfId="0" applyFont="1" applyBorder="1" applyAlignment="1">
      <alignment horizontal="left" vertical="center"/>
    </xf>
    <xf numFmtId="0" fontId="10" fillId="0" borderId="24" xfId="0" applyFont="1" applyBorder="1" applyAlignment="1">
      <alignment horizontal="left" vertical="center"/>
    </xf>
    <xf numFmtId="0" fontId="10" fillId="0" borderId="13" xfId="0" applyFont="1" applyBorder="1" applyAlignment="1">
      <alignment horizontal="left" vertical="center"/>
    </xf>
    <xf numFmtId="0" fontId="3" fillId="0" borderId="53" xfId="0" applyFont="1" applyBorder="1" applyAlignment="1">
      <alignment horizontal="center" vertical="center" wrapText="1"/>
    </xf>
    <xf numFmtId="0" fontId="3" fillId="0" borderId="54" xfId="0" applyFont="1" applyBorder="1" applyAlignment="1">
      <alignment horizontal="center" vertical="center" wrapText="1"/>
    </xf>
    <xf numFmtId="0" fontId="3" fillId="0" borderId="55" xfId="0" applyFont="1" applyBorder="1" applyAlignment="1">
      <alignment horizontal="center" vertical="center" wrapText="1"/>
    </xf>
    <xf numFmtId="0" fontId="9" fillId="0" borderId="11" xfId="0" applyFont="1" applyBorder="1" applyAlignment="1">
      <alignment horizontal="center" vertical="center"/>
    </xf>
    <xf numFmtId="0" fontId="3" fillId="0" borderId="11" xfId="0" applyFont="1" applyBorder="1" applyAlignment="1">
      <alignment horizontal="center" vertical="center" wrapText="1"/>
    </xf>
    <xf numFmtId="43" fontId="33" fillId="0" borderId="11" xfId="0" applyNumberFormat="1" applyFont="1" applyBorder="1" applyAlignment="1">
      <alignment horizontal="center" vertical="center"/>
    </xf>
    <xf numFmtId="0" fontId="2" fillId="2" borderId="11" xfId="0" quotePrefix="1" applyFont="1" applyFill="1" applyBorder="1" applyAlignment="1">
      <alignment horizontal="center" vertical="center" wrapText="1"/>
    </xf>
    <xf numFmtId="0" fontId="2" fillId="2" borderId="11" xfId="0" applyFont="1" applyFill="1" applyBorder="1" applyAlignment="1">
      <alignment horizontal="center" vertical="center" wrapText="1"/>
    </xf>
    <xf numFmtId="43" fontId="33" fillId="2" borderId="11" xfId="0" applyNumberFormat="1" applyFont="1" applyFill="1" applyBorder="1" applyAlignment="1">
      <alignment horizontal="center" vertical="center"/>
    </xf>
    <xf numFmtId="0" fontId="2" fillId="0" borderId="34" xfId="0" applyFont="1" applyBorder="1" applyAlignment="1">
      <alignment horizontal="center" vertical="center" wrapText="1"/>
    </xf>
    <xf numFmtId="43" fontId="32" fillId="0" borderId="11" xfId="0" applyNumberFormat="1" applyFont="1" applyBorder="1" applyAlignment="1">
      <alignment horizontal="center" vertical="center"/>
    </xf>
    <xf numFmtId="43" fontId="3" fillId="0" borderId="11" xfId="0" applyNumberFormat="1" applyFont="1" applyBorder="1" applyAlignment="1">
      <alignment horizontal="center" vertical="center" wrapText="1"/>
    </xf>
    <xf numFmtId="0" fontId="3" fillId="0" borderId="11" xfId="0" applyFont="1" applyBorder="1"/>
    <xf numFmtId="43" fontId="3" fillId="0" borderId="25" xfId="0" applyNumberFormat="1" applyFont="1" applyBorder="1" applyAlignment="1">
      <alignment horizontal="center" vertical="center" wrapText="1"/>
    </xf>
    <xf numFmtId="0" fontId="9" fillId="0" borderId="28" xfId="0" applyFont="1" applyBorder="1"/>
    <xf numFmtId="0" fontId="9" fillId="0" borderId="29" xfId="0" applyFont="1" applyBorder="1"/>
    <xf numFmtId="0" fontId="9" fillId="0" borderId="0" xfId="0" applyFont="1"/>
    <xf numFmtId="0" fontId="10" fillId="0" borderId="25" xfId="0" applyFont="1" applyBorder="1" applyAlignment="1">
      <alignment horizontal="center" vertical="center"/>
    </xf>
    <xf numFmtId="0" fontId="10" fillId="0" borderId="27" xfId="0" applyFont="1" applyBorder="1" applyAlignment="1">
      <alignment horizontal="center" vertical="center"/>
    </xf>
    <xf numFmtId="0" fontId="10" fillId="0" borderId="30" xfId="0" applyFont="1" applyBorder="1" applyAlignment="1">
      <alignment horizontal="center" vertical="center"/>
    </xf>
    <xf numFmtId="0" fontId="10" fillId="0" borderId="32" xfId="0" applyFont="1" applyBorder="1" applyAlignment="1">
      <alignment horizontal="center" vertical="center"/>
    </xf>
    <xf numFmtId="0" fontId="2" fillId="0" borderId="28" xfId="0" applyFont="1" applyBorder="1" applyAlignment="1">
      <alignment horizontal="center" vertical="center" wrapText="1"/>
    </xf>
    <xf numFmtId="0" fontId="2" fillId="0" borderId="29" xfId="0" applyFont="1" applyBorder="1" applyAlignment="1">
      <alignment horizontal="center" vertical="center" wrapText="1"/>
    </xf>
    <xf numFmtId="0" fontId="15" fillId="5" borderId="25" xfId="0" applyFont="1" applyFill="1" applyBorder="1" applyAlignment="1">
      <alignment horizontal="center" vertical="center" wrapText="1"/>
    </xf>
    <xf numFmtId="0" fontId="15" fillId="5" borderId="27" xfId="0" applyFont="1" applyFill="1" applyBorder="1" applyAlignment="1">
      <alignment horizontal="center" vertical="center" wrapText="1"/>
    </xf>
    <xf numFmtId="0" fontId="15" fillId="5" borderId="30" xfId="0" applyFont="1" applyFill="1" applyBorder="1" applyAlignment="1">
      <alignment horizontal="center" vertical="center" wrapText="1"/>
    </xf>
    <xf numFmtId="0" fontId="15" fillId="5" borderId="32" xfId="0" applyFont="1" applyFill="1" applyBorder="1" applyAlignment="1">
      <alignment horizontal="center" vertical="center" wrapText="1"/>
    </xf>
    <xf numFmtId="0" fontId="15" fillId="5" borderId="30" xfId="0" applyFont="1" applyFill="1" applyBorder="1" applyAlignment="1">
      <alignment horizontal="center"/>
    </xf>
    <xf numFmtId="0" fontId="15" fillId="5" borderId="31" xfId="0" applyFont="1" applyFill="1" applyBorder="1" applyAlignment="1">
      <alignment horizontal="center"/>
    </xf>
    <xf numFmtId="0" fontId="15" fillId="5" borderId="32" xfId="0" applyFont="1" applyFill="1" applyBorder="1" applyAlignment="1">
      <alignment horizontal="center"/>
    </xf>
    <xf numFmtId="0" fontId="15" fillId="5" borderId="34" xfId="0" applyFont="1" applyFill="1" applyBorder="1" applyAlignment="1">
      <alignment horizontal="center"/>
    </xf>
    <xf numFmtId="0" fontId="15" fillId="5" borderId="37" xfId="0" applyFont="1" applyFill="1" applyBorder="1" applyAlignment="1">
      <alignment horizontal="center"/>
    </xf>
    <xf numFmtId="0" fontId="15" fillId="5" borderId="36" xfId="0" applyFont="1" applyFill="1" applyBorder="1" applyAlignment="1">
      <alignment horizontal="center"/>
    </xf>
    <xf numFmtId="0" fontId="3" fillId="0" borderId="34" xfId="0" applyFont="1" applyBorder="1" applyAlignment="1">
      <alignment vertical="center"/>
    </xf>
    <xf numFmtId="0" fontId="47" fillId="0" borderId="36" xfId="0" applyFont="1" applyBorder="1"/>
    <xf numFmtId="0" fontId="2" fillId="0" borderId="34" xfId="0" applyFont="1" applyBorder="1" applyAlignment="1">
      <alignment horizontal="right" vertical="center"/>
    </xf>
    <xf numFmtId="0" fontId="9" fillId="0" borderId="36" xfId="0" applyFont="1" applyBorder="1" applyAlignment="1">
      <alignment horizontal="right"/>
    </xf>
    <xf numFmtId="41" fontId="3" fillId="0" borderId="34" xfId="0" applyNumberFormat="1" applyFont="1" applyBorder="1" applyAlignment="1">
      <alignment horizontal="center" vertical="center"/>
    </xf>
    <xf numFmtId="41" fontId="9" fillId="0" borderId="36" xfId="0" applyNumberFormat="1" applyFont="1" applyBorder="1"/>
    <xf numFmtId="0" fontId="2" fillId="8" borderId="0" xfId="0" applyFont="1" applyFill="1" applyAlignment="1">
      <alignment horizontal="left" vertical="center"/>
    </xf>
    <xf numFmtId="0" fontId="2" fillId="0" borderId="31" xfId="0" applyFont="1" applyBorder="1" applyAlignment="1">
      <alignment horizontal="left" vertical="center"/>
    </xf>
    <xf numFmtId="0" fontId="2" fillId="0" borderId="34" xfId="0" applyFont="1" applyBorder="1" applyAlignment="1">
      <alignment horizontal="center" vertical="center"/>
    </xf>
    <xf numFmtId="2" fontId="2" fillId="0" borderId="34" xfId="0" applyNumberFormat="1" applyFont="1" applyBorder="1" applyAlignment="1">
      <alignment horizontal="center" vertical="center" wrapText="1"/>
    </xf>
    <xf numFmtId="0" fontId="2" fillId="0" borderId="34" xfId="0" applyFont="1" applyBorder="1" applyAlignment="1">
      <alignment horizontal="left" vertical="center"/>
    </xf>
    <xf numFmtId="0" fontId="9" fillId="0" borderId="36" xfId="0" applyFont="1" applyBorder="1" applyAlignment="1">
      <alignment horizontal="left"/>
    </xf>
    <xf numFmtId="41" fontId="3" fillId="0" borderId="34" xfId="0" applyNumberFormat="1" applyFont="1" applyBorder="1" applyAlignment="1">
      <alignment vertical="center"/>
    </xf>
    <xf numFmtId="0" fontId="3" fillId="0" borderId="25" xfId="0" applyFont="1" applyBorder="1" applyAlignment="1">
      <alignment vertical="center"/>
    </xf>
    <xf numFmtId="0" fontId="2" fillId="0" borderId="25" xfId="0" applyFont="1" applyBorder="1" applyAlignment="1">
      <alignment horizontal="left" vertical="center"/>
    </xf>
    <xf numFmtId="0" fontId="9" fillId="0" borderId="27" xfId="0" applyFont="1" applyBorder="1" applyAlignment="1">
      <alignment horizontal="left"/>
    </xf>
    <xf numFmtId="41" fontId="3" fillId="0" borderId="25" xfId="0" applyNumberFormat="1" applyFont="1" applyBorder="1" applyAlignment="1">
      <alignment vertical="center"/>
    </xf>
    <xf numFmtId="0" fontId="32" fillId="0" borderId="59" xfId="0" applyFont="1" applyBorder="1" applyAlignment="1">
      <alignment horizontal="left" vertical="center"/>
    </xf>
    <xf numFmtId="0" fontId="3" fillId="0" borderId="11" xfId="0" applyFont="1" applyBorder="1" applyAlignment="1">
      <alignment vertical="center"/>
    </xf>
    <xf numFmtId="0" fontId="3" fillId="0" borderId="21" xfId="0" applyFont="1" applyBorder="1" applyAlignment="1">
      <alignment horizontal="center" vertical="center" wrapText="1"/>
    </xf>
    <xf numFmtId="0" fontId="3" fillId="0" borderId="22" xfId="0" applyFont="1" applyBorder="1" applyAlignment="1">
      <alignment horizontal="center" vertical="center" wrapText="1"/>
    </xf>
    <xf numFmtId="0" fontId="3" fillId="0" borderId="23" xfId="0" applyFont="1" applyBorder="1" applyAlignment="1">
      <alignment horizontal="center" vertical="center" wrapText="1"/>
    </xf>
    <xf numFmtId="0" fontId="3" fillId="0" borderId="63" xfId="0" applyFont="1" applyBorder="1" applyAlignment="1">
      <alignment horizontal="center" vertical="center" wrapText="1"/>
    </xf>
    <xf numFmtId="0" fontId="3" fillId="0" borderId="64" xfId="0" applyFont="1" applyBorder="1" applyAlignment="1">
      <alignment horizontal="center" vertical="center" wrapText="1"/>
    </xf>
    <xf numFmtId="0" fontId="3" fillId="0" borderId="49" xfId="0" applyFont="1" applyBorder="1" applyAlignment="1">
      <alignment horizontal="center" vertical="center" wrapText="1"/>
    </xf>
    <xf numFmtId="0" fontId="3" fillId="0" borderId="50" xfId="0" applyFont="1" applyBorder="1" applyAlignment="1">
      <alignment horizontal="center" vertical="center" wrapText="1"/>
    </xf>
    <xf numFmtId="3" fontId="3" fillId="0" borderId="11" xfId="0" applyNumberFormat="1" applyFont="1" applyBorder="1" applyAlignment="1">
      <alignment horizontal="right" vertical="center" wrapText="1"/>
    </xf>
    <xf numFmtId="0" fontId="3" fillId="0" borderId="11" xfId="0" applyFont="1" applyBorder="1" applyAlignment="1">
      <alignment horizontal="right" vertical="center" wrapText="1"/>
    </xf>
    <xf numFmtId="0" fontId="2" fillId="0" borderId="11" xfId="0" applyFont="1" applyBorder="1" applyAlignment="1">
      <alignment horizontal="left" vertical="center" wrapText="1"/>
    </xf>
    <xf numFmtId="0" fontId="47" fillId="0" borderId="37" xfId="0" applyFont="1" applyBorder="1"/>
    <xf numFmtId="0" fontId="2" fillId="0" borderId="25" xfId="0" applyFont="1" applyBorder="1" applyAlignment="1">
      <alignment horizontal="right" vertical="center"/>
    </xf>
    <xf numFmtId="41" fontId="3" fillId="0" borderId="25" xfId="0" applyNumberFormat="1" applyFont="1" applyBorder="1" applyAlignment="1">
      <alignment horizontal="center" vertical="center"/>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24" xfId="0" applyFont="1" applyBorder="1" applyAlignment="1">
      <alignment horizontal="center" vertical="center" wrapText="1"/>
    </xf>
    <xf numFmtId="0" fontId="3" fillId="0" borderId="0" xfId="0" quotePrefix="1" applyFont="1" applyAlignment="1">
      <alignment horizontal="left" vertical="center" wrapText="1"/>
    </xf>
    <xf numFmtId="0" fontId="3" fillId="0" borderId="11" xfId="0" applyFont="1" applyBorder="1" applyAlignment="1">
      <alignment horizontal="center" vertical="center"/>
    </xf>
    <xf numFmtId="0" fontId="2" fillId="0" borderId="11" xfId="0" applyFont="1" applyBorder="1" applyAlignment="1">
      <alignment horizontal="center" vertical="center"/>
    </xf>
    <xf numFmtId="0" fontId="15" fillId="17" borderId="11" xfId="0" applyFont="1" applyFill="1" applyBorder="1" applyAlignment="1">
      <alignment horizontal="center" vertical="center"/>
    </xf>
    <xf numFmtId="0" fontId="2" fillId="17" borderId="12" xfId="0" applyFont="1" applyFill="1" applyBorder="1" applyAlignment="1">
      <alignment horizontal="center" vertical="center"/>
    </xf>
    <xf numFmtId="0" fontId="2" fillId="17" borderId="13" xfId="0" applyFont="1" applyFill="1" applyBorder="1" applyAlignment="1">
      <alignment horizontal="center" vertical="center"/>
    </xf>
    <xf numFmtId="0" fontId="2" fillId="17" borderId="24" xfId="0" applyFont="1" applyFill="1" applyBorder="1" applyAlignment="1">
      <alignment horizontal="center" vertical="center"/>
    </xf>
    <xf numFmtId="0" fontId="3" fillId="0" borderId="12" xfId="0" applyFont="1" applyBorder="1" applyAlignment="1">
      <alignment horizontal="center" vertical="center"/>
    </xf>
    <xf numFmtId="0" fontId="3" fillId="0" borderId="24" xfId="0" applyFont="1" applyBorder="1" applyAlignment="1">
      <alignment horizontal="center" vertical="center"/>
    </xf>
    <xf numFmtId="0" fontId="3" fillId="0" borderId="13" xfId="0" applyFont="1" applyBorder="1" applyAlignment="1">
      <alignment horizontal="center" vertical="center"/>
    </xf>
    <xf numFmtId="0" fontId="15" fillId="17" borderId="12" xfId="0" applyFont="1" applyFill="1" applyBorder="1" applyAlignment="1">
      <alignment horizontal="center" vertical="center"/>
    </xf>
    <xf numFmtId="0" fontId="15" fillId="17" borderId="24" xfId="0" applyFont="1" applyFill="1" applyBorder="1" applyAlignment="1">
      <alignment horizontal="center" vertical="center"/>
    </xf>
    <xf numFmtId="0" fontId="15" fillId="17" borderId="13" xfId="0" applyFont="1" applyFill="1" applyBorder="1" applyAlignment="1">
      <alignment horizontal="center" vertical="center"/>
    </xf>
    <xf numFmtId="0" fontId="3" fillId="0" borderId="12"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12" xfId="0" applyFont="1" applyBorder="1" applyAlignment="1">
      <alignment horizontal="left" vertical="center" wrapText="1"/>
    </xf>
    <xf numFmtId="0" fontId="3" fillId="0" borderId="24" xfId="0" applyFont="1" applyBorder="1" applyAlignment="1">
      <alignment horizontal="left" vertical="center" wrapText="1"/>
    </xf>
    <xf numFmtId="0" fontId="3" fillId="0" borderId="13" xfId="0" applyFont="1" applyBorder="1" applyAlignment="1">
      <alignment horizontal="left" vertical="center" wrapText="1"/>
    </xf>
    <xf numFmtId="0" fontId="19" fillId="0" borderId="0" xfId="0" applyFont="1" applyAlignment="1">
      <alignment vertical="center"/>
    </xf>
    <xf numFmtId="0" fontId="19" fillId="0" borderId="0" xfId="0" applyFont="1" applyAlignment="1">
      <alignment horizontal="center" vertical="center"/>
    </xf>
    <xf numFmtId="0" fontId="20" fillId="0" borderId="0" xfId="0" applyFont="1" applyAlignment="1">
      <alignment horizontal="center" vertical="center"/>
    </xf>
    <xf numFmtId="0" fontId="10" fillId="0" borderId="0" xfId="0" applyFont="1" applyAlignment="1">
      <alignment horizontal="left" vertical="center"/>
    </xf>
    <xf numFmtId="41" fontId="3" fillId="0" borderId="34" xfId="0" applyNumberFormat="1" applyFont="1" applyBorder="1" applyAlignment="1">
      <alignment horizontal="right" vertical="center"/>
    </xf>
    <xf numFmtId="41" fontId="3" fillId="0" borderId="36" xfId="0" applyNumberFormat="1" applyFont="1" applyBorder="1" applyAlignment="1">
      <alignment horizontal="right" vertical="center"/>
    </xf>
    <xf numFmtId="41" fontId="9" fillId="0" borderId="34" xfId="0" applyNumberFormat="1" applyFont="1" applyBorder="1" applyAlignment="1">
      <alignment horizontal="right" vertical="center"/>
    </xf>
    <xf numFmtId="41" fontId="9" fillId="0" borderId="36" xfId="0" applyNumberFormat="1" applyFont="1" applyBorder="1" applyAlignment="1">
      <alignment horizontal="right" vertical="center"/>
    </xf>
    <xf numFmtId="0" fontId="2" fillId="0" borderId="57" xfId="0" applyFont="1" applyBorder="1" applyAlignment="1">
      <alignment horizontal="left" vertical="center"/>
    </xf>
    <xf numFmtId="0" fontId="47" fillId="0" borderId="11" xfId="0" applyFont="1" applyBorder="1"/>
    <xf numFmtId="0" fontId="8" fillId="0" borderId="34" xfId="0" applyFont="1" applyBorder="1" applyAlignment="1">
      <alignment horizontal="center" vertical="center"/>
    </xf>
    <xf numFmtId="0" fontId="11" fillId="0" borderId="37" xfId="0" applyFont="1" applyBorder="1"/>
    <xf numFmtId="0" fontId="47" fillId="0" borderId="27" xfId="0" applyFont="1" applyBorder="1"/>
    <xf numFmtId="0" fontId="3" fillId="0" borderId="34" xfId="0" applyFont="1" applyBorder="1" applyAlignment="1">
      <alignment horizontal="center" vertical="center"/>
    </xf>
    <xf numFmtId="43" fontId="33" fillId="0" borderId="12" xfId="0" applyNumberFormat="1" applyFont="1" applyBorder="1" applyAlignment="1">
      <alignment horizontal="center" vertical="center"/>
    </xf>
    <xf numFmtId="43" fontId="33" fillId="0" borderId="24" xfId="0" applyNumberFormat="1" applyFont="1" applyBorder="1" applyAlignment="1">
      <alignment horizontal="center" vertical="center"/>
    </xf>
    <xf numFmtId="43" fontId="33" fillId="0" borderId="13" xfId="0" applyNumberFormat="1" applyFont="1" applyBorder="1" applyAlignment="1">
      <alignment horizontal="center" vertical="center"/>
    </xf>
    <xf numFmtId="43" fontId="3" fillId="0" borderId="34" xfId="0" applyNumberFormat="1" applyFont="1" applyBorder="1" applyAlignment="1">
      <alignment horizontal="center" vertical="center"/>
    </xf>
    <xf numFmtId="0" fontId="47" fillId="0" borderId="36" xfId="0" applyFont="1" applyBorder="1" applyAlignment="1">
      <alignment horizontal="center"/>
    </xf>
    <xf numFmtId="0" fontId="3" fillId="0" borderId="34" xfId="0" applyFont="1" applyBorder="1" applyAlignment="1">
      <alignment horizontal="left" vertical="center" wrapText="1"/>
    </xf>
    <xf numFmtId="0" fontId="3" fillId="0" borderId="34" xfId="0" applyFont="1" applyBorder="1" applyAlignment="1">
      <alignment horizontal="left" vertical="center"/>
    </xf>
    <xf numFmtId="0" fontId="3" fillId="0" borderId="34" xfId="0" applyFont="1" applyBorder="1" applyAlignment="1">
      <alignment horizontal="right" vertical="center"/>
    </xf>
    <xf numFmtId="0" fontId="47" fillId="0" borderId="36" xfId="0" applyFont="1" applyBorder="1" applyAlignment="1">
      <alignment horizontal="right"/>
    </xf>
    <xf numFmtId="0" fontId="3" fillId="0" borderId="37" xfId="0" applyFont="1" applyBorder="1" applyAlignment="1">
      <alignment horizontal="left" vertical="center" wrapText="1"/>
    </xf>
    <xf numFmtId="0" fontId="3" fillId="0" borderId="36" xfId="0" applyFont="1" applyBorder="1" applyAlignment="1">
      <alignment horizontal="left" vertical="center" wrapText="1"/>
    </xf>
    <xf numFmtId="0" fontId="3" fillId="0" borderId="36" xfId="0" applyFont="1" applyBorder="1" applyAlignment="1">
      <alignment horizontal="center" vertical="center"/>
    </xf>
    <xf numFmtId="43" fontId="3" fillId="0" borderId="36" xfId="0" applyNumberFormat="1" applyFont="1" applyBorder="1" applyAlignment="1">
      <alignment horizontal="center" vertical="center"/>
    </xf>
    <xf numFmtId="0" fontId="3" fillId="0" borderId="25" xfId="0" applyFont="1" applyBorder="1" applyAlignment="1">
      <alignment horizontal="left" vertical="center"/>
    </xf>
    <xf numFmtId="0" fontId="47" fillId="0" borderId="26" xfId="0" applyFont="1" applyBorder="1"/>
    <xf numFmtId="0" fontId="3" fillId="0" borderId="25" xfId="0" applyFont="1" applyBorder="1" applyAlignment="1">
      <alignment horizontal="center" vertical="center"/>
    </xf>
    <xf numFmtId="0" fontId="3" fillId="0" borderId="27" xfId="0" applyFont="1" applyBorder="1" applyAlignment="1">
      <alignment horizontal="center" vertical="center"/>
    </xf>
    <xf numFmtId="0" fontId="3" fillId="0" borderId="25" xfId="0" applyFont="1" applyBorder="1" applyAlignment="1">
      <alignment horizontal="left" vertical="center" wrapText="1"/>
    </xf>
    <xf numFmtId="0" fontId="3" fillId="0" borderId="26" xfId="0" applyFont="1" applyBorder="1" applyAlignment="1">
      <alignment horizontal="left" vertical="center" wrapText="1"/>
    </xf>
    <xf numFmtId="0" fontId="3" fillId="0" borderId="27" xfId="0" applyFont="1" applyBorder="1" applyAlignment="1">
      <alignment horizontal="left" vertical="center" wrapText="1"/>
    </xf>
    <xf numFmtId="0" fontId="3" fillId="0" borderId="36" xfId="0" applyFont="1" applyBorder="1" applyAlignment="1">
      <alignment horizontal="right" vertical="center"/>
    </xf>
    <xf numFmtId="43" fontId="3" fillId="0" borderId="25" xfId="0" applyNumberFormat="1" applyFont="1" applyBorder="1" applyAlignment="1">
      <alignment horizontal="center" vertical="center"/>
    </xf>
    <xf numFmtId="43" fontId="3" fillId="0" borderId="27" xfId="0" applyNumberFormat="1" applyFont="1" applyBorder="1" applyAlignment="1">
      <alignment horizontal="center" vertical="center"/>
    </xf>
    <xf numFmtId="0" fontId="48" fillId="0" borderId="11" xfId="0" applyFont="1" applyBorder="1"/>
    <xf numFmtId="43" fontId="2" fillId="0" borderId="11" xfId="0" applyNumberFormat="1" applyFont="1" applyBorder="1" applyAlignment="1">
      <alignment horizontal="center" vertical="center"/>
    </xf>
    <xf numFmtId="0" fontId="48" fillId="0" borderId="11" xfId="0" applyFont="1" applyBorder="1" applyAlignment="1">
      <alignment horizontal="center"/>
    </xf>
    <xf numFmtId="0" fontId="48" fillId="0" borderId="11" xfId="0" applyFont="1" applyBorder="1" applyAlignment="1">
      <alignment horizontal="left"/>
    </xf>
    <xf numFmtId="0" fontId="2" fillId="0" borderId="11" xfId="0" applyFont="1" applyBorder="1" applyAlignment="1">
      <alignment horizontal="left" vertical="center"/>
    </xf>
    <xf numFmtId="0" fontId="3" fillId="0" borderId="25" xfId="0" applyFont="1" applyBorder="1" applyAlignment="1">
      <alignment horizontal="right" vertical="center"/>
    </xf>
    <xf numFmtId="0" fontId="3" fillId="0" borderId="27" xfId="0" applyFont="1" applyBorder="1" applyAlignment="1">
      <alignment horizontal="right" vertical="center"/>
    </xf>
    <xf numFmtId="0" fontId="3" fillId="0" borderId="0" xfId="0" applyFont="1" applyAlignment="1">
      <alignment horizontal="left" vertical="center" wrapText="1"/>
    </xf>
    <xf numFmtId="0" fontId="2" fillId="0" borderId="16" xfId="0" applyFont="1" applyBorder="1" applyAlignment="1">
      <alignment horizontal="center" vertical="center" wrapText="1"/>
    </xf>
    <xf numFmtId="0" fontId="2" fillId="0" borderId="22" xfId="0" applyFont="1" applyBorder="1" applyAlignment="1">
      <alignment horizontal="center" vertical="center" wrapText="1"/>
    </xf>
    <xf numFmtId="0" fontId="2" fillId="0" borderId="63" xfId="0" applyFont="1" applyBorder="1" applyAlignment="1">
      <alignment horizontal="center" vertical="center" wrapText="1"/>
    </xf>
    <xf numFmtId="0" fontId="2" fillId="0" borderId="0" xfId="0" applyFont="1" applyAlignment="1">
      <alignment horizontal="center" vertical="center" wrapText="1"/>
    </xf>
    <xf numFmtId="0" fontId="2" fillId="0" borderId="64" xfId="0" applyFont="1" applyBorder="1" applyAlignment="1">
      <alignment horizontal="center" vertical="center" wrapText="1"/>
    </xf>
    <xf numFmtId="0" fontId="0" fillId="0" borderId="0" xfId="0" applyAlignment="1">
      <alignment vertical="center"/>
    </xf>
    <xf numFmtId="0" fontId="15" fillId="16" borderId="34" xfId="0" applyFont="1" applyFill="1" applyBorder="1" applyAlignment="1">
      <alignment horizontal="left" vertical="center" wrapText="1"/>
    </xf>
    <xf numFmtId="0" fontId="49" fillId="0" borderId="37" xfId="0" applyFont="1" applyBorder="1"/>
    <xf numFmtId="0" fontId="49" fillId="0" borderId="36" xfId="0" applyFont="1" applyBorder="1"/>
    <xf numFmtId="3" fontId="15" fillId="16" borderId="34" xfId="0" applyNumberFormat="1" applyFont="1" applyFill="1" applyBorder="1" applyAlignment="1">
      <alignment horizontal="center" vertical="center"/>
    </xf>
    <xf numFmtId="3" fontId="15" fillId="16" borderId="37" xfId="0" applyNumberFormat="1" applyFont="1" applyFill="1" applyBorder="1" applyAlignment="1">
      <alignment horizontal="center" vertical="center"/>
    </xf>
    <xf numFmtId="3" fontId="15" fillId="16" borderId="36" xfId="0" applyNumberFormat="1" applyFont="1" applyFill="1" applyBorder="1" applyAlignment="1">
      <alignment horizontal="center" vertical="center"/>
    </xf>
    <xf numFmtId="0" fontId="3" fillId="0" borderId="12" xfId="0" applyFont="1" applyBorder="1" applyAlignment="1">
      <alignment horizontal="left" vertical="center"/>
    </xf>
    <xf numFmtId="0" fontId="3" fillId="0" borderId="13" xfId="0" applyFont="1" applyBorder="1" applyAlignment="1">
      <alignment horizontal="left" vertical="center"/>
    </xf>
    <xf numFmtId="0" fontId="3" fillId="0" borderId="24" xfId="0" applyFont="1" applyBorder="1" applyAlignment="1">
      <alignment horizontal="center" vertical="center" wrapText="1"/>
    </xf>
    <xf numFmtId="3" fontId="2" fillId="0" borderId="30" xfId="0" applyNumberFormat="1" applyFont="1" applyBorder="1" applyAlignment="1">
      <alignment horizontal="center" vertical="center"/>
    </xf>
    <xf numFmtId="3" fontId="2" fillId="0" borderId="31" xfId="0" applyNumberFormat="1" applyFont="1" applyBorder="1" applyAlignment="1">
      <alignment horizontal="center" vertical="center"/>
    </xf>
    <xf numFmtId="3" fontId="2" fillId="0" borderId="32" xfId="0" applyNumberFormat="1" applyFont="1" applyBorder="1" applyAlignment="1">
      <alignment horizontal="center" vertical="center"/>
    </xf>
    <xf numFmtId="4" fontId="15" fillId="16" borderId="34" xfId="0" applyNumberFormat="1" applyFont="1" applyFill="1" applyBorder="1" applyAlignment="1">
      <alignment horizontal="center" vertical="center"/>
    </xf>
    <xf numFmtId="4" fontId="15" fillId="16" borderId="37" xfId="0" applyNumberFormat="1" applyFont="1" applyFill="1" applyBorder="1" applyAlignment="1">
      <alignment horizontal="center" vertical="center"/>
    </xf>
    <xf numFmtId="4" fontId="15" fillId="16" borderId="36" xfId="0" applyNumberFormat="1" applyFont="1" applyFill="1" applyBorder="1" applyAlignment="1">
      <alignment horizontal="center" vertical="center"/>
    </xf>
    <xf numFmtId="0" fontId="3" fillId="0" borderId="11" xfId="0" applyFont="1" applyBorder="1" applyAlignment="1">
      <alignment horizontal="left" vertical="center"/>
    </xf>
    <xf numFmtId="0" fontId="3" fillId="0" borderId="11" xfId="0" applyFont="1" applyBorder="1" applyAlignment="1">
      <alignment horizontal="right" vertical="center"/>
    </xf>
    <xf numFmtId="0" fontId="3" fillId="0" borderId="11" xfId="0" applyFont="1" applyBorder="1" applyAlignment="1">
      <alignment horizontal="left" vertical="center" wrapText="1"/>
    </xf>
    <xf numFmtId="4" fontId="2" fillId="0" borderId="11" xfId="0" applyNumberFormat="1" applyFont="1" applyBorder="1" applyAlignment="1">
      <alignment horizontal="right" vertical="center"/>
    </xf>
    <xf numFmtId="0" fontId="48" fillId="0" borderId="11" xfId="0" applyFont="1" applyBorder="1" applyAlignment="1">
      <alignment horizontal="right"/>
    </xf>
    <xf numFmtId="0" fontId="2" fillId="0" borderId="11" xfId="0" applyFont="1" applyBorder="1" applyAlignment="1">
      <alignment horizontal="right" vertical="center"/>
    </xf>
    <xf numFmtId="41" fontId="3" fillId="0" borderId="56" xfId="2" applyFont="1" applyBorder="1" applyAlignment="1">
      <alignment horizontal="center" vertical="center"/>
    </xf>
    <xf numFmtId="41" fontId="3" fillId="0" borderId="36" xfId="2" applyFont="1" applyBorder="1" applyAlignment="1">
      <alignment horizontal="center" vertical="center"/>
    </xf>
    <xf numFmtId="0" fontId="3" fillId="0" borderId="68" xfId="0" applyFont="1" applyBorder="1" applyAlignment="1">
      <alignment horizontal="center" vertical="center"/>
    </xf>
    <xf numFmtId="0" fontId="3" fillId="0" borderId="69" xfId="0" applyFont="1" applyBorder="1" applyAlignment="1">
      <alignment horizontal="center" vertical="center"/>
    </xf>
    <xf numFmtId="0" fontId="3" fillId="0" borderId="70" xfId="0" applyFont="1" applyBorder="1" applyAlignment="1">
      <alignment horizontal="center" vertical="center"/>
    </xf>
    <xf numFmtId="0" fontId="3" fillId="0" borderId="16" xfId="0" applyFont="1" applyBorder="1" applyAlignment="1">
      <alignment horizontal="center" vertical="center"/>
    </xf>
    <xf numFmtId="0" fontId="3" fillId="0" borderId="20" xfId="0" applyFont="1" applyBorder="1" applyAlignment="1">
      <alignment horizontal="center" vertical="center"/>
    </xf>
    <xf numFmtId="0" fontId="2" fillId="0" borderId="30" xfId="0" applyFont="1" applyBorder="1" applyAlignment="1">
      <alignment horizontal="left" vertical="center" wrapText="1"/>
    </xf>
    <xf numFmtId="0" fontId="47" fillId="0" borderId="31" xfId="0" applyFont="1" applyBorder="1"/>
    <xf numFmtId="0" fontId="47" fillId="0" borderId="32" xfId="0" applyFont="1" applyBorder="1"/>
    <xf numFmtId="0" fontId="48" fillId="0" borderId="31" xfId="0" applyFont="1" applyBorder="1"/>
    <xf numFmtId="0" fontId="48" fillId="0" borderId="32" xfId="0" applyFont="1" applyBorder="1"/>
    <xf numFmtId="0" fontId="49" fillId="0" borderId="37" xfId="0" applyFont="1" applyBorder="1" applyAlignment="1">
      <alignment wrapText="1"/>
    </xf>
    <xf numFmtId="0" fontId="49" fillId="0" borderId="36" xfId="0" applyFont="1" applyBorder="1" applyAlignment="1">
      <alignment wrapText="1"/>
    </xf>
    <xf numFmtId="0" fontId="16" fillId="16" borderId="34" xfId="0" applyFont="1" applyFill="1" applyBorder="1" applyAlignment="1">
      <alignment horizontal="left" vertical="center"/>
    </xf>
    <xf numFmtId="41" fontId="2" fillId="0" borderId="11" xfId="0" applyNumberFormat="1" applyFont="1" applyBorder="1" applyAlignment="1">
      <alignment horizontal="center" vertical="center"/>
    </xf>
    <xf numFmtId="0" fontId="47" fillId="0" borderId="37" xfId="0" applyFont="1" applyBorder="1" applyAlignment="1">
      <alignment horizontal="center"/>
    </xf>
    <xf numFmtId="41" fontId="2" fillId="24" borderId="11" xfId="0" applyNumberFormat="1" applyFont="1" applyFill="1" applyBorder="1" applyAlignment="1">
      <alignment horizontal="center" vertical="center"/>
    </xf>
    <xf numFmtId="43" fontId="3" fillId="0" borderId="12" xfId="0" applyNumberFormat="1" applyFont="1" applyBorder="1" applyAlignment="1">
      <alignment horizontal="center" vertical="center"/>
    </xf>
    <xf numFmtId="43" fontId="3" fillId="0" borderId="13" xfId="0" applyNumberFormat="1" applyFont="1" applyBorder="1" applyAlignment="1">
      <alignment horizontal="center" vertical="center"/>
    </xf>
    <xf numFmtId="0" fontId="15" fillId="2" borderId="11" xfId="0" quotePrefix="1" applyFont="1" applyFill="1" applyBorder="1" applyAlignment="1">
      <alignment horizontal="center" vertical="center" wrapText="1"/>
    </xf>
    <xf numFmtId="0" fontId="15" fillId="2" borderId="11" xfId="0" applyFont="1" applyFill="1" applyBorder="1" applyAlignment="1">
      <alignment horizontal="center" vertical="center" wrapText="1"/>
    </xf>
    <xf numFmtId="43" fontId="16" fillId="2" borderId="11" xfId="0" applyNumberFormat="1" applyFont="1" applyFill="1" applyBorder="1" applyAlignment="1">
      <alignment horizontal="center" vertical="center"/>
    </xf>
    <xf numFmtId="41" fontId="9" fillId="0" borderId="12" xfId="2" applyFont="1" applyBorder="1" applyAlignment="1">
      <alignment horizontal="right" vertical="center"/>
    </xf>
    <xf numFmtId="41" fontId="9" fillId="0" borderId="13" xfId="2" applyFont="1" applyBorder="1" applyAlignment="1">
      <alignment horizontal="right" vertical="center"/>
    </xf>
    <xf numFmtId="41" fontId="3" fillId="0" borderId="71" xfId="0" applyNumberFormat="1" applyFont="1" applyBorder="1" applyAlignment="1">
      <alignment horizontal="right" vertical="center"/>
    </xf>
    <xf numFmtId="41" fontId="3" fillId="0" borderId="72" xfId="0" applyNumberFormat="1" applyFont="1" applyBorder="1" applyAlignment="1">
      <alignment horizontal="right" vertical="center"/>
    </xf>
    <xf numFmtId="0" fontId="10" fillId="0" borderId="12" xfId="0" applyFont="1" applyBorder="1" applyAlignment="1">
      <alignment horizontal="right" vertical="center"/>
    </xf>
    <xf numFmtId="0" fontId="10" fillId="0" borderId="13" xfId="0" applyFont="1" applyBorder="1" applyAlignment="1">
      <alignment horizontal="right" vertical="center"/>
    </xf>
    <xf numFmtId="0" fontId="2" fillId="0" borderId="71" xfId="0" applyFont="1" applyBorder="1" applyAlignment="1">
      <alignment horizontal="right" vertical="center"/>
    </xf>
    <xf numFmtId="0" fontId="2" fillId="0" borderId="72" xfId="0" applyFont="1" applyBorder="1" applyAlignment="1">
      <alignment horizontal="right" vertical="center"/>
    </xf>
    <xf numFmtId="0" fontId="2" fillId="0" borderId="36" xfId="0" applyFont="1" applyBorder="1" applyAlignment="1">
      <alignment horizontal="right" vertical="center"/>
    </xf>
    <xf numFmtId="0" fontId="10" fillId="0" borderId="34" xfId="0" applyFont="1" applyBorder="1" applyAlignment="1">
      <alignment horizontal="right" vertical="center"/>
    </xf>
    <xf numFmtId="0" fontId="10" fillId="0" borderId="36" xfId="0" applyFont="1" applyBorder="1" applyAlignment="1">
      <alignment horizontal="right" vertical="center"/>
    </xf>
    <xf numFmtId="0" fontId="9" fillId="0" borderId="27" xfId="0" applyFont="1" applyBorder="1" applyAlignment="1">
      <alignment horizontal="right"/>
    </xf>
    <xf numFmtId="41" fontId="3" fillId="0" borderId="37" xfId="0" applyNumberFormat="1" applyFont="1" applyBorder="1" applyAlignment="1">
      <alignment horizontal="center" vertical="center"/>
    </xf>
    <xf numFmtId="0" fontId="2" fillId="0" borderId="82" xfId="0" applyFont="1" applyBorder="1" applyAlignment="1">
      <alignment horizontal="center" vertical="center"/>
    </xf>
    <xf numFmtId="0" fontId="2" fillId="0" borderId="84" xfId="0" applyFont="1" applyBorder="1" applyAlignment="1">
      <alignment horizontal="center" vertical="center"/>
    </xf>
    <xf numFmtId="0" fontId="2" fillId="0" borderId="73" xfId="0" applyFont="1" applyBorder="1" applyAlignment="1">
      <alignment horizontal="center" vertical="center"/>
    </xf>
    <xf numFmtId="0" fontId="2" fillId="23" borderId="11" xfId="0" applyFont="1" applyFill="1" applyBorder="1" applyAlignment="1">
      <alignment horizontal="center" vertical="center" wrapText="1"/>
    </xf>
    <xf numFmtId="3" fontId="3" fillId="23" borderId="12" xfId="0" applyNumberFormat="1" applyFont="1" applyFill="1" applyBorder="1" applyAlignment="1">
      <alignment horizontal="center" vertical="center"/>
    </xf>
    <xf numFmtId="3" fontId="3" fillId="23" borderId="13" xfId="0" applyNumberFormat="1" applyFont="1" applyFill="1" applyBorder="1" applyAlignment="1">
      <alignment horizontal="center" vertical="center"/>
    </xf>
    <xf numFmtId="4" fontId="3" fillId="23" borderId="11" xfId="0" applyNumberFormat="1" applyFont="1" applyFill="1" applyBorder="1" applyAlignment="1">
      <alignment horizontal="center" vertical="center"/>
    </xf>
    <xf numFmtId="3" fontId="3" fillId="0" borderId="12" xfId="0" applyNumberFormat="1" applyFont="1" applyBorder="1" applyAlignment="1">
      <alignment horizontal="center" vertical="center"/>
    </xf>
    <xf numFmtId="3" fontId="3" fillId="0" borderId="13" xfId="0" applyNumberFormat="1" applyFont="1" applyBorder="1" applyAlignment="1">
      <alignment horizontal="center" vertical="center"/>
    </xf>
    <xf numFmtId="4" fontId="3" fillId="0" borderId="11" xfId="0" applyNumberFormat="1" applyFont="1" applyBorder="1" applyAlignment="1">
      <alignment horizontal="center" vertical="center"/>
    </xf>
    <xf numFmtId="0" fontId="39" fillId="4" borderId="11" xfId="0" applyFont="1" applyFill="1" applyBorder="1" applyAlignment="1">
      <alignment horizontal="center" vertical="center" wrapText="1"/>
    </xf>
    <xf numFmtId="3" fontId="15" fillId="4" borderId="11" xfId="0" applyNumberFormat="1" applyFont="1" applyFill="1" applyBorder="1" applyAlignment="1">
      <alignment horizontal="center" vertical="center"/>
    </xf>
    <xf numFmtId="4" fontId="30" fillId="4" borderId="11" xfId="0" applyNumberFormat="1" applyFont="1" applyFill="1" applyBorder="1" applyAlignment="1">
      <alignment horizontal="center" vertical="center"/>
    </xf>
    <xf numFmtId="4" fontId="15" fillId="4" borderId="11" xfId="0" applyNumberFormat="1" applyFont="1" applyFill="1" applyBorder="1" applyAlignment="1">
      <alignment horizontal="center" vertical="center"/>
    </xf>
    <xf numFmtId="0" fontId="8" fillId="0" borderId="0" xfId="0" applyFont="1" applyAlignment="1">
      <alignment horizontal="center" vertical="center"/>
    </xf>
    <xf numFmtId="0" fontId="10" fillId="12" borderId="11" xfId="0" applyFont="1" applyFill="1" applyBorder="1" applyAlignment="1">
      <alignment horizontal="center" vertical="center" wrapText="1"/>
    </xf>
    <xf numFmtId="3" fontId="10" fillId="12" borderId="11" xfId="0" applyNumberFormat="1" applyFont="1" applyFill="1" applyBorder="1" applyAlignment="1">
      <alignment horizontal="center" vertical="center"/>
    </xf>
    <xf numFmtId="4" fontId="70" fillId="12" borderId="11" xfId="0" applyNumberFormat="1" applyFont="1" applyFill="1" applyBorder="1" applyAlignment="1">
      <alignment horizontal="center" vertical="center"/>
    </xf>
    <xf numFmtId="0" fontId="15" fillId="17" borderId="11" xfId="0" applyFont="1" applyFill="1" applyBorder="1" applyAlignment="1">
      <alignment horizontal="center" vertical="center" wrapText="1"/>
    </xf>
    <xf numFmtId="3" fontId="15" fillId="17" borderId="11" xfId="0" applyNumberFormat="1" applyFont="1" applyFill="1" applyBorder="1" applyAlignment="1">
      <alignment horizontal="center" vertical="center"/>
    </xf>
    <xf numFmtId="4" fontId="30" fillId="17" borderId="11" xfId="0" applyNumberFormat="1" applyFont="1" applyFill="1" applyBorder="1" applyAlignment="1">
      <alignment horizontal="center" vertical="center"/>
    </xf>
    <xf numFmtId="0" fontId="2" fillId="0" borderId="19" xfId="0" applyFont="1" applyBorder="1" applyAlignment="1">
      <alignment horizontal="center" vertical="center"/>
    </xf>
    <xf numFmtId="0" fontId="10" fillId="4" borderId="11" xfId="0" applyFont="1" applyFill="1" applyBorder="1" applyAlignment="1">
      <alignment horizontal="center" vertical="center" wrapText="1"/>
    </xf>
    <xf numFmtId="4" fontId="10" fillId="4" borderId="11" xfId="0" applyNumberFormat="1" applyFont="1" applyFill="1" applyBorder="1" applyAlignment="1">
      <alignment horizontal="center" vertical="center"/>
    </xf>
    <xf numFmtId="0" fontId="2" fillId="2" borderId="83" xfId="0" applyFont="1" applyFill="1" applyBorder="1" applyAlignment="1">
      <alignment horizontal="center" vertical="center" wrapText="1"/>
    </xf>
    <xf numFmtId="0" fontId="2" fillId="2" borderId="73" xfId="0" applyFont="1" applyFill="1" applyBorder="1" applyAlignment="1">
      <alignment horizontal="center" vertical="center" wrapText="1"/>
    </xf>
    <xf numFmtId="0" fontId="2" fillId="2" borderId="76" xfId="0" applyFont="1" applyFill="1" applyBorder="1" applyAlignment="1">
      <alignment horizontal="center" vertical="center" wrapText="1"/>
    </xf>
    <xf numFmtId="0" fontId="2" fillId="2" borderId="20" xfId="0" applyFont="1" applyFill="1" applyBorder="1" applyAlignment="1">
      <alignment horizontal="center" vertical="center" wrapText="1"/>
    </xf>
    <xf numFmtId="0" fontId="2" fillId="2" borderId="9" xfId="0" applyFont="1" applyFill="1" applyBorder="1" applyAlignment="1">
      <alignment horizontal="center" vertical="center" wrapText="1"/>
    </xf>
    <xf numFmtId="3" fontId="2" fillId="2" borderId="9" xfId="0" applyNumberFormat="1" applyFont="1" applyFill="1" applyBorder="1" applyAlignment="1">
      <alignment horizontal="center" vertical="center" wrapText="1"/>
    </xf>
    <xf numFmtId="3" fontId="2" fillId="2" borderId="11" xfId="0" applyNumberFormat="1" applyFont="1" applyFill="1" applyBorder="1" applyAlignment="1">
      <alignment horizontal="center" vertical="center" wrapText="1"/>
    </xf>
    <xf numFmtId="0" fontId="2" fillId="17" borderId="11" xfId="0" applyFont="1" applyFill="1" applyBorder="1" applyAlignment="1">
      <alignment horizontal="center" vertical="center" wrapText="1"/>
    </xf>
    <xf numFmtId="4" fontId="19" fillId="17" borderId="11" xfId="0" applyNumberFormat="1" applyFont="1" applyFill="1" applyBorder="1" applyAlignment="1">
      <alignment horizontal="center" vertical="center"/>
    </xf>
    <xf numFmtId="0" fontId="10" fillId="17" borderId="11" xfId="0" applyFont="1" applyFill="1" applyBorder="1" applyAlignment="1">
      <alignment horizontal="center" vertical="center" wrapText="1"/>
    </xf>
    <xf numFmtId="4" fontId="70" fillId="17" borderId="11" xfId="0" applyNumberFormat="1" applyFont="1" applyFill="1" applyBorder="1" applyAlignment="1">
      <alignment horizontal="center" vertical="center"/>
    </xf>
    <xf numFmtId="0" fontId="2" fillId="30" borderId="11" xfId="0" applyFont="1" applyFill="1" applyBorder="1" applyAlignment="1">
      <alignment horizontal="center" vertical="center"/>
    </xf>
    <xf numFmtId="0" fontId="2" fillId="30" borderId="11" xfId="0" applyFont="1" applyFill="1" applyBorder="1" applyAlignment="1">
      <alignment horizontal="center" vertical="center" wrapText="1"/>
    </xf>
    <xf numFmtId="3" fontId="3" fillId="23" borderId="11" xfId="0" applyNumberFormat="1" applyFont="1" applyFill="1" applyBorder="1" applyAlignment="1">
      <alignment horizontal="center" vertical="center"/>
    </xf>
    <xf numFmtId="0" fontId="2" fillId="17" borderId="11" xfId="0" applyFont="1" applyFill="1" applyBorder="1" applyAlignment="1">
      <alignment horizontal="center" vertical="center"/>
    </xf>
    <xf numFmtId="0" fontId="2" fillId="0" borderId="22" xfId="0" quotePrefix="1" applyFont="1" applyBorder="1" applyAlignment="1">
      <alignment horizontal="left" vertical="center" wrapText="1"/>
    </xf>
    <xf numFmtId="0" fontId="3" fillId="0" borderId="0" xfId="0" quotePrefix="1" applyFont="1" applyAlignment="1">
      <alignment horizontal="left" vertical="center"/>
    </xf>
    <xf numFmtId="0" fontId="79" fillId="0" borderId="0" xfId="0" quotePrefix="1" applyFont="1" applyAlignment="1">
      <alignment horizontal="left" vertical="center" wrapText="1"/>
    </xf>
    <xf numFmtId="0" fontId="9" fillId="0" borderId="0" xfId="0" quotePrefix="1" applyFont="1" applyAlignment="1">
      <alignment horizontal="left" vertical="center"/>
    </xf>
    <xf numFmtId="0" fontId="9" fillId="0" borderId="0" xfId="0" quotePrefix="1" applyFont="1" applyAlignment="1">
      <alignment horizontal="left" vertical="center" wrapText="1"/>
    </xf>
    <xf numFmtId="0" fontId="15" fillId="12" borderId="12" xfId="0" applyFont="1" applyFill="1" applyBorder="1" applyAlignment="1">
      <alignment horizontal="center" vertical="center"/>
    </xf>
    <xf numFmtId="0" fontId="15" fillId="12" borderId="24" xfId="0" applyFont="1" applyFill="1" applyBorder="1" applyAlignment="1">
      <alignment horizontal="center" vertical="center"/>
    </xf>
    <xf numFmtId="0" fontId="15" fillId="12" borderId="13" xfId="0" applyFont="1" applyFill="1" applyBorder="1" applyAlignment="1">
      <alignment horizontal="center" vertical="center"/>
    </xf>
    <xf numFmtId="0" fontId="3" fillId="12" borderId="16" xfId="0" applyFont="1" applyFill="1" applyBorder="1" applyAlignment="1">
      <alignment horizontal="center" vertical="center"/>
    </xf>
    <xf numFmtId="0" fontId="2" fillId="12" borderId="15" xfId="0" applyFont="1" applyFill="1" applyBorder="1" applyAlignment="1">
      <alignment horizontal="center" vertical="center" wrapText="1"/>
    </xf>
    <xf numFmtId="0" fontId="2" fillId="12" borderId="16" xfId="0" applyFont="1" applyFill="1" applyBorder="1" applyAlignment="1">
      <alignment horizontal="center" vertical="center" wrapText="1"/>
    </xf>
    <xf numFmtId="0" fontId="3" fillId="12" borderId="11" xfId="0" quotePrefix="1" applyFont="1" applyFill="1" applyBorder="1" applyAlignment="1">
      <alignment horizontal="left" vertical="center"/>
    </xf>
    <xf numFmtId="3" fontId="2" fillId="0" borderId="11" xfId="0" applyNumberFormat="1" applyFont="1" applyBorder="1" applyAlignment="1">
      <alignment horizontal="center" vertical="center"/>
    </xf>
    <xf numFmtId="0" fontId="15" fillId="16" borderId="11" xfId="0" applyFont="1" applyFill="1" applyBorder="1" applyAlignment="1">
      <alignment horizontal="left" vertical="center" wrapText="1"/>
    </xf>
    <xf numFmtId="0" fontId="49" fillId="0" borderId="11" xfId="0" applyFont="1" applyBorder="1" applyAlignment="1">
      <alignment wrapText="1"/>
    </xf>
    <xf numFmtId="4" fontId="15" fillId="16" borderId="11" xfId="0" applyNumberFormat="1" applyFont="1" applyFill="1" applyBorder="1" applyAlignment="1">
      <alignment horizontal="center" vertical="center"/>
    </xf>
    <xf numFmtId="0" fontId="16" fillId="16" borderId="11" xfId="0" applyFont="1" applyFill="1" applyBorder="1" applyAlignment="1">
      <alignment horizontal="left" vertical="center"/>
    </xf>
    <xf numFmtId="0" fontId="49" fillId="0" borderId="11" xfId="0" applyFont="1" applyBorder="1"/>
    <xf numFmtId="0" fontId="3" fillId="12" borderId="12" xfId="0" applyFont="1" applyFill="1" applyBorder="1" applyAlignment="1">
      <alignment horizontal="center" vertical="center"/>
    </xf>
    <xf numFmtId="0" fontId="3" fillId="12" borderId="24" xfId="0" applyFont="1" applyFill="1" applyBorder="1" applyAlignment="1">
      <alignment horizontal="center" vertical="center"/>
    </xf>
    <xf numFmtId="0" fontId="3" fillId="12" borderId="13" xfId="0" applyFont="1" applyFill="1" applyBorder="1" applyAlignment="1">
      <alignment horizontal="center" vertical="center"/>
    </xf>
    <xf numFmtId="3" fontId="15" fillId="16" borderId="11" xfId="0" applyNumberFormat="1" applyFont="1" applyFill="1" applyBorder="1" applyAlignment="1">
      <alignment horizontal="center" vertical="center"/>
    </xf>
    <xf numFmtId="0" fontId="47" fillId="0" borderId="27" xfId="0" applyFont="1" applyBorder="1" applyAlignment="1">
      <alignment horizontal="right"/>
    </xf>
    <xf numFmtId="0" fontId="47" fillId="0" borderId="11" xfId="0" applyFont="1" applyBorder="1" applyAlignment="1">
      <alignment horizontal="right"/>
    </xf>
    <xf numFmtId="0" fontId="48" fillId="0" borderId="11" xfId="0" applyFont="1" applyBorder="1" applyAlignment="1">
      <alignment wrapText="1"/>
    </xf>
    <xf numFmtId="43" fontId="3" fillId="0" borderId="11" xfId="0" applyNumberFormat="1" applyFont="1" applyBorder="1" applyAlignment="1">
      <alignment horizontal="center" vertical="center"/>
    </xf>
    <xf numFmtId="0" fontId="47" fillId="0" borderId="11" xfId="0" applyFont="1" applyBorder="1" applyAlignment="1">
      <alignment horizontal="center"/>
    </xf>
    <xf numFmtId="0" fontId="3" fillId="0" borderId="32" xfId="0" applyFont="1" applyBorder="1" applyAlignment="1">
      <alignment horizontal="center" vertical="center"/>
    </xf>
    <xf numFmtId="43" fontId="3" fillId="0" borderId="30" xfId="0" applyNumberFormat="1" applyFont="1" applyBorder="1" applyAlignment="1">
      <alignment horizontal="center" vertical="center"/>
    </xf>
    <xf numFmtId="43" fontId="3" fillId="0" borderId="32" xfId="0" applyNumberFormat="1" applyFont="1" applyBorder="1" applyAlignment="1">
      <alignment horizontal="center" vertical="center"/>
    </xf>
    <xf numFmtId="0" fontId="3" fillId="0" borderId="30" xfId="0" applyFont="1" applyBorder="1" applyAlignment="1">
      <alignment horizontal="left" vertical="center" wrapText="1"/>
    </xf>
    <xf numFmtId="0" fontId="3" fillId="0" borderId="31" xfId="0" applyFont="1" applyBorder="1" applyAlignment="1">
      <alignment horizontal="left" vertical="center" wrapText="1"/>
    </xf>
    <xf numFmtId="0" fontId="3" fillId="0" borderId="32" xfId="0" applyFont="1" applyBorder="1" applyAlignment="1">
      <alignment horizontal="left" vertical="center" wrapText="1"/>
    </xf>
    <xf numFmtId="0" fontId="8" fillId="0" borderId="11" xfId="0" applyFont="1" applyBorder="1" applyAlignment="1">
      <alignment horizontal="center" vertical="center"/>
    </xf>
    <xf numFmtId="0" fontId="11" fillId="0" borderId="11" xfId="0" applyFont="1" applyBorder="1"/>
    <xf numFmtId="0" fontId="3" fillId="0" borderId="20" xfId="0" applyFont="1" applyBorder="1" applyAlignment="1">
      <alignment vertical="center"/>
    </xf>
    <xf numFmtId="0" fontId="9" fillId="0" borderId="20" xfId="0" applyFont="1" applyBorder="1"/>
    <xf numFmtId="0" fontId="8" fillId="0" borderId="20" xfId="0" applyFont="1" applyBorder="1" applyAlignment="1">
      <alignment horizontal="center" vertical="center"/>
    </xf>
    <xf numFmtId="0" fontId="11" fillId="0" borderId="20" xfId="0" applyFont="1" applyBorder="1"/>
    <xf numFmtId="0" fontId="3" fillId="0" borderId="15" xfId="0" applyFont="1" applyBorder="1" applyAlignment="1">
      <alignment vertical="center"/>
    </xf>
    <xf numFmtId="0" fontId="9" fillId="0" borderId="15" xfId="0" applyFont="1" applyBorder="1"/>
    <xf numFmtId="0" fontId="2" fillId="0" borderId="15" xfId="0" applyFont="1" applyBorder="1" applyAlignment="1">
      <alignment horizontal="left" vertical="center" wrapText="1"/>
    </xf>
    <xf numFmtId="3" fontId="3" fillId="0" borderId="15" xfId="0" applyNumberFormat="1" applyFont="1" applyBorder="1" applyAlignment="1">
      <alignment horizontal="right" vertical="center" wrapText="1"/>
    </xf>
    <xf numFmtId="0" fontId="3" fillId="0" borderId="15" xfId="0" applyFont="1" applyBorder="1" applyAlignment="1">
      <alignment horizontal="right" vertical="center" wrapText="1"/>
    </xf>
    <xf numFmtId="0" fontId="9" fillId="0" borderId="11" xfId="0" applyFont="1" applyBorder="1" applyAlignment="1">
      <alignment horizontal="left"/>
    </xf>
    <xf numFmtId="41" fontId="3" fillId="0" borderId="11" xfId="0" applyNumberFormat="1" applyFont="1" applyBorder="1" applyAlignment="1">
      <alignment vertical="center"/>
    </xf>
    <xf numFmtId="0" fontId="32" fillId="0" borderId="57" xfId="0" applyFont="1" applyBorder="1" applyAlignment="1">
      <alignment horizontal="left" vertical="center"/>
    </xf>
    <xf numFmtId="41" fontId="3" fillId="0" borderId="11" xfId="0" applyNumberFormat="1" applyFont="1" applyBorder="1" applyAlignment="1">
      <alignment horizontal="right" vertical="center"/>
    </xf>
    <xf numFmtId="0" fontId="10" fillId="0" borderId="11" xfId="0" applyFont="1" applyBorder="1" applyAlignment="1">
      <alignment horizontal="right" vertical="center"/>
    </xf>
    <xf numFmtId="41" fontId="9" fillId="0" borderId="11" xfId="2" applyFont="1" applyBorder="1" applyAlignment="1">
      <alignment horizontal="right" vertical="center"/>
    </xf>
    <xf numFmtId="0" fontId="9" fillId="0" borderId="12" xfId="0" applyFont="1" applyBorder="1" applyAlignment="1">
      <alignment horizontal="left" vertical="center"/>
    </xf>
    <xf numFmtId="0" fontId="9" fillId="0" borderId="13" xfId="0" applyFont="1" applyBorder="1" applyAlignment="1">
      <alignment horizontal="left" vertical="center"/>
    </xf>
    <xf numFmtId="0" fontId="5" fillId="0" borderId="11" xfId="0" applyFont="1" applyBorder="1" applyAlignment="1">
      <alignment vertical="center"/>
    </xf>
    <xf numFmtId="0" fontId="27" fillId="0" borderId="11" xfId="0" applyFont="1" applyBorder="1"/>
    <xf numFmtId="0" fontId="14" fillId="0" borderId="57" xfId="0" applyFont="1" applyBorder="1" applyAlignment="1">
      <alignment horizontal="left" vertical="center"/>
    </xf>
    <xf numFmtId="0" fontId="5" fillId="0" borderId="0" xfId="0" applyFont="1"/>
    <xf numFmtId="41" fontId="9" fillId="0" borderId="11" xfId="0" applyNumberFormat="1" applyFont="1" applyBorder="1" applyAlignment="1">
      <alignment horizontal="right" vertical="center"/>
    </xf>
    <xf numFmtId="0" fontId="8" fillId="0" borderId="25" xfId="0" applyFont="1" applyBorder="1" applyAlignment="1">
      <alignment horizontal="center" vertical="center"/>
    </xf>
    <xf numFmtId="0" fontId="11" fillId="0" borderId="26" xfId="0" applyFont="1" applyBorder="1"/>
    <xf numFmtId="0" fontId="3" fillId="0" borderId="30" xfId="0" applyFont="1" applyBorder="1" applyAlignment="1">
      <alignment vertical="center"/>
    </xf>
    <xf numFmtId="0" fontId="8" fillId="0" borderId="30" xfId="0" applyFont="1" applyBorder="1" applyAlignment="1">
      <alignment horizontal="center" vertical="center"/>
    </xf>
    <xf numFmtId="0" fontId="11" fillId="0" borderId="31" xfId="0" applyFont="1" applyBorder="1"/>
    <xf numFmtId="0" fontId="11" fillId="0" borderId="32" xfId="0" applyFont="1" applyBorder="1"/>
    <xf numFmtId="0" fontId="9" fillId="0" borderId="11" xfId="0" applyFont="1" applyBorder="1" applyAlignment="1">
      <alignment horizontal="right"/>
    </xf>
    <xf numFmtId="41" fontId="3" fillId="0" borderId="11" xfId="0" applyNumberFormat="1" applyFont="1" applyBorder="1" applyAlignment="1">
      <alignment horizontal="center" vertical="center"/>
    </xf>
    <xf numFmtId="41" fontId="9" fillId="0" borderId="11" xfId="0" applyNumberFormat="1" applyFont="1" applyBorder="1"/>
    <xf numFmtId="41" fontId="3" fillId="0" borderId="11" xfId="2" applyFont="1" applyBorder="1" applyAlignment="1">
      <alignment horizontal="center" vertical="center"/>
    </xf>
    <xf numFmtId="0" fontId="47" fillId="0" borderId="15" xfId="0" applyFont="1" applyBorder="1"/>
    <xf numFmtId="0" fontId="2" fillId="0" borderId="15" xfId="0" applyFont="1" applyBorder="1" applyAlignment="1">
      <alignment horizontal="right" vertical="center"/>
    </xf>
    <xf numFmtId="0" fontId="9" fillId="0" borderId="15" xfId="0" applyFont="1" applyBorder="1" applyAlignment="1">
      <alignment horizontal="right"/>
    </xf>
    <xf numFmtId="41" fontId="3" fillId="0" borderId="15" xfId="0" applyNumberFormat="1" applyFont="1" applyBorder="1" applyAlignment="1">
      <alignment horizontal="center" vertical="center"/>
    </xf>
    <xf numFmtId="41" fontId="9" fillId="0" borderId="15" xfId="0" applyNumberFormat="1" applyFont="1" applyBorder="1"/>
    <xf numFmtId="2" fontId="2" fillId="0" borderId="11" xfId="0" applyNumberFormat="1" applyFont="1" applyBorder="1" applyAlignment="1">
      <alignment horizontal="center" vertical="center" wrapText="1"/>
    </xf>
    <xf numFmtId="0" fontId="15" fillId="5" borderId="11" xfId="0" applyFont="1" applyFill="1" applyBorder="1" applyAlignment="1">
      <alignment horizontal="center" vertical="center" wrapText="1"/>
    </xf>
    <xf numFmtId="0" fontId="15" fillId="5" borderId="11" xfId="0" applyFont="1" applyFill="1" applyBorder="1" applyAlignment="1">
      <alignment horizontal="center"/>
    </xf>
    <xf numFmtId="0" fontId="10" fillId="0" borderId="11" xfId="0" applyFont="1" applyBorder="1" applyAlignment="1">
      <alignment horizontal="center" vertical="center"/>
    </xf>
    <xf numFmtId="0" fontId="32" fillId="8" borderId="11" xfId="0" applyFont="1" applyFill="1" applyBorder="1" applyAlignment="1">
      <alignment horizontal="center" vertical="center" wrapText="1"/>
    </xf>
    <xf numFmtId="0" fontId="32" fillId="8" borderId="11" xfId="0" applyFont="1" applyFill="1" applyBorder="1" applyAlignment="1">
      <alignment horizontal="center" vertical="center"/>
    </xf>
    <xf numFmtId="3" fontId="3" fillId="0" borderId="11" xfId="0" applyNumberFormat="1" applyFont="1" applyBorder="1" applyAlignment="1">
      <alignment horizontal="center" vertical="center" wrapText="1"/>
    </xf>
    <xf numFmtId="0" fontId="2" fillId="13" borderId="11" xfId="0" applyFont="1" applyFill="1" applyBorder="1" applyAlignment="1">
      <alignment vertical="center" wrapText="1"/>
    </xf>
    <xf numFmtId="3" fontId="3" fillId="13" borderId="11" xfId="0" applyNumberFormat="1" applyFont="1" applyFill="1" applyBorder="1" applyAlignment="1">
      <alignment horizontal="center" vertical="center" wrapText="1"/>
    </xf>
    <xf numFmtId="0" fontId="2" fillId="0" borderId="0" xfId="0" applyFont="1" applyAlignment="1">
      <alignment horizontal="left" vertical="center" wrapText="1"/>
    </xf>
    <xf numFmtId="0" fontId="2" fillId="5" borderId="11" xfId="0" applyFont="1" applyFill="1" applyBorder="1" applyAlignment="1">
      <alignment horizontal="center" vertical="center"/>
    </xf>
    <xf numFmtId="0" fontId="2" fillId="5" borderId="11" xfId="0" applyFont="1" applyFill="1" applyBorder="1" applyAlignment="1">
      <alignment horizontal="center" vertical="center" wrapText="1"/>
    </xf>
    <xf numFmtId="164" fontId="3" fillId="0" borderId="11" xfId="0" applyNumberFormat="1" applyFont="1" applyBorder="1" applyAlignment="1">
      <alignment horizontal="center" vertical="center" wrapText="1"/>
    </xf>
    <xf numFmtId="164" fontId="5" fillId="0" borderId="11" xfId="0" applyNumberFormat="1" applyFont="1" applyBorder="1" applyAlignment="1">
      <alignment horizontal="center" vertical="center" wrapText="1"/>
    </xf>
    <xf numFmtId="0" fontId="14" fillId="11" borderId="11" xfId="0" applyFont="1" applyFill="1" applyBorder="1" applyAlignment="1">
      <alignment horizontal="center" vertical="center" wrapText="1"/>
    </xf>
    <xf numFmtId="0" fontId="35" fillId="0" borderId="11" xfId="0" applyFont="1" applyBorder="1"/>
    <xf numFmtId="0" fontId="73" fillId="31" borderId="11" xfId="0" applyFont="1" applyFill="1" applyBorder="1" applyAlignment="1">
      <alignment horizontal="center" vertical="center" wrapText="1"/>
    </xf>
    <xf numFmtId="0" fontId="75" fillId="17" borderId="11" xfId="0" applyFont="1" applyFill="1" applyBorder="1"/>
    <xf numFmtId="4" fontId="77" fillId="17" borderId="11" xfId="0" applyNumberFormat="1" applyFont="1" applyFill="1" applyBorder="1" applyAlignment="1">
      <alignment horizontal="center" vertical="center"/>
    </xf>
    <xf numFmtId="0" fontId="77" fillId="17" borderId="11" xfId="0" applyFont="1" applyFill="1" applyBorder="1"/>
    <xf numFmtId="4" fontId="75" fillId="17" borderId="11" xfId="0" applyNumberFormat="1" applyFont="1" applyFill="1" applyBorder="1" applyAlignment="1">
      <alignment horizontal="center" vertical="center"/>
    </xf>
    <xf numFmtId="0" fontId="10" fillId="0" borderId="39" xfId="0" applyFont="1" applyBorder="1" applyAlignment="1">
      <alignment horizontal="center" vertical="center" wrapText="1"/>
    </xf>
    <xf numFmtId="4" fontId="9" fillId="0" borderId="34" xfId="0" applyNumberFormat="1" applyFont="1" applyBorder="1" applyAlignment="1">
      <alignment horizontal="center" vertical="center"/>
    </xf>
    <xf numFmtId="0" fontId="10" fillId="0" borderId="35" xfId="0" applyFont="1" applyBorder="1" applyAlignment="1">
      <alignment horizontal="center" vertical="center" wrapText="1"/>
    </xf>
    <xf numFmtId="166" fontId="9" fillId="0" borderId="34" xfId="0" applyNumberFormat="1" applyFont="1" applyBorder="1" applyAlignment="1">
      <alignment horizontal="center" vertical="center" wrapText="1"/>
    </xf>
    <xf numFmtId="41" fontId="2" fillId="2" borderId="12" xfId="0" applyNumberFormat="1" applyFont="1" applyFill="1" applyBorder="1" applyAlignment="1">
      <alignment horizontal="center" vertical="center"/>
    </xf>
    <xf numFmtId="4" fontId="9" fillId="0" borderId="25" xfId="0" applyNumberFormat="1" applyFont="1" applyBorder="1" applyAlignment="1">
      <alignment horizontal="center" vertical="center"/>
    </xf>
    <xf numFmtId="0" fontId="10" fillId="0" borderId="11" xfId="0" applyFont="1" applyBorder="1" applyAlignment="1">
      <alignment horizontal="center" vertical="center" wrapText="1"/>
    </xf>
    <xf numFmtId="4" fontId="11" fillId="0" borderId="11" xfId="0" applyNumberFormat="1" applyFont="1" applyBorder="1" applyAlignment="1">
      <alignment horizontal="center" vertical="center"/>
    </xf>
    <xf numFmtId="165" fontId="11" fillId="0" borderId="11" xfId="0" applyNumberFormat="1" applyFont="1" applyBorder="1" applyAlignment="1">
      <alignment horizontal="center" vertical="center"/>
    </xf>
    <xf numFmtId="165" fontId="11" fillId="0" borderId="11" xfId="0" applyNumberFormat="1" applyFont="1" applyBorder="1"/>
    <xf numFmtId="165" fontId="9" fillId="0" borderId="11" xfId="0" applyNumberFormat="1" applyFont="1" applyBorder="1" applyAlignment="1">
      <alignment horizontal="center" vertical="center"/>
    </xf>
    <xf numFmtId="165" fontId="9" fillId="0" borderId="11" xfId="0" applyNumberFormat="1" applyFont="1" applyBorder="1"/>
    <xf numFmtId="4" fontId="8" fillId="0" borderId="11" xfId="0" applyNumberFormat="1" applyFont="1" applyBorder="1" applyAlignment="1">
      <alignment horizontal="center" vertical="center"/>
    </xf>
    <xf numFmtId="3" fontId="3" fillId="7" borderId="11" xfId="0" applyNumberFormat="1" applyFont="1" applyFill="1" applyBorder="1" applyAlignment="1">
      <alignment horizontal="center" vertical="center"/>
    </xf>
    <xf numFmtId="3" fontId="9" fillId="7" borderId="11" xfId="0" applyNumberFormat="1" applyFont="1" applyFill="1" applyBorder="1"/>
    <xf numFmtId="166" fontId="9" fillId="0" borderId="11" xfId="0" applyNumberFormat="1" applyFont="1" applyBorder="1" applyAlignment="1">
      <alignment horizontal="center" vertical="center" wrapText="1"/>
    </xf>
    <xf numFmtId="43" fontId="8" fillId="7" borderId="34" xfId="0" applyNumberFormat="1" applyFont="1" applyFill="1" applyBorder="1" applyAlignment="1">
      <alignment horizontal="center" vertical="center"/>
    </xf>
    <xf numFmtId="43" fontId="11" fillId="7" borderId="36" xfId="0" applyNumberFormat="1" applyFont="1" applyFill="1" applyBorder="1"/>
    <xf numFmtId="0" fontId="11" fillId="0" borderId="36" xfId="0" applyFont="1" applyBorder="1" applyAlignment="1">
      <alignment horizontal="center"/>
    </xf>
    <xf numFmtId="3" fontId="3" fillId="0" borderId="11" xfId="0" applyNumberFormat="1" applyFont="1" applyBorder="1" applyAlignment="1">
      <alignment horizontal="center" vertical="center"/>
    </xf>
    <xf numFmtId="0" fontId="2" fillId="0" borderId="0" xfId="0" quotePrefix="1" applyFont="1" applyAlignment="1">
      <alignment horizontal="left" vertical="center" wrapText="1"/>
    </xf>
    <xf numFmtId="43" fontId="75" fillId="31" borderId="11" xfId="0" applyNumberFormat="1" applyFont="1" applyFill="1" applyBorder="1" applyAlignment="1">
      <alignment horizontal="center" vertical="center"/>
    </xf>
    <xf numFmtId="3" fontId="3" fillId="0" borderId="0" xfId="0" applyNumberFormat="1" applyFont="1" applyAlignment="1">
      <alignment horizontal="center" vertical="center" wrapText="1"/>
    </xf>
    <xf numFmtId="0" fontId="2" fillId="0" borderId="0" xfId="0" applyFont="1" applyAlignment="1">
      <alignment vertical="center" wrapText="1"/>
    </xf>
    <xf numFmtId="43" fontId="75" fillId="31" borderId="12" xfId="0" applyNumberFormat="1" applyFont="1" applyFill="1" applyBorder="1" applyAlignment="1">
      <alignment horizontal="center" vertical="center"/>
    </xf>
    <xf numFmtId="43" fontId="75" fillId="31" borderId="24" xfId="0" applyNumberFormat="1" applyFont="1" applyFill="1" applyBorder="1" applyAlignment="1">
      <alignment horizontal="center" vertical="center"/>
    </xf>
    <xf numFmtId="43" fontId="75" fillId="31" borderId="13" xfId="0" applyNumberFormat="1" applyFont="1" applyFill="1" applyBorder="1" applyAlignment="1">
      <alignment horizontal="center" vertical="center"/>
    </xf>
    <xf numFmtId="0" fontId="9" fillId="0" borderId="21" xfId="0" applyFont="1" applyBorder="1" applyAlignment="1">
      <alignment horizontal="center" vertical="center" wrapText="1"/>
    </xf>
    <xf numFmtId="0" fontId="9" fillId="0" borderId="23" xfId="0" applyFont="1" applyBorder="1" applyAlignment="1">
      <alignment horizontal="center" vertical="center" wrapText="1"/>
    </xf>
    <xf numFmtId="0" fontId="9" fillId="0" borderId="63" xfId="0" applyFont="1" applyBorder="1" applyAlignment="1">
      <alignment horizontal="center" vertical="center" wrapText="1"/>
    </xf>
    <xf numFmtId="0" fontId="9" fillId="0" borderId="64" xfId="0" applyFont="1" applyBorder="1" applyAlignment="1">
      <alignment horizontal="center" vertical="center" wrapText="1"/>
    </xf>
    <xf numFmtId="0" fontId="9" fillId="0" borderId="49" xfId="0" applyFont="1" applyBorder="1" applyAlignment="1">
      <alignment horizontal="center" vertical="center" wrapText="1"/>
    </xf>
    <xf numFmtId="0" fontId="9" fillId="0" borderId="50" xfId="0" applyFont="1" applyBorder="1" applyAlignment="1">
      <alignment horizontal="center" vertical="center" wrapText="1"/>
    </xf>
    <xf numFmtId="0" fontId="32" fillId="8" borderId="21" xfId="0" applyFont="1" applyFill="1" applyBorder="1" applyAlignment="1">
      <alignment horizontal="center" vertical="center" wrapText="1"/>
    </xf>
    <xf numFmtId="0" fontId="32" fillId="8" borderId="23" xfId="0" applyFont="1" applyFill="1" applyBorder="1" applyAlignment="1">
      <alignment horizontal="center" vertical="center" wrapText="1"/>
    </xf>
    <xf numFmtId="0" fontId="32" fillId="8" borderId="63" xfId="0" applyFont="1" applyFill="1" applyBorder="1" applyAlignment="1">
      <alignment horizontal="center" vertical="center" wrapText="1"/>
    </xf>
    <xf numFmtId="0" fontId="32" fillId="8" borderId="64" xfId="0" applyFont="1" applyFill="1" applyBorder="1" applyAlignment="1">
      <alignment horizontal="center" vertical="center" wrapText="1"/>
    </xf>
    <xf numFmtId="0" fontId="32" fillId="8" borderId="49" xfId="0" applyFont="1" applyFill="1" applyBorder="1" applyAlignment="1">
      <alignment horizontal="center" vertical="center" wrapText="1"/>
    </xf>
    <xf numFmtId="0" fontId="32" fillId="8" borderId="50" xfId="0" applyFont="1" applyFill="1" applyBorder="1" applyAlignment="1">
      <alignment horizontal="center" vertical="center" wrapText="1"/>
    </xf>
    <xf numFmtId="0" fontId="42" fillId="22" borderId="20" xfId="0" applyFont="1" applyFill="1" applyBorder="1" applyAlignment="1">
      <alignment horizontal="center" vertical="center"/>
    </xf>
    <xf numFmtId="0" fontId="42" fillId="22" borderId="11" xfId="0" applyFont="1" applyFill="1" applyBorder="1" applyAlignment="1">
      <alignment horizontal="center" vertical="center"/>
    </xf>
    <xf numFmtId="0" fontId="32" fillId="8" borderId="21" xfId="0" applyFont="1" applyFill="1" applyBorder="1" applyAlignment="1">
      <alignment horizontal="center" vertical="center"/>
    </xf>
    <xf numFmtId="0" fontId="32" fillId="8" borderId="23" xfId="0" applyFont="1" applyFill="1" applyBorder="1" applyAlignment="1">
      <alignment horizontal="center" vertical="center"/>
    </xf>
    <xf numFmtId="0" fontId="32" fillId="8" borderId="63" xfId="0" applyFont="1" applyFill="1" applyBorder="1" applyAlignment="1">
      <alignment horizontal="center" vertical="center"/>
    </xf>
    <xf numFmtId="0" fontId="32" fillId="8" borderId="64" xfId="0" applyFont="1" applyFill="1" applyBorder="1" applyAlignment="1">
      <alignment horizontal="center" vertical="center"/>
    </xf>
    <xf numFmtId="0" fontId="32" fillId="8" borderId="49" xfId="0" applyFont="1" applyFill="1" applyBorder="1" applyAlignment="1">
      <alignment horizontal="center" vertical="center"/>
    </xf>
    <xf numFmtId="0" fontId="32" fillId="8" borderId="50" xfId="0" applyFont="1" applyFill="1" applyBorder="1" applyAlignment="1">
      <alignment horizontal="center" vertical="center"/>
    </xf>
    <xf numFmtId="0" fontId="15" fillId="21" borderId="21" xfId="0" applyFont="1" applyFill="1" applyBorder="1" applyAlignment="1">
      <alignment horizontal="center" vertical="center" wrapText="1"/>
    </xf>
    <xf numFmtId="0" fontId="15" fillId="21" borderId="23" xfId="0" applyFont="1" applyFill="1" applyBorder="1" applyAlignment="1">
      <alignment horizontal="center" vertical="center" wrapText="1"/>
    </xf>
    <xf numFmtId="0" fontId="15" fillId="21" borderId="63" xfId="0" applyFont="1" applyFill="1" applyBorder="1" applyAlignment="1">
      <alignment horizontal="center" vertical="center" wrapText="1"/>
    </xf>
    <xf numFmtId="0" fontId="15" fillId="21" borderId="64" xfId="0" applyFont="1" applyFill="1" applyBorder="1" applyAlignment="1">
      <alignment horizontal="center" vertical="center" wrapText="1"/>
    </xf>
    <xf numFmtId="0" fontId="15" fillId="21" borderId="49" xfId="0" applyFont="1" applyFill="1" applyBorder="1" applyAlignment="1">
      <alignment horizontal="center" vertical="center" wrapText="1"/>
    </xf>
    <xf numFmtId="0" fontId="15" fillId="21" borderId="50" xfId="0" applyFont="1" applyFill="1" applyBorder="1" applyAlignment="1">
      <alignment horizontal="center" vertical="center" wrapText="1"/>
    </xf>
    <xf numFmtId="43" fontId="44" fillId="22" borderId="11" xfId="0" applyNumberFormat="1" applyFont="1" applyFill="1" applyBorder="1" applyAlignment="1">
      <alignment horizontal="center" vertical="center"/>
    </xf>
    <xf numFmtId="0" fontId="45" fillId="12" borderId="11" xfId="0" applyFont="1" applyFill="1" applyBorder="1"/>
    <xf numFmtId="43" fontId="46" fillId="22" borderId="11" xfId="0" applyNumberFormat="1" applyFont="1" applyFill="1" applyBorder="1" applyAlignment="1">
      <alignment horizontal="center" vertical="center"/>
    </xf>
    <xf numFmtId="0" fontId="37" fillId="0" borderId="12" xfId="0" applyFont="1" applyBorder="1" applyAlignment="1">
      <alignment horizontal="left" vertical="center"/>
    </xf>
    <xf numFmtId="0" fontId="37" fillId="0" borderId="24" xfId="0" applyFont="1" applyBorder="1" applyAlignment="1">
      <alignment horizontal="left" vertical="center"/>
    </xf>
    <xf numFmtId="0" fontId="37" fillId="0" borderId="13" xfId="0" applyFont="1" applyBorder="1" applyAlignment="1">
      <alignment horizontal="left" vertical="center"/>
    </xf>
    <xf numFmtId="0" fontId="15" fillId="21" borderId="21" xfId="0" applyFont="1" applyFill="1" applyBorder="1" applyAlignment="1">
      <alignment horizontal="center" vertical="center"/>
    </xf>
    <xf numFmtId="0" fontId="15" fillId="21" borderId="23" xfId="0" applyFont="1" applyFill="1" applyBorder="1" applyAlignment="1">
      <alignment horizontal="center" vertical="center"/>
    </xf>
    <xf numFmtId="0" fontId="15" fillId="21" borderId="63" xfId="0" applyFont="1" applyFill="1" applyBorder="1" applyAlignment="1">
      <alignment horizontal="center" vertical="center"/>
    </xf>
    <xf numFmtId="0" fontId="15" fillId="21" borderId="64" xfId="0" applyFont="1" applyFill="1" applyBorder="1" applyAlignment="1">
      <alignment horizontal="center" vertical="center"/>
    </xf>
    <xf numFmtId="0" fontId="15" fillId="21" borderId="49" xfId="0" applyFont="1" applyFill="1" applyBorder="1" applyAlignment="1">
      <alignment horizontal="center" vertical="center"/>
    </xf>
    <xf numFmtId="0" fontId="15" fillId="21" borderId="50" xfId="0" applyFont="1" applyFill="1" applyBorder="1" applyAlignment="1">
      <alignment horizontal="center" vertical="center"/>
    </xf>
    <xf numFmtId="0" fontId="15" fillId="2" borderId="12" xfId="0" quotePrefix="1" applyFont="1" applyFill="1" applyBorder="1" applyAlignment="1">
      <alignment horizontal="center" vertical="center" wrapText="1"/>
    </xf>
    <xf numFmtId="0" fontId="15" fillId="2" borderId="13" xfId="0" quotePrefix="1" applyFont="1" applyFill="1" applyBorder="1" applyAlignment="1">
      <alignment horizontal="center" vertical="center" wrapText="1"/>
    </xf>
    <xf numFmtId="0" fontId="15" fillId="2" borderId="11" xfId="0" applyFont="1" applyFill="1" applyBorder="1" applyAlignment="1">
      <alignment horizontal="center" vertical="center"/>
    </xf>
    <xf numFmtId="0" fontId="9" fillId="0" borderId="21" xfId="0" applyFont="1" applyBorder="1" applyAlignment="1">
      <alignment horizontal="center" vertical="center"/>
    </xf>
    <xf numFmtId="0" fontId="9" fillId="0" borderId="23" xfId="0" applyFont="1" applyBorder="1" applyAlignment="1">
      <alignment horizontal="center" vertical="center"/>
    </xf>
    <xf numFmtId="0" fontId="9" fillId="0" borderId="63" xfId="0" applyFont="1" applyBorder="1" applyAlignment="1">
      <alignment horizontal="center" vertical="center"/>
    </xf>
    <xf numFmtId="0" fontId="9" fillId="0" borderId="64" xfId="0" applyFont="1" applyBorder="1" applyAlignment="1">
      <alignment horizontal="center" vertical="center"/>
    </xf>
    <xf numFmtId="0" fontId="9" fillId="0" borderId="49" xfId="0" applyFont="1" applyBorder="1" applyAlignment="1">
      <alignment horizontal="center" vertical="center"/>
    </xf>
    <xf numFmtId="0" fontId="9" fillId="0" borderId="50"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4" fillId="0" borderId="0" xfId="0" applyFont="1" applyAlignment="1">
      <alignment horizontal="center" vertical="center"/>
    </xf>
    <xf numFmtId="0" fontId="5" fillId="0" borderId="0" xfId="0" applyFont="1" applyAlignment="1">
      <alignment horizontal="center"/>
    </xf>
    <xf numFmtId="0" fontId="15" fillId="15" borderId="12" xfId="0" applyFont="1" applyFill="1" applyBorder="1" applyAlignment="1">
      <alignment horizontal="center" vertical="center"/>
    </xf>
    <xf numFmtId="0" fontId="15" fillId="15" borderId="13" xfId="0" applyFont="1" applyFill="1" applyBorder="1" applyAlignment="1">
      <alignment horizontal="center" vertical="center"/>
    </xf>
    <xf numFmtId="2" fontId="15" fillId="15" borderId="11" xfId="0" applyNumberFormat="1" applyFont="1" applyFill="1" applyBorder="1" applyAlignment="1">
      <alignment horizontal="center" vertical="center"/>
    </xf>
    <xf numFmtId="0" fontId="2" fillId="3" borderId="15" xfId="0" applyFont="1" applyFill="1" applyBorder="1" applyAlignment="1">
      <alignment horizontal="center" vertical="center"/>
    </xf>
    <xf numFmtId="0" fontId="2" fillId="3" borderId="20" xfId="0" applyFont="1" applyFill="1" applyBorder="1" applyAlignment="1">
      <alignment horizontal="center" vertical="center"/>
    </xf>
    <xf numFmtId="0" fontId="2" fillId="3" borderId="12" xfId="0" applyFont="1" applyFill="1" applyBorder="1" applyAlignment="1">
      <alignment horizontal="center" vertical="center"/>
    </xf>
    <xf numFmtId="0" fontId="2" fillId="3" borderId="13" xfId="0" applyFont="1" applyFill="1" applyBorder="1" applyAlignment="1">
      <alignment horizontal="center" vertical="center"/>
    </xf>
    <xf numFmtId="41" fontId="5" fillId="0" borderId="0" xfId="2" applyFont="1" applyBorder="1" applyAlignment="1">
      <alignment horizontal="center" vertical="center"/>
    </xf>
    <xf numFmtId="171" fontId="5" fillId="0" borderId="12" xfId="0" applyNumberFormat="1" applyFont="1" applyBorder="1" applyAlignment="1">
      <alignment horizontal="center" vertical="center"/>
    </xf>
    <xf numFmtId="171" fontId="5" fillId="0" borderId="13" xfId="0" applyNumberFormat="1" applyFont="1" applyBorder="1" applyAlignment="1">
      <alignment horizontal="center" vertical="center"/>
    </xf>
    <xf numFmtId="41" fontId="14" fillId="0" borderId="15" xfId="2" applyFont="1" applyBorder="1" applyAlignment="1">
      <alignment horizontal="center" vertical="center"/>
    </xf>
    <xf numFmtId="41" fontId="14" fillId="0" borderId="20" xfId="2" applyFont="1" applyBorder="1" applyAlignment="1">
      <alignment horizontal="center" vertical="center"/>
    </xf>
    <xf numFmtId="0" fontId="14" fillId="0" borderId="11" xfId="0" applyFont="1" applyBorder="1" applyAlignment="1">
      <alignment horizontal="center" vertical="center"/>
    </xf>
    <xf numFmtId="0" fontId="14" fillId="0" borderId="12" xfId="0" applyFont="1" applyBorder="1" applyAlignment="1">
      <alignment horizontal="center" vertical="center"/>
    </xf>
    <xf numFmtId="0" fontId="14" fillId="0" borderId="24" xfId="0" applyFont="1" applyBorder="1" applyAlignment="1">
      <alignment horizontal="center" vertical="center"/>
    </xf>
    <xf numFmtId="0" fontId="14" fillId="0" borderId="13" xfId="0" applyFont="1" applyBorder="1" applyAlignment="1">
      <alignment horizontal="center" vertical="center"/>
    </xf>
    <xf numFmtId="0" fontId="5" fillId="0" borderId="0" xfId="0" quotePrefix="1" applyFont="1" applyAlignment="1">
      <alignment horizontal="left" vertical="center"/>
    </xf>
    <xf numFmtId="41" fontId="5" fillId="0" borderId="12" xfId="2" applyFont="1" applyBorder="1" applyAlignment="1">
      <alignment vertical="center"/>
    </xf>
    <xf numFmtId="41" fontId="5" fillId="0" borderId="13" xfId="2" applyFont="1" applyBorder="1" applyAlignment="1">
      <alignment vertical="center"/>
    </xf>
    <xf numFmtId="41" fontId="5" fillId="0" borderId="12" xfId="2" applyFont="1" applyBorder="1" applyAlignment="1">
      <alignment horizontal="center" vertical="center"/>
    </xf>
    <xf numFmtId="41" fontId="5" fillId="0" borderId="13" xfId="2" applyFont="1" applyBorder="1" applyAlignment="1">
      <alignment horizontal="center" vertical="center"/>
    </xf>
    <xf numFmtId="0" fontId="73" fillId="12" borderId="12" xfId="0" applyFont="1" applyFill="1" applyBorder="1" applyAlignment="1">
      <alignment horizontal="center" vertical="center" wrapText="1"/>
    </xf>
    <xf numFmtId="0" fontId="73" fillId="12" borderId="13" xfId="0" applyFont="1" applyFill="1" applyBorder="1" applyAlignment="1">
      <alignment horizontal="center" vertical="center" wrapText="1"/>
    </xf>
    <xf numFmtId="2" fontId="73" fillId="12" borderId="11" xfId="0" applyNumberFormat="1" applyFont="1" applyFill="1" applyBorder="1" applyAlignment="1">
      <alignment horizontal="center" vertical="center"/>
    </xf>
    <xf numFmtId="0" fontId="15" fillId="15" borderId="12" xfId="0" applyFont="1" applyFill="1" applyBorder="1" applyAlignment="1">
      <alignment horizontal="center" vertical="center" wrapText="1"/>
    </xf>
    <xf numFmtId="0" fontId="15" fillId="15" borderId="13" xfId="0" applyFont="1" applyFill="1" applyBorder="1" applyAlignment="1">
      <alignment horizontal="center" vertical="center" wrapText="1"/>
    </xf>
    <xf numFmtId="0" fontId="14" fillId="0" borderId="11" xfId="0" applyFont="1" applyBorder="1" applyAlignment="1">
      <alignment horizontal="center" vertical="center" wrapText="1"/>
    </xf>
    <xf numFmtId="0" fontId="2" fillId="4" borderId="11" xfId="0" applyFont="1" applyFill="1" applyBorder="1" applyAlignment="1">
      <alignment horizontal="center" vertical="center" wrapText="1"/>
    </xf>
    <xf numFmtId="165" fontId="8" fillId="4" borderId="11" xfId="0" applyNumberFormat="1" applyFont="1" applyFill="1" applyBorder="1" applyAlignment="1">
      <alignment horizontal="center" vertical="center"/>
    </xf>
    <xf numFmtId="0" fontId="2" fillId="29" borderId="11" xfId="0" applyFont="1" applyFill="1" applyBorder="1" applyAlignment="1">
      <alignment horizontal="center" vertical="center" wrapText="1"/>
    </xf>
    <xf numFmtId="165" fontId="8" fillId="29" borderId="11" xfId="0" applyNumberFormat="1" applyFont="1" applyFill="1" applyBorder="1" applyAlignment="1">
      <alignment horizontal="center" vertical="center"/>
    </xf>
    <xf numFmtId="0" fontId="2" fillId="0" borderId="95" xfId="0" applyFont="1" applyBorder="1" applyAlignment="1">
      <alignment horizontal="center" vertical="center"/>
    </xf>
    <xf numFmtId="0" fontId="2" fillId="2" borderId="9" xfId="0" applyFont="1" applyFill="1" applyBorder="1" applyAlignment="1">
      <alignment horizontal="center" vertical="center"/>
    </xf>
    <xf numFmtId="43" fontId="2" fillId="2" borderId="9" xfId="0" applyNumberFormat="1" applyFont="1" applyFill="1" applyBorder="1" applyAlignment="1">
      <alignment horizontal="center" vertical="center" wrapText="1"/>
    </xf>
    <xf numFmtId="43" fontId="2" fillId="2" borderId="11" xfId="0" applyNumberFormat="1" applyFont="1" applyFill="1" applyBorder="1" applyAlignment="1">
      <alignment horizontal="center" vertical="center" wrapText="1"/>
    </xf>
    <xf numFmtId="0" fontId="13" fillId="0" borderId="15" xfId="0" applyFont="1" applyBorder="1" applyAlignment="1">
      <alignment horizontal="center" vertical="center"/>
    </xf>
    <xf numFmtId="0" fontId="13" fillId="0" borderId="20" xfId="0" applyFont="1" applyBorder="1" applyAlignment="1">
      <alignment horizontal="center" vertical="center"/>
    </xf>
    <xf numFmtId="0" fontId="13" fillId="4" borderId="11" xfId="0" applyFont="1" applyFill="1" applyBorder="1" applyAlignment="1">
      <alignment horizontal="center" vertical="center"/>
    </xf>
    <xf numFmtId="0" fontId="13" fillId="0" borderId="12" xfId="0" applyFont="1" applyBorder="1" applyAlignment="1">
      <alignment horizontal="center" vertical="center"/>
    </xf>
    <xf numFmtId="0" fontId="13" fillId="0" borderId="24" xfId="0" applyFont="1" applyBorder="1" applyAlignment="1">
      <alignment horizontal="center" vertical="center"/>
    </xf>
    <xf numFmtId="0" fontId="13" fillId="0" borderId="13" xfId="0" applyFont="1" applyBorder="1" applyAlignment="1">
      <alignment horizontal="center" vertical="center"/>
    </xf>
    <xf numFmtId="0" fontId="13" fillId="0" borderId="15" xfId="0" applyFont="1" applyBorder="1" applyAlignment="1">
      <alignment horizontal="center" vertical="center" wrapText="1"/>
    </xf>
    <xf numFmtId="0" fontId="13" fillId="0" borderId="20" xfId="0" applyFont="1" applyBorder="1" applyAlignment="1">
      <alignment horizontal="center" vertical="center" wrapText="1"/>
    </xf>
    <xf numFmtId="43" fontId="13" fillId="0" borderId="24" xfId="1" applyFont="1" applyFill="1" applyBorder="1" applyAlignment="1">
      <alignment horizontal="left" vertical="center"/>
    </xf>
    <xf numFmtId="0" fontId="14" fillId="3" borderId="34" xfId="0" applyFont="1" applyFill="1" applyBorder="1" applyAlignment="1">
      <alignment horizontal="center" vertical="center"/>
    </xf>
    <xf numFmtId="0" fontId="14" fillId="3" borderId="36" xfId="0" applyFont="1" applyFill="1" applyBorder="1" applyAlignment="1">
      <alignment horizontal="center" vertical="center"/>
    </xf>
    <xf numFmtId="2" fontId="14" fillId="0" borderId="92" xfId="0" applyNumberFormat="1" applyFont="1" applyBorder="1" applyAlignment="1">
      <alignment horizontal="center" vertical="center" wrapText="1"/>
    </xf>
    <xf numFmtId="2" fontId="14" fillId="0" borderId="24" xfId="0" applyNumberFormat="1" applyFont="1" applyBorder="1" applyAlignment="1">
      <alignment horizontal="center" vertical="center" wrapText="1"/>
    </xf>
    <xf numFmtId="2" fontId="14" fillId="0" borderId="13" xfId="0" applyNumberFormat="1" applyFont="1" applyBorder="1" applyAlignment="1">
      <alignment horizontal="center" vertical="center" wrapText="1"/>
    </xf>
    <xf numFmtId="0" fontId="5" fillId="0" borderId="56" xfId="0" applyFont="1" applyBorder="1" applyAlignment="1">
      <alignment horizontal="left" vertical="center"/>
    </xf>
    <xf numFmtId="0" fontId="5" fillId="0" borderId="36" xfId="0" applyFont="1" applyBorder="1" applyAlignment="1">
      <alignment horizontal="left" vertical="center"/>
    </xf>
    <xf numFmtId="0" fontId="58" fillId="0" borderId="56" xfId="0" applyFont="1" applyBorder="1" applyAlignment="1">
      <alignment horizontal="left" vertical="center"/>
    </xf>
    <xf numFmtId="0" fontId="58" fillId="0" borderId="36" xfId="0" applyFont="1" applyBorder="1" applyAlignment="1">
      <alignment horizontal="left" vertical="center"/>
    </xf>
    <xf numFmtId="0" fontId="63" fillId="0" borderId="12" xfId="0" applyFont="1" applyBorder="1" applyAlignment="1">
      <alignment horizontal="center"/>
    </xf>
    <xf numFmtId="0" fontId="63" fillId="0" borderId="24" xfId="0" applyFont="1" applyBorder="1" applyAlignment="1">
      <alignment horizontal="center"/>
    </xf>
    <xf numFmtId="0" fontId="63" fillId="0" borderId="13" xfId="0" applyFont="1" applyBorder="1" applyAlignment="1">
      <alignment horizontal="center"/>
    </xf>
    <xf numFmtId="0" fontId="38" fillId="0" borderId="0" xfId="0" applyFont="1" applyAlignment="1">
      <alignment horizontal="left" vertical="center"/>
    </xf>
    <xf numFmtId="0" fontId="63" fillId="0" borderId="12" xfId="0" applyFont="1" applyBorder="1" applyAlignment="1">
      <alignment horizontal="center" vertical="center"/>
    </xf>
    <xf numFmtId="0" fontId="63" fillId="0" borderId="24" xfId="0" applyFont="1" applyBorder="1" applyAlignment="1">
      <alignment horizontal="center" vertical="center"/>
    </xf>
    <xf numFmtId="0" fontId="63" fillId="0" borderId="13" xfId="0" applyFont="1" applyBorder="1" applyAlignment="1">
      <alignment horizontal="center" vertical="center"/>
    </xf>
    <xf numFmtId="0" fontId="2" fillId="0" borderId="12" xfId="0" applyFont="1" applyBorder="1" applyAlignment="1">
      <alignment horizontal="left" vertical="center"/>
    </xf>
    <xf numFmtId="0" fontId="2" fillId="0" borderId="24" xfId="0" applyFont="1" applyBorder="1" applyAlignment="1">
      <alignment horizontal="left" vertical="center"/>
    </xf>
    <xf numFmtId="0" fontId="2" fillId="0" borderId="13" xfId="0" applyFont="1" applyBorder="1" applyAlignment="1">
      <alignment horizontal="left" vertical="center"/>
    </xf>
    <xf numFmtId="0" fontId="5" fillId="0" borderId="12" xfId="0" quotePrefix="1" applyFont="1" applyBorder="1" applyAlignment="1">
      <alignment horizontal="left" vertical="center" wrapText="1"/>
    </xf>
    <xf numFmtId="0" fontId="5" fillId="0" borderId="24" xfId="0" quotePrefix="1" applyFont="1" applyBorder="1" applyAlignment="1">
      <alignment horizontal="left" vertical="center" wrapText="1"/>
    </xf>
    <xf numFmtId="41" fontId="2" fillId="0" borderId="12" xfId="0" applyNumberFormat="1" applyFont="1" applyBorder="1" applyAlignment="1">
      <alignment horizontal="left" vertical="center"/>
    </xf>
    <xf numFmtId="41" fontId="2" fillId="0" borderId="13" xfId="0" applyNumberFormat="1" applyFont="1" applyBorder="1" applyAlignment="1">
      <alignment horizontal="left" vertical="center"/>
    </xf>
    <xf numFmtId="164" fontId="35" fillId="0" borderId="12" xfId="0" applyNumberFormat="1" applyFont="1" applyBorder="1" applyAlignment="1">
      <alignment horizontal="center" vertical="center"/>
    </xf>
    <xf numFmtId="164" fontId="35" fillId="0" borderId="13" xfId="0" applyNumberFormat="1" applyFont="1" applyBorder="1" applyAlignment="1">
      <alignment horizontal="center" vertical="center"/>
    </xf>
    <xf numFmtId="0" fontId="13" fillId="3" borderId="71" xfId="0" applyFont="1" applyFill="1" applyBorder="1" applyAlignment="1">
      <alignment horizontal="center" vertical="center"/>
    </xf>
    <xf numFmtId="0" fontId="13" fillId="3" borderId="72" xfId="0" applyFont="1" applyFill="1" applyBorder="1" applyAlignment="1">
      <alignment horizontal="center" vertical="center"/>
    </xf>
    <xf numFmtId="0" fontId="57" fillId="0" borderId="56" xfId="0" applyFont="1" applyBorder="1" applyAlignment="1">
      <alignment horizontal="left" vertical="center"/>
    </xf>
    <xf numFmtId="0" fontId="57" fillId="0" borderId="36" xfId="0" applyFont="1" applyBorder="1" applyAlignment="1">
      <alignment horizontal="left" vertical="center"/>
    </xf>
    <xf numFmtId="0" fontId="57" fillId="0" borderId="90" xfId="0" applyFont="1" applyBorder="1" applyAlignment="1">
      <alignment horizontal="left" vertical="center"/>
    </xf>
    <xf numFmtId="0" fontId="57" fillId="0" borderId="72" xfId="0" applyFont="1" applyBorder="1" applyAlignment="1">
      <alignment horizontal="left" vertical="center"/>
    </xf>
    <xf numFmtId="2" fontId="12" fillId="0" borderId="92" xfId="0" applyNumberFormat="1" applyFont="1" applyBorder="1" applyAlignment="1">
      <alignment horizontal="center" vertical="center" wrapText="1"/>
    </xf>
    <xf numFmtId="2" fontId="12" fillId="0" borderId="24" xfId="0" applyNumberFormat="1" applyFont="1" applyBorder="1" applyAlignment="1">
      <alignment horizontal="center" vertical="center" wrapText="1"/>
    </xf>
    <xf numFmtId="2" fontId="12" fillId="0" borderId="13" xfId="0" applyNumberFormat="1" applyFont="1" applyBorder="1" applyAlignment="1">
      <alignment horizontal="center" vertical="center" wrapText="1"/>
    </xf>
    <xf numFmtId="2" fontId="13" fillId="0" borderId="92" xfId="0" applyNumberFormat="1" applyFont="1" applyBorder="1" applyAlignment="1">
      <alignment horizontal="center" vertical="center" wrapText="1"/>
    </xf>
    <xf numFmtId="2" fontId="13" fillId="0" borderId="24" xfId="0" applyNumberFormat="1" applyFont="1" applyBorder="1" applyAlignment="1">
      <alignment horizontal="center" vertical="center" wrapText="1"/>
    </xf>
    <xf numFmtId="2" fontId="13" fillId="0" borderId="13" xfId="0" applyNumberFormat="1" applyFont="1" applyBorder="1" applyAlignment="1">
      <alignment horizontal="center" vertical="center" wrapText="1"/>
    </xf>
    <xf numFmtId="0" fontId="13" fillId="0" borderId="12" xfId="0" applyFont="1" applyBorder="1" applyAlignment="1">
      <alignment horizontal="left" vertical="center"/>
    </xf>
    <xf numFmtId="0" fontId="13" fillId="0" borderId="24" xfId="0" applyFont="1" applyBorder="1" applyAlignment="1">
      <alignment horizontal="left" vertical="center"/>
    </xf>
    <xf numFmtId="0" fontId="13" fillId="0" borderId="13" xfId="0" applyFont="1" applyBorder="1" applyAlignment="1">
      <alignment horizontal="left" vertical="center"/>
    </xf>
    <xf numFmtId="41" fontId="13" fillId="0" borderId="12" xfId="0" applyNumberFormat="1" applyFont="1" applyBorder="1" applyAlignment="1">
      <alignment horizontal="left" vertical="center"/>
    </xf>
    <xf numFmtId="41" fontId="13" fillId="0" borderId="13" xfId="0" applyNumberFormat="1" applyFont="1" applyBorder="1" applyAlignment="1">
      <alignment horizontal="left" vertical="center"/>
    </xf>
    <xf numFmtId="0" fontId="57" fillId="0" borderId="12" xfId="0" applyFont="1" applyBorder="1" applyAlignment="1">
      <alignment horizontal="center" vertical="center"/>
    </xf>
    <xf numFmtId="0" fontId="57" fillId="0" borderId="24" xfId="0" applyFont="1" applyBorder="1" applyAlignment="1">
      <alignment horizontal="center" vertical="center"/>
    </xf>
    <xf numFmtId="0" fontId="57" fillId="0" borderId="13" xfId="0" applyFont="1" applyBorder="1" applyAlignment="1">
      <alignment horizontal="center" vertical="center"/>
    </xf>
    <xf numFmtId="0" fontId="57" fillId="0" borderId="12" xfId="0" applyFont="1" applyBorder="1" applyAlignment="1">
      <alignment horizontal="left" vertical="center"/>
    </xf>
    <xf numFmtId="0" fontId="57" fillId="0" borderId="24" xfId="0" applyFont="1" applyBorder="1" applyAlignment="1">
      <alignment horizontal="left" vertical="center"/>
    </xf>
    <xf numFmtId="0" fontId="57" fillId="0" borderId="13" xfId="0" applyFont="1" applyBorder="1" applyAlignment="1">
      <alignment horizontal="left" vertical="center"/>
    </xf>
    <xf numFmtId="0" fontId="12" fillId="3" borderId="34" xfId="0" applyFont="1" applyFill="1" applyBorder="1" applyAlignment="1">
      <alignment horizontal="center" vertical="center"/>
    </xf>
    <xf numFmtId="0" fontId="12" fillId="3" borderId="36" xfId="0" applyFont="1" applyFill="1" applyBorder="1" applyAlignment="1">
      <alignment horizontal="center" vertical="center"/>
    </xf>
    <xf numFmtId="0" fontId="58" fillId="0" borderId="11" xfId="0" applyFont="1" applyBorder="1" applyAlignment="1">
      <alignment horizontal="left" vertical="center"/>
    </xf>
    <xf numFmtId="0" fontId="58" fillId="0" borderId="12" xfId="0" applyFont="1" applyBorder="1" applyAlignment="1">
      <alignment horizontal="left" vertical="center"/>
    </xf>
    <xf numFmtId="0" fontId="58" fillId="0" borderId="24" xfId="0" applyFont="1" applyBorder="1" applyAlignment="1">
      <alignment horizontal="left" vertical="center"/>
    </xf>
    <xf numFmtId="0" fontId="58" fillId="0" borderId="13" xfId="0" applyFont="1" applyBorder="1" applyAlignment="1">
      <alignment horizontal="left" vertical="center"/>
    </xf>
    <xf numFmtId="41" fontId="12" fillId="0" borderId="12" xfId="0" applyNumberFormat="1" applyFont="1" applyBorder="1" applyAlignment="1">
      <alignment horizontal="left" vertical="center"/>
    </xf>
    <xf numFmtId="41" fontId="12" fillId="0" borderId="13" xfId="0" applyNumberFormat="1" applyFont="1" applyBorder="1" applyAlignment="1">
      <alignment horizontal="left" vertical="center"/>
    </xf>
    <xf numFmtId="164" fontId="63" fillId="0" borderId="12" xfId="0" applyNumberFormat="1" applyFont="1" applyBorder="1" applyAlignment="1">
      <alignment horizontal="center" vertical="center"/>
    </xf>
    <xf numFmtId="164" fontId="63" fillId="0" borderId="13" xfId="0" applyNumberFormat="1" applyFont="1" applyBorder="1" applyAlignment="1">
      <alignment horizontal="center" vertical="center"/>
    </xf>
    <xf numFmtId="164" fontId="99" fillId="0" borderId="12" xfId="0" applyNumberFormat="1" applyFont="1" applyBorder="1" applyAlignment="1">
      <alignment horizontal="center" vertical="center"/>
    </xf>
    <xf numFmtId="164" fontId="99" fillId="0" borderId="13" xfId="0" applyNumberFormat="1" applyFont="1" applyBorder="1" applyAlignment="1">
      <alignment horizontal="center" vertical="center"/>
    </xf>
    <xf numFmtId="0" fontId="13" fillId="8" borderId="15" xfId="0" applyFont="1" applyFill="1" applyBorder="1" applyAlignment="1">
      <alignment horizontal="center" vertical="center" wrapText="1"/>
    </xf>
    <xf numFmtId="0" fontId="13" fillId="8" borderId="20" xfId="0" applyFont="1" applyFill="1" applyBorder="1" applyAlignment="1">
      <alignment horizontal="center" vertical="center" wrapText="1"/>
    </xf>
    <xf numFmtId="0" fontId="13" fillId="0" borderId="34" xfId="0" applyFont="1" applyBorder="1" applyAlignment="1">
      <alignment horizontal="center" vertical="center"/>
    </xf>
    <xf numFmtId="0" fontId="13" fillId="0" borderId="36" xfId="0" applyFont="1" applyBorder="1" applyAlignment="1">
      <alignment horizontal="center" vertical="center"/>
    </xf>
    <xf numFmtId="0" fontId="57" fillId="19" borderId="11" xfId="0" applyFont="1" applyFill="1" applyBorder="1" applyAlignment="1">
      <alignment horizontal="center" vertical="center" wrapText="1"/>
    </xf>
    <xf numFmtId="0" fontId="57" fillId="0" borderId="11" xfId="0" applyFont="1" applyBorder="1" applyAlignment="1">
      <alignment horizontal="center" vertical="center" wrapText="1"/>
    </xf>
    <xf numFmtId="0" fontId="13" fillId="8" borderId="16" xfId="0" applyFont="1" applyFill="1" applyBorder="1" applyAlignment="1">
      <alignment horizontal="center" vertical="center" wrapText="1"/>
    </xf>
    <xf numFmtId="0" fontId="13" fillId="0" borderId="11" xfId="0" applyFont="1" applyBorder="1" applyAlignment="1">
      <alignment horizontal="center" vertical="center"/>
    </xf>
    <xf numFmtId="0" fontId="13" fillId="8" borderId="23" xfId="0" applyFont="1" applyFill="1" applyBorder="1" applyAlignment="1">
      <alignment horizontal="center" vertical="center" wrapText="1"/>
    </xf>
    <xf numFmtId="0" fontId="13" fillId="8" borderId="50" xfId="0" applyFont="1" applyFill="1" applyBorder="1" applyAlignment="1">
      <alignment horizontal="center" vertical="center" wrapText="1"/>
    </xf>
    <xf numFmtId="0" fontId="54" fillId="18" borderId="22" xfId="0" applyFont="1" applyFill="1" applyBorder="1" applyAlignment="1">
      <alignment horizontal="center" vertical="center" wrapText="1"/>
    </xf>
    <xf numFmtId="0" fontId="54" fillId="18" borderId="23" xfId="0" applyFont="1" applyFill="1" applyBorder="1" applyAlignment="1">
      <alignment horizontal="center" vertical="center" wrapText="1"/>
    </xf>
    <xf numFmtId="0" fontId="54" fillId="18" borderId="0" xfId="0" applyFont="1" applyFill="1" applyAlignment="1">
      <alignment horizontal="center" vertical="center" wrapText="1"/>
    </xf>
    <xf numFmtId="0" fontId="54" fillId="18" borderId="50" xfId="0" applyFont="1" applyFill="1" applyBorder="1" applyAlignment="1">
      <alignment horizontal="center" vertical="center" wrapText="1"/>
    </xf>
    <xf numFmtId="0" fontId="54" fillId="18" borderId="54" xfId="0" applyFont="1" applyFill="1" applyBorder="1" applyAlignment="1">
      <alignment horizontal="center" vertical="center" wrapText="1"/>
    </xf>
    <xf numFmtId="0" fontId="54" fillId="18" borderId="21" xfId="0" applyFont="1" applyFill="1" applyBorder="1" applyAlignment="1">
      <alignment horizontal="center" vertical="center" wrapText="1"/>
    </xf>
    <xf numFmtId="0" fontId="54" fillId="18" borderId="49" xfId="0" applyFont="1" applyFill="1" applyBorder="1" applyAlignment="1">
      <alignment horizontal="center" vertical="center" wrapText="1"/>
    </xf>
    <xf numFmtId="0" fontId="6" fillId="0" borderId="0" xfId="0" applyFont="1" applyAlignment="1">
      <alignment horizontal="center" vertical="center"/>
    </xf>
    <xf numFmtId="0" fontId="13" fillId="2" borderId="15" xfId="0" applyFont="1" applyFill="1" applyBorder="1" applyAlignment="1">
      <alignment horizontal="center" vertical="center"/>
    </xf>
    <xf numFmtId="0" fontId="13" fillId="2" borderId="20" xfId="0" applyFont="1" applyFill="1" applyBorder="1" applyAlignment="1">
      <alignment horizontal="center" vertical="center"/>
    </xf>
    <xf numFmtId="0" fontId="13" fillId="2" borderId="15" xfId="0" applyFont="1" applyFill="1" applyBorder="1" applyAlignment="1">
      <alignment horizontal="center" vertical="center" wrapText="1"/>
    </xf>
    <xf numFmtId="0" fontId="13" fillId="2" borderId="2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24" xfId="0" applyFont="1" applyFill="1" applyBorder="1" applyAlignment="1">
      <alignment horizontal="center" vertical="center" wrapText="1"/>
    </xf>
    <xf numFmtId="0" fontId="13" fillId="2" borderId="13" xfId="0" applyFont="1" applyFill="1" applyBorder="1" applyAlignment="1">
      <alignment horizontal="center" vertical="center" wrapText="1"/>
    </xf>
    <xf numFmtId="43" fontId="13" fillId="2" borderId="15" xfId="0" applyNumberFormat="1" applyFont="1" applyFill="1" applyBorder="1" applyAlignment="1">
      <alignment horizontal="center" vertical="center" wrapText="1"/>
    </xf>
    <xf numFmtId="43" fontId="13" fillId="2" borderId="20" xfId="0" applyNumberFormat="1" applyFont="1" applyFill="1" applyBorder="1" applyAlignment="1">
      <alignment horizontal="center" vertical="center" wrapText="1"/>
    </xf>
    <xf numFmtId="0" fontId="13" fillId="3" borderId="21" xfId="0" applyFont="1" applyFill="1" applyBorder="1" applyAlignment="1">
      <alignment horizontal="center" vertical="center" wrapText="1"/>
    </xf>
    <xf numFmtId="0" fontId="87" fillId="3" borderId="22" xfId="0" applyFont="1" applyFill="1" applyBorder="1" applyAlignment="1">
      <alignment horizontal="center" vertical="center" wrapText="1"/>
    </xf>
    <xf numFmtId="0" fontId="87" fillId="3" borderId="63" xfId="0" applyFont="1" applyFill="1" applyBorder="1" applyAlignment="1">
      <alignment horizontal="center" vertical="center" wrapText="1"/>
    </xf>
    <xf numFmtId="0" fontId="87" fillId="3" borderId="0" xfId="0" applyFont="1" applyFill="1" applyAlignment="1">
      <alignment horizontal="center" vertical="center" wrapText="1"/>
    </xf>
    <xf numFmtId="0" fontId="87" fillId="3" borderId="64" xfId="0" applyFont="1" applyFill="1" applyBorder="1" applyAlignment="1">
      <alignment horizontal="center" vertical="center" wrapText="1"/>
    </xf>
    <xf numFmtId="0" fontId="13" fillId="4" borderId="21" xfId="0" applyFont="1" applyFill="1" applyBorder="1" applyAlignment="1">
      <alignment horizontal="center" vertical="center" wrapText="1"/>
    </xf>
    <xf numFmtId="0" fontId="13" fillId="4" borderId="22" xfId="0" applyFont="1" applyFill="1" applyBorder="1" applyAlignment="1">
      <alignment horizontal="center" vertical="center" wrapText="1"/>
    </xf>
    <xf numFmtId="0" fontId="13" fillId="4" borderId="63" xfId="0" applyFont="1" applyFill="1" applyBorder="1" applyAlignment="1">
      <alignment horizontal="center" vertical="center" wrapText="1"/>
    </xf>
    <xf numFmtId="0" fontId="13" fillId="4" borderId="0" xfId="0" applyFont="1" applyFill="1" applyAlignment="1">
      <alignment horizontal="center" vertical="center" wrapText="1"/>
    </xf>
    <xf numFmtId="0" fontId="13" fillId="4" borderId="64" xfId="0" applyFont="1" applyFill="1" applyBorder="1" applyAlignment="1">
      <alignment horizontal="center" vertical="center" wrapText="1"/>
    </xf>
    <xf numFmtId="0" fontId="13" fillId="4" borderId="49" xfId="0" applyFont="1" applyFill="1" applyBorder="1" applyAlignment="1">
      <alignment horizontal="center" vertical="center" wrapText="1"/>
    </xf>
    <xf numFmtId="0" fontId="13" fillId="4" borderId="50" xfId="0" applyFont="1" applyFill="1" applyBorder="1" applyAlignment="1">
      <alignment horizontal="center" vertical="center" wrapText="1"/>
    </xf>
    <xf numFmtId="0" fontId="13" fillId="23" borderId="23" xfId="0" applyFont="1" applyFill="1" applyBorder="1" applyAlignment="1">
      <alignment horizontal="center" vertical="center" wrapText="1"/>
    </xf>
    <xf numFmtId="0" fontId="13" fillId="23" borderId="50" xfId="0" applyFont="1" applyFill="1" applyBorder="1" applyAlignment="1">
      <alignment horizontal="center" vertical="center" wrapText="1"/>
    </xf>
    <xf numFmtId="0" fontId="13" fillId="0" borderId="87" xfId="0" applyFont="1" applyBorder="1" applyAlignment="1">
      <alignment horizontal="center" vertical="center" wrapText="1"/>
    </xf>
    <xf numFmtId="0" fontId="13" fillId="0" borderId="79" xfId="0" applyFont="1" applyBorder="1" applyAlignment="1">
      <alignment horizontal="center" vertical="center" wrapText="1"/>
    </xf>
    <xf numFmtId="0" fontId="13" fillId="0" borderId="78" xfId="0" applyFont="1" applyBorder="1" applyAlignment="1">
      <alignment horizontal="center" vertical="center" wrapText="1"/>
    </xf>
    <xf numFmtId="43" fontId="103" fillId="2" borderId="11" xfId="0" applyNumberFormat="1" applyFont="1" applyFill="1" applyBorder="1" applyAlignment="1">
      <alignment horizontal="center" vertical="center"/>
    </xf>
    <xf numFmtId="0" fontId="13" fillId="8" borderId="64" xfId="0" applyFont="1" applyFill="1" applyBorder="1" applyAlignment="1">
      <alignment horizontal="center" vertical="center" wrapText="1"/>
    </xf>
    <xf numFmtId="0" fontId="57" fillId="0" borderId="12" xfId="0" applyFont="1" applyBorder="1" applyAlignment="1">
      <alignment horizontal="center" vertical="center" wrapText="1"/>
    </xf>
    <xf numFmtId="0" fontId="57" fillId="0" borderId="13" xfId="0" applyFont="1" applyBorder="1" applyAlignment="1">
      <alignment horizontal="center" vertical="center" wrapText="1"/>
    </xf>
    <xf numFmtId="43" fontId="103" fillId="0" borderId="12" xfId="0" applyNumberFormat="1" applyFont="1" applyBorder="1" applyAlignment="1">
      <alignment horizontal="left" vertical="center"/>
    </xf>
    <xf numFmtId="43" fontId="103" fillId="0" borderId="24" xfId="0" applyNumberFormat="1" applyFont="1" applyBorder="1" applyAlignment="1">
      <alignment horizontal="left" vertical="center"/>
    </xf>
    <xf numFmtId="43" fontId="103" fillId="0" borderId="0" xfId="0" applyNumberFormat="1" applyFont="1" applyAlignment="1">
      <alignment horizontal="left" vertical="center"/>
    </xf>
    <xf numFmtId="43" fontId="103" fillId="0" borderId="64" xfId="0" applyNumberFormat="1" applyFont="1" applyBorder="1" applyAlignment="1">
      <alignment horizontal="left" vertical="center"/>
    </xf>
    <xf numFmtId="0" fontId="14" fillId="0" borderId="22" xfId="0" applyFont="1" applyBorder="1" applyAlignment="1">
      <alignment horizontal="left" vertical="center"/>
    </xf>
    <xf numFmtId="0" fontId="14" fillId="0" borderId="0" xfId="0" applyFont="1" applyAlignment="1">
      <alignment horizontal="left" vertical="center"/>
    </xf>
    <xf numFmtId="0" fontId="57" fillId="0" borderId="21" xfId="0" applyFont="1" applyBorder="1" applyAlignment="1">
      <alignment horizontal="center" vertical="center" wrapText="1"/>
    </xf>
    <xf numFmtId="0" fontId="57" fillId="0" borderId="23" xfId="0" applyFont="1" applyBorder="1" applyAlignment="1">
      <alignment horizontal="center" vertical="center" wrapText="1"/>
    </xf>
    <xf numFmtId="0" fontId="57" fillId="0" borderId="49" xfId="0" applyFont="1" applyBorder="1" applyAlignment="1">
      <alignment horizontal="center" vertical="center" wrapText="1"/>
    </xf>
    <xf numFmtId="0" fontId="57" fillId="0" borderId="50" xfId="0" applyFont="1" applyBorder="1" applyAlignment="1">
      <alignment horizontal="center" vertical="center" wrapText="1"/>
    </xf>
    <xf numFmtId="43" fontId="103" fillId="0" borderId="15" xfId="0" applyNumberFormat="1" applyFont="1" applyBorder="1" applyAlignment="1">
      <alignment horizontal="center" vertical="center"/>
    </xf>
    <xf numFmtId="43" fontId="103" fillId="0" borderId="20" xfId="0" applyNumberFormat="1" applyFont="1" applyBorder="1" applyAlignment="1">
      <alignment horizontal="center" vertical="center"/>
    </xf>
    <xf numFmtId="0" fontId="54" fillId="18" borderId="11" xfId="0" applyFont="1" applyFill="1" applyBorder="1" applyAlignment="1">
      <alignment horizontal="center" vertical="center" wrapText="1"/>
    </xf>
    <xf numFmtId="0" fontId="67" fillId="24" borderId="12" xfId="0" applyFont="1" applyFill="1" applyBorder="1" applyAlignment="1">
      <alignment horizontal="center" vertical="center"/>
    </xf>
    <xf numFmtId="0" fontId="67" fillId="24" borderId="24" xfId="0" applyFont="1" applyFill="1" applyBorder="1" applyAlignment="1">
      <alignment horizontal="center" vertical="center"/>
    </xf>
    <xf numFmtId="0" fontId="67" fillId="24" borderId="13" xfId="0" applyFont="1" applyFill="1" applyBorder="1" applyAlignment="1">
      <alignment horizontal="center" vertical="center"/>
    </xf>
    <xf numFmtId="0" fontId="3" fillId="0" borderId="0" xfId="0" applyFont="1" applyAlignment="1">
      <alignment horizontal="left" vertical="center"/>
    </xf>
    <xf numFmtId="0" fontId="2" fillId="2" borderId="11" xfId="0" applyFont="1" applyFill="1" applyBorder="1" applyAlignment="1">
      <alignment horizontal="center" vertical="center"/>
    </xf>
    <xf numFmtId="0" fontId="14" fillId="0" borderId="19" xfId="0" applyFont="1" applyBorder="1" applyAlignment="1">
      <alignment horizontal="center" vertical="center" wrapText="1"/>
    </xf>
    <xf numFmtId="0" fontId="14" fillId="0" borderId="96" xfId="0" applyFont="1" applyBorder="1" applyAlignment="1">
      <alignment horizontal="center" vertical="center" wrapText="1"/>
    </xf>
    <xf numFmtId="0" fontId="2" fillId="0" borderId="17" xfId="0" applyFont="1" applyBorder="1" applyAlignment="1">
      <alignment horizontal="center" vertical="center" wrapText="1"/>
    </xf>
    <xf numFmtId="0" fontId="35" fillId="0" borderId="12" xfId="0" applyFont="1" applyBorder="1" applyAlignment="1">
      <alignment horizontal="center" vertical="center"/>
    </xf>
    <xf numFmtId="0" fontId="35" fillId="0" borderId="24" xfId="0" applyFont="1" applyBorder="1" applyAlignment="1">
      <alignment horizontal="center" vertical="center"/>
    </xf>
    <xf numFmtId="0" fontId="35" fillId="0" borderId="13" xfId="0" applyFont="1" applyBorder="1" applyAlignment="1">
      <alignment horizontal="center" vertical="center"/>
    </xf>
    <xf numFmtId="0" fontId="60" fillId="3" borderId="0" xfId="0" quotePrefix="1" applyFont="1" applyFill="1" applyAlignment="1">
      <alignment horizontal="left"/>
    </xf>
    <xf numFmtId="0" fontId="5" fillId="0" borderId="0" xfId="0" applyFont="1" applyAlignment="1">
      <alignment horizontal="left" vertical="center"/>
    </xf>
    <xf numFmtId="0" fontId="9" fillId="3" borderId="0" xfId="0" quotePrefix="1" applyFont="1" applyFill="1" applyAlignment="1">
      <alignment horizontal="left" vertical="center" wrapText="1"/>
    </xf>
    <xf numFmtId="43" fontId="14" fillId="0" borderId="11" xfId="0" applyNumberFormat="1" applyFont="1" applyBorder="1" applyAlignment="1">
      <alignment horizontal="center" vertical="center" wrapText="1"/>
    </xf>
    <xf numFmtId="0" fontId="10" fillId="7" borderId="11" xfId="0" quotePrefix="1" applyFont="1" applyFill="1" applyBorder="1" applyAlignment="1">
      <alignment horizontal="center" vertical="center" wrapText="1"/>
    </xf>
    <xf numFmtId="0" fontId="60" fillId="3" borderId="0" xfId="0" quotePrefix="1" applyFont="1" applyFill="1" applyAlignment="1">
      <alignment horizontal="left" vertical="center"/>
    </xf>
    <xf numFmtId="4" fontId="8" fillId="0" borderId="15" xfId="0" applyNumberFormat="1" applyFont="1" applyBorder="1" applyAlignment="1">
      <alignment horizontal="center" vertical="center"/>
    </xf>
    <xf numFmtId="4" fontId="8" fillId="0" borderId="17" xfId="0" applyNumberFormat="1" applyFont="1" applyBorder="1" applyAlignment="1">
      <alignment horizontal="center" vertical="center"/>
    </xf>
    <xf numFmtId="0" fontId="14" fillId="0" borderId="20" xfId="0" applyFont="1" applyBorder="1" applyAlignment="1">
      <alignment horizontal="center" vertical="center" wrapText="1"/>
    </xf>
    <xf numFmtId="0" fontId="2" fillId="2" borderId="12" xfId="0" applyFont="1" applyFill="1" applyBorder="1" applyAlignment="1">
      <alignment horizontal="center" vertical="center"/>
    </xf>
    <xf numFmtId="0" fontId="2" fillId="2" borderId="13" xfId="0" applyFont="1" applyFill="1" applyBorder="1" applyAlignment="1">
      <alignment horizontal="center" vertical="center"/>
    </xf>
    <xf numFmtId="0" fontId="14" fillId="2" borderId="11" xfId="0" applyFont="1" applyFill="1" applyBorder="1" applyAlignment="1">
      <alignment horizontal="center" vertical="center"/>
    </xf>
    <xf numFmtId="164" fontId="14" fillId="0" borderId="11" xfId="0" applyNumberFormat="1" applyFont="1" applyBorder="1" applyAlignment="1">
      <alignment horizontal="center" vertical="center"/>
    </xf>
    <xf numFmtId="4" fontId="14" fillId="0" borderId="11" xfId="0" applyNumberFormat="1" applyFont="1" applyBorder="1" applyAlignment="1">
      <alignment horizontal="center" vertical="center"/>
    </xf>
    <xf numFmtId="0" fontId="16" fillId="3" borderId="63" xfId="0" quotePrefix="1" applyFont="1" applyFill="1" applyBorder="1" applyAlignment="1">
      <alignment horizontal="center" vertical="center"/>
    </xf>
    <xf numFmtId="0" fontId="16" fillId="3" borderId="0" xfId="0" quotePrefix="1" applyFont="1" applyFill="1" applyAlignment="1">
      <alignment horizontal="center" vertical="center"/>
    </xf>
    <xf numFmtId="0" fontId="59" fillId="3" borderId="0" xfId="0" quotePrefix="1" applyFont="1" applyFill="1" applyAlignment="1">
      <alignment horizontal="left" vertical="center" wrapText="1"/>
    </xf>
    <xf numFmtId="0" fontId="33" fillId="0" borderId="0" xfId="0" applyFont="1" applyAlignment="1">
      <alignment horizontal="left" vertical="center" wrapText="1"/>
    </xf>
    <xf numFmtId="0" fontId="10" fillId="3" borderId="0" xfId="0" quotePrefix="1" applyFont="1" applyFill="1" applyAlignment="1">
      <alignment horizontal="left" vertical="center"/>
    </xf>
    <xf numFmtId="0" fontId="2" fillId="0" borderId="22" xfId="0" applyFont="1" applyBorder="1" applyAlignment="1">
      <alignment horizontal="left" vertical="center" wrapText="1"/>
    </xf>
    <xf numFmtId="49" fontId="3" fillId="0" borderId="0" xfId="0" quotePrefix="1" applyNumberFormat="1" applyFont="1" applyAlignment="1">
      <alignment horizontal="left" vertical="center"/>
    </xf>
    <xf numFmtId="49" fontId="3" fillId="0" borderId="0" xfId="0" applyNumberFormat="1" applyFont="1" applyAlignment="1">
      <alignment horizontal="left" vertical="center"/>
    </xf>
    <xf numFmtId="0" fontId="3" fillId="3" borderId="0" xfId="0" applyFont="1" applyFill="1" applyAlignment="1">
      <alignment horizontal="left" vertical="center" wrapText="1"/>
    </xf>
    <xf numFmtId="0" fontId="17" fillId="0" borderId="0" xfId="0" applyFont="1" applyAlignment="1">
      <alignment horizontal="left" vertical="center" wrapText="1"/>
    </xf>
    <xf numFmtId="49" fontId="3" fillId="0" borderId="0" xfId="0" quotePrefix="1" applyNumberFormat="1" applyFont="1" applyAlignment="1">
      <alignment horizontal="left" vertical="center" wrapText="1"/>
    </xf>
    <xf numFmtId="49" fontId="3" fillId="0" borderId="0" xfId="0" applyNumberFormat="1" applyFont="1" applyAlignment="1">
      <alignment horizontal="left" vertical="center" wrapText="1"/>
    </xf>
    <xf numFmtId="0" fontId="37" fillId="0" borderId="0" xfId="0" applyFont="1" applyAlignment="1">
      <alignment horizontal="left" vertical="center"/>
    </xf>
    <xf numFmtId="0" fontId="13" fillId="0" borderId="11" xfId="0" applyFont="1" applyBorder="1" applyAlignment="1">
      <alignment horizontal="center" vertical="center" wrapText="1"/>
    </xf>
    <xf numFmtId="0" fontId="107" fillId="5" borderId="21" xfId="0" applyFont="1" applyFill="1" applyBorder="1" applyAlignment="1">
      <alignment horizontal="center" vertical="center"/>
    </xf>
    <xf numFmtId="0" fontId="107" fillId="5" borderId="22" xfId="0" applyFont="1" applyFill="1" applyBorder="1" applyAlignment="1">
      <alignment horizontal="center" vertical="center"/>
    </xf>
    <xf numFmtId="0" fontId="107" fillId="5" borderId="23" xfId="0" applyFont="1" applyFill="1" applyBorder="1" applyAlignment="1">
      <alignment horizontal="center" vertical="center"/>
    </xf>
    <xf numFmtId="0" fontId="107" fillId="5" borderId="49" xfId="0" applyFont="1" applyFill="1" applyBorder="1" applyAlignment="1">
      <alignment horizontal="center" vertical="center"/>
    </xf>
    <xf numFmtId="0" fontId="107" fillId="5" borderId="54" xfId="0" applyFont="1" applyFill="1" applyBorder="1" applyAlignment="1">
      <alignment horizontal="center" vertical="center"/>
    </xf>
    <xf numFmtId="0" fontId="107" fillId="5" borderId="50" xfId="0" applyFont="1" applyFill="1" applyBorder="1" applyAlignment="1">
      <alignment horizontal="center" vertical="center"/>
    </xf>
    <xf numFmtId="43" fontId="54" fillId="0" borderId="11" xfId="0" applyNumberFormat="1" applyFont="1" applyBorder="1" applyAlignment="1">
      <alignment horizontal="center" vertical="center"/>
    </xf>
    <xf numFmtId="43" fontId="103" fillId="0" borderId="11" xfId="0" applyNumberFormat="1" applyFont="1" applyBorder="1" applyAlignment="1">
      <alignment horizontal="center" vertical="center"/>
    </xf>
    <xf numFmtId="0" fontId="110" fillId="2" borderId="11" xfId="0" applyFont="1" applyFill="1" applyBorder="1" applyAlignment="1">
      <alignment horizontal="center" vertical="center"/>
    </xf>
    <xf numFmtId="0" fontId="67" fillId="24" borderId="56" xfId="0" applyFont="1" applyFill="1" applyBorder="1" applyAlignment="1">
      <alignment horizontal="left" vertical="center"/>
    </xf>
    <xf numFmtId="0" fontId="67" fillId="24" borderId="36" xfId="0" applyFont="1" applyFill="1" applyBorder="1" applyAlignment="1">
      <alignment horizontal="left" vertical="center"/>
    </xf>
    <xf numFmtId="0" fontId="12" fillId="0" borderId="12" xfId="0" applyFont="1" applyBorder="1" applyAlignment="1">
      <alignment horizontal="left" vertical="center"/>
    </xf>
    <xf numFmtId="0" fontId="12" fillId="0" borderId="24" xfId="0" applyFont="1" applyBorder="1" applyAlignment="1">
      <alignment horizontal="left" vertical="center"/>
    </xf>
    <xf numFmtId="0" fontId="12" fillId="0" borderId="13" xfId="0" applyFont="1" applyBorder="1" applyAlignment="1">
      <alignment horizontal="left" vertical="center"/>
    </xf>
    <xf numFmtId="0" fontId="2" fillId="0" borderId="15" xfId="0" applyFont="1" applyBorder="1" applyAlignment="1">
      <alignment horizontal="center" vertical="center"/>
    </xf>
    <xf numFmtId="0" fontId="12" fillId="0" borderId="15" xfId="0" applyFont="1" applyBorder="1" applyAlignment="1">
      <alignment horizontal="center" vertical="center"/>
    </xf>
    <xf numFmtId="0" fontId="12" fillId="0" borderId="20" xfId="0" applyFont="1" applyBorder="1" applyAlignment="1">
      <alignment horizontal="center" vertical="center"/>
    </xf>
    <xf numFmtId="0" fontId="12" fillId="0" borderId="12" xfId="0" applyFont="1" applyBorder="1" applyAlignment="1">
      <alignment horizontal="center" vertical="center"/>
    </xf>
    <xf numFmtId="0" fontId="12" fillId="0" borderId="24" xfId="0" applyFont="1" applyBorder="1" applyAlignment="1">
      <alignment horizontal="center" vertical="center"/>
    </xf>
    <xf numFmtId="0" fontId="12" fillId="0" borderId="13" xfId="0" applyFont="1" applyBorder="1" applyAlignment="1">
      <alignment horizontal="center" vertical="center"/>
    </xf>
    <xf numFmtId="0" fontId="12" fillId="0" borderId="15" xfId="0" applyFont="1" applyBorder="1" applyAlignment="1">
      <alignment horizontal="center" vertical="center" wrapText="1"/>
    </xf>
    <xf numFmtId="0" fontId="12" fillId="0" borderId="20" xfId="0" applyFont="1" applyBorder="1" applyAlignment="1">
      <alignment horizontal="center" vertical="center" wrapText="1"/>
    </xf>
    <xf numFmtId="0" fontId="14" fillId="4" borderId="49" xfId="0" applyFont="1" applyFill="1" applyBorder="1" applyAlignment="1">
      <alignment horizontal="center" vertical="center"/>
    </xf>
    <xf numFmtId="0" fontId="14" fillId="4" borderId="54" xfId="0" applyFont="1" applyFill="1" applyBorder="1" applyAlignment="1">
      <alignment horizontal="center" vertical="center"/>
    </xf>
    <xf numFmtId="0" fontId="14" fillId="4" borderId="50" xfId="0" applyFont="1" applyFill="1" applyBorder="1" applyAlignment="1">
      <alignment horizontal="center" vertical="center"/>
    </xf>
    <xf numFmtId="0" fontId="32" fillId="18" borderId="21" xfId="0" applyFont="1" applyFill="1" applyBorder="1" applyAlignment="1">
      <alignment horizontal="center" vertical="center" wrapText="1"/>
    </xf>
    <xf numFmtId="0" fontId="32" fillId="18" borderId="22" xfId="0" applyFont="1" applyFill="1" applyBorder="1" applyAlignment="1">
      <alignment horizontal="center" vertical="center" wrapText="1"/>
    </xf>
    <xf numFmtId="0" fontId="32" fillId="18" borderId="23" xfId="0" applyFont="1" applyFill="1" applyBorder="1" applyAlignment="1">
      <alignment horizontal="center" vertical="center" wrapText="1"/>
    </xf>
    <xf numFmtId="0" fontId="32" fillId="18" borderId="49" xfId="0" applyFont="1" applyFill="1" applyBorder="1" applyAlignment="1">
      <alignment horizontal="center" vertical="center" wrapText="1"/>
    </xf>
    <xf numFmtId="0" fontId="32" fillId="18" borderId="54" xfId="0" applyFont="1" applyFill="1" applyBorder="1" applyAlignment="1">
      <alignment horizontal="center" vertical="center" wrapText="1"/>
    </xf>
    <xf numFmtId="0" fontId="32" fillId="18" borderId="50" xfId="0" applyFont="1" applyFill="1" applyBorder="1" applyAlignment="1">
      <alignment horizontal="center" vertical="center" wrapText="1"/>
    </xf>
    <xf numFmtId="0" fontId="14" fillId="0" borderId="34" xfId="0" applyFont="1" applyBorder="1" applyAlignment="1">
      <alignment horizontal="center" vertical="center" wrapText="1"/>
    </xf>
    <xf numFmtId="0" fontId="14" fillId="0" borderId="37" xfId="0" applyFont="1" applyBorder="1" applyAlignment="1">
      <alignment horizontal="center" vertical="center" wrapText="1"/>
    </xf>
    <xf numFmtId="0" fontId="14" fillId="0" borderId="36" xfId="0" applyFont="1" applyBorder="1" applyAlignment="1">
      <alignment horizontal="center" vertical="center" wrapText="1"/>
    </xf>
    <xf numFmtId="0" fontId="14" fillId="0" borderId="34" xfId="0" applyFont="1" applyBorder="1" applyAlignment="1">
      <alignment horizontal="left" vertical="center" wrapText="1"/>
    </xf>
    <xf numFmtId="0" fontId="14" fillId="0" borderId="37" xfId="0" applyFont="1" applyBorder="1" applyAlignment="1">
      <alignment horizontal="left" vertical="center" wrapText="1"/>
    </xf>
    <xf numFmtId="0" fontId="14" fillId="0" borderId="36" xfId="0" applyFont="1" applyBorder="1" applyAlignment="1">
      <alignment horizontal="left" vertical="center" wrapText="1"/>
    </xf>
    <xf numFmtId="0" fontId="2" fillId="2" borderId="12" xfId="0" applyFont="1" applyFill="1" applyBorder="1" applyAlignment="1">
      <alignment horizontal="center" vertical="center" wrapText="1"/>
    </xf>
    <xf numFmtId="0" fontId="2" fillId="2" borderId="24"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12" fillId="3" borderId="21" xfId="0" applyFont="1" applyFill="1" applyBorder="1" applyAlignment="1">
      <alignment horizontal="center" vertical="center" wrapText="1"/>
    </xf>
    <xf numFmtId="0" fontId="84" fillId="3" borderId="22" xfId="0" applyFont="1" applyFill="1" applyBorder="1" applyAlignment="1">
      <alignment horizontal="center" vertical="center" wrapText="1"/>
    </xf>
    <xf numFmtId="0" fontId="84" fillId="3" borderId="63" xfId="0" applyFont="1" applyFill="1" applyBorder="1" applyAlignment="1">
      <alignment horizontal="center" vertical="center" wrapText="1"/>
    </xf>
    <xf numFmtId="0" fontId="84" fillId="3" borderId="0" xfId="0" applyFont="1" applyFill="1" applyAlignment="1">
      <alignment horizontal="center" vertical="center" wrapText="1"/>
    </xf>
    <xf numFmtId="0" fontId="84" fillId="3" borderId="64" xfId="0" applyFont="1" applyFill="1" applyBorder="1" applyAlignment="1">
      <alignment horizontal="center" vertical="center" wrapText="1"/>
    </xf>
    <xf numFmtId="2" fontId="14" fillId="0" borderId="34" xfId="0" applyNumberFormat="1" applyFont="1" applyBorder="1" applyAlignment="1">
      <alignment horizontal="center" vertical="center" wrapText="1"/>
    </xf>
    <xf numFmtId="2" fontId="14" fillId="0" borderId="37" xfId="0" applyNumberFormat="1" applyFont="1" applyBorder="1" applyAlignment="1">
      <alignment horizontal="center" vertical="center" wrapText="1"/>
    </xf>
    <xf numFmtId="2" fontId="14" fillId="0" borderId="36" xfId="0" applyNumberFormat="1" applyFont="1" applyBorder="1" applyAlignment="1">
      <alignment horizontal="center" vertical="center" wrapText="1"/>
    </xf>
    <xf numFmtId="0" fontId="32" fillId="18" borderId="63" xfId="0" applyFont="1" applyFill="1" applyBorder="1" applyAlignment="1">
      <alignment horizontal="center" vertical="center" wrapText="1"/>
    </xf>
    <xf numFmtId="0" fontId="32" fillId="18" borderId="0" xfId="0" applyFont="1" applyFill="1" applyAlignment="1">
      <alignment horizontal="center" vertical="center" wrapText="1"/>
    </xf>
    <xf numFmtId="0" fontId="32" fillId="18" borderId="64" xfId="0" applyFont="1" applyFill="1" applyBorder="1" applyAlignment="1">
      <alignment horizontal="center" vertical="center" wrapText="1"/>
    </xf>
    <xf numFmtId="0" fontId="37" fillId="2" borderId="12" xfId="0" applyFont="1" applyFill="1" applyBorder="1" applyAlignment="1">
      <alignment horizontal="center" vertical="center"/>
    </xf>
    <xf numFmtId="0" fontId="37" fillId="2" borderId="24" xfId="0" applyFont="1" applyFill="1" applyBorder="1" applyAlignment="1">
      <alignment horizontal="center" vertical="center"/>
    </xf>
    <xf numFmtId="0" fontId="37" fillId="2" borderId="13" xfId="0" applyFont="1" applyFill="1" applyBorder="1" applyAlignment="1">
      <alignment horizontal="center" vertical="center"/>
    </xf>
    <xf numFmtId="0" fontId="2" fillId="2" borderId="15" xfId="0" applyFont="1" applyFill="1" applyBorder="1" applyAlignment="1">
      <alignment horizontal="center" vertical="center" wrapText="1"/>
    </xf>
    <xf numFmtId="43" fontId="2" fillId="2" borderId="15" xfId="0" applyNumberFormat="1" applyFont="1" applyFill="1" applyBorder="1" applyAlignment="1">
      <alignment horizontal="center" vertical="center" wrapText="1"/>
    </xf>
    <xf numFmtId="43" fontId="2" fillId="2" borderId="20" xfId="0" applyNumberFormat="1" applyFont="1" applyFill="1" applyBorder="1" applyAlignment="1">
      <alignment horizontal="center" vertical="center" wrapText="1"/>
    </xf>
    <xf numFmtId="0" fontId="14" fillId="0" borderId="31" xfId="0" applyFont="1" applyBorder="1" applyAlignment="1">
      <alignment horizontal="left" vertical="center"/>
    </xf>
    <xf numFmtId="0" fontId="27" fillId="0" borderId="31" xfId="0" applyFont="1" applyBorder="1"/>
    <xf numFmtId="0" fontId="2" fillId="17" borderId="21" xfId="0" applyFont="1" applyFill="1" applyBorder="1" applyAlignment="1">
      <alignment horizontal="center" vertical="center"/>
    </xf>
    <xf numFmtId="0" fontId="2" fillId="17" borderId="22" xfId="0" applyFont="1" applyFill="1" applyBorder="1" applyAlignment="1">
      <alignment horizontal="center" vertical="center"/>
    </xf>
    <xf numFmtId="0" fontId="2" fillId="17" borderId="23" xfId="0" applyFont="1" applyFill="1" applyBorder="1" applyAlignment="1">
      <alignment horizontal="center" vertical="center"/>
    </xf>
    <xf numFmtId="0" fontId="2" fillId="17" borderId="49" xfId="0" applyFont="1" applyFill="1" applyBorder="1" applyAlignment="1">
      <alignment horizontal="center" vertical="center"/>
    </xf>
    <xf numFmtId="0" fontId="2" fillId="17" borderId="54" xfId="0" applyFont="1" applyFill="1" applyBorder="1" applyAlignment="1">
      <alignment horizontal="center" vertical="center"/>
    </xf>
    <xf numFmtId="0" fontId="2" fillId="17" borderId="50" xfId="0" applyFont="1" applyFill="1" applyBorder="1" applyAlignment="1">
      <alignment horizontal="center" vertical="center"/>
    </xf>
    <xf numFmtId="0" fontId="2" fillId="0" borderId="22" xfId="0" applyFont="1" applyBorder="1" applyAlignment="1">
      <alignment horizontal="left" vertical="center"/>
    </xf>
    <xf numFmtId="0" fontId="14" fillId="0" borderId="12" xfId="0" applyFont="1" applyBorder="1" applyAlignment="1">
      <alignment horizontal="center" vertical="center" wrapText="1"/>
    </xf>
    <xf numFmtId="0" fontId="14" fillId="0" borderId="13" xfId="0" applyFont="1" applyBorder="1" applyAlignment="1">
      <alignment horizontal="center" vertical="center" wrapText="1"/>
    </xf>
    <xf numFmtId="0" fontId="14" fillId="2" borderId="12" xfId="0" applyFont="1" applyFill="1" applyBorder="1" applyAlignment="1">
      <alignment horizontal="center" vertical="center"/>
    </xf>
    <xf numFmtId="0" fontId="14" fillId="2" borderId="13" xfId="0" applyFont="1" applyFill="1" applyBorder="1" applyAlignment="1">
      <alignment horizontal="center" vertical="center"/>
    </xf>
    <xf numFmtId="164" fontId="14" fillId="0" borderId="12" xfId="0" applyNumberFormat="1" applyFont="1" applyBorder="1" applyAlignment="1">
      <alignment horizontal="center" vertical="center"/>
    </xf>
    <xf numFmtId="164" fontId="14" fillId="0" borderId="13" xfId="0" applyNumberFormat="1" applyFont="1" applyBorder="1" applyAlignment="1">
      <alignment horizontal="center" vertical="center"/>
    </xf>
    <xf numFmtId="4" fontId="14" fillId="0" borderId="12" xfId="0" applyNumberFormat="1" applyFont="1" applyBorder="1" applyAlignment="1">
      <alignment horizontal="center" vertical="center"/>
    </xf>
    <xf numFmtId="4" fontId="14" fillId="0" borderId="13" xfId="0" applyNumberFormat="1" applyFont="1" applyBorder="1" applyAlignment="1">
      <alignment horizontal="center" vertical="center"/>
    </xf>
    <xf numFmtId="43" fontId="14" fillId="7" borderId="12" xfId="0" applyNumberFormat="1" applyFont="1" applyFill="1" applyBorder="1" applyAlignment="1">
      <alignment horizontal="center" vertical="center" wrapText="1"/>
    </xf>
    <xf numFmtId="43" fontId="14" fillId="7" borderId="13" xfId="0" applyNumberFormat="1" applyFont="1" applyFill="1" applyBorder="1" applyAlignment="1">
      <alignment horizontal="center" vertical="center" wrapText="1"/>
    </xf>
    <xf numFmtId="0" fontId="14" fillId="7" borderId="15" xfId="0" applyFont="1" applyFill="1" applyBorder="1" applyAlignment="1">
      <alignment horizontal="center" vertical="center"/>
    </xf>
    <xf numFmtId="0" fontId="14" fillId="7" borderId="20" xfId="0" applyFont="1" applyFill="1" applyBorder="1" applyAlignment="1">
      <alignment horizontal="center" vertical="center"/>
    </xf>
    <xf numFmtId="0" fontId="14" fillId="0" borderId="15" xfId="0" applyFont="1" applyBorder="1" applyAlignment="1">
      <alignment horizontal="center" vertical="center"/>
    </xf>
    <xf numFmtId="0" fontId="14" fillId="0" borderId="20" xfId="0" applyFont="1" applyBorder="1" applyAlignment="1">
      <alignment horizontal="center" vertical="center"/>
    </xf>
    <xf numFmtId="0" fontId="5" fillId="0" borderId="34" xfId="0" applyFont="1" applyBorder="1" applyAlignment="1">
      <alignment horizontal="left" vertical="center" wrapText="1"/>
    </xf>
    <xf numFmtId="0" fontId="5" fillId="0" borderId="37" xfId="0" applyFont="1" applyBorder="1" applyAlignment="1">
      <alignment horizontal="left" vertical="center" wrapText="1"/>
    </xf>
    <xf numFmtId="0" fontId="5" fillId="0" borderId="36" xfId="0" applyFont="1" applyBorder="1" applyAlignment="1">
      <alignment horizontal="left" vertical="center" wrapText="1"/>
    </xf>
    <xf numFmtId="2" fontId="14" fillId="0" borderId="34" xfId="0" applyNumberFormat="1" applyFont="1" applyBorder="1" applyAlignment="1">
      <alignment horizontal="left" vertical="center" wrapText="1"/>
    </xf>
    <xf numFmtId="2" fontId="14" fillId="0" borderId="37" xfId="0" applyNumberFormat="1" applyFont="1" applyBorder="1" applyAlignment="1">
      <alignment horizontal="left" vertical="center" wrapText="1"/>
    </xf>
    <xf numFmtId="2" fontId="14" fillId="0" borderId="36" xfId="0" applyNumberFormat="1" applyFont="1" applyBorder="1" applyAlignment="1">
      <alignment horizontal="left" vertical="center" wrapText="1"/>
    </xf>
    <xf numFmtId="0" fontId="14" fillId="0" borderId="77" xfId="0" applyFont="1" applyBorder="1" applyAlignment="1">
      <alignment horizontal="center" vertical="center" wrapText="1"/>
    </xf>
    <xf numFmtId="0" fontId="14" fillId="0" borderId="79" xfId="0" applyFont="1" applyBorder="1" applyAlignment="1">
      <alignment horizontal="center" vertical="center" wrapText="1"/>
    </xf>
    <xf numFmtId="0" fontId="14" fillId="0" borderId="78" xfId="0" applyFont="1" applyBorder="1" applyAlignment="1">
      <alignment horizontal="center" vertical="center" wrapText="1"/>
    </xf>
    <xf numFmtId="0" fontId="14" fillId="0" borderId="77" xfId="0" applyFont="1" applyBorder="1" applyAlignment="1">
      <alignment horizontal="left" vertical="center" wrapText="1"/>
    </xf>
    <xf numFmtId="0" fontId="14" fillId="0" borderId="79" xfId="0" applyFont="1" applyBorder="1" applyAlignment="1">
      <alignment horizontal="left" vertical="center" wrapText="1"/>
    </xf>
    <xf numFmtId="0" fontId="14" fillId="0" borderId="78" xfId="0" applyFont="1" applyBorder="1" applyAlignment="1">
      <alignment horizontal="left" vertical="center" wrapText="1"/>
    </xf>
    <xf numFmtId="0" fontId="12" fillId="0" borderId="11" xfId="0" applyFont="1" applyBorder="1" applyAlignment="1">
      <alignment horizontal="center" vertical="center"/>
    </xf>
    <xf numFmtId="43" fontId="2" fillId="2" borderId="11" xfId="0" applyNumberFormat="1" applyFont="1" applyFill="1" applyBorder="1" applyAlignment="1">
      <alignment vertical="center" wrapText="1"/>
    </xf>
    <xf numFmtId="0" fontId="2" fillId="2" borderId="11" xfId="0" applyFont="1" applyFill="1" applyBorder="1" applyAlignment="1">
      <alignment horizontal="right" vertical="center" wrapText="1"/>
    </xf>
    <xf numFmtId="0" fontId="2" fillId="0" borderId="20" xfId="0" applyFont="1" applyBorder="1" applyAlignment="1">
      <alignment horizontal="center" vertical="center"/>
    </xf>
    <xf numFmtId="0" fontId="10" fillId="3" borderId="12" xfId="0" applyFont="1" applyFill="1" applyBorder="1" applyAlignment="1">
      <alignment horizontal="center" vertical="center"/>
    </xf>
    <xf numFmtId="0" fontId="10" fillId="3" borderId="24" xfId="0" applyFont="1" applyFill="1" applyBorder="1" applyAlignment="1">
      <alignment horizontal="center" vertical="center"/>
    </xf>
    <xf numFmtId="0" fontId="10" fillId="3" borderId="13" xfId="0" applyFont="1" applyFill="1" applyBorder="1" applyAlignment="1">
      <alignment horizontal="center" vertical="center"/>
    </xf>
    <xf numFmtId="0" fontId="2" fillId="0" borderId="56" xfId="0" applyFont="1" applyBorder="1" applyAlignment="1">
      <alignment horizontal="center" vertical="center" wrapText="1"/>
    </xf>
    <xf numFmtId="0" fontId="12" fillId="0" borderId="21" xfId="0" applyFont="1" applyBorder="1" applyAlignment="1">
      <alignment horizontal="center" vertical="center"/>
    </xf>
    <xf numFmtId="0" fontId="12" fillId="0" borderId="49" xfId="0" applyFont="1" applyBorder="1" applyAlignment="1">
      <alignment horizontal="center" vertical="center"/>
    </xf>
    <xf numFmtId="0" fontId="14" fillId="4" borderId="12" xfId="0" applyFont="1" applyFill="1" applyBorder="1" applyAlignment="1">
      <alignment horizontal="center" vertical="center"/>
    </xf>
    <xf numFmtId="0" fontId="14" fillId="4" borderId="24" xfId="0" applyFont="1" applyFill="1" applyBorder="1" applyAlignment="1">
      <alignment horizontal="center" vertical="center"/>
    </xf>
    <xf numFmtId="0" fontId="14" fillId="4" borderId="13" xfId="0" applyFont="1" applyFill="1" applyBorder="1" applyAlignment="1">
      <alignment horizontal="center" vertical="center"/>
    </xf>
    <xf numFmtId="0" fontId="2" fillId="3" borderId="64" xfId="0" applyFont="1" applyFill="1" applyBorder="1" applyAlignment="1">
      <alignment horizontal="center" vertical="center"/>
    </xf>
    <xf numFmtId="0" fontId="27" fillId="0" borderId="0" xfId="0" applyFont="1"/>
    <xf numFmtId="2" fontId="14" fillId="0" borderId="12" xfId="0" applyNumberFormat="1" applyFont="1" applyBorder="1" applyAlignment="1">
      <alignment horizontal="center" vertical="center" wrapText="1"/>
    </xf>
    <xf numFmtId="0" fontId="2" fillId="0" borderId="92" xfId="0" applyFont="1" applyBorder="1" applyAlignment="1">
      <alignment horizontal="center" vertical="center"/>
    </xf>
    <xf numFmtId="0" fontId="2" fillId="0" borderId="13" xfId="0" applyFont="1" applyBorder="1" applyAlignment="1">
      <alignment horizontal="center" vertical="center"/>
    </xf>
    <xf numFmtId="0" fontId="3" fillId="0" borderId="92" xfId="0" applyFont="1" applyBorder="1" applyAlignment="1">
      <alignment horizontal="center" vertical="center"/>
    </xf>
    <xf numFmtId="41" fontId="2" fillId="0" borderId="12" xfId="0" applyNumberFormat="1" applyFont="1" applyBorder="1" applyAlignment="1">
      <alignment horizontal="center" vertical="center"/>
    </xf>
    <xf numFmtId="41" fontId="2" fillId="0" borderId="24" xfId="0" applyNumberFormat="1" applyFont="1" applyBorder="1" applyAlignment="1">
      <alignment horizontal="center" vertical="center"/>
    </xf>
    <xf numFmtId="41" fontId="2" fillId="0" borderId="13" xfId="0" applyNumberFormat="1" applyFont="1" applyBorder="1" applyAlignment="1">
      <alignment horizontal="center" vertical="center"/>
    </xf>
    <xf numFmtId="41" fontId="3" fillId="0" borderId="12" xfId="2" applyFont="1" applyBorder="1" applyAlignment="1">
      <alignment horizontal="left" vertical="center"/>
    </xf>
    <xf numFmtId="41" fontId="3" fillId="0" borderId="24" xfId="2" applyFont="1" applyBorder="1" applyAlignment="1">
      <alignment horizontal="left" vertical="center"/>
    </xf>
    <xf numFmtId="41" fontId="3" fillId="0" borderId="13" xfId="2" applyFont="1" applyBorder="1" applyAlignment="1">
      <alignment horizontal="left" vertical="center"/>
    </xf>
    <xf numFmtId="2" fontId="5" fillId="0" borderId="12" xfId="0" applyNumberFormat="1" applyFont="1" applyBorder="1" applyAlignment="1">
      <alignment horizontal="left" vertical="center" wrapText="1"/>
    </xf>
    <xf numFmtId="2" fontId="5" fillId="0" borderId="24" xfId="0" applyNumberFormat="1" applyFont="1" applyBorder="1" applyAlignment="1">
      <alignment horizontal="left" vertical="center" wrapText="1"/>
    </xf>
    <xf numFmtId="2" fontId="5" fillId="0" borderId="13" xfId="0" applyNumberFormat="1" applyFont="1" applyBorder="1" applyAlignment="1">
      <alignment horizontal="left" vertical="center" wrapText="1"/>
    </xf>
    <xf numFmtId="0" fontId="5" fillId="3" borderId="15" xfId="0" applyFont="1" applyFill="1" applyBorder="1" applyAlignment="1">
      <alignment horizontal="center" vertical="center" wrapText="1"/>
    </xf>
    <xf numFmtId="0" fontId="5" fillId="3" borderId="20" xfId="0" applyFont="1" applyFill="1" applyBorder="1" applyAlignment="1">
      <alignment horizontal="center" vertical="center" wrapText="1"/>
    </xf>
    <xf numFmtId="0" fontId="53" fillId="0" borderId="15" xfId="0" applyFont="1" applyBorder="1" applyAlignment="1">
      <alignment horizontal="center" vertical="center" wrapText="1"/>
    </xf>
    <xf numFmtId="0" fontId="53" fillId="0" borderId="20" xfId="0" applyFont="1" applyBorder="1" applyAlignment="1">
      <alignment horizontal="center" vertical="center" wrapText="1"/>
    </xf>
    <xf numFmtId="0" fontId="54" fillId="0" borderId="15" xfId="0" applyFont="1" applyBorder="1" applyAlignment="1">
      <alignment horizontal="center" vertical="center" wrapText="1"/>
    </xf>
    <xf numFmtId="0" fontId="54" fillId="0" borderId="20" xfId="0" applyFont="1" applyBorder="1" applyAlignment="1">
      <alignment horizontal="center" vertical="center" wrapText="1"/>
    </xf>
    <xf numFmtId="0" fontId="14" fillId="4" borderId="11" xfId="0" applyFont="1" applyFill="1" applyBorder="1" applyAlignment="1">
      <alignment horizontal="center" vertical="center"/>
    </xf>
    <xf numFmtId="43" fontId="14" fillId="4" borderId="11" xfId="1" applyFont="1" applyFill="1" applyBorder="1" applyAlignment="1">
      <alignment horizontal="center" vertical="center"/>
    </xf>
    <xf numFmtId="43" fontId="5" fillId="3" borderId="15" xfId="1" applyFont="1" applyFill="1" applyBorder="1" applyAlignment="1">
      <alignment horizontal="center" vertical="center"/>
    </xf>
    <xf numFmtId="43" fontId="5" fillId="3" borderId="20" xfId="1" applyFont="1" applyFill="1" applyBorder="1" applyAlignment="1">
      <alignment horizontal="center" vertical="center"/>
    </xf>
    <xf numFmtId="0" fontId="53" fillId="0" borderId="12" xfId="0" applyFont="1" applyBorder="1" applyAlignment="1">
      <alignment horizontal="center" vertical="center"/>
    </xf>
    <xf numFmtId="0" fontId="53" fillId="0" borderId="13" xfId="0" applyFont="1" applyBorder="1" applyAlignment="1">
      <alignment horizontal="center" vertical="center"/>
    </xf>
    <xf numFmtId="0" fontId="53" fillId="0" borderId="24" xfId="0" applyFont="1" applyBorder="1" applyAlignment="1">
      <alignment horizontal="center" vertical="center"/>
    </xf>
    <xf numFmtId="164" fontId="35" fillId="25" borderId="12" xfId="1" applyNumberFormat="1" applyFont="1" applyFill="1" applyBorder="1" applyAlignment="1">
      <alignment horizontal="center" vertical="center"/>
    </xf>
    <xf numFmtId="164" fontId="35" fillId="25" borderId="24" xfId="1" applyNumberFormat="1" applyFont="1" applyFill="1" applyBorder="1" applyAlignment="1">
      <alignment horizontal="center" vertical="center"/>
    </xf>
    <xf numFmtId="164" fontId="35" fillId="25" borderId="13" xfId="1" applyNumberFormat="1" applyFont="1" applyFill="1" applyBorder="1" applyAlignment="1">
      <alignment horizontal="center" vertical="center"/>
    </xf>
    <xf numFmtId="164" fontId="5" fillId="3" borderId="15" xfId="1" applyNumberFormat="1" applyFont="1" applyFill="1" applyBorder="1" applyAlignment="1">
      <alignment horizontal="center" vertical="center"/>
    </xf>
    <xf numFmtId="164" fontId="5" fillId="3" borderId="20" xfId="1" applyNumberFormat="1" applyFont="1" applyFill="1" applyBorder="1" applyAlignment="1">
      <alignment horizontal="center" vertical="center"/>
    </xf>
    <xf numFmtId="0" fontId="35" fillId="3" borderId="15" xfId="0" applyFont="1" applyFill="1" applyBorder="1" applyAlignment="1">
      <alignment horizontal="center" vertical="center" wrapText="1"/>
    </xf>
    <xf numFmtId="0" fontId="35" fillId="3" borderId="20" xfId="0" applyFont="1" applyFill="1" applyBorder="1" applyAlignment="1">
      <alignment horizontal="center" vertical="center" wrapText="1"/>
    </xf>
    <xf numFmtId="0" fontId="5" fillId="0" borderId="15" xfId="0" applyFont="1" applyBorder="1" applyAlignment="1">
      <alignment horizontal="center" vertical="center"/>
    </xf>
    <xf numFmtId="0" fontId="5" fillId="0" borderId="20" xfId="0" applyFont="1" applyBorder="1" applyAlignment="1">
      <alignment horizontal="center" vertical="center"/>
    </xf>
    <xf numFmtId="164" fontId="5" fillId="25" borderId="12" xfId="1" applyNumberFormat="1" applyFont="1" applyFill="1" applyBorder="1" applyAlignment="1">
      <alignment horizontal="center" vertical="center"/>
    </xf>
    <xf numFmtId="164" fontId="5" fillId="25" borderId="24" xfId="1" applyNumberFormat="1" applyFont="1" applyFill="1" applyBorder="1" applyAlignment="1">
      <alignment horizontal="center" vertical="center"/>
    </xf>
    <xf numFmtId="164" fontId="5" fillId="25" borderId="13" xfId="1" applyNumberFormat="1" applyFont="1" applyFill="1" applyBorder="1" applyAlignment="1">
      <alignment horizontal="center" vertical="center"/>
    </xf>
    <xf numFmtId="167" fontId="5" fillId="3" borderId="15" xfId="1" applyNumberFormat="1" applyFont="1" applyFill="1" applyBorder="1" applyAlignment="1">
      <alignment horizontal="center" vertical="center"/>
    </xf>
    <xf numFmtId="167" fontId="5" fillId="3" borderId="20" xfId="1" applyNumberFormat="1" applyFont="1" applyFill="1" applyBorder="1" applyAlignment="1">
      <alignment horizontal="center" vertical="center"/>
    </xf>
    <xf numFmtId="0" fontId="53" fillId="0" borderId="15" xfId="0" applyFont="1" applyBorder="1" applyAlignment="1">
      <alignment horizontal="center" vertical="center"/>
    </xf>
    <xf numFmtId="0" fontId="53" fillId="0" borderId="20" xfId="0" applyFont="1" applyBorder="1" applyAlignment="1">
      <alignment horizontal="center" vertical="center"/>
    </xf>
    <xf numFmtId="0" fontId="5" fillId="0" borderId="12" xfId="0" applyFont="1" applyBorder="1" applyAlignment="1">
      <alignment horizontal="left" vertical="center"/>
    </xf>
    <xf numFmtId="0" fontId="5" fillId="0" borderId="13" xfId="0" applyFont="1" applyBorder="1" applyAlignment="1">
      <alignment horizontal="left" vertical="center"/>
    </xf>
    <xf numFmtId="0" fontId="38" fillId="0" borderId="57" xfId="0" applyFont="1" applyBorder="1" applyAlignment="1">
      <alignment horizontal="left" vertical="center"/>
    </xf>
    <xf numFmtId="0" fontId="5" fillId="0" borderId="25" xfId="0" applyFont="1" applyBorder="1" applyAlignment="1">
      <alignment vertical="center"/>
    </xf>
    <xf numFmtId="0" fontId="5" fillId="0" borderId="12" xfId="0" quotePrefix="1" applyFont="1" applyBorder="1" applyAlignment="1">
      <alignment horizontal="center" vertical="center" wrapText="1"/>
    </xf>
    <xf numFmtId="0" fontId="5" fillId="0" borderId="13" xfId="0" quotePrefix="1" applyFont="1" applyBorder="1" applyAlignment="1">
      <alignment horizontal="center" vertical="center" wrapText="1"/>
    </xf>
    <xf numFmtId="0" fontId="15" fillId="5" borderId="63" xfId="0" applyFont="1" applyFill="1" applyBorder="1" applyAlignment="1">
      <alignment horizontal="center" vertical="center"/>
    </xf>
    <xf numFmtId="0" fontId="15" fillId="5" borderId="22" xfId="0" applyFont="1" applyFill="1" applyBorder="1" applyAlignment="1">
      <alignment horizontal="center" vertical="center"/>
    </xf>
    <xf numFmtId="0" fontId="15" fillId="5" borderId="23" xfId="0" applyFont="1" applyFill="1" applyBorder="1" applyAlignment="1">
      <alignment horizontal="center" vertical="center"/>
    </xf>
    <xf numFmtId="0" fontId="15" fillId="5" borderId="49" xfId="0" applyFont="1" applyFill="1" applyBorder="1" applyAlignment="1">
      <alignment horizontal="center" vertical="center"/>
    </xf>
    <xf numFmtId="0" fontId="15" fillId="5" borderId="54" xfId="0" applyFont="1" applyFill="1" applyBorder="1" applyAlignment="1">
      <alignment horizontal="center" vertical="center"/>
    </xf>
    <xf numFmtId="0" fontId="15" fillId="5" borderId="50" xfId="0" applyFont="1" applyFill="1" applyBorder="1" applyAlignment="1">
      <alignment horizontal="center" vertical="center"/>
    </xf>
    <xf numFmtId="0" fontId="35" fillId="23" borderId="11" xfId="0" applyFont="1" applyFill="1" applyBorder="1"/>
    <xf numFmtId="0" fontId="14" fillId="7" borderId="11" xfId="0" applyFont="1" applyFill="1" applyBorder="1" applyAlignment="1">
      <alignment horizontal="center" vertical="center"/>
    </xf>
    <xf numFmtId="41" fontId="5" fillId="0" borderId="12" xfId="0" applyNumberFormat="1" applyFont="1" applyBorder="1" applyAlignment="1">
      <alignment horizontal="center" vertical="center"/>
    </xf>
    <xf numFmtId="41" fontId="5" fillId="0" borderId="24" xfId="0" applyNumberFormat="1" applyFont="1" applyBorder="1" applyAlignment="1">
      <alignment horizontal="center" vertical="center"/>
    </xf>
    <xf numFmtId="41" fontId="5" fillId="0" borderId="13" xfId="0" applyNumberFormat="1" applyFont="1" applyBorder="1" applyAlignment="1">
      <alignment horizontal="center" vertical="center"/>
    </xf>
    <xf numFmtId="0" fontId="5" fillId="0" borderId="34" xfId="0" applyFont="1" applyBorder="1" applyAlignment="1">
      <alignment vertical="center"/>
    </xf>
    <xf numFmtId="0" fontId="35" fillId="0" borderId="36" xfId="0" applyFont="1" applyBorder="1"/>
    <xf numFmtId="0" fontId="37" fillId="2" borderId="11" xfId="0" applyFont="1" applyFill="1" applyBorder="1" applyAlignment="1">
      <alignment horizontal="center" vertical="center"/>
    </xf>
    <xf numFmtId="0" fontId="14" fillId="23" borderId="11" xfId="0" applyFont="1" applyFill="1" applyBorder="1" applyAlignment="1">
      <alignment horizontal="center" vertical="center" wrapText="1"/>
    </xf>
    <xf numFmtId="0" fontId="5" fillId="3" borderId="0" xfId="0" quotePrefix="1" applyFont="1" applyFill="1" applyAlignment="1">
      <alignment horizontal="left" vertical="center" wrapText="1"/>
    </xf>
    <xf numFmtId="43" fontId="14" fillId="4" borderId="12" xfId="1" applyFont="1" applyFill="1" applyBorder="1" applyAlignment="1">
      <alignment horizontal="center" vertical="center"/>
    </xf>
    <xf numFmtId="43" fontId="14" fillId="4" borderId="24" xfId="1" applyFont="1" applyFill="1" applyBorder="1" applyAlignment="1">
      <alignment horizontal="center" vertical="center"/>
    </xf>
    <xf numFmtId="43" fontId="14" fillId="4" borderId="13" xfId="1" applyFont="1" applyFill="1" applyBorder="1" applyAlignment="1">
      <alignment horizontal="center" vertical="center"/>
    </xf>
    <xf numFmtId="0" fontId="37" fillId="0" borderId="49" xfId="0" applyFont="1" applyBorder="1" applyAlignment="1">
      <alignment horizontal="left" vertical="center"/>
    </xf>
    <xf numFmtId="0" fontId="37" fillId="0" borderId="54" xfId="0" applyFont="1" applyBorder="1" applyAlignment="1">
      <alignment horizontal="left" vertical="center"/>
    </xf>
    <xf numFmtId="0" fontId="37" fillId="0" borderId="63" xfId="0" applyFont="1" applyBorder="1" applyAlignment="1">
      <alignment horizontal="left" vertical="center"/>
    </xf>
    <xf numFmtId="0" fontId="3" fillId="0" borderId="24" xfId="0" applyFont="1" applyBorder="1" applyAlignment="1">
      <alignment horizontal="left" vertical="center"/>
    </xf>
    <xf numFmtId="0" fontId="15" fillId="5" borderId="0" xfId="0" applyFont="1" applyFill="1" applyAlignment="1">
      <alignment horizontal="center" vertical="center"/>
    </xf>
    <xf numFmtId="0" fontId="15" fillId="5" borderId="64" xfId="0" applyFont="1" applyFill="1" applyBorder="1" applyAlignment="1">
      <alignment horizontal="center" vertical="center"/>
    </xf>
    <xf numFmtId="0" fontId="2" fillId="0" borderId="87" xfId="0" applyFont="1" applyBorder="1" applyAlignment="1">
      <alignment horizontal="center" vertical="center" wrapText="1"/>
    </xf>
    <xf numFmtId="0" fontId="2" fillId="0" borderId="79" xfId="0" applyFont="1" applyBorder="1" applyAlignment="1">
      <alignment horizontal="center" vertical="center" wrapText="1"/>
    </xf>
    <xf numFmtId="0" fontId="2" fillId="0" borderId="78" xfId="0" applyFont="1" applyBorder="1" applyAlignment="1">
      <alignment horizontal="center" vertical="center" wrapText="1"/>
    </xf>
    <xf numFmtId="0" fontId="5" fillId="0" borderId="11" xfId="0" applyFont="1" applyBorder="1" applyAlignment="1">
      <alignment horizontal="left" vertical="center"/>
    </xf>
    <xf numFmtId="0" fontId="14" fillId="0" borderId="12" xfId="0" applyFont="1" applyBorder="1" applyAlignment="1">
      <alignment horizontal="left" vertical="center"/>
    </xf>
    <xf numFmtId="0" fontId="14" fillId="0" borderId="13" xfId="0" applyFont="1" applyBorder="1" applyAlignment="1">
      <alignment horizontal="left" vertical="center"/>
    </xf>
    <xf numFmtId="0" fontId="35" fillId="0" borderId="12" xfId="0" applyFont="1" applyBorder="1" applyAlignment="1">
      <alignment horizontal="center"/>
    </xf>
    <xf numFmtId="0" fontId="35" fillId="0" borderId="24" xfId="0" applyFont="1" applyBorder="1" applyAlignment="1">
      <alignment horizontal="center"/>
    </xf>
    <xf numFmtId="0" fontId="35" fillId="0" borderId="13" xfId="0" applyFont="1" applyBorder="1" applyAlignment="1">
      <alignment horizontal="center"/>
    </xf>
    <xf numFmtId="43" fontId="14" fillId="0" borderId="24" xfId="1" applyFont="1" applyFill="1" applyBorder="1" applyAlignment="1">
      <alignment horizontal="left" vertical="center"/>
    </xf>
    <xf numFmtId="0" fontId="3" fillId="3" borderId="0" xfId="0" quotePrefix="1" applyFont="1" applyFill="1" applyAlignment="1">
      <alignment horizontal="left" vertical="center" wrapText="1"/>
    </xf>
    <xf numFmtId="0" fontId="5" fillId="0" borderId="15" xfId="0" applyFont="1" applyBorder="1" applyAlignment="1">
      <alignment vertical="center"/>
    </xf>
    <xf numFmtId="0" fontId="35" fillId="0" borderId="15" xfId="0" applyFont="1" applyBorder="1"/>
    <xf numFmtId="0" fontId="5" fillId="0" borderId="20" xfId="0" applyFont="1" applyBorder="1" applyAlignment="1">
      <alignment vertical="center"/>
    </xf>
    <xf numFmtId="0" fontId="35" fillId="0" borderId="20" xfId="0" applyFont="1" applyBorder="1"/>
    <xf numFmtId="0" fontId="16" fillId="3" borderId="0" xfId="0" quotePrefix="1" applyFont="1" applyFill="1" applyAlignment="1">
      <alignment horizontal="left" vertical="center"/>
    </xf>
    <xf numFmtId="0" fontId="3" fillId="3" borderId="0" xfId="0" quotePrefix="1" applyFont="1" applyFill="1" applyAlignment="1">
      <alignment horizontal="left" vertical="center"/>
    </xf>
    <xf numFmtId="0" fontId="53" fillId="0" borderId="11" xfId="0" applyFont="1" applyBorder="1" applyAlignment="1">
      <alignment horizontal="center" vertical="center" wrapText="1"/>
    </xf>
    <xf numFmtId="0" fontId="53" fillId="0" borderId="11" xfId="0" applyFont="1" applyBorder="1" applyAlignment="1">
      <alignment horizontal="center" vertical="center"/>
    </xf>
    <xf numFmtId="0" fontId="32" fillId="0" borderId="0" xfId="0" applyFont="1" applyAlignment="1">
      <alignment horizontal="left" vertical="center" wrapText="1"/>
    </xf>
    <xf numFmtId="43" fontId="14" fillId="4" borderId="49" xfId="1" applyFont="1" applyFill="1" applyBorder="1" applyAlignment="1">
      <alignment horizontal="center" vertical="center"/>
    </xf>
    <xf numFmtId="43" fontId="14" fillId="4" borderId="54" xfId="1" applyFont="1" applyFill="1" applyBorder="1" applyAlignment="1">
      <alignment horizontal="center" vertical="center"/>
    </xf>
    <xf numFmtId="43" fontId="14" fillId="4" borderId="50" xfId="1" applyFont="1" applyFill="1" applyBorder="1" applyAlignment="1">
      <alignment horizontal="center" vertical="center"/>
    </xf>
    <xf numFmtId="0" fontId="35" fillId="0" borderId="11" xfId="0" applyFont="1" applyBorder="1" applyAlignment="1">
      <alignment horizontal="left" vertical="center"/>
    </xf>
    <xf numFmtId="0" fontId="35" fillId="0" borderId="15" xfId="0" applyFont="1" applyBorder="1" applyAlignment="1">
      <alignment horizontal="left" vertical="center"/>
    </xf>
    <xf numFmtId="0" fontId="2" fillId="4" borderId="19" xfId="0" applyFont="1" applyFill="1" applyBorder="1" applyAlignment="1">
      <alignment horizontal="center" vertical="center" wrapText="1"/>
    </xf>
    <xf numFmtId="0" fontId="2" fillId="4" borderId="82" xfId="0" applyFont="1" applyFill="1" applyBorder="1" applyAlignment="1">
      <alignment horizontal="center" vertical="center" wrapText="1"/>
    </xf>
    <xf numFmtId="0" fontId="2" fillId="4" borderId="15" xfId="0" applyFont="1" applyFill="1" applyBorder="1" applyAlignment="1">
      <alignment horizontal="center" vertical="center" wrapText="1"/>
    </xf>
    <xf numFmtId="165" fontId="8" fillId="4" borderId="15" xfId="0" applyNumberFormat="1" applyFont="1" applyFill="1" applyBorder="1" applyAlignment="1">
      <alignment horizontal="center" vertical="center"/>
    </xf>
    <xf numFmtId="164" fontId="14" fillId="3" borderId="11" xfId="0" applyNumberFormat="1" applyFont="1" applyFill="1" applyBorder="1" applyAlignment="1">
      <alignment horizontal="center" vertical="center"/>
    </xf>
    <xf numFmtId="0" fontId="12" fillId="0" borderId="11" xfId="0" applyFont="1" applyBorder="1" applyAlignment="1">
      <alignment horizontal="center" vertical="center" wrapText="1"/>
    </xf>
    <xf numFmtId="0" fontId="35" fillId="0" borderId="12" xfId="0" applyFont="1" applyBorder="1" applyAlignment="1">
      <alignment horizontal="left" vertical="center"/>
    </xf>
    <xf numFmtId="0" fontId="35" fillId="0" borderId="13" xfId="0" applyFont="1" applyBorder="1" applyAlignment="1">
      <alignment horizontal="left" vertical="center"/>
    </xf>
    <xf numFmtId="43" fontId="33" fillId="0" borderId="15" xfId="0" applyNumberFormat="1" applyFont="1" applyBorder="1" applyAlignment="1">
      <alignment horizontal="center" vertical="center"/>
    </xf>
    <xf numFmtId="43" fontId="33" fillId="0" borderId="20" xfId="0" applyNumberFormat="1" applyFont="1" applyBorder="1" applyAlignment="1">
      <alignment horizontal="center" vertical="center"/>
    </xf>
    <xf numFmtId="43" fontId="32" fillId="0" borderId="12" xfId="0" applyNumberFormat="1" applyFont="1" applyBorder="1" applyAlignment="1">
      <alignment horizontal="center" vertical="center"/>
    </xf>
    <xf numFmtId="43" fontId="32" fillId="0" borderId="24" xfId="0" applyNumberFormat="1" applyFont="1" applyBorder="1" applyAlignment="1">
      <alignment horizontal="center" vertical="center"/>
    </xf>
    <xf numFmtId="43" fontId="32" fillId="0" borderId="13" xfId="0" applyNumberFormat="1" applyFont="1" applyBorder="1" applyAlignment="1">
      <alignment horizontal="center" vertical="center"/>
    </xf>
    <xf numFmtId="43" fontId="33" fillId="0" borderId="12" xfId="0" applyNumberFormat="1" applyFont="1" applyBorder="1" applyAlignment="1">
      <alignment horizontal="left" vertical="center"/>
    </xf>
    <xf numFmtId="43" fontId="33" fillId="0" borderId="24" xfId="0" applyNumberFormat="1" applyFont="1" applyBorder="1" applyAlignment="1">
      <alignment horizontal="left" vertical="center"/>
    </xf>
    <xf numFmtId="43" fontId="33" fillId="0" borderId="13" xfId="0" applyNumberFormat="1" applyFont="1" applyBorder="1" applyAlignment="1">
      <alignment horizontal="left" vertical="center"/>
    </xf>
    <xf numFmtId="0" fontId="5" fillId="0" borderId="13" xfId="0" quotePrefix="1" applyFont="1" applyBorder="1" applyAlignment="1">
      <alignment horizontal="left" vertical="center" wrapText="1"/>
    </xf>
    <xf numFmtId="0" fontId="35" fillId="0" borderId="11" xfId="0" applyFont="1" applyBorder="1" applyAlignment="1">
      <alignment horizontal="right" vertical="center"/>
    </xf>
    <xf numFmtId="164" fontId="35" fillId="0" borderId="11" xfId="0" applyNumberFormat="1" applyFont="1" applyBorder="1" applyAlignment="1">
      <alignment horizontal="center" vertical="center"/>
    </xf>
    <xf numFmtId="0" fontId="35" fillId="0" borderId="11" xfId="0" applyFont="1" applyBorder="1" applyAlignment="1">
      <alignment horizontal="center" vertical="center"/>
    </xf>
    <xf numFmtId="0" fontId="22" fillId="0" borderId="0" xfId="0" quotePrefix="1" applyFont="1" applyAlignment="1">
      <alignment horizontal="left" vertical="center"/>
    </xf>
    <xf numFmtId="0" fontId="59" fillId="3" borderId="0" xfId="0" quotePrefix="1" applyFont="1" applyFill="1" applyAlignment="1">
      <alignment horizontal="left" vertical="center"/>
    </xf>
    <xf numFmtId="0" fontId="55" fillId="0" borderId="11" xfId="0" applyFont="1" applyBorder="1" applyAlignment="1">
      <alignment horizontal="center" vertical="center"/>
    </xf>
    <xf numFmtId="0" fontId="14" fillId="0" borderId="11" xfId="0" applyFont="1" applyBorder="1" applyAlignment="1">
      <alignment horizontal="right" vertical="center"/>
    </xf>
    <xf numFmtId="41" fontId="5" fillId="0" borderId="11" xfId="0" applyNumberFormat="1" applyFont="1" applyBorder="1" applyAlignment="1">
      <alignment horizontal="center" vertical="center"/>
    </xf>
    <xf numFmtId="0" fontId="56" fillId="0" borderId="11" xfId="0" applyFont="1" applyBorder="1" applyAlignment="1">
      <alignment horizontal="center" vertical="center"/>
    </xf>
    <xf numFmtId="164" fontId="3" fillId="0" borderId="11" xfId="0" applyNumberFormat="1" applyFont="1" applyBorder="1" applyAlignment="1">
      <alignment horizontal="center" vertical="center"/>
    </xf>
    <xf numFmtId="0" fontId="5" fillId="0" borderId="11" xfId="0" quotePrefix="1" applyFont="1" applyBorder="1" applyAlignment="1">
      <alignment horizontal="right" vertical="center" wrapText="1"/>
    </xf>
    <xf numFmtId="0" fontId="56" fillId="0" borderId="15" xfId="0" applyFont="1" applyBorder="1" applyAlignment="1">
      <alignment horizontal="center" vertical="center"/>
    </xf>
    <xf numFmtId="41" fontId="5" fillId="0" borderId="12" xfId="0" applyNumberFormat="1" applyFont="1" applyBorder="1" applyAlignment="1">
      <alignment horizontal="left" vertical="center"/>
    </xf>
    <xf numFmtId="41" fontId="5" fillId="0" borderId="24" xfId="0" applyNumberFormat="1" applyFont="1" applyBorder="1" applyAlignment="1">
      <alignment horizontal="left" vertical="center"/>
    </xf>
    <xf numFmtId="41" fontId="5" fillId="0" borderId="13" xfId="0" applyNumberFormat="1" applyFont="1" applyBorder="1" applyAlignment="1">
      <alignment horizontal="left" vertical="center"/>
    </xf>
    <xf numFmtId="0" fontId="5" fillId="0" borderId="21" xfId="0" applyFont="1" applyBorder="1" applyAlignment="1">
      <alignment horizontal="center" vertical="center" wrapText="1"/>
    </xf>
    <xf numFmtId="0" fontId="5" fillId="0" borderId="49" xfId="0" applyFont="1" applyBorder="1" applyAlignment="1">
      <alignment horizontal="center" vertical="center" wrapText="1"/>
    </xf>
    <xf numFmtId="0" fontId="35" fillId="0" borderId="11" xfId="0" applyFont="1" applyBorder="1" applyAlignment="1">
      <alignment horizontal="center"/>
    </xf>
    <xf numFmtId="0" fontId="39" fillId="4" borderId="12" xfId="0" applyFont="1" applyFill="1" applyBorder="1" applyAlignment="1">
      <alignment horizontal="center" vertical="center"/>
    </xf>
    <xf numFmtId="0" fontId="39" fillId="4" borderId="24" xfId="0" applyFont="1" applyFill="1" applyBorder="1" applyAlignment="1">
      <alignment horizontal="center" vertical="center"/>
    </xf>
    <xf numFmtId="0" fontId="39" fillId="4" borderId="13" xfId="0" applyFont="1" applyFill="1" applyBorder="1" applyAlignment="1">
      <alignment horizontal="center" vertical="center"/>
    </xf>
    <xf numFmtId="0" fontId="53" fillId="17" borderId="12" xfId="0" applyFont="1" applyFill="1" applyBorder="1" applyAlignment="1">
      <alignment horizontal="center" vertical="center"/>
    </xf>
    <xf numFmtId="0" fontId="53" fillId="17" borderId="24" xfId="0" applyFont="1" applyFill="1" applyBorder="1" applyAlignment="1">
      <alignment horizontal="center" vertical="center"/>
    </xf>
    <xf numFmtId="0" fontId="53" fillId="17" borderId="13" xfId="0" applyFont="1" applyFill="1" applyBorder="1" applyAlignment="1">
      <alignment horizontal="center" vertical="center"/>
    </xf>
    <xf numFmtId="164" fontId="5" fillId="15" borderId="12" xfId="1" applyNumberFormat="1" applyFont="1" applyFill="1" applyBorder="1" applyAlignment="1">
      <alignment horizontal="center" vertical="center"/>
    </xf>
    <xf numFmtId="164" fontId="5" fillId="15" borderId="24" xfId="1" applyNumberFormat="1" applyFont="1" applyFill="1" applyBorder="1" applyAlignment="1">
      <alignment horizontal="center" vertical="center"/>
    </xf>
    <xf numFmtId="164" fontId="5" fillId="15" borderId="13" xfId="1" applyNumberFormat="1" applyFont="1" applyFill="1" applyBorder="1" applyAlignment="1">
      <alignment horizontal="center" vertical="center"/>
    </xf>
    <xf numFmtId="0" fontId="14" fillId="17" borderId="12" xfId="0" applyFont="1" applyFill="1" applyBorder="1" applyAlignment="1">
      <alignment horizontal="center" vertical="center"/>
    </xf>
    <xf numFmtId="0" fontId="14" fillId="17" borderId="24" xfId="0" applyFont="1" applyFill="1" applyBorder="1" applyAlignment="1">
      <alignment horizontal="center" vertical="center"/>
    </xf>
    <xf numFmtId="0" fontId="14" fillId="17" borderId="13" xfId="0" applyFont="1" applyFill="1" applyBorder="1" applyAlignment="1">
      <alignment horizontal="center" vertical="center"/>
    </xf>
    <xf numFmtId="0" fontId="15" fillId="29" borderId="11" xfId="0" applyFont="1" applyFill="1" applyBorder="1" applyAlignment="1">
      <alignment horizontal="center" vertical="center" wrapText="1"/>
    </xf>
    <xf numFmtId="165" fontId="31" fillId="29" borderId="11" xfId="0" applyNumberFormat="1" applyFont="1" applyFill="1" applyBorder="1" applyAlignment="1">
      <alignment horizontal="center" vertical="center"/>
    </xf>
    <xf numFmtId="0" fontId="68" fillId="0" borderId="0" xfId="0" applyFont="1" applyAlignment="1">
      <alignment horizontal="left" vertical="center" wrapText="1"/>
    </xf>
    <xf numFmtId="0" fontId="5" fillId="0" borderId="93" xfId="0" applyFont="1" applyBorder="1" applyAlignment="1">
      <alignment horizontal="center" vertical="center" wrapText="1"/>
    </xf>
    <xf numFmtId="0" fontId="5" fillId="0" borderId="94" xfId="0" applyFont="1" applyBorder="1" applyAlignment="1">
      <alignment horizontal="center" vertical="center" wrapText="1"/>
    </xf>
    <xf numFmtId="0" fontId="15" fillId="5" borderId="21" xfId="0" applyFont="1" applyFill="1" applyBorder="1" applyAlignment="1">
      <alignment horizontal="center" vertical="center"/>
    </xf>
    <xf numFmtId="41" fontId="35" fillId="0" borderId="12" xfId="0" applyNumberFormat="1" applyFont="1" applyBorder="1" applyAlignment="1">
      <alignment horizontal="center" vertical="center"/>
    </xf>
    <xf numFmtId="0" fontId="14" fillId="0" borderId="15" xfId="0" applyFont="1" applyBorder="1" applyAlignment="1">
      <alignment horizontal="center" vertical="center" wrapText="1"/>
    </xf>
    <xf numFmtId="4" fontId="56" fillId="0" borderId="15" xfId="0" applyNumberFormat="1" applyFont="1" applyBorder="1" applyAlignment="1">
      <alignment horizontal="center" vertical="center"/>
    </xf>
    <xf numFmtId="0" fontId="14" fillId="4" borderId="11" xfId="0" applyFont="1" applyFill="1" applyBorder="1" applyAlignment="1">
      <alignment horizontal="center" vertical="center" wrapText="1"/>
    </xf>
    <xf numFmtId="165" fontId="56" fillId="4" borderId="11" xfId="0" applyNumberFormat="1" applyFont="1" applyFill="1" applyBorder="1" applyAlignment="1">
      <alignment horizontal="center" vertical="center"/>
    </xf>
    <xf numFmtId="0" fontId="14" fillId="29" borderId="11" xfId="0" applyFont="1" applyFill="1" applyBorder="1" applyAlignment="1">
      <alignment horizontal="center" vertical="center" wrapText="1"/>
    </xf>
    <xf numFmtId="165" fontId="56" fillId="29" borderId="11" xfId="0" applyNumberFormat="1" applyFont="1" applyFill="1" applyBorder="1" applyAlignment="1">
      <alignment horizontal="center" vertical="center"/>
    </xf>
    <xf numFmtId="0" fontId="5" fillId="4" borderId="11" xfId="0" applyFont="1" applyFill="1" applyBorder="1" applyAlignment="1">
      <alignment horizontal="center" vertical="center" wrapText="1"/>
    </xf>
    <xf numFmtId="0" fontId="5" fillId="4" borderId="15" xfId="0" applyFont="1" applyFill="1" applyBorder="1" applyAlignment="1">
      <alignment horizontal="center" vertical="center" wrapText="1"/>
    </xf>
    <xf numFmtId="165" fontId="56" fillId="4" borderId="15" xfId="0" applyNumberFormat="1" applyFont="1" applyFill="1" applyBorder="1" applyAlignment="1">
      <alignment horizontal="center" vertical="center"/>
    </xf>
    <xf numFmtId="0" fontId="5" fillId="0" borderId="11" xfId="0" applyFont="1" applyBorder="1" applyAlignment="1">
      <alignment horizontal="center" vertical="center" wrapText="1"/>
    </xf>
    <xf numFmtId="4" fontId="56" fillId="0" borderId="11" xfId="0" applyNumberFormat="1" applyFont="1" applyBorder="1" applyAlignment="1">
      <alignment horizontal="center" vertical="center"/>
    </xf>
    <xf numFmtId="0" fontId="5" fillId="0" borderId="19" xfId="0" applyFont="1" applyBorder="1" applyAlignment="1">
      <alignment horizontal="center" vertical="center" wrapText="1"/>
    </xf>
    <xf numFmtId="0" fontId="5" fillId="0" borderId="96" xfId="0" applyFont="1" applyBorder="1" applyAlignment="1">
      <alignment horizontal="center" vertical="center" wrapText="1"/>
    </xf>
    <xf numFmtId="0" fontId="5" fillId="0" borderId="17" xfId="0" applyFont="1" applyBorder="1" applyAlignment="1">
      <alignment horizontal="center" vertical="center" wrapText="1"/>
    </xf>
    <xf numFmtId="4" fontId="56" fillId="0" borderId="17" xfId="0" applyNumberFormat="1" applyFont="1" applyBorder="1" applyAlignment="1">
      <alignment horizontal="center" vertical="center"/>
    </xf>
    <xf numFmtId="0" fontId="5" fillId="0" borderId="20" xfId="0" applyFont="1" applyBorder="1" applyAlignment="1">
      <alignment horizontal="center" vertical="center" wrapText="1"/>
    </xf>
    <xf numFmtId="0" fontId="14" fillId="0" borderId="95" xfId="0" applyFont="1" applyBorder="1" applyAlignment="1">
      <alignment horizontal="center" vertical="center"/>
    </xf>
    <xf numFmtId="0" fontId="14" fillId="0" borderId="19" xfId="0" applyFont="1" applyBorder="1" applyAlignment="1">
      <alignment horizontal="center" vertical="center"/>
    </xf>
    <xf numFmtId="0" fontId="14" fillId="2" borderId="9" xfId="0" applyFont="1" applyFill="1" applyBorder="1" applyAlignment="1">
      <alignment horizontal="center" vertical="center"/>
    </xf>
    <xf numFmtId="0" fontId="14" fillId="2" borderId="9" xfId="0" applyFont="1" applyFill="1" applyBorder="1" applyAlignment="1">
      <alignment horizontal="center" vertical="center" wrapText="1"/>
    </xf>
    <xf numFmtId="0" fontId="14" fillId="2" borderId="11" xfId="0" applyFont="1" applyFill="1" applyBorder="1" applyAlignment="1">
      <alignment horizontal="center" vertical="center" wrapText="1"/>
    </xf>
    <xf numFmtId="43" fontId="14" fillId="2" borderId="9" xfId="0" applyNumberFormat="1" applyFont="1" applyFill="1" applyBorder="1" applyAlignment="1">
      <alignment horizontal="center" vertical="center" wrapText="1"/>
    </xf>
    <xf numFmtId="43" fontId="14" fillId="2" borderId="11" xfId="0" applyNumberFormat="1" applyFont="1" applyFill="1" applyBorder="1" applyAlignment="1">
      <alignment horizontal="center" vertical="center" wrapText="1"/>
    </xf>
    <xf numFmtId="4" fontId="56" fillId="0" borderId="12" xfId="0" applyNumberFormat="1" applyFont="1" applyBorder="1" applyAlignment="1">
      <alignment horizontal="center" vertical="center"/>
    </xf>
    <xf numFmtId="4" fontId="56" fillId="0" borderId="13" xfId="0" applyNumberFormat="1" applyFont="1" applyBorder="1" applyAlignment="1">
      <alignment horizontal="center" vertical="center"/>
    </xf>
    <xf numFmtId="0" fontId="5" fillId="4" borderId="21" xfId="0" applyFont="1" applyFill="1" applyBorder="1" applyAlignment="1">
      <alignment horizontal="center" vertical="center" wrapText="1"/>
    </xf>
    <xf numFmtId="0" fontId="5" fillId="4" borderId="23" xfId="0" applyFont="1" applyFill="1" applyBorder="1" applyAlignment="1">
      <alignment horizontal="center" vertical="center" wrapText="1"/>
    </xf>
    <xf numFmtId="0" fontId="5" fillId="4" borderId="49" xfId="0" applyFont="1" applyFill="1" applyBorder="1" applyAlignment="1">
      <alignment horizontal="center" vertical="center" wrapText="1"/>
    </xf>
    <xf numFmtId="0" fontId="5" fillId="4" borderId="50" xfId="0" applyFont="1" applyFill="1" applyBorder="1" applyAlignment="1">
      <alignment horizontal="center" vertical="center" wrapText="1"/>
    </xf>
    <xf numFmtId="165" fontId="56" fillId="4" borderId="12" xfId="0" applyNumberFormat="1" applyFont="1" applyFill="1" applyBorder="1" applyAlignment="1">
      <alignment horizontal="center" vertical="center"/>
    </xf>
    <xf numFmtId="165" fontId="56" fillId="4" borderId="13" xfId="0" applyNumberFormat="1" applyFont="1" applyFill="1" applyBorder="1" applyAlignment="1">
      <alignment horizontal="center" vertical="center"/>
    </xf>
    <xf numFmtId="0" fontId="5" fillId="0" borderId="15" xfId="0" applyFont="1" applyBorder="1" applyAlignment="1">
      <alignment horizontal="center" vertical="center" wrapText="1"/>
    </xf>
    <xf numFmtId="0" fontId="5" fillId="0" borderId="16" xfId="0" applyFont="1" applyBorder="1" applyAlignment="1">
      <alignment horizontal="center" vertical="center" wrapText="1"/>
    </xf>
    <xf numFmtId="43" fontId="14" fillId="7" borderId="11" xfId="0" applyNumberFormat="1" applyFont="1" applyFill="1" applyBorder="1" applyAlignment="1">
      <alignment horizontal="center" vertical="center" wrapText="1"/>
    </xf>
    <xf numFmtId="0" fontId="60" fillId="3" borderId="0" xfId="0" quotePrefix="1" applyFont="1" applyFill="1" applyAlignment="1">
      <alignment horizontal="left" wrapText="1"/>
    </xf>
    <xf numFmtId="0" fontId="60" fillId="3" borderId="0" xfId="0" quotePrefix="1" applyFont="1" applyFill="1" applyAlignment="1">
      <alignment horizontal="left" vertical="center" wrapText="1"/>
    </xf>
    <xf numFmtId="0" fontId="14" fillId="7" borderId="11" xfId="5" applyFont="1" applyFill="1" applyBorder="1" applyAlignment="1">
      <alignment horizontal="center" vertical="center" wrapText="1"/>
    </xf>
    <xf numFmtId="3" fontId="14" fillId="7" borderId="11" xfId="5" applyNumberFormat="1" applyFont="1" applyFill="1" applyBorder="1" applyAlignment="1">
      <alignment horizontal="center" vertical="center" wrapText="1"/>
    </xf>
    <xf numFmtId="4" fontId="14" fillId="7" borderId="11" xfId="0" applyNumberFormat="1" applyFont="1" applyFill="1" applyBorder="1" applyAlignment="1">
      <alignment horizontal="center" vertical="center"/>
    </xf>
    <xf numFmtId="0" fontId="53" fillId="7" borderId="11" xfId="0" applyFont="1" applyFill="1" applyBorder="1" applyAlignment="1">
      <alignment horizontal="center" vertical="center" wrapText="1"/>
    </xf>
    <xf numFmtId="0" fontId="14" fillId="17" borderId="11" xfId="0" applyFont="1" applyFill="1" applyBorder="1" applyAlignment="1">
      <alignment horizontal="center" vertical="center"/>
    </xf>
    <xf numFmtId="0" fontId="39" fillId="4" borderId="11" xfId="0" applyFont="1" applyFill="1" applyBorder="1" applyAlignment="1">
      <alignment horizontal="center" vertical="center"/>
    </xf>
    <xf numFmtId="0" fontId="53" fillId="7" borderId="11" xfId="0" applyFont="1" applyFill="1" applyBorder="1" applyAlignment="1">
      <alignment horizontal="center" vertical="center"/>
    </xf>
    <xf numFmtId="0" fontId="12" fillId="7" borderId="11" xfId="0" applyFont="1" applyFill="1" applyBorder="1" applyAlignment="1">
      <alignment horizontal="center" vertical="center"/>
    </xf>
    <xf numFmtId="0" fontId="12" fillId="7" borderId="11" xfId="0" applyFont="1" applyFill="1" applyBorder="1" applyAlignment="1">
      <alignment horizontal="center" vertical="center" wrapText="1"/>
    </xf>
    <xf numFmtId="0" fontId="5" fillId="0" borderId="11" xfId="0" applyFont="1" applyBorder="1" applyAlignment="1">
      <alignment horizontal="center" vertical="center"/>
    </xf>
    <xf numFmtId="0" fontId="5" fillId="0" borderId="11" xfId="0" quotePrefix="1" applyFont="1" applyBorder="1" applyAlignment="1">
      <alignment horizontal="center" vertical="center" wrapText="1"/>
    </xf>
    <xf numFmtId="0" fontId="14" fillId="7" borderId="11" xfId="0" applyFont="1" applyFill="1" applyBorder="1" applyAlignment="1">
      <alignment horizontal="center" vertical="center" wrapText="1"/>
    </xf>
    <xf numFmtId="0" fontId="35" fillId="7" borderId="11" xfId="0" applyFont="1" applyFill="1" applyBorder="1"/>
    <xf numFmtId="2" fontId="14" fillId="7" borderId="11" xfId="0" applyNumberFormat="1" applyFont="1" applyFill="1" applyBorder="1" applyAlignment="1">
      <alignment horizontal="center" vertical="center" wrapText="1"/>
    </xf>
    <xf numFmtId="0" fontId="32" fillId="28" borderId="11" xfId="0" applyFont="1" applyFill="1" applyBorder="1" applyAlignment="1">
      <alignment horizontal="center" vertical="center" wrapText="1"/>
    </xf>
    <xf numFmtId="0" fontId="2" fillId="12" borderId="11" xfId="0" applyFont="1" applyFill="1" applyBorder="1" applyAlignment="1">
      <alignment horizontal="center" vertical="center"/>
    </xf>
    <xf numFmtId="0" fontId="32" fillId="28" borderId="11" xfId="0" applyFont="1" applyFill="1" applyBorder="1" applyAlignment="1">
      <alignment horizontal="center" vertical="center"/>
    </xf>
    <xf numFmtId="0" fontId="32" fillId="0" borderId="0" xfId="0" applyFont="1" applyAlignment="1">
      <alignment horizontal="center" vertical="center" wrapText="1"/>
    </xf>
    <xf numFmtId="0" fontId="2" fillId="12" borderId="15" xfId="0" applyFont="1" applyFill="1" applyBorder="1" applyAlignment="1">
      <alignment horizontal="center" vertical="center"/>
    </xf>
    <xf numFmtId="0" fontId="2" fillId="12" borderId="20" xfId="0" applyFont="1" applyFill="1" applyBorder="1" applyAlignment="1">
      <alignment horizontal="center" vertical="center"/>
    </xf>
    <xf numFmtId="0" fontId="3" fillId="0" borderId="15" xfId="0" applyFont="1" applyBorder="1" applyAlignment="1">
      <alignment horizontal="center" vertical="center" wrapText="1"/>
    </xf>
    <xf numFmtId="0" fontId="32" fillId="18" borderId="11" xfId="0" applyFont="1" applyFill="1" applyBorder="1" applyAlignment="1">
      <alignment horizontal="center" vertical="center" wrapText="1"/>
    </xf>
    <xf numFmtId="0" fontId="32" fillId="35" borderId="11" xfId="0" applyFont="1" applyFill="1" applyBorder="1" applyAlignment="1">
      <alignment horizontal="center" vertical="center" wrapText="1"/>
    </xf>
    <xf numFmtId="0" fontId="3" fillId="23" borderId="11" xfId="0" applyFont="1" applyFill="1" applyBorder="1" applyAlignment="1">
      <alignment horizontal="center" vertical="center" wrapText="1"/>
    </xf>
    <xf numFmtId="0" fontId="2" fillId="7" borderId="11" xfId="0" applyFont="1" applyFill="1" applyBorder="1" applyAlignment="1">
      <alignment horizontal="center" vertical="center"/>
    </xf>
    <xf numFmtId="0" fontId="2" fillId="7" borderId="11" xfId="0" applyFont="1" applyFill="1" applyBorder="1" applyAlignment="1">
      <alignment horizontal="center" vertical="center" wrapText="1"/>
    </xf>
    <xf numFmtId="0" fontId="15" fillId="5" borderId="11" xfId="0" applyFont="1" applyFill="1" applyBorder="1" applyAlignment="1">
      <alignment horizontal="center" vertical="center"/>
    </xf>
    <xf numFmtId="43" fontId="16" fillId="5" borderId="11" xfId="0" applyNumberFormat="1" applyFont="1" applyFill="1" applyBorder="1" applyAlignment="1">
      <alignment horizontal="center" vertical="center"/>
    </xf>
    <xf numFmtId="43" fontId="31" fillId="5" borderId="11" xfId="0" applyNumberFormat="1" applyFont="1" applyFill="1" applyBorder="1" applyAlignment="1">
      <alignment horizontal="center" vertical="center"/>
    </xf>
    <xf numFmtId="0" fontId="32" fillId="27" borderId="11" xfId="0" applyFont="1" applyFill="1" applyBorder="1" applyAlignment="1">
      <alignment horizontal="center" vertical="center"/>
    </xf>
    <xf numFmtId="0" fontId="32" fillId="26" borderId="11" xfId="0" applyFont="1" applyFill="1" applyBorder="1" applyAlignment="1">
      <alignment horizontal="center" vertical="center"/>
    </xf>
    <xf numFmtId="0" fontId="32" fillId="26" borderId="11" xfId="0" applyFont="1" applyFill="1" applyBorder="1" applyAlignment="1">
      <alignment horizontal="center" vertical="center" wrapText="1"/>
    </xf>
    <xf numFmtId="0" fontId="10" fillId="7" borderId="11" xfId="0" applyFont="1" applyFill="1" applyBorder="1" applyAlignment="1">
      <alignment horizontal="center" vertical="center"/>
    </xf>
    <xf numFmtId="0" fontId="10" fillId="7" borderId="11" xfId="0" applyFont="1" applyFill="1" applyBorder="1" applyAlignment="1">
      <alignment horizontal="center" vertical="center" wrapText="1"/>
    </xf>
    <xf numFmtId="0" fontId="13" fillId="4" borderId="11" xfId="0" applyFont="1" applyFill="1" applyBorder="1" applyAlignment="1">
      <alignment horizontal="center" vertical="center" wrapText="1"/>
    </xf>
    <xf numFmtId="4" fontId="3" fillId="4" borderId="11" xfId="0" applyNumberFormat="1" applyFont="1" applyFill="1" applyBorder="1" applyAlignment="1">
      <alignment horizontal="center" vertical="center"/>
    </xf>
    <xf numFmtId="165" fontId="8" fillId="7" borderId="11" xfId="0" applyNumberFormat="1" applyFont="1" applyFill="1" applyBorder="1" applyAlignment="1">
      <alignment horizontal="center" vertical="center"/>
    </xf>
    <xf numFmtId="43" fontId="3" fillId="23" borderId="11" xfId="1" applyFont="1" applyFill="1" applyBorder="1" applyAlignment="1">
      <alignment vertical="center"/>
    </xf>
    <xf numFmtId="166" fontId="11" fillId="24" borderId="11" xfId="0" applyNumberFormat="1" applyFont="1" applyFill="1" applyBorder="1" applyAlignment="1">
      <alignment horizontal="center" vertical="center" wrapText="1"/>
    </xf>
    <xf numFmtId="168" fontId="8" fillId="23" borderId="11" xfId="1" applyNumberFormat="1" applyFont="1" applyFill="1" applyBorder="1" applyAlignment="1">
      <alignment horizontal="center" vertical="center"/>
    </xf>
    <xf numFmtId="165" fontId="11" fillId="0" borderId="11" xfId="0" applyNumberFormat="1" applyFont="1" applyBorder="1" applyAlignment="1">
      <alignment horizontal="center" vertical="center" wrapText="1"/>
    </xf>
    <xf numFmtId="0" fontId="10" fillId="0" borderId="20" xfId="0" applyFont="1" applyBorder="1" applyAlignment="1">
      <alignment horizontal="center" vertical="center" wrapText="1"/>
    </xf>
    <xf numFmtId="166" fontId="11" fillId="0" borderId="11" xfId="0" applyNumberFormat="1" applyFont="1" applyBorder="1" applyAlignment="1">
      <alignment horizontal="center" vertical="center" wrapText="1"/>
    </xf>
    <xf numFmtId="2" fontId="11" fillId="0" borderId="11" xfId="0" applyNumberFormat="1" applyFont="1" applyBorder="1" applyAlignment="1">
      <alignment horizontal="center" vertical="center" wrapText="1"/>
    </xf>
    <xf numFmtId="165" fontId="8" fillId="0" borderId="15" xfId="0" applyNumberFormat="1" applyFont="1" applyBorder="1" applyAlignment="1">
      <alignment horizontal="center" vertical="center"/>
    </xf>
    <xf numFmtId="165" fontId="8" fillId="0" borderId="11" xfId="0" applyNumberFormat="1" applyFont="1" applyBorder="1" applyAlignment="1">
      <alignment horizontal="center" vertical="center"/>
    </xf>
    <xf numFmtId="0" fontId="90" fillId="34" borderId="0" xfId="0" applyFont="1" applyFill="1" applyAlignment="1">
      <alignment horizontal="center" vertical="center"/>
    </xf>
    <xf numFmtId="0" fontId="13" fillId="0" borderId="95" xfId="0" applyFont="1" applyBorder="1" applyAlignment="1">
      <alignment horizontal="center" vertical="center"/>
    </xf>
    <xf numFmtId="0" fontId="13" fillId="0" borderId="19" xfId="0" applyFont="1" applyBorder="1" applyAlignment="1">
      <alignment horizontal="center" vertical="center"/>
    </xf>
    <xf numFmtId="0" fontId="13" fillId="0" borderId="96" xfId="0" applyFont="1" applyBorder="1" applyAlignment="1">
      <alignment horizontal="center" vertical="center"/>
    </xf>
    <xf numFmtId="0" fontId="35" fillId="23" borderId="17" xfId="0" applyFont="1" applyFill="1" applyBorder="1"/>
    <xf numFmtId="0" fontId="5" fillId="0" borderId="11" xfId="5" quotePrefix="1" applyFont="1" applyBorder="1" applyAlignment="1">
      <alignment horizontal="left" vertical="top" wrapText="1"/>
    </xf>
    <xf numFmtId="0" fontId="5" fillId="0" borderId="12" xfId="5" quotePrefix="1" applyFont="1" applyBorder="1" applyAlignment="1">
      <alignment horizontal="center" vertical="top" wrapText="1"/>
    </xf>
    <xf numFmtId="0" fontId="5" fillId="0" borderId="24" xfId="5" quotePrefix="1" applyFont="1" applyBorder="1" applyAlignment="1">
      <alignment horizontal="center" vertical="top" wrapText="1"/>
    </xf>
    <xf numFmtId="0" fontId="5" fillId="0" borderId="13" xfId="5" quotePrefix="1" applyFont="1" applyBorder="1" applyAlignment="1">
      <alignment horizontal="center" vertical="top" wrapText="1"/>
    </xf>
    <xf numFmtId="0" fontId="5" fillId="0" borderId="12" xfId="0" applyFont="1" applyBorder="1" applyAlignment="1">
      <alignment horizontal="left" vertical="center" wrapText="1"/>
    </xf>
    <xf numFmtId="0" fontId="5" fillId="0" borderId="13" xfId="0" applyFont="1" applyBorder="1" applyAlignment="1">
      <alignment horizontal="left" vertical="center" wrapText="1"/>
    </xf>
    <xf numFmtId="0" fontId="33" fillId="0" borderId="0" xfId="0" applyFont="1" applyAlignment="1">
      <alignment horizontal="left" vertical="center"/>
    </xf>
    <xf numFmtId="0" fontId="13" fillId="0" borderId="82" xfId="0" applyFont="1" applyBorder="1" applyAlignment="1">
      <alignment horizontal="center" vertical="center"/>
    </xf>
    <xf numFmtId="0" fontId="35" fillId="23" borderId="15" xfId="0" applyFont="1" applyFill="1" applyBorder="1"/>
    <xf numFmtId="0" fontId="5" fillId="0" borderId="11" xfId="0" applyFont="1" applyBorder="1" applyAlignment="1">
      <alignment vertical="center" wrapText="1"/>
    </xf>
    <xf numFmtId="0" fontId="35" fillId="0" borderId="11" xfId="0" applyFont="1" applyBorder="1" applyAlignment="1">
      <alignment wrapText="1"/>
    </xf>
    <xf numFmtId="4" fontId="14" fillId="7" borderId="11" xfId="0" applyNumberFormat="1" applyFont="1" applyFill="1" applyBorder="1" applyAlignment="1">
      <alignment horizontal="center" vertical="center" wrapText="1"/>
    </xf>
    <xf numFmtId="0" fontId="14" fillId="0" borderId="11" xfId="5" applyFont="1" applyBorder="1" applyAlignment="1">
      <alignment horizontal="center" vertical="center"/>
    </xf>
    <xf numFmtId="0" fontId="5" fillId="0" borderId="11" xfId="5" applyFont="1" applyBorder="1" applyAlignment="1">
      <alignment horizontal="left" vertical="center"/>
    </xf>
    <xf numFmtId="0" fontId="5" fillId="0" borderId="11" xfId="5" quotePrefix="1" applyFont="1" applyBorder="1" applyAlignment="1">
      <alignment horizontal="left" vertical="center" wrapText="1"/>
    </xf>
    <xf numFmtId="0" fontId="5" fillId="0" borderId="11" xfId="5" applyFont="1" applyBorder="1" applyAlignment="1">
      <alignment horizontal="left" vertical="center" wrapText="1"/>
    </xf>
    <xf numFmtId="0" fontId="2" fillId="0" borderId="54" xfId="0" applyFont="1" applyBorder="1" applyAlignment="1">
      <alignment horizontal="left" vertical="center"/>
    </xf>
    <xf numFmtId="0" fontId="3" fillId="0" borderId="0" xfId="0" quotePrefix="1" applyFont="1" applyAlignment="1">
      <alignment horizontal="left" vertical="top" wrapText="1"/>
    </xf>
    <xf numFmtId="0" fontId="3" fillId="0" borderId="0" xfId="0" quotePrefix="1" applyFont="1" applyAlignment="1">
      <alignment horizontal="left"/>
    </xf>
    <xf numFmtId="0" fontId="33" fillId="0" borderId="0" xfId="0" applyFont="1" applyAlignment="1">
      <alignment horizontal="left" vertical="top" wrapText="1"/>
    </xf>
    <xf numFmtId="0" fontId="10" fillId="0" borderId="0" xfId="0" quotePrefix="1" applyFont="1" applyAlignment="1">
      <alignment horizontal="left" vertical="center" wrapText="1"/>
    </xf>
    <xf numFmtId="0" fontId="10" fillId="0" borderId="0" xfId="0" applyFont="1" applyAlignment="1">
      <alignment horizontal="left" vertical="center" wrapText="1"/>
    </xf>
    <xf numFmtId="0" fontId="37" fillId="7" borderId="11" xfId="0" quotePrefix="1" applyFont="1" applyFill="1" applyBorder="1" applyAlignment="1">
      <alignment horizontal="center" vertical="center" wrapText="1"/>
    </xf>
    <xf numFmtId="0" fontId="61" fillId="3" borderId="0" xfId="0" quotePrefix="1" applyFont="1" applyFill="1" applyAlignment="1">
      <alignment horizontal="left" vertical="center" wrapText="1"/>
    </xf>
    <xf numFmtId="43" fontId="14" fillId="17" borderId="11" xfId="1" applyFont="1" applyFill="1" applyBorder="1" applyAlignment="1">
      <alignment horizontal="center" vertical="center"/>
    </xf>
    <xf numFmtId="0" fontId="81" fillId="34" borderId="100" xfId="0" applyFont="1" applyFill="1" applyBorder="1" applyAlignment="1">
      <alignment horizontal="center" vertical="center"/>
    </xf>
    <xf numFmtId="0" fontId="81" fillId="34" borderId="101" xfId="0" applyFont="1" applyFill="1" applyBorder="1" applyAlignment="1">
      <alignment horizontal="center" vertical="center"/>
    </xf>
    <xf numFmtId="0" fontId="81" fillId="34" borderId="102" xfId="0" applyFont="1" applyFill="1" applyBorder="1" applyAlignment="1">
      <alignment horizontal="center" vertical="center"/>
    </xf>
    <xf numFmtId="0" fontId="81" fillId="38" borderId="0" xfId="0" applyFont="1" applyFill="1" applyAlignment="1">
      <alignment horizontal="center"/>
    </xf>
    <xf numFmtId="0" fontId="0" fillId="0" borderId="23" xfId="0" applyFont="1" applyBorder="1" applyAlignment="1">
      <alignment horizontal="center"/>
    </xf>
    <xf numFmtId="0" fontId="3" fillId="0" borderId="11" xfId="0" applyNumberFormat="1" applyFont="1" applyBorder="1" applyAlignment="1">
      <alignment horizontal="center"/>
    </xf>
    <xf numFmtId="0" fontId="3" fillId="3" borderId="11" xfId="0" applyFont="1" applyFill="1" applyBorder="1" applyAlignment="1"/>
    <xf numFmtId="0" fontId="3" fillId="0" borderId="15" xfId="0" applyNumberFormat="1" applyFont="1" applyBorder="1" applyAlignment="1">
      <alignment horizontal="center"/>
    </xf>
    <xf numFmtId="0" fontId="3" fillId="3" borderId="15" xfId="0" applyFont="1" applyFill="1" applyBorder="1" applyAlignment="1"/>
    <xf numFmtId="0" fontId="0" fillId="0" borderId="13" xfId="0" applyFont="1" applyBorder="1" applyAlignment="1">
      <alignment horizontal="center"/>
    </xf>
    <xf numFmtId="0" fontId="0" fillId="0" borderId="0" xfId="0" applyNumberFormat="1"/>
  </cellXfs>
  <cellStyles count="6">
    <cellStyle name="Comma" xfId="1" builtinId="3"/>
    <cellStyle name="Comma [0]" xfId="2" builtinId="6"/>
    <cellStyle name="Normal" xfId="0" builtinId="0"/>
    <cellStyle name="Normal 2" xfId="5" xr:uid="{BFC9D2B4-78AE-5449-AB02-6AB88F367723}"/>
    <cellStyle name="Normal 3" xfId="3" xr:uid="{17C629E4-B4D1-D444-900C-CA2FC97E47B3}"/>
    <cellStyle name="Percent" xfId="4" builtinId="5"/>
  </cellStyles>
  <dxfs count="340">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5" formatCode="_(* #,##0.00_);_(* \(#,##0.00\);_(* &quot;-&quot;??_);_(@_)"/>
    </dxf>
    <dxf>
      <numFmt numFmtId="164" formatCode="_(* #,##0_);_(* \(#,##0\);_(* &quot;-&quot;??_);_(@_)"/>
    </dxf>
    <dxf>
      <numFmt numFmtId="164" formatCode="_(* #,##0_);_(* \(#,##0\);_(* &quot;-&quot;??_);_(@_)"/>
    </dxf>
    <dxf>
      <numFmt numFmtId="35" formatCode="_(* #,##0.00_);_(* \(#,##0.00\);_(* &quot;-&quot;??_);_(@_)"/>
    </dxf>
    <dxf>
      <numFmt numFmtId="164" formatCode="_(* #,##0_);_(* \(#,##0\);_(* &quot;-&quot;??_);_(@_)"/>
    </dxf>
    <dxf>
      <numFmt numFmtId="164" formatCode="_(* #,##0_);_(* \(#,##0\);_(* &quot;-&quot;??_);_(@_)"/>
    </dxf>
    <dxf>
      <numFmt numFmtId="35" formatCode="_(* #,##0.00_);_(* \(#,##0.00\);_(* &quot;-&quot;??_);_(@_)"/>
    </dxf>
    <dxf>
      <numFmt numFmtId="164" formatCode="_(* #,##0_);_(* \(#,##0\);_(* &quot;-&quot;??_);_(@_)"/>
    </dxf>
    <dxf>
      <numFmt numFmtId="164" formatCode="_(* #,##0_);_(* \(#,##0\);_(* &quot;-&quot;??_);_(@_)"/>
    </dxf>
    <dxf>
      <numFmt numFmtId="0" formatCode="General"/>
    </dxf>
    <dxf>
      <numFmt numFmtId="0" formatCode="General"/>
    </dxf>
    <dxf>
      <numFmt numFmtId="35" formatCode="_(* #,##0.00_);_(* \(#,##0.00\);_(* &quot;-&quot;??_);_(@_)"/>
    </dxf>
    <dxf>
      <numFmt numFmtId="164" formatCode="_(* #,##0_);_(* \(#,##0\);_(* &quot;-&quot;??_);_(@_)"/>
    </dxf>
    <dxf>
      <numFmt numFmtId="164" formatCode="_(* #,##0_);_(* \(#,##0\);_(* &quot;-&quot;??_);_(@_)"/>
    </dxf>
    <dxf>
      <numFmt numFmtId="35" formatCode="_(* #,##0.00_);_(* \(#,##0.00\);_(* &quot;-&quot;??_);_(@_)"/>
    </dxf>
    <dxf>
      <numFmt numFmtId="164" formatCode="_(* #,##0_);_(* \(#,##0\);_(* &quot;-&quot;??_);_(@_)"/>
    </dxf>
    <dxf>
      <numFmt numFmtId="164" formatCode="_(* #,##0_);_(* \(#,##0\);_(* &quot;-&quot;??_);_(@_)"/>
    </dxf>
    <dxf>
      <numFmt numFmtId="35" formatCode="_(* #,##0.00_);_(* \(#,##0.00\);_(* &quot;-&quot;??_);_(@_)"/>
    </dxf>
    <dxf>
      <numFmt numFmtId="164" formatCode="_(* #,##0_);_(* \(#,##0\);_(* &quot;-&quot;??_);_(@_)"/>
    </dxf>
    <dxf>
      <numFmt numFmtId="164" formatCode="_(* #,##0_);_(* \(#,##0\);_(* &quot;-&quot;??_);_(@_)"/>
    </dxf>
    <dxf>
      <numFmt numFmtId="0" formatCode="General"/>
    </dxf>
    <dxf>
      <numFmt numFmtId="0" formatCode="General"/>
    </dxf>
    <dxf>
      <numFmt numFmtId="35" formatCode="_(* #,##0.00_);_(* \(#,##0.00\);_(* &quot;-&quot;??_);_(@_)"/>
    </dxf>
    <dxf>
      <numFmt numFmtId="164" formatCode="_(* #,##0_);_(* \(#,##0\);_(* &quot;-&quot;??_);_(@_)"/>
    </dxf>
    <dxf>
      <numFmt numFmtId="164" formatCode="_(* #,##0_);_(* \(#,##0\);_(* &quot;-&quot;??_);_(@_)"/>
    </dxf>
    <dxf>
      <numFmt numFmtId="35" formatCode="_(* #,##0.00_);_(* \(#,##0.00\);_(* &quot;-&quot;??_);_(@_)"/>
    </dxf>
    <dxf>
      <numFmt numFmtId="164" formatCode="_(* #,##0_);_(* \(#,##0\);_(* &quot;-&quot;??_);_(@_)"/>
    </dxf>
    <dxf>
      <numFmt numFmtId="164" formatCode="_(* #,##0_);_(* \(#,##0\);_(* &quot;-&quot;??_);_(@_)"/>
    </dxf>
    <dxf>
      <numFmt numFmtId="35" formatCode="_(* #,##0.00_);_(* \(#,##0.00\);_(* &quot;-&quot;??_);_(@_)"/>
    </dxf>
    <dxf>
      <numFmt numFmtId="164" formatCode="_(* #,##0_);_(* \(#,##0\);_(* &quot;-&quot;??_);_(@_)"/>
    </dxf>
    <dxf>
      <numFmt numFmtId="164" formatCode="_(* #,##0_);_(* \(#,##0\);_(* &quot;-&quot;??_);_(@_)"/>
    </dxf>
    <dxf>
      <numFmt numFmtId="0" formatCode="General"/>
    </dxf>
    <dxf>
      <numFmt numFmtId="0" formatCode="General"/>
    </dxf>
    <dxf>
      <numFmt numFmtId="35" formatCode="_(* #,##0.00_);_(* \(#,##0.00\);_(* &quot;-&quot;??_);_(@_)"/>
    </dxf>
    <dxf>
      <numFmt numFmtId="164" formatCode="_(* #,##0_);_(* \(#,##0\);_(* &quot;-&quot;??_);_(@_)"/>
    </dxf>
    <dxf>
      <numFmt numFmtId="164" formatCode="_(* #,##0_);_(* \(#,##0\);_(* &quot;-&quot;??_);_(@_)"/>
    </dxf>
    <dxf>
      <numFmt numFmtId="35" formatCode="_(* #,##0.00_);_(* \(#,##0.00\);_(* &quot;-&quot;??_);_(@_)"/>
    </dxf>
    <dxf>
      <numFmt numFmtId="164" formatCode="_(* #,##0_);_(* \(#,##0\);_(* &quot;-&quot;??_);_(@_)"/>
    </dxf>
    <dxf>
      <numFmt numFmtId="164" formatCode="_(* #,##0_);_(* \(#,##0\);_(* &quot;-&quot;??_);_(@_)"/>
    </dxf>
    <dxf>
      <numFmt numFmtId="35" formatCode="_(* #,##0.00_);_(* \(#,##0.00\);_(* &quot;-&quot;??_);_(@_)"/>
    </dxf>
    <dxf>
      <numFmt numFmtId="0" formatCode="General"/>
    </dxf>
    <dxf>
      <numFmt numFmtId="164" formatCode="_(* #,##0_);_(* \(#,##0\);_(* &quot;-&quot;??_);_(@_)"/>
    </dxf>
    <dxf>
      <numFmt numFmtId="164" formatCode="_(* #,##0_);_(* \(#,##0\);_(* &quot;-&quot;??_);_(@_)"/>
    </dxf>
    <dxf>
      <numFmt numFmtId="0" formatCode="General"/>
    </dxf>
    <dxf>
      <numFmt numFmtId="35" formatCode="_(* #,##0.00_);_(* \(#,##0.00\);_(* &quot;-&quot;??_);_(@_)"/>
    </dxf>
    <dxf>
      <numFmt numFmtId="0" formatCode="General"/>
    </dxf>
    <dxf>
      <numFmt numFmtId="35" formatCode="_(* #,##0.00_);_(* \(#,##0.00\);_(* &quot;-&quot;??_);_(@_)"/>
    </dxf>
    <dxf>
      <numFmt numFmtId="164" formatCode="_(* #,##0_);_(* \(#,##0\);_(* &quot;-&quot;??_);_(@_)"/>
    </dxf>
    <dxf>
      <numFmt numFmtId="35" formatCode="_(* #,##0.00_);_(* \(#,##0.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0" formatCode="General"/>
    </dxf>
    <dxf>
      <numFmt numFmtId="176" formatCode="0.000"/>
    </dxf>
    <dxf>
      <numFmt numFmtId="168" formatCode="_(* #,##0.000_);_(* \(#,##0.000\);_(* &quot;-&quot;??_);_(@_)"/>
    </dxf>
    <dxf>
      <numFmt numFmtId="164" formatCode="_(* #,##0_);_(* \(#,##0\);_(* &quot;-&quot;??_);_(@_)"/>
    </dxf>
    <dxf>
      <numFmt numFmtId="164" formatCode="_(* #,##0_);_(* \(#,##0\);_(* &quot;-&quot;??_);_(@_)"/>
    </dxf>
    <dxf>
      <numFmt numFmtId="176" formatCode="0.000"/>
    </dxf>
    <dxf>
      <numFmt numFmtId="168" formatCode="_(* #,##0.000_);_(* \(#,##0.000\);_(* &quot;-&quot;??_);_(@_)"/>
    </dxf>
    <dxf>
      <numFmt numFmtId="168" formatCode="_(* #,##0.000_);_(* \(#,##0.0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5" formatCode="_(* #,##0.00_);_(* \(#,##0.00\);_(* &quot;-&quot;??_);_(@_)"/>
    </dxf>
    <dxf>
      <numFmt numFmtId="164" formatCode="_(* #,##0_);_(* \(#,##0\);_(* &quot;-&quot;??_);_(@_)"/>
    </dxf>
    <dxf>
      <numFmt numFmtId="164" formatCode="_(* #,##0_);_(* \(#,##0\);_(* &quot;-&quot;??_);_(@_)"/>
    </dxf>
    <dxf>
      <numFmt numFmtId="164" formatCode="_(* #,##0_);_(* \(#,##0\);_(* &quot;-&quot;??_);_(@_)"/>
    </dxf>
    <dxf>
      <numFmt numFmtId="2" formatCode="0.00"/>
    </dxf>
    <dxf>
      <numFmt numFmtId="33" formatCode="_(* #,##0_);_(* \(#,##0\);_(* &quot;-&quot;_);_(@_)"/>
    </dxf>
    <dxf>
      <numFmt numFmtId="164" formatCode="_(* #,##0_);_(* \(#,##0\);_(* &quot;-&quot;??_);_(@_)"/>
    </dxf>
    <dxf>
      <numFmt numFmtId="164" formatCode="_(* #,##0_);_(* \(#,##0\);_(* &quot;-&quot;??_);_(@_)"/>
    </dxf>
    <dxf>
      <numFmt numFmtId="35" formatCode="_(* #,##0.00_);_(* \(#,##0.00\);_(* &quot;-&quot;??_);_(@_)"/>
    </dxf>
    <dxf>
      <numFmt numFmtId="2" formatCode="0.00"/>
    </dxf>
    <dxf>
      <numFmt numFmtId="35" formatCode="_(* #,##0.00_);_(* \(#,##0.00\);_(* &quot;-&quot;??_);_(@_)"/>
    </dxf>
    <dxf>
      <numFmt numFmtId="164" formatCode="_(* #,##0_);_(* \(#,##0\);_(* &quot;-&quot;??_);_(@_)"/>
    </dxf>
    <dxf>
      <numFmt numFmtId="164" formatCode="_(* #,##0_);_(* \(#,##0\);_(* &quot;-&quot;??_);_(@_)"/>
    </dxf>
    <dxf>
      <numFmt numFmtId="35" formatCode="_(* #,##0.00_);_(* \(#,##0.00\);_(* &quot;-&quot;??_);_(@_)"/>
    </dxf>
    <dxf>
      <numFmt numFmtId="164" formatCode="_(* #,##0_);_(* \(#,##0\);_(* &quot;-&quot;??_);_(@_)"/>
    </dxf>
    <dxf>
      <numFmt numFmtId="164" formatCode="_(* #,##0_);_(* \(#,##0\);_(* &quot;-&quot;??_);_(@_)"/>
    </dxf>
    <dxf>
      <numFmt numFmtId="35" formatCode="_(* #,##0.00_);_(* \(#,##0.00\);_(* &quot;-&quot;??_);_(@_)"/>
    </dxf>
    <dxf>
      <numFmt numFmtId="164" formatCode="_(* #,##0_);_(* \(#,##0\);_(* &quot;-&quot;??_);_(@_)"/>
    </dxf>
    <dxf>
      <numFmt numFmtId="164" formatCode="_(* #,##0_);_(* \(#,##0\);_(* &quot;-&quot;??_);_(@_)"/>
    </dxf>
    <dxf>
      <numFmt numFmtId="0" formatCode="General"/>
    </dxf>
    <dxf>
      <numFmt numFmtId="0" formatCode="General"/>
    </dxf>
    <dxf>
      <numFmt numFmtId="35" formatCode="_(* #,##0.00_);_(* \(#,##0.00\);_(* &quot;-&quot;??_);_(@_)"/>
    </dxf>
    <dxf>
      <numFmt numFmtId="164" formatCode="_(* #,##0_);_(* \(#,##0\);_(* &quot;-&quot;??_);_(@_)"/>
    </dxf>
    <dxf>
      <numFmt numFmtId="164" formatCode="_(* #,##0_);_(* \(#,##0\);_(* &quot;-&quot;??_);_(@_)"/>
    </dxf>
    <dxf>
      <numFmt numFmtId="35" formatCode="_(* #,##0.00_);_(* \(#,##0.00\);_(* &quot;-&quot;??_);_(@_)"/>
    </dxf>
    <dxf>
      <numFmt numFmtId="164" formatCode="_(* #,##0_);_(* \(#,##0\);_(* &quot;-&quot;??_);_(@_)"/>
    </dxf>
    <dxf>
      <numFmt numFmtId="164" formatCode="_(* #,##0_);_(* \(#,##0\);_(* &quot;-&quot;??_);_(@_)"/>
    </dxf>
    <dxf>
      <numFmt numFmtId="35" formatCode="_(* #,##0.00_);_(* \(#,##0.00\);_(* &quot;-&quot;??_);_(@_)"/>
    </dxf>
    <dxf>
      <numFmt numFmtId="0" formatCode="General"/>
    </dxf>
    <dxf>
      <numFmt numFmtId="164" formatCode="_(* #,##0_);_(* \(#,##0\);_(* &quot;-&quot;??_);_(@_)"/>
    </dxf>
    <dxf>
      <numFmt numFmtId="164" formatCode="_(* #,##0_);_(* \(#,##0\);_(* &quot;-&quot;??_);_(@_)"/>
    </dxf>
    <dxf>
      <numFmt numFmtId="0" formatCode="General"/>
    </dxf>
    <dxf>
      <numFmt numFmtId="35" formatCode="_(* #,##0.00_);_(* \(#,##0.00\);_(* &quot;-&quot;??_);_(@_)"/>
    </dxf>
    <dxf>
      <numFmt numFmtId="164" formatCode="_(* #,##0_);_(* \(#,##0\);_(* &quot;-&quot;??_);_(@_)"/>
    </dxf>
    <dxf>
      <numFmt numFmtId="164" formatCode="_(* #,##0_);_(* \(#,##0\);_(* &quot;-&quot;??_);_(@_)"/>
    </dxf>
    <dxf>
      <numFmt numFmtId="35" formatCode="_(* #,##0.00_);_(* \(#,##0.00\);_(* &quot;-&quot;??_);_(@_)"/>
    </dxf>
    <dxf>
      <numFmt numFmtId="164" formatCode="_(* #,##0_);_(* \(#,##0\);_(* &quot;-&quot;??_);_(@_)"/>
    </dxf>
    <dxf>
      <numFmt numFmtId="164" formatCode="_(* #,##0_);_(* \(#,##0\);_(* &quot;-&quot;??_);_(@_)"/>
    </dxf>
    <dxf>
      <numFmt numFmtId="35" formatCode="_(* #,##0.00_);_(* \(#,##0.00\);_(* &quot;-&quot;??_);_(@_)"/>
    </dxf>
    <dxf>
      <numFmt numFmtId="164" formatCode="_(* #,##0_);_(* \(#,##0\);_(* &quot;-&quot;??_);_(@_)"/>
    </dxf>
    <dxf>
      <numFmt numFmtId="164" formatCode="_(* #,##0_);_(* \(#,##0\);_(* &quot;-&quot;??_);_(@_)"/>
    </dxf>
    <dxf>
      <numFmt numFmtId="0" formatCode="General"/>
    </dxf>
    <dxf>
      <numFmt numFmtId="0" formatCode="General"/>
    </dxf>
    <dxf>
      <numFmt numFmtId="35" formatCode="_(* #,##0.00_);_(* \(#,##0.00\);_(* &quot;-&quot;??_);_(@_)"/>
    </dxf>
    <dxf>
      <numFmt numFmtId="164" formatCode="_(* #,##0_);_(* \(#,##0\);_(* &quot;-&quot;??_);_(@_)"/>
    </dxf>
    <dxf>
      <numFmt numFmtId="164" formatCode="_(* #,##0_);_(* \(#,##0\);_(* &quot;-&quot;??_);_(@_)"/>
    </dxf>
    <dxf>
      <numFmt numFmtId="35" formatCode="_(* #,##0.00_);_(* \(#,##0.00\);_(* &quot;-&quot;??_);_(@_)"/>
    </dxf>
    <dxf>
      <numFmt numFmtId="164" formatCode="_(* #,##0_);_(* \(#,##0\);_(* &quot;-&quot;??_);_(@_)"/>
    </dxf>
    <dxf>
      <numFmt numFmtId="164" formatCode="_(* #,##0_);_(* \(#,##0\);_(* &quot;-&quot;??_);_(@_)"/>
    </dxf>
    <dxf>
      <numFmt numFmtId="35" formatCode="_(* #,##0.00_);_(* \(#,##0.00\);_(* &quot;-&quot;??_);_(@_)"/>
    </dxf>
    <dxf>
      <numFmt numFmtId="164" formatCode="_(* #,##0_);_(* \(#,##0\);_(* &quot;-&quot;??_);_(@_)"/>
    </dxf>
    <dxf>
      <numFmt numFmtId="164" formatCode="_(* #,##0_);_(* \(#,##0\);_(* &quot;-&quot;??_);_(@_)"/>
    </dxf>
    <dxf>
      <numFmt numFmtId="0" formatCode="General"/>
    </dxf>
    <dxf>
      <numFmt numFmtId="0" formatCode="General"/>
    </dxf>
    <dxf>
      <numFmt numFmtId="35" formatCode="_(* #,##0.00_);_(* \(#,##0.00\);_(* &quot;-&quot;??_);_(@_)"/>
    </dxf>
    <dxf>
      <numFmt numFmtId="164" formatCode="_(* #,##0_);_(* \(#,##0\);_(* &quot;-&quot;??_);_(@_)"/>
    </dxf>
    <dxf>
      <numFmt numFmtId="164" formatCode="_(* #,##0_);_(* \(#,##0\);_(* &quot;-&quot;??_);_(@_)"/>
    </dxf>
    <dxf>
      <numFmt numFmtId="35" formatCode="_(* #,##0.00_);_(* \(#,##0.00\);_(* &quot;-&quot;??_);_(@_)"/>
    </dxf>
    <dxf>
      <numFmt numFmtId="164" formatCode="_(* #,##0_);_(* \(#,##0\);_(* &quot;-&quot;??_);_(@_)"/>
    </dxf>
    <dxf>
      <numFmt numFmtId="164" formatCode="_(* #,##0_);_(* \(#,##0\);_(* &quot;-&quot;??_);_(@_)"/>
    </dxf>
    <dxf>
      <numFmt numFmtId="35" formatCode="_(* #,##0.00_);_(* \(#,##0.00\);_(* &quot;-&quot;??_);_(@_)"/>
    </dxf>
    <dxf>
      <numFmt numFmtId="0" formatCode="General"/>
    </dxf>
    <dxf>
      <numFmt numFmtId="164" formatCode="_(* #,##0_);_(* \(#,##0\);_(* &quot;-&quot;??_);_(@_)"/>
    </dxf>
    <dxf>
      <numFmt numFmtId="164" formatCode="_(* #,##0_);_(* \(#,##0\);_(* &quot;-&quot;??_);_(@_)"/>
    </dxf>
    <dxf>
      <numFmt numFmtId="0" formatCode="General"/>
    </dxf>
    <dxf>
      <numFmt numFmtId="164" formatCode="_(* #,##0_);_(* \(#,##0\);_(* &quot;-&quot;??_);_(@_)"/>
    </dxf>
    <dxf>
      <numFmt numFmtId="164" formatCode="_(* #,##0_);_(* \(#,##0\);_(* &quot;-&quot;??_);_(@_)"/>
    </dxf>
    <dxf>
      <numFmt numFmtId="164" formatCode="_(* #,##0_);_(* \(#,##0\);_(* &quot;-&quot;??_);_(@_)"/>
    </dxf>
    <dxf>
      <numFmt numFmtId="35" formatCode="_(* #,##0.00_);_(* \(#,##0.00\);_(* &quot;-&quot;??_);_(@_)"/>
    </dxf>
    <dxf>
      <numFmt numFmtId="164" formatCode="_(* #,##0_);_(* \(#,##0\);_(* &quot;-&quot;??_);_(@_)"/>
    </dxf>
    <dxf>
      <numFmt numFmtId="164" formatCode="_(* #,##0_);_(* \(#,##0\);_(* &quot;-&quot;??_);_(@_)"/>
    </dxf>
    <dxf>
      <numFmt numFmtId="164" formatCode="_(* #,##0_);_(* \(#,##0\);_(* &quot;-&quot;??_);_(@_)"/>
    </dxf>
    <dxf>
      <numFmt numFmtId="2" formatCode="0.00"/>
    </dxf>
    <dxf>
      <numFmt numFmtId="33" formatCode="_(* #,##0_);_(* \(#,##0\);_(* &quot;-&quot;_);_(@_)"/>
    </dxf>
    <dxf>
      <numFmt numFmtId="164" formatCode="_(* #,##0_);_(* \(#,##0\);_(* &quot;-&quot;??_);_(@_)"/>
    </dxf>
    <dxf>
      <numFmt numFmtId="164" formatCode="_(* #,##0_);_(* \(#,##0\);_(* &quot;-&quot;??_);_(@_)"/>
    </dxf>
    <dxf>
      <numFmt numFmtId="35" formatCode="_(* #,##0.00_);_(* \(#,##0.00\);_(* &quot;-&quot;??_);_(@_)"/>
    </dxf>
    <dxf>
      <numFmt numFmtId="2" formatCode="0.00"/>
    </dxf>
    <dxf>
      <numFmt numFmtId="164" formatCode="_(* #,##0_);_(* \(#,##0\);_(* &quot;-&quot;??_);_(@_)"/>
    </dxf>
    <dxf>
      <numFmt numFmtId="164" formatCode="_(* #,##0_);_(* \(#,##0\);_(* &quot;-&quot;??_);_(@_)"/>
    </dxf>
    <dxf>
      <numFmt numFmtId="176" formatCode="0.000"/>
    </dxf>
    <dxf>
      <numFmt numFmtId="168" formatCode="_(* #,##0.000_);_(* \(#,##0.000\);_(* &quot;-&quot;??_);_(@_)"/>
    </dxf>
    <dxf>
      <numFmt numFmtId="164" formatCode="_(* #,##0_);_(* \(#,##0\);_(* &quot;-&quot;??_);_(@_)"/>
    </dxf>
    <dxf>
      <numFmt numFmtId="164" formatCode="_(* #,##0_);_(* \(#,##0\);_(* &quot;-&quot;??_);_(@_)"/>
    </dxf>
    <dxf>
      <numFmt numFmtId="176" formatCode="0.000"/>
    </dxf>
    <dxf>
      <numFmt numFmtId="168" formatCode="_(* #,##0.000_);_(* \(#,##0.000\);_(* &quot;-&quot;??_);_(@_)"/>
    </dxf>
    <dxf>
      <numFmt numFmtId="168" formatCode="_(* #,##0.000_);_(* \(#,##0.000\);_(* &quot;-&quot;??_);_(@_)"/>
    </dxf>
    <dxf>
      <numFmt numFmtId="35" formatCode="_(* #,##0.00_);_(* \(#,##0.00\);_(* &quot;-&quot;??_);_(@_)"/>
    </dxf>
    <dxf>
      <numFmt numFmtId="0" formatCode="General"/>
    </dxf>
    <dxf>
      <numFmt numFmtId="35" formatCode="_(* #,##0.00_);_(* \(#,##0.00\);_(* &quot;-&quot;??_);_(@_)"/>
    </dxf>
    <dxf>
      <numFmt numFmtId="164" formatCode="_(* #,##0_);_(* \(#,##0\);_(* &quot;-&quot;??_);_(@_)"/>
    </dxf>
    <dxf>
      <numFmt numFmtId="35" formatCode="_(* #,##0.00_);_(* \(#,##0.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0" formatCode="General"/>
    </dxf>
    <dxf>
      <numFmt numFmtId="35" formatCode="_(* #,##0.00_);_(* \(#,##0.00\);_(* &quot;-&quot;??_);_(@_)"/>
    </dxf>
    <dxf>
      <numFmt numFmtId="0" formatCode="General"/>
    </dxf>
    <dxf>
      <numFmt numFmtId="35" formatCode="_(* #,##0.00_);_(* \(#,##0.00\);_(* &quot;-&quot;??_);_(@_)"/>
    </dxf>
    <dxf>
      <numFmt numFmtId="164" formatCode="_(* #,##0_);_(* \(#,##0\);_(* &quot;-&quot;??_);_(@_)"/>
    </dxf>
    <dxf>
      <numFmt numFmtId="35" formatCode="_(* #,##0.00_);_(* \(#,##0.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0" formatCode="General"/>
    </dxf>
    <dxf>
      <numFmt numFmtId="176" formatCode="0.000"/>
    </dxf>
    <dxf>
      <numFmt numFmtId="168" formatCode="_(* #,##0.000_);_(* \(#,##0.000\);_(* &quot;-&quot;??_);_(@_)"/>
    </dxf>
    <dxf>
      <numFmt numFmtId="164" formatCode="_(* #,##0_);_(* \(#,##0\);_(* &quot;-&quot;??_);_(@_)"/>
    </dxf>
    <dxf>
      <numFmt numFmtId="164" formatCode="_(* #,##0_);_(* \(#,##0\);_(* &quot;-&quot;??_);_(@_)"/>
    </dxf>
    <dxf>
      <numFmt numFmtId="176" formatCode="0.000"/>
    </dxf>
    <dxf>
      <numFmt numFmtId="168" formatCode="_(* #,##0.000_);_(* \(#,##0.000\);_(* &quot;-&quot;??_);_(@_)"/>
    </dxf>
    <dxf>
      <numFmt numFmtId="168" formatCode="_(* #,##0.000_);_(* \(#,##0.0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5" formatCode="_(* #,##0.00_);_(* \(#,##0.00\);_(* &quot;-&quot;??_);_(@_)"/>
    </dxf>
    <dxf>
      <numFmt numFmtId="164" formatCode="_(* #,##0_);_(* \(#,##0\);_(* &quot;-&quot;??_);_(@_)"/>
    </dxf>
    <dxf>
      <numFmt numFmtId="164" formatCode="_(* #,##0_);_(* \(#,##0\);_(* &quot;-&quot;??_);_(@_)"/>
    </dxf>
    <dxf>
      <numFmt numFmtId="164" formatCode="_(* #,##0_);_(* \(#,##0\);_(* &quot;-&quot;??_);_(@_)"/>
    </dxf>
    <dxf>
      <numFmt numFmtId="2" formatCode="0.00"/>
    </dxf>
    <dxf>
      <numFmt numFmtId="33" formatCode="_(* #,##0_);_(* \(#,##0\);_(* &quot;-&quot;_);_(@_)"/>
    </dxf>
    <dxf>
      <numFmt numFmtId="164" formatCode="_(* #,##0_);_(* \(#,##0\);_(* &quot;-&quot;??_);_(@_)"/>
    </dxf>
    <dxf>
      <numFmt numFmtId="164" formatCode="_(* #,##0_);_(* \(#,##0\);_(* &quot;-&quot;??_);_(@_)"/>
    </dxf>
    <dxf>
      <numFmt numFmtId="35" formatCode="_(* #,##0.00_);_(* \(#,##0.00\);_(* &quot;-&quot;??_);_(@_)"/>
    </dxf>
    <dxf>
      <numFmt numFmtId="2" formatCode="0.00"/>
    </dxf>
    <dxf>
      <protection locked="0" hidden="0"/>
    </dxf>
    <dxf>
      <font>
        <b val="0"/>
        <i val="0"/>
        <strike val="0"/>
        <condense val="0"/>
        <extend val="0"/>
        <outline val="0"/>
        <shadow val="0"/>
        <u val="none"/>
        <vertAlign val="baseline"/>
        <sz val="12"/>
        <color rgb="FFFF0000"/>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bottom/>
        <vertical/>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indexed="64"/>
        </top>
        <bottom style="thin">
          <color indexed="64"/>
        </bottom>
      </border>
    </dxf>
    <dxf>
      <alignment horizontal="general"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rgb="FFFF0000"/>
        <name val="Calibri"/>
        <family val="2"/>
        <scheme val="minor"/>
      </font>
      <fill>
        <patternFill patternType="solid">
          <fgColor indexed="64"/>
          <bgColor theme="9" tint="0.79998168889431442"/>
        </patternFill>
      </fill>
      <alignment horizontal="center" vertical="center" textRotation="0" wrapText="0" indent="0" justifyLastLine="0" shrinkToFit="0" readingOrder="0"/>
    </dxf>
    <dxf>
      <numFmt numFmtId="2" formatCode="0.00"/>
    </dxf>
    <dxf>
      <numFmt numFmtId="35" formatCode="_(* #,##0.00_);_(* \(#,##0.00\);_(* &quot;-&quot;??_);_(@_)"/>
    </dxf>
    <dxf>
      <numFmt numFmtId="164" formatCode="_(* #,##0_);_(* \(#,##0\);_(* &quot;-&quot;??_);_(@_)"/>
    </dxf>
    <dxf>
      <numFmt numFmtId="164" formatCode="_(* #,##0_);_(* \(#,##0\);_(* &quot;-&quot;??_);_(@_)"/>
    </dxf>
    <dxf>
      <numFmt numFmtId="0" formatCode="General"/>
    </dxf>
    <dxf>
      <numFmt numFmtId="164" formatCode="_(* #,##0_);_(* \(#,##0\);_(* &quot;-&quot;??_);_(@_)"/>
    </dxf>
    <dxf>
      <numFmt numFmtId="164" formatCode="_(* #,##0_);_(* \(#,##0\);_(* &quot;-&quot;??_);_(@_)"/>
    </dxf>
    <dxf>
      <numFmt numFmtId="168" formatCode="_(* #,##0.000_);_(* \(#,##0.000\);_(* &quot;-&quot;??_);_(@_)"/>
    </dxf>
    <dxf>
      <numFmt numFmtId="168" formatCode="_(* #,##0.000_);_(* \(#,##0.000\);_(* &quot;-&quot;??_);_(@_)"/>
    </dxf>
    <dxf>
      <numFmt numFmtId="176" formatCode="0.000"/>
    </dxf>
    <dxf>
      <numFmt numFmtId="33" formatCode="_(* #,##0_);_(* \(#,##0\);_(* &quot;-&quot;_);_(@_)"/>
    </dxf>
    <dxf>
      <numFmt numFmtId="2" formatCode="0.0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8" formatCode="_(* #,##0.000_);_(* \(#,##0.000\);_(* &quot;-&quot;??_);_(@_)"/>
    </dxf>
    <dxf>
      <numFmt numFmtId="164" formatCode="_(* #,##0_);_(* \(#,##0\);_(* &quot;-&quot;??_);_(@_)"/>
    </dxf>
    <dxf>
      <numFmt numFmtId="164" formatCode="_(* #,##0_);_(* \(#,##0\);_(* &quot;-&quot;??_);_(@_)"/>
    </dxf>
    <dxf>
      <numFmt numFmtId="164" formatCode="_(* #,##0_);_(* \(#,##0\);_(* &quot;-&quot;??_);_(@_)"/>
    </dxf>
    <dxf>
      <numFmt numFmtId="176" formatCode="0.000"/>
    </dxf>
    <dxf>
      <numFmt numFmtId="164" formatCode="_(* #,##0_);_(* \(#,##0\);_(* &quot;-&quot;??_);_(@_)"/>
    </dxf>
    <dxf>
      <numFmt numFmtId="35" formatCode="_(* #,##0.00_);_(* \(#,##0.00\);_(* &quot;-&quot;??_);_(@_)"/>
    </dxf>
    <dxf>
      <numFmt numFmtId="164" formatCode="_(* #,##0_);_(* \(#,##0\);_(* &quot;-&quot;??_);_(@_)"/>
    </dxf>
    <dxf>
      <numFmt numFmtId="35" formatCode="_(* #,##0.00_);_(* \(#,##0.00\);_(* &quot;-&quot;??_);_(@_)"/>
    </dxf>
    <dxf>
      <numFmt numFmtId="164" formatCode="_(* #,##0_);_(* \(#,##0\);_(* &quot;-&quot;??_);_(@_)"/>
    </dxf>
    <dxf>
      <numFmt numFmtId="164" formatCode="_(* #,##0_);_(* \(#,##0\);_(* &quot;-&quot;??_);_(@_)"/>
    </dxf>
    <dxf>
      <numFmt numFmtId="35" formatCode="_(* #,##0.00_);_(* \(#,##0.00\);_(* &quot;-&quot;??_);_(@_)"/>
    </dxf>
    <dxf>
      <numFmt numFmtId="0" formatCode="General"/>
    </dxf>
    <dxf>
      <numFmt numFmtId="164" formatCode="_(* #,##0_);_(* \(#,##0\);_(* &quot;-&quot;??_);_(@_)"/>
    </dxf>
    <dxf>
      <numFmt numFmtId="164" formatCode="_(* #,##0_);_(* \(#,##0\);_(* &quot;-&quot;??_);_(@_)"/>
    </dxf>
    <dxf>
      <numFmt numFmtId="35" formatCode="_(* #,##0.00_);_(* \(#,##0.00\);_(* &quot;-&quot;??_);_(@_)"/>
    </dxf>
    <dxf>
      <font>
        <strike val="0"/>
        <outline val="0"/>
        <shadow val="0"/>
        <u val="none"/>
        <vertAlign val="baseline"/>
        <sz val="12"/>
        <name val="Times New Roman"/>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Times New Roman"/>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Times New Roman"/>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Times New Roman"/>
        <family val="1"/>
        <scheme val="none"/>
      </font>
      <numFmt numFmtId="2" formatCode="0.0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Times New Roman"/>
        <family val="1"/>
        <scheme val="none"/>
      </font>
      <numFmt numFmtId="14" formatCode="0.0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Times New Roman"/>
        <family val="1"/>
        <scheme val="none"/>
      </font>
      <numFmt numFmtId="164" formatCode="_(* #,##0_);_(* \(#,##0\);_(* &quot;-&quot;??_);_(@_)"/>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Times New Roman"/>
        <family val="1"/>
        <scheme val="none"/>
      </font>
      <numFmt numFmtId="2" formatCode="0.0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Times New Roman"/>
        <family val="1"/>
        <scheme val="none"/>
      </font>
      <numFmt numFmtId="164" formatCode="_(* #,##0_);_(* \(#,##0\);_(* &quot;-&quot;??_);_(@_)"/>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Times New Roman"/>
        <family val="1"/>
        <scheme val="none"/>
      </font>
      <numFmt numFmtId="164" formatCode="_(* #,##0_);_(* \(#,##0\);_(* &quot;-&quot;??_);_(@_)"/>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Times New Roman"/>
        <family val="1"/>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Times New Roman"/>
        <family val="1"/>
        <scheme val="none"/>
      </font>
      <numFmt numFmtId="14" formatCode="0.00%"/>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Times New Roman"/>
        <family val="1"/>
        <scheme val="none"/>
      </font>
      <numFmt numFmtId="164" formatCode="_(* #,##0_);_(* \(#,##0\);_(* &quot;-&quot;??_);_(@_)"/>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Times New Roman"/>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Times New Roman"/>
        <family val="1"/>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Times New Roman"/>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Times New Roman"/>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Times New Roman"/>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Times New Roman"/>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Times New Roman"/>
        <family val="1"/>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Times New Roman"/>
        <family val="1"/>
        <scheme val="none"/>
      </font>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2"/>
        <name val="Times New Roman"/>
        <family val="1"/>
        <scheme val="none"/>
      </font>
    </dxf>
    <dxf>
      <border outline="0">
        <bottom style="thin">
          <color indexed="64"/>
        </bottom>
      </border>
    </dxf>
    <dxf>
      <font>
        <strike val="0"/>
        <outline val="0"/>
        <shadow val="0"/>
        <u val="none"/>
        <vertAlign val="baseline"/>
        <sz val="12"/>
        <name val="Times New Roman"/>
        <family val="1"/>
        <scheme val="none"/>
      </font>
      <fill>
        <patternFill patternType="solid">
          <fgColor indexed="64"/>
          <bgColor theme="8" tint="0.59999389629810485"/>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Times New Roman"/>
        <family val="1"/>
        <scheme val="none"/>
      </font>
      <numFmt numFmtId="164" formatCode="_(* #,##0_);_(* \(#,##0\);_(* &quot;-&quot;??_);_(@_)"/>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Times New Roman"/>
        <family val="1"/>
        <scheme val="none"/>
      </font>
      <numFmt numFmtId="164" formatCode="_(* #,##0_);_(* \(#,##0\);_(* &quot;-&quot;??_);_(@_)"/>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Times New Roman"/>
        <family val="1"/>
        <scheme val="none"/>
      </font>
      <numFmt numFmtId="164" formatCode="_(* #,##0_);_(* \(#,##0\);_(* &quot;-&quot;??_);_(@_)"/>
      <fill>
        <patternFill patternType="solid">
          <fgColor indexed="64"/>
          <bgColor rgb="FFFFFF0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Times New Roman"/>
        <family val="1"/>
        <scheme val="none"/>
      </font>
      <numFmt numFmtId="168" formatCode="_(* #,##0.000_);_(* \(#,##0.000\);_(* &quot;-&quot;??_);_(@_)"/>
      <fill>
        <patternFill patternType="none">
          <bgColor auto="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Times New Roman"/>
        <family val="1"/>
        <scheme val="none"/>
      </font>
      <numFmt numFmtId="168" formatCode="_(* #,##0.000_);_(* \(#,##0.000\);_(* &quot;-&quot;??_);_(@_)"/>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Times New Roman"/>
        <family val="1"/>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Times New Roman"/>
        <family val="1"/>
        <scheme val="none"/>
      </font>
      <fill>
        <patternFill>
          <fgColor indexed="64"/>
          <bgColor theme="0"/>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Times New Roman"/>
        <family val="1"/>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Times New Roman"/>
        <family val="1"/>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Times New Roman"/>
        <family val="1"/>
        <scheme val="none"/>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Times New Roman"/>
        <family val="1"/>
        <scheme val="none"/>
      </font>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border outline="0">
        <bottom style="thin">
          <color indexed="64"/>
        </bottom>
      </border>
    </dxf>
    <dxf>
      <font>
        <strike val="0"/>
        <outline val="0"/>
        <shadow val="0"/>
        <u val="none"/>
        <vertAlign val="baseline"/>
        <sz val="12"/>
        <name val="Times New Roman"/>
        <family val="1"/>
        <scheme val="none"/>
      </font>
      <fill>
        <patternFill patternType="solid">
          <fgColor indexed="64"/>
          <bgColor theme="8" tint="0.5999938962981048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theme="1"/>
        <name val="Calibri"/>
        <family val="2"/>
        <scheme val="minor"/>
      </font>
      <numFmt numFmtId="164" formatCode="_(* #,##0_);_(* \(#,##0\);_(* &quot;-&quot;??_);_(@_)"/>
      <border diagonalUp="0" diagonalDown="0">
        <left style="thin">
          <color indexed="64"/>
        </left>
        <right/>
        <top style="thin">
          <color indexed="64"/>
        </top>
        <bottom style="thin">
          <color indexed="64"/>
        </bottom>
        <vertical/>
        <horizontal/>
      </border>
      <protection locked="0" hidden="0"/>
    </dxf>
    <dxf>
      <font>
        <b val="0"/>
        <i val="0"/>
        <strike val="0"/>
        <condense val="0"/>
        <extend val="0"/>
        <outline val="0"/>
        <shadow val="0"/>
        <u val="none"/>
        <vertAlign val="baseline"/>
        <sz val="12"/>
        <color theme="1"/>
        <name val="Calibri"/>
        <family val="2"/>
        <scheme val="minor"/>
      </font>
      <numFmt numFmtId="164" formatCode="_(* #,##0_);_(* \(#,##0\);_(* &quot;-&quot;??_);_(@_)"/>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2"/>
        <color theme="1"/>
        <name val="Calibri"/>
        <family val="2"/>
        <scheme val="minor"/>
      </font>
      <numFmt numFmtId="164" formatCode="_(* #,##0_);_(* \(#,##0\);_(* &quot;-&quot;??_);_(@_)"/>
      <border diagonalUp="0" diagonalDown="0">
        <left style="thin">
          <color indexed="64"/>
        </left>
        <right style="thin">
          <color indexed="64"/>
        </right>
        <top style="thin">
          <color indexed="64"/>
        </top>
        <bottom style="thin">
          <color indexed="64"/>
        </bottom>
        <vertical/>
        <horizontal/>
      </border>
      <protection locked="0" hidden="0"/>
    </dxf>
    <dxf>
      <border diagonalUp="0" diagonalDown="0">
        <left style="thin">
          <color indexed="64"/>
        </left>
        <right style="thin">
          <color indexed="64"/>
        </right>
        <top style="thin">
          <color indexed="64"/>
        </top>
        <bottom style="thin">
          <color indexed="64"/>
        </bottom>
        <vertical/>
        <horizontal/>
      </border>
      <protection locked="0" hidden="0"/>
    </dxf>
    <dxf>
      <border diagonalUp="0" diagonalDown="0" outline="0">
        <left style="thin">
          <color indexed="64"/>
        </left>
        <right style="thin">
          <color indexed="64"/>
        </right>
        <top style="thin">
          <color indexed="64"/>
        </top>
        <bottom style="thin">
          <color indexed="64"/>
        </bottom>
      </border>
      <protection locked="0" hidden="0"/>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protection locked="0" hidden="0"/>
    </dxf>
    <dxf>
      <border outline="0">
        <top style="thin">
          <color indexed="64"/>
        </top>
      </border>
    </dxf>
    <dxf>
      <border outline="0">
        <left style="thin">
          <color rgb="FF000000"/>
        </left>
        <right style="thin">
          <color rgb="FF000000"/>
        </right>
        <top style="thin">
          <color rgb="FF000000"/>
        </top>
        <bottom style="thin">
          <color indexed="64"/>
        </bottom>
      </border>
    </dxf>
    <dxf>
      <border outline="0">
        <bottom style="thin">
          <color indexed="64"/>
        </bottom>
      </border>
    </dxf>
    <dxf>
      <fill>
        <patternFill patternType="solid">
          <fgColor indexed="64"/>
          <bgColor theme="8" tint="0.59999389629810485"/>
        </patternFill>
      </fill>
      <alignment horizontal="center" vertical="bottom" textRotation="0" wrapText="0" indent="0" justifyLastLine="0" shrinkToFit="0" readingOrder="0"/>
      <border diagonalUp="0" diagonalDown="0" outline="0">
        <left style="thin">
          <color indexed="64"/>
        </left>
        <right style="thin">
          <color indexed="64"/>
        </right>
        <top/>
        <bottom/>
      </border>
      <protection locked="0" hidden="0"/>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4" formatCode="_(* #,##0_);_(* \(#,##0\);_(* &quot;-&quot;??_);_(@_)"/>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ill>
        <patternFill patternType="solid">
          <fgColor indexed="64"/>
          <bgColor theme="9" tint="0.79998168889431442"/>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theme="1"/>
        <name val="Calibri"/>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Calibri"/>
        <family val="2"/>
        <scheme val="minor"/>
      </font>
      <numFmt numFmtId="164" formatCode="_(* #,##0_);_(* \(#,##0\);_(* &quot;-&quot;??_);_(@_)"/>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Calibri"/>
        <family val="2"/>
        <scheme val="minor"/>
      </font>
      <numFmt numFmtId="164" formatCode="_(* #,##0_);_(* \(#,##0\);_(* &quot;-&quot;??_);_(@_)"/>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numFmt numFmtId="164" formatCode="_(* #,##0_);_(* \(#,##0\);_(* &quot;-&quot;??_);_(@_)"/>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numFmt numFmtId="164" formatCode="_(* #,##0_);_(* \(#,##0\);_(* &quot;-&quot;??_);_(@_)"/>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minor"/>
      </font>
      <numFmt numFmtId="164" formatCode="_(* #,##0_);_(* \(#,##0\);_(* &quot;-&quot;??_);_(@_)"/>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minor"/>
      </font>
      <numFmt numFmtId="164" formatCode="_(* #,##0_);_(* \(#,##0\);_(* &quot;-&quot;??_);_(@_)"/>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minor"/>
      </font>
      <numFmt numFmtId="164" formatCode="_(* #,##0_);_(* \(#,##0\);_(* &quot;-&quot;??_);_(@_)"/>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numFmt numFmtId="164" formatCode="_(* #,##0_);_(* \(#,##0\);_(* &quot;-&quot;??_);_(@_)"/>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numFmt numFmtId="164" formatCode="_(* #,##0_);_(* \(#,##0\);_(* &quot;-&quot;??_);_(@_)"/>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numFmt numFmtId="164" formatCode="_(* #,##0_);_(* \(#,##0\);_(* &quot;-&quot;??_);_(@_)"/>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numFmt numFmtId="164" formatCode="_(* #,##0_);_(* \(#,##0\);_(* &quot;-&quot;??_);_(@_)"/>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minor"/>
      </font>
    </dxf>
    <dxf>
      <border outline="0">
        <bottom style="thin">
          <color indexed="64"/>
        </bottom>
      </border>
    </dxf>
    <dxf>
      <fill>
        <patternFill patternType="solid">
          <fgColor indexed="64"/>
          <bgColor theme="8" tint="0.59999389629810485"/>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color rgb="FF415853"/>
        <name val="Aptos Narrow"/>
        <family val="2"/>
        <scheme val="none"/>
      </font>
      <border>
        <bottom style="double">
          <color auto="1"/>
        </bottom>
      </border>
    </dxf>
    <dxf>
      <font>
        <name val="Aptos Narrow"/>
        <family val="2"/>
        <scheme val="none"/>
      </font>
      <fill>
        <patternFill patternType="none">
          <bgColor auto="1"/>
        </patternFill>
      </fill>
      <border diagonalUp="0" diagonalDown="0">
        <left/>
        <right/>
        <top/>
        <bottom/>
        <vertical/>
        <horizontal/>
      </border>
    </dxf>
  </dxfs>
  <tableStyles count="1" defaultTableStyle="TableStyleMedium2" defaultPivotStyle="PivotStyleLight16">
    <tableStyle name="Slicer Style 1 2" pivot="0" table="0" count="5" xr9:uid="{39E34370-BD72-4F57-87A3-4F723D287BBB}">
      <tableStyleElement type="wholeTable" dxfId="339"/>
      <tableStyleElement type="headerRow" dxfId="338"/>
    </tableStyle>
  </tableStyles>
  <colors>
    <mruColors>
      <color rgb="FFFF6969"/>
      <color rgb="FFC2D9B5"/>
      <color rgb="FFB9D4AA"/>
      <color rgb="FF678B83"/>
      <color rgb="FF415853"/>
      <color rgb="FFE8F1E3"/>
      <color rgb="FF8EACA6"/>
      <color rgb="FFD3E4CA"/>
      <color rgb="FFC0D8B2"/>
    </mruColors>
  </colors>
  <extLst>
    <ext xmlns:x14="http://schemas.microsoft.com/office/spreadsheetml/2009/9/main" uri="{46F421CA-312F-682f-3DD2-61675219B42D}">
      <x14:dxfs count="3">
        <dxf>
          <fill>
            <gradientFill degree="90">
              <stop position="0">
                <color rgb="FFC0D8B2"/>
              </stop>
              <stop position="1">
                <color rgb="FFB9D4AA"/>
              </stop>
            </gradientFill>
          </fill>
        </dxf>
        <dxf>
          <font>
            <name val="Aptos Narrow"/>
            <family val="2"/>
            <scheme val="none"/>
          </font>
          <fill>
            <gradientFill degree="90">
              <stop position="0">
                <color rgb="FF8EACA6"/>
              </stop>
              <stop position="1">
                <color rgb="FF678B83"/>
              </stop>
            </gradientFill>
          </fill>
          <border>
            <left style="thin">
              <color auto="1"/>
            </left>
            <right style="thin">
              <color auto="1"/>
            </right>
            <top style="thin">
              <color auto="1"/>
            </top>
            <bottom style="thin">
              <color auto="1"/>
            </bottom>
          </border>
        </dxf>
        <dxf>
          <fill>
            <gradientFill degree="90">
              <stop position="0">
                <color rgb="FFD3E4CA"/>
              </stop>
              <stop position="1">
                <color rgb="FFC0D8B2"/>
              </stop>
            </gradient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2">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3.xml"/><Relationship Id="rId39" Type="http://schemas.microsoft.com/office/2007/relationships/slicerCache" Target="slicerCaches/slicerCache9.xml"/><Relationship Id="rId21" Type="http://schemas.openxmlformats.org/officeDocument/2006/relationships/worksheet" Target="worksheets/sheet21.xml"/><Relationship Id="rId34" Type="http://schemas.microsoft.com/office/2007/relationships/slicerCache" Target="slicerCaches/slicerCache4.xml"/><Relationship Id="rId42" Type="http://schemas.microsoft.com/office/2007/relationships/slicerCache" Target="slicerCaches/slicerCache12.xml"/><Relationship Id="rId47" Type="http://schemas.openxmlformats.org/officeDocument/2006/relationships/theme" Target="theme/theme1.xml"/><Relationship Id="rId50" Type="http://schemas.openxmlformats.org/officeDocument/2006/relationships/sheetMetadata" Target="metadata.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3.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microsoft.com/office/2007/relationships/slicerCache" Target="slicerCaches/slicerCache2.xml"/><Relationship Id="rId37" Type="http://schemas.microsoft.com/office/2007/relationships/slicerCache" Target="slicerCaches/slicerCache7.xml"/><Relationship Id="rId40" Type="http://schemas.microsoft.com/office/2007/relationships/slicerCache" Target="slicerCaches/slicerCache10.xml"/><Relationship Id="rId45" Type="http://schemas.microsoft.com/office/2007/relationships/slicerCache" Target="slicerCaches/slicerCache1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2.xml"/><Relationship Id="rId36" Type="http://schemas.microsoft.com/office/2007/relationships/slicerCache" Target="slicerCaches/slicerCache6.xml"/><Relationship Id="rId49"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07/relationships/slicerCache" Target="slicerCaches/slicerCache1.xml"/><Relationship Id="rId44" Type="http://schemas.microsoft.com/office/2007/relationships/slicerCache" Target="slicerCaches/slicerCache1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1.xml"/><Relationship Id="rId30" Type="http://schemas.openxmlformats.org/officeDocument/2006/relationships/pivotCacheDefinition" Target="pivotCache/pivotCacheDefinition4.xml"/><Relationship Id="rId35" Type="http://schemas.microsoft.com/office/2007/relationships/slicerCache" Target="slicerCaches/slicerCache5.xml"/><Relationship Id="rId43" Type="http://schemas.microsoft.com/office/2007/relationships/slicerCache" Target="slicerCaches/slicerCache13.xml"/><Relationship Id="rId48"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33" Type="http://schemas.microsoft.com/office/2007/relationships/slicerCache" Target="slicerCaches/slicerCache3.xml"/><Relationship Id="rId38" Type="http://schemas.microsoft.com/office/2007/relationships/slicerCache" Target="slicerCaches/slicerCache8.xml"/><Relationship Id="rId46" Type="http://schemas.microsoft.com/office/2007/relationships/slicerCache" Target="slicerCaches/slicerCache16.xml"/><Relationship Id="rId20" Type="http://schemas.openxmlformats.org/officeDocument/2006/relationships/worksheet" Target="worksheets/sheet20.xml"/><Relationship Id="rId41" Type="http://schemas.microsoft.com/office/2007/relationships/slicerCache" Target="slicerCaches/slicerCache11.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Biểu đồ Báo cáo TH 2 DC năm 2026.xlsx]Pivot!PivotTable4</c:name>
    <c:fmtId val="3"/>
  </c:pivotSource>
  <c:chart>
    <c:autoTitleDeleted val="1"/>
    <c:pivotFmts>
      <c:pivotFmt>
        <c:idx val="0"/>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B9D4AA"/>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510914260717409"/>
          <c:y val="3.6956518288582527E-2"/>
          <c:w val="0.75433530183727038"/>
          <c:h val="0.94288538082673612"/>
        </c:manualLayout>
      </c:layout>
      <c:barChart>
        <c:barDir val="bar"/>
        <c:grouping val="clustered"/>
        <c:varyColors val="0"/>
        <c:ser>
          <c:idx val="0"/>
          <c:order val="0"/>
          <c:tx>
            <c:strRef>
              <c:f>Pivot!$P$5</c:f>
              <c:strCache>
                <c:ptCount val="1"/>
                <c:pt idx="0">
                  <c:v>Total</c:v>
                </c:pt>
              </c:strCache>
            </c:strRef>
          </c:tx>
          <c:spPr>
            <a:solidFill>
              <a:srgbClr val="B9D4AA"/>
            </a:solidFill>
            <a:ln>
              <a:noFill/>
            </a:ln>
            <a:effectLst/>
          </c:spPr>
          <c:invertIfNegative val="0"/>
          <c:dLbls>
            <c:numFmt formatCode="[&gt;=1000000]0,&quot;M&quot;;[&gt;=1000]0,&quot;K&quot;;0"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Pivot!$O$6:$O$11</c:f>
              <c:strCache>
                <c:ptCount val="5"/>
                <c:pt idx="0">
                  <c:v>Luxury</c:v>
                </c:pt>
                <c:pt idx="1">
                  <c:v>Xanh Tím</c:v>
                </c:pt>
                <c:pt idx="2">
                  <c:v>Havira</c:v>
                </c:pt>
                <c:pt idx="3">
                  <c:v>Green Home</c:v>
                </c:pt>
                <c:pt idx="4">
                  <c:v>Crovina</c:v>
                </c:pt>
              </c:strCache>
            </c:strRef>
          </c:cat>
          <c:val>
            <c:numRef>
              <c:f>Pivot!$P$6:$P$11</c:f>
              <c:numCache>
                <c:formatCode>_(* #,##0_);_(* \(#,##0\);_(* "-"??_);_(@_)</c:formatCode>
                <c:ptCount val="5"/>
                <c:pt idx="0">
                  <c:v>84787.5</c:v>
                </c:pt>
                <c:pt idx="1">
                  <c:v>35148</c:v>
                </c:pt>
                <c:pt idx="2">
                  <c:v>25069.5</c:v>
                </c:pt>
                <c:pt idx="3">
                  <c:v>19923</c:v>
                </c:pt>
                <c:pt idx="4">
                  <c:v>9318</c:v>
                </c:pt>
              </c:numCache>
            </c:numRef>
          </c:val>
          <c:extLst>
            <c:ext xmlns:c16="http://schemas.microsoft.com/office/drawing/2014/chart" uri="{C3380CC4-5D6E-409C-BE32-E72D297353CC}">
              <c16:uniqueId val="{00000000-6A34-49F8-861D-B6DA19921A3C}"/>
            </c:ext>
          </c:extLst>
        </c:ser>
        <c:dLbls>
          <c:showLegendKey val="0"/>
          <c:showVal val="1"/>
          <c:showCatName val="0"/>
          <c:showSerName val="0"/>
          <c:showPercent val="0"/>
          <c:showBubbleSize val="0"/>
        </c:dLbls>
        <c:gapWidth val="75"/>
        <c:axId val="646731456"/>
        <c:axId val="646736256"/>
      </c:barChart>
      <c:catAx>
        <c:axId val="64673145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46736256"/>
        <c:crosses val="autoZero"/>
        <c:auto val="1"/>
        <c:lblAlgn val="ctr"/>
        <c:lblOffset val="100"/>
        <c:noMultiLvlLbl val="0"/>
      </c:catAx>
      <c:valAx>
        <c:axId val="646736256"/>
        <c:scaling>
          <c:orientation val="minMax"/>
        </c:scaling>
        <c:delete val="1"/>
        <c:axPos val="t"/>
        <c:numFmt formatCode="[&gt;=1000000]0,&quot;M&quot;;[&gt;=1000]0,&quot;K&quot;;0" sourceLinked="0"/>
        <c:majorTickMark val="none"/>
        <c:minorTickMark val="none"/>
        <c:tickLblPos val="high"/>
        <c:crossAx val="646731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Biểu đồ Báo cáo TH 2 DC năm 2026.xlsx]Pivot!PivotTable9</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B9D4AA"/>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6"/>
        <c:spPr>
          <a:solidFill>
            <a:srgbClr val="8EACA6"/>
          </a:solidFill>
          <a:ln w="19050">
            <a:solidFill>
              <a:schemeClr val="lt1"/>
            </a:solidFill>
          </a:ln>
          <a:effectLst/>
        </c:spPr>
        <c:dLbl>
          <c:idx val="0"/>
          <c:layout>
            <c:manualLayout>
              <c:x val="2.2078329974259264E-2"/>
              <c:y val="-5.031974832201469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7"/>
        <c:spPr>
          <a:solidFill>
            <a:srgbClr val="B9D4AA"/>
          </a:solidFill>
          <a:ln w="19050">
            <a:solidFill>
              <a:schemeClr val="lt1"/>
            </a:solidFill>
          </a:ln>
          <a:effectLst/>
        </c:spPr>
      </c:pivotFmt>
      <c:pivotFmt>
        <c:idx val="8"/>
        <c:spPr>
          <a:solidFill>
            <a:srgbClr val="678B83"/>
          </a:solidFill>
          <a:ln w="19050">
            <a:solidFill>
              <a:schemeClr val="lt1"/>
            </a:solidFill>
          </a:ln>
          <a:effectLst/>
        </c:spPr>
      </c:pivotFmt>
      <c:pivotFmt>
        <c:idx val="9"/>
        <c:spPr>
          <a:solidFill>
            <a:srgbClr val="B9D4AA"/>
          </a:solidFill>
          <a:ln w="19050">
            <a:solidFill>
              <a:schemeClr val="lt1"/>
            </a:solidFill>
          </a:ln>
          <a:effectLst/>
        </c:spPr>
      </c:pivotFmt>
    </c:pivotFmts>
    <c:plotArea>
      <c:layout>
        <c:manualLayout>
          <c:layoutTarget val="inner"/>
          <c:xMode val="edge"/>
          <c:yMode val="edge"/>
          <c:x val="0.22881151489677898"/>
          <c:y val="0"/>
          <c:w val="0.57987748704773423"/>
          <c:h val="0.82006620558056931"/>
        </c:manualLayout>
      </c:layout>
      <c:doughnutChart>
        <c:varyColors val="1"/>
        <c:ser>
          <c:idx val="0"/>
          <c:order val="0"/>
          <c:tx>
            <c:strRef>
              <c:f>Pivot!$S$5</c:f>
              <c:strCache>
                <c:ptCount val="1"/>
                <c:pt idx="0">
                  <c:v>Total</c:v>
                </c:pt>
              </c:strCache>
            </c:strRef>
          </c:tx>
          <c:spPr>
            <a:solidFill>
              <a:srgbClr val="B9D4AA"/>
            </a:solidFill>
          </c:spPr>
          <c:dPt>
            <c:idx val="0"/>
            <c:bubble3D val="0"/>
            <c:spPr>
              <a:solidFill>
                <a:srgbClr val="8EACA6"/>
              </a:solidFill>
              <a:ln w="19050">
                <a:solidFill>
                  <a:schemeClr val="lt1"/>
                </a:solidFill>
              </a:ln>
              <a:effectLst/>
            </c:spPr>
            <c:extLst>
              <c:ext xmlns:c16="http://schemas.microsoft.com/office/drawing/2014/chart" uri="{C3380CC4-5D6E-409C-BE32-E72D297353CC}">
                <c16:uniqueId val="{00000001-97B6-4ACE-A4E4-4439F7E6C291}"/>
              </c:ext>
            </c:extLst>
          </c:dPt>
          <c:dPt>
            <c:idx val="1"/>
            <c:bubble3D val="0"/>
            <c:spPr>
              <a:solidFill>
                <a:srgbClr val="B9D4AA"/>
              </a:solidFill>
              <a:ln w="19050">
                <a:solidFill>
                  <a:schemeClr val="lt1"/>
                </a:solidFill>
              </a:ln>
              <a:effectLst/>
            </c:spPr>
            <c:extLst>
              <c:ext xmlns:c16="http://schemas.microsoft.com/office/drawing/2014/chart" uri="{C3380CC4-5D6E-409C-BE32-E72D297353CC}">
                <c16:uniqueId val="{00000003-97B6-4ACE-A4E4-4439F7E6C291}"/>
              </c:ext>
            </c:extLst>
          </c:dPt>
          <c:dPt>
            <c:idx val="2"/>
            <c:bubble3D val="0"/>
            <c:spPr>
              <a:solidFill>
                <a:srgbClr val="678B83"/>
              </a:solidFill>
              <a:ln w="19050">
                <a:solidFill>
                  <a:schemeClr val="lt1"/>
                </a:solidFill>
              </a:ln>
              <a:effectLst/>
            </c:spPr>
            <c:extLst>
              <c:ext xmlns:c16="http://schemas.microsoft.com/office/drawing/2014/chart" uri="{C3380CC4-5D6E-409C-BE32-E72D297353CC}">
                <c16:uniqueId val="{00000005-97B6-4ACE-A4E4-4439F7E6C291}"/>
              </c:ext>
            </c:extLst>
          </c:dPt>
          <c:dPt>
            <c:idx val="3"/>
            <c:bubble3D val="0"/>
            <c:spPr>
              <a:solidFill>
                <a:srgbClr val="B9D4AA"/>
              </a:solidFill>
              <a:ln w="19050">
                <a:solidFill>
                  <a:schemeClr val="lt1"/>
                </a:solidFill>
              </a:ln>
              <a:effectLst/>
            </c:spPr>
            <c:extLst>
              <c:ext xmlns:c16="http://schemas.microsoft.com/office/drawing/2014/chart" uri="{C3380CC4-5D6E-409C-BE32-E72D297353CC}">
                <c16:uniqueId val="{00000007-97A2-D741-A0DD-A8FB2F0A4971}"/>
              </c:ext>
            </c:extLst>
          </c:dPt>
          <c:dLbls>
            <c:dLbl>
              <c:idx val="0"/>
              <c:layout>
                <c:manualLayout>
                  <c:x val="2.2078329974259264E-2"/>
                  <c:y val="-5.031974832201469E-2"/>
                </c:manualLayout>
              </c:layout>
              <c:showLegendKey val="0"/>
              <c:showVal val="0"/>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97B6-4ACE-A4E4-4439F7E6C291}"/>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Pivot!$R$6:$R$9</c:f>
              <c:strCache>
                <c:ptCount val="3"/>
                <c:pt idx="0">
                  <c:v>A</c:v>
                </c:pt>
                <c:pt idx="1">
                  <c:v>A1</c:v>
                </c:pt>
                <c:pt idx="2">
                  <c:v>B</c:v>
                </c:pt>
              </c:strCache>
            </c:strRef>
          </c:cat>
          <c:val>
            <c:numRef>
              <c:f>Pivot!$S$6:$S$9</c:f>
              <c:numCache>
                <c:formatCode>General</c:formatCode>
                <c:ptCount val="3"/>
                <c:pt idx="0">
                  <c:v>0</c:v>
                </c:pt>
                <c:pt idx="1">
                  <c:v>168142.5</c:v>
                </c:pt>
                <c:pt idx="2">
                  <c:v>6103.5</c:v>
                </c:pt>
              </c:numCache>
            </c:numRef>
          </c:val>
          <c:extLst>
            <c:ext xmlns:c16="http://schemas.microsoft.com/office/drawing/2014/chart" uri="{C3380CC4-5D6E-409C-BE32-E72D297353CC}">
              <c16:uniqueId val="{00000006-97B6-4ACE-A4E4-4439F7E6C291}"/>
            </c:ext>
          </c:extLst>
        </c:ser>
        <c:dLbls>
          <c:showLegendKey val="0"/>
          <c:showVal val="1"/>
          <c:showCatName val="0"/>
          <c:showSerName val="0"/>
          <c:showPercent val="0"/>
          <c:showBubbleSize val="0"/>
          <c:showLeaderLines val="1"/>
        </c:dLbls>
        <c:firstSliceAng val="0"/>
        <c:holeSize val="61"/>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Biểu đồ Báo cáo TH 2 DC năm 2026.xlsx]Pivot!Tổng sản lượng thu hồi </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0D8B2"/>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678B83"/>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Pivot!$B$7:$B$8</c:f>
              <c:strCache>
                <c:ptCount val="1"/>
                <c:pt idx="0">
                  <c:v>Kế hoạch</c:v>
                </c:pt>
              </c:strCache>
            </c:strRef>
          </c:tx>
          <c:spPr>
            <a:solidFill>
              <a:srgbClr val="C0D8B2"/>
            </a:solidFill>
            <a:ln>
              <a:noFill/>
            </a:ln>
            <a:effectLst/>
          </c:spPr>
          <c:invertIfNegative val="0"/>
          <c:dLbls>
            <c:numFmt formatCode="[&gt;=1000000]0,&quot;M&quot;;[&gt;=1000]0,&quot;K&quot;;0" sourceLinked="0"/>
            <c:spPr>
              <a:noFill/>
              <a:ln>
                <a:noFill/>
              </a:ln>
              <a:effectLst/>
            </c:spPr>
            <c:txPr>
              <a:bodyPr rot="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Pivot!$A$9:$A$14</c:f>
              <c:strCache>
                <c:ptCount val="5"/>
                <c:pt idx="0">
                  <c:v>3</c:v>
                </c:pt>
                <c:pt idx="1">
                  <c:v>4</c:v>
                </c:pt>
                <c:pt idx="2">
                  <c:v>6</c:v>
                </c:pt>
                <c:pt idx="3">
                  <c:v>7</c:v>
                </c:pt>
                <c:pt idx="4">
                  <c:v>8</c:v>
                </c:pt>
              </c:strCache>
            </c:strRef>
          </c:cat>
          <c:val>
            <c:numRef>
              <c:f>Pivot!$B$9:$B$14</c:f>
              <c:numCache>
                <c:formatCode>_(* #,##0.00_);_(* \(#,##0.00\);_(* "-"??_);_(@_)</c:formatCode>
                <c:ptCount val="5"/>
                <c:pt idx="0">
                  <c:v>372303</c:v>
                </c:pt>
                <c:pt idx="1">
                  <c:v>193040.4</c:v>
                </c:pt>
                <c:pt idx="2">
                  <c:v>6894.3</c:v>
                </c:pt>
                <c:pt idx="3">
                  <c:v>427446.60000000003</c:v>
                </c:pt>
                <c:pt idx="4">
                  <c:v>165463.20000000001</c:v>
                </c:pt>
              </c:numCache>
            </c:numRef>
          </c:val>
          <c:extLst>
            <c:ext xmlns:c16="http://schemas.microsoft.com/office/drawing/2014/chart" uri="{C3380CC4-5D6E-409C-BE32-E72D297353CC}">
              <c16:uniqueId val="{00000003-C518-EA44-BAD6-BE1F2E0817BC}"/>
            </c:ext>
          </c:extLst>
        </c:ser>
        <c:ser>
          <c:idx val="1"/>
          <c:order val="1"/>
          <c:tx>
            <c:strRef>
              <c:f>Pivot!$C$7:$C$8</c:f>
              <c:strCache>
                <c:ptCount val="1"/>
                <c:pt idx="0">
                  <c:v>Thực hiện</c:v>
                </c:pt>
              </c:strCache>
            </c:strRef>
          </c:tx>
          <c:spPr>
            <a:solidFill>
              <a:srgbClr val="678B83"/>
            </a:solidFill>
            <a:ln>
              <a:noFill/>
            </a:ln>
            <a:effectLst/>
          </c:spPr>
          <c:invertIfNegative val="0"/>
          <c:dLbls>
            <c:numFmt formatCode="[&gt;=1000000]0,&quot;M&quot;;[&gt;=1000]0,&quot;K&quot;;0" sourceLinked="0"/>
            <c:spPr>
              <a:noFill/>
              <a:ln>
                <a:noFill/>
              </a:ln>
              <a:effectLst/>
            </c:spPr>
            <c:txPr>
              <a:bodyPr rot="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Pivot!$A$9:$A$14</c:f>
              <c:strCache>
                <c:ptCount val="5"/>
                <c:pt idx="0">
                  <c:v>3</c:v>
                </c:pt>
                <c:pt idx="1">
                  <c:v>4</c:v>
                </c:pt>
                <c:pt idx="2">
                  <c:v>6</c:v>
                </c:pt>
                <c:pt idx="3">
                  <c:v>7</c:v>
                </c:pt>
                <c:pt idx="4">
                  <c:v>8</c:v>
                </c:pt>
              </c:strCache>
            </c:strRef>
          </c:cat>
          <c:val>
            <c:numRef>
              <c:f>Pivot!$C$9:$C$14</c:f>
              <c:numCache>
                <c:formatCode>_(* #,##0.00_);_(* \(#,##0.00\);_(* "-"??_);_(@_)</c:formatCode>
                <c:ptCount val="5"/>
                <c:pt idx="0">
                  <c:v>415739</c:v>
                </c:pt>
                <c:pt idx="1">
                  <c:v>208243.5</c:v>
                </c:pt>
                <c:pt idx="2">
                  <c:v>5670.5</c:v>
                </c:pt>
                <c:pt idx="3">
                  <c:v>438355.5</c:v>
                </c:pt>
                <c:pt idx="4">
                  <c:v>174246.5</c:v>
                </c:pt>
              </c:numCache>
            </c:numRef>
          </c:val>
          <c:extLst>
            <c:ext xmlns:c16="http://schemas.microsoft.com/office/drawing/2014/chart" uri="{C3380CC4-5D6E-409C-BE32-E72D297353CC}">
              <c16:uniqueId val="{00000004-C518-EA44-BAD6-BE1F2E0817BC}"/>
            </c:ext>
          </c:extLst>
        </c:ser>
        <c:dLbls>
          <c:showLegendKey val="0"/>
          <c:showVal val="1"/>
          <c:showCatName val="0"/>
          <c:showSerName val="0"/>
          <c:showPercent val="0"/>
          <c:showBubbleSize val="0"/>
        </c:dLbls>
        <c:gapWidth val="75"/>
        <c:axId val="646735296"/>
        <c:axId val="646731456"/>
      </c:barChart>
      <c:catAx>
        <c:axId val="646735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46731456"/>
        <c:crosses val="autoZero"/>
        <c:auto val="1"/>
        <c:lblAlgn val="ctr"/>
        <c:lblOffset val="100"/>
        <c:noMultiLvlLbl val="0"/>
      </c:catAx>
      <c:valAx>
        <c:axId val="646731456"/>
        <c:scaling>
          <c:orientation val="minMax"/>
        </c:scaling>
        <c:delete val="0"/>
        <c:axPos val="l"/>
        <c:numFmt formatCode="[&gt;=1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46735296"/>
        <c:crosses val="autoZero"/>
        <c:crossBetween val="between"/>
      </c:valAx>
      <c:spPr>
        <a:noFill/>
        <a:ln>
          <a:noFill/>
        </a:ln>
        <a:effectLst/>
      </c:spPr>
    </c:plotArea>
    <c:legend>
      <c:legendPos val="b"/>
      <c:layout>
        <c:manualLayout>
          <c:xMode val="edge"/>
          <c:yMode val="edge"/>
          <c:x val="0.30429152230025491"/>
          <c:y val="0.88521443517950726"/>
          <c:w val="0.16543238811170272"/>
          <c:h val="8.231768093630918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707621452978755"/>
          <c:y val="0.15801823456278491"/>
          <c:w val="0.7474113377337267"/>
          <c:h val="0.72970949026108578"/>
        </c:manualLayout>
      </c:layout>
      <c:doughnutChart>
        <c:varyColors val="1"/>
        <c:dLbls>
          <c:showLegendKey val="0"/>
          <c:showVal val="0"/>
          <c:showCatName val="0"/>
          <c:showSerName val="0"/>
          <c:showPercent val="1"/>
          <c:showBubbleSize val="0"/>
          <c:showLeaderLines val="0"/>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50">
          <a:solidFill>
            <a:schemeClr val="tx1"/>
          </a:solidFil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4385253846207546E-2"/>
          <c:y val="0"/>
          <c:w val="0.98561474615379241"/>
          <c:h val="0.27768444068333259"/>
        </c:manualLayout>
      </c:layout>
      <c:lineChart>
        <c:grouping val="standard"/>
        <c:varyColors val="0"/>
        <c:dLbls>
          <c:dLblPos val="t"/>
          <c:showLegendKey val="0"/>
          <c:showVal val="1"/>
          <c:showCatName val="0"/>
          <c:showSerName val="0"/>
          <c:showPercent val="0"/>
          <c:showBubbleSize val="0"/>
        </c:dLbls>
        <c:marker val="1"/>
        <c:smooth val="0"/>
        <c:axId val="646704576"/>
        <c:axId val="646694496"/>
      </c:lineChart>
      <c:catAx>
        <c:axId val="646704576"/>
        <c:scaling>
          <c:orientation val="minMax"/>
        </c:scaling>
        <c:delete val="1"/>
        <c:axPos val="b"/>
        <c:majorTickMark val="none"/>
        <c:minorTickMark val="none"/>
        <c:tickLblPos val="nextTo"/>
        <c:crossAx val="646694496"/>
        <c:crosses val="autoZero"/>
        <c:auto val="1"/>
        <c:lblAlgn val="ctr"/>
        <c:lblOffset val="100"/>
        <c:noMultiLvlLbl val="0"/>
      </c:catAx>
      <c:valAx>
        <c:axId val="646694496"/>
        <c:scaling>
          <c:orientation val="minMax"/>
        </c:scaling>
        <c:delete val="1"/>
        <c:axPos val="l"/>
        <c:numFmt formatCode="0%" sourceLinked="1"/>
        <c:majorTickMark val="none"/>
        <c:minorTickMark val="none"/>
        <c:tickLblPos val="nextTo"/>
        <c:crossAx val="646704576"/>
        <c:crosses val="autoZero"/>
        <c:crossBetween val="between"/>
      </c:valAx>
      <c:spPr>
        <a:noFill/>
        <a:ln w="25400">
          <a:noFill/>
        </a:ln>
        <a:effectLst/>
      </c:spPr>
    </c:plotArea>
    <c:legend>
      <c:legendPos val="b"/>
      <c:layout>
        <c:manualLayout>
          <c:xMode val="edge"/>
          <c:yMode val="edge"/>
          <c:x val="0.4784783480277161"/>
          <c:y val="0.90878302712160985"/>
          <c:w val="0.25400198878158059"/>
          <c:h val="9.121685464992551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Biểu đồ Báo cáo TH 2 DC năm 2026.xlsx]Pivot!Cơ cấu chất lượng</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a:outerShdw blurRad="190500" sx="102000" sy="102000" algn="ctr" rotWithShape="0">
              <a:prstClr val="black">
                <a:alpha val="5000"/>
              </a:prstClr>
            </a:outerShdw>
          </a:effectLst>
        </c:spPr>
        <c:marker>
          <c:symbol val="none"/>
        </c:marker>
        <c:dLbl>
          <c:idx val="0"/>
          <c:numFmt formatCode="0.00%"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678B83"/>
          </a:solidFill>
          <a:ln w="19050">
            <a:solidFill>
              <a:schemeClr val="lt1"/>
            </a:solidFill>
          </a:ln>
          <a:effectLst>
            <a:outerShdw blurRad="190500" sx="102000" sy="102000" algn="ctr" rotWithShape="0">
              <a:prstClr val="black">
                <a:alpha val="5000"/>
              </a:prstClr>
            </a:outerShdw>
          </a:effectLst>
        </c:spPr>
      </c:pivotFmt>
      <c:pivotFmt>
        <c:idx val="9"/>
        <c:spPr>
          <a:solidFill>
            <a:srgbClr val="8EACA6"/>
          </a:solidFill>
          <a:ln w="19050">
            <a:solidFill>
              <a:schemeClr val="lt1"/>
            </a:solidFill>
          </a:ln>
          <a:effectLst>
            <a:outerShdw blurRad="190500" sx="102000" sy="102000" algn="ctr" rotWithShape="0">
              <a:prstClr val="black">
                <a:alpha val="5000"/>
              </a:prstClr>
            </a:outerShdw>
          </a:effectLst>
        </c:spPr>
        <c:dLbl>
          <c:idx val="0"/>
          <c:layout>
            <c:manualLayout>
              <c:x val="-5.8252409371635422E-2"/>
              <c:y val="-0.12269938650306748"/>
            </c:manualLayout>
          </c:layout>
          <c:numFmt formatCode="0.00%"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rgbClr val="C0D8B2"/>
          </a:solidFill>
          <a:ln w="19050">
            <a:solidFill>
              <a:schemeClr val="lt1"/>
            </a:solidFill>
          </a:ln>
          <a:effectLst>
            <a:outerShdw blurRad="190500" sx="102000" sy="102000" algn="ctr" rotWithShape="0">
              <a:prstClr val="black">
                <a:alpha val="5000"/>
              </a:prstClr>
            </a:outerShdw>
          </a:effectLst>
        </c:spPr>
        <c:dLbl>
          <c:idx val="0"/>
          <c:layout>
            <c:manualLayout>
              <c:x val="6.4341968273161215E-2"/>
              <c:y val="-0.12319738357679851"/>
            </c:manualLayout>
          </c:layout>
          <c:numFmt formatCode="0.00%"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296500195621294"/>
          <c:y val="6.2656953617452008E-2"/>
          <c:w val="0.78653449483652749"/>
          <c:h val="0.79640843063922862"/>
        </c:manualLayout>
      </c:layout>
      <c:doughnutChart>
        <c:varyColors val="1"/>
        <c:ser>
          <c:idx val="0"/>
          <c:order val="0"/>
          <c:tx>
            <c:strRef>
              <c:f>Pivot!$H$7</c:f>
              <c:strCache>
                <c:ptCount val="1"/>
                <c:pt idx="0">
                  <c:v>Total</c:v>
                </c:pt>
              </c:strCache>
            </c:strRef>
          </c:tx>
          <c:spPr>
            <a:effectLst>
              <a:outerShdw blurRad="190500" sx="102000" sy="102000" algn="ctr" rotWithShape="0">
                <a:prstClr val="black">
                  <a:alpha val="5000"/>
                </a:prstClr>
              </a:outerShdw>
            </a:effectLst>
          </c:spPr>
          <c:explosion val="3"/>
          <c:dPt>
            <c:idx val="0"/>
            <c:bubble3D val="0"/>
            <c:spPr>
              <a:solidFill>
                <a:srgbClr val="678B83"/>
              </a:solidFill>
              <a:ln w="19050">
                <a:solidFill>
                  <a:schemeClr val="lt1"/>
                </a:solidFill>
              </a:ln>
              <a:effectLst>
                <a:outerShdw blurRad="190500" sx="102000" sy="102000" algn="ctr" rotWithShape="0">
                  <a:prstClr val="black">
                    <a:alpha val="5000"/>
                  </a:prstClr>
                </a:outerShdw>
              </a:effectLst>
            </c:spPr>
            <c:extLst>
              <c:ext xmlns:c16="http://schemas.microsoft.com/office/drawing/2014/chart" uri="{C3380CC4-5D6E-409C-BE32-E72D297353CC}">
                <c16:uniqueId val="{00000001-6B3C-48AB-A0E1-3A91FBFCB30A}"/>
              </c:ext>
            </c:extLst>
          </c:dPt>
          <c:dPt>
            <c:idx val="1"/>
            <c:bubble3D val="0"/>
            <c:spPr>
              <a:solidFill>
                <a:srgbClr val="8EACA6"/>
              </a:solidFill>
              <a:ln w="19050">
                <a:solidFill>
                  <a:schemeClr val="lt1"/>
                </a:solidFill>
              </a:ln>
              <a:effectLst>
                <a:outerShdw blurRad="190500" sx="102000" sy="102000" algn="ctr" rotWithShape="0">
                  <a:prstClr val="black">
                    <a:alpha val="5000"/>
                  </a:prstClr>
                </a:outerShdw>
              </a:effectLst>
            </c:spPr>
            <c:extLst>
              <c:ext xmlns:c16="http://schemas.microsoft.com/office/drawing/2014/chart" uri="{C3380CC4-5D6E-409C-BE32-E72D297353CC}">
                <c16:uniqueId val="{00000003-6B3C-48AB-A0E1-3A91FBFCB30A}"/>
              </c:ext>
            </c:extLst>
          </c:dPt>
          <c:dPt>
            <c:idx val="2"/>
            <c:bubble3D val="0"/>
            <c:spPr>
              <a:solidFill>
                <a:srgbClr val="C0D8B2"/>
              </a:solidFill>
              <a:ln w="19050">
                <a:solidFill>
                  <a:schemeClr val="lt1"/>
                </a:solidFill>
              </a:ln>
              <a:effectLst>
                <a:outerShdw blurRad="190500" sx="102000" sy="102000" algn="ctr" rotWithShape="0">
                  <a:prstClr val="black">
                    <a:alpha val="5000"/>
                  </a:prstClr>
                </a:outerShdw>
              </a:effectLst>
            </c:spPr>
            <c:extLst>
              <c:ext xmlns:c16="http://schemas.microsoft.com/office/drawing/2014/chart" uri="{C3380CC4-5D6E-409C-BE32-E72D297353CC}">
                <c16:uniqueId val="{00000005-6B3C-48AB-A0E1-3A91FBFCB30A}"/>
              </c:ext>
            </c:extLst>
          </c:dPt>
          <c:dLbls>
            <c:dLbl>
              <c:idx val="1"/>
              <c:layout>
                <c:manualLayout>
                  <c:x val="-5.8252409371635422E-2"/>
                  <c:y val="-0.12269938650306748"/>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B3C-48AB-A0E1-3A91FBFCB30A}"/>
                </c:ext>
              </c:extLst>
            </c:dLbl>
            <c:dLbl>
              <c:idx val="2"/>
              <c:layout>
                <c:manualLayout>
                  <c:x val="6.4341968273161215E-2"/>
                  <c:y val="-0.12319738357679851"/>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B3C-48AB-A0E1-3A91FBFCB30A}"/>
                </c:ext>
              </c:extLst>
            </c:dLbl>
            <c:numFmt formatCode="0.00%"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Pivot!$G$8:$G$10</c:f>
              <c:strCache>
                <c:ptCount val="3"/>
                <c:pt idx="0">
                  <c:v>Sum of A1</c:v>
                </c:pt>
                <c:pt idx="1">
                  <c:v>Sum of A</c:v>
                </c:pt>
                <c:pt idx="2">
                  <c:v>Sum of B</c:v>
                </c:pt>
              </c:strCache>
            </c:strRef>
          </c:cat>
          <c:val>
            <c:numRef>
              <c:f>Pivot!$H$8:$H$10</c:f>
              <c:numCache>
                <c:formatCode>General</c:formatCode>
                <c:ptCount val="3"/>
                <c:pt idx="0">
                  <c:v>168143</c:v>
                </c:pt>
                <c:pt idx="1">
                  <c:v>0</c:v>
                </c:pt>
                <c:pt idx="2">
                  <c:v>6103.5</c:v>
                </c:pt>
              </c:numCache>
            </c:numRef>
          </c:val>
          <c:extLst>
            <c:ext xmlns:c16="http://schemas.microsoft.com/office/drawing/2014/chart" uri="{C3380CC4-5D6E-409C-BE32-E72D297353CC}">
              <c16:uniqueId val="{00000006-6B3C-48AB-A0E1-3A91FBFCB30A}"/>
            </c:ext>
          </c:extLst>
        </c:ser>
        <c:dLbls>
          <c:showLegendKey val="0"/>
          <c:showVal val="0"/>
          <c:showCatName val="0"/>
          <c:showSerName val="0"/>
          <c:showPercent val="0"/>
          <c:showBubbleSize val="0"/>
          <c:showLeaderLines val="1"/>
        </c:dLbls>
        <c:firstSliceAng val="0"/>
        <c:holeSize val="59"/>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Biểu đồ Báo cáo TH 2 DC năm 2026.xlsx]Pivot!PivotTable14</c:name>
    <c:fmtId val="3"/>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415853"/>
            </a:solidFill>
            <a:round/>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B9D4AA"/>
            </a:solidFill>
            <a:round/>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Pivot!$AK$5</c:f>
              <c:strCache>
                <c:ptCount val="1"/>
                <c:pt idx="0">
                  <c:v>Sum of KL Lĩnh </c:v>
                </c:pt>
              </c:strCache>
            </c:strRef>
          </c:tx>
          <c:spPr>
            <a:ln w="28575" cap="rnd">
              <a:solidFill>
                <a:srgbClr val="415853"/>
              </a:solidFill>
              <a:round/>
            </a:ln>
            <a:effectLst/>
          </c:spPr>
          <c:marker>
            <c:symbol val="none"/>
          </c:marker>
          <c:dLbls>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Pivot!$AJ$6:$AJ$13</c:f>
              <c:strCache>
                <c:ptCount val="7"/>
                <c:pt idx="0">
                  <c:v>1</c:v>
                </c:pt>
                <c:pt idx="1">
                  <c:v>3</c:v>
                </c:pt>
                <c:pt idx="2">
                  <c:v>4</c:v>
                </c:pt>
                <c:pt idx="3">
                  <c:v>5</c:v>
                </c:pt>
                <c:pt idx="4">
                  <c:v>6</c:v>
                </c:pt>
                <c:pt idx="5">
                  <c:v>7</c:v>
                </c:pt>
                <c:pt idx="6">
                  <c:v>8</c:v>
                </c:pt>
              </c:strCache>
            </c:strRef>
          </c:cat>
          <c:val>
            <c:numRef>
              <c:f>Pivot!$AK$6:$AK$13</c:f>
              <c:numCache>
                <c:formatCode>_(* #,##0_);_(* \(#,##0\);_(* "-"_);_(@_)</c:formatCode>
                <c:ptCount val="7"/>
                <c:pt idx="0">
                  <c:v>952591</c:v>
                </c:pt>
                <c:pt idx="1">
                  <c:v>1723670</c:v>
                </c:pt>
                <c:pt idx="2">
                  <c:v>2132932</c:v>
                </c:pt>
                <c:pt idx="3">
                  <c:v>2418264</c:v>
                </c:pt>
                <c:pt idx="4">
                  <c:v>2406148</c:v>
                </c:pt>
                <c:pt idx="5">
                  <c:v>1959719</c:v>
                </c:pt>
                <c:pt idx="6">
                  <c:v>2215580</c:v>
                </c:pt>
              </c:numCache>
            </c:numRef>
          </c:val>
          <c:smooth val="0"/>
          <c:extLst>
            <c:ext xmlns:c16="http://schemas.microsoft.com/office/drawing/2014/chart" uri="{C3380CC4-5D6E-409C-BE32-E72D297353CC}">
              <c16:uniqueId val="{00000001-809E-4A62-9651-0D482732584D}"/>
            </c:ext>
          </c:extLst>
        </c:ser>
        <c:ser>
          <c:idx val="1"/>
          <c:order val="1"/>
          <c:tx>
            <c:strRef>
              <c:f>Pivot!$AL$5</c:f>
              <c:strCache>
                <c:ptCount val="1"/>
                <c:pt idx="0">
                  <c:v>Sum of Sản lượng</c:v>
                </c:pt>
              </c:strCache>
            </c:strRef>
          </c:tx>
          <c:spPr>
            <a:ln w="28575" cap="rnd">
              <a:solidFill>
                <a:srgbClr val="B9D4AA"/>
              </a:solidFill>
              <a:round/>
            </a:ln>
            <a:effectLst/>
          </c:spPr>
          <c:marker>
            <c:symbol val="none"/>
          </c:marker>
          <c:dLbls>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Pivot!$AJ$6:$AJ$13</c:f>
              <c:strCache>
                <c:ptCount val="7"/>
                <c:pt idx="0">
                  <c:v>1</c:v>
                </c:pt>
                <c:pt idx="1">
                  <c:v>3</c:v>
                </c:pt>
                <c:pt idx="2">
                  <c:v>4</c:v>
                </c:pt>
                <c:pt idx="3">
                  <c:v>5</c:v>
                </c:pt>
                <c:pt idx="4">
                  <c:v>6</c:v>
                </c:pt>
                <c:pt idx="5">
                  <c:v>7</c:v>
                </c:pt>
                <c:pt idx="6">
                  <c:v>8</c:v>
                </c:pt>
              </c:strCache>
            </c:strRef>
          </c:cat>
          <c:val>
            <c:numRef>
              <c:f>Pivot!$AL$6:$AL$13</c:f>
              <c:numCache>
                <c:formatCode>0.00</c:formatCode>
                <c:ptCount val="7"/>
                <c:pt idx="0">
                  <c:v>345690</c:v>
                </c:pt>
                <c:pt idx="1">
                  <c:v>752024</c:v>
                </c:pt>
                <c:pt idx="2">
                  <c:v>912451</c:v>
                </c:pt>
                <c:pt idx="3">
                  <c:v>949690.2</c:v>
                </c:pt>
                <c:pt idx="4">
                  <c:v>915164</c:v>
                </c:pt>
                <c:pt idx="5">
                  <c:v>933800.46</c:v>
                </c:pt>
                <c:pt idx="6">
                  <c:v>929392</c:v>
                </c:pt>
              </c:numCache>
            </c:numRef>
          </c:val>
          <c:smooth val="0"/>
          <c:extLst>
            <c:ext xmlns:c16="http://schemas.microsoft.com/office/drawing/2014/chart" uri="{C3380CC4-5D6E-409C-BE32-E72D297353CC}">
              <c16:uniqueId val="{00000002-809E-4A62-9651-0D482732584D}"/>
            </c:ext>
          </c:extLst>
        </c:ser>
        <c:dLbls>
          <c:dLblPos val="t"/>
          <c:showLegendKey val="0"/>
          <c:showVal val="1"/>
          <c:showCatName val="0"/>
          <c:showSerName val="0"/>
          <c:showPercent val="0"/>
          <c:showBubbleSize val="0"/>
        </c:dLbls>
        <c:smooth val="0"/>
        <c:axId val="777985584"/>
        <c:axId val="778002384"/>
      </c:lineChart>
      <c:catAx>
        <c:axId val="777985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002384"/>
        <c:crosses val="autoZero"/>
        <c:auto val="1"/>
        <c:lblAlgn val="ctr"/>
        <c:lblOffset val="100"/>
        <c:noMultiLvlLbl val="0"/>
      </c:catAx>
      <c:valAx>
        <c:axId val="778002384"/>
        <c:scaling>
          <c:orientation val="minMax"/>
        </c:scaling>
        <c:delete val="0"/>
        <c:axPos val="l"/>
        <c:numFmt formatCode="[&gt;=1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9855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Biểu đồ Báo cáo TH 2 DC năm 2026.xlsx]Pivot!PivotTable15</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78B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8EACA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B9D4A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415853"/>
          </a:solidFill>
          <a:ln>
            <a:noFill/>
          </a:ln>
          <a:effectLst/>
        </c:spPr>
        <c:marker>
          <c:symbol val="none"/>
        </c:marker>
        <c:dLbl>
          <c:idx val="0"/>
          <c:spPr>
            <a:solidFill>
              <a:srgbClr val="FF6969"/>
            </a:solid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678B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2D9B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C2D9B5"/>
          </a:solidFill>
          <a:ln>
            <a:noFill/>
          </a:ln>
          <a:effectLst/>
        </c:spPr>
      </c:pivotFmt>
      <c:pivotFmt>
        <c:idx val="9"/>
        <c:spPr>
          <a:solidFill>
            <a:srgbClr val="678B83"/>
          </a:solidFill>
          <a:ln>
            <a:noFill/>
          </a:ln>
          <a:effectLst/>
        </c:spPr>
      </c:pivotFmt>
      <c:pivotFmt>
        <c:idx val="10"/>
        <c:spPr>
          <a:solidFill>
            <a:srgbClr val="415853"/>
          </a:solidFill>
          <a:ln>
            <a:noFill/>
          </a:ln>
          <a:effectLst/>
        </c:spPr>
      </c:pivotFmt>
      <c:pivotFmt>
        <c:idx val="11"/>
        <c:spPr>
          <a:solidFill>
            <a:srgbClr val="C2D9B5"/>
          </a:solidFill>
          <a:ln>
            <a:noFill/>
          </a:ln>
          <a:effectLst/>
        </c:spPr>
      </c:pivotFmt>
      <c:pivotFmt>
        <c:idx val="12"/>
        <c:spPr>
          <a:solidFill>
            <a:srgbClr val="C2D9B5"/>
          </a:solidFill>
          <a:ln>
            <a:noFill/>
          </a:ln>
          <a:effectLst/>
        </c:spPr>
      </c:pivotFmt>
      <c:pivotFmt>
        <c:idx val="13"/>
      </c:pivotFmt>
      <c:pivotFmt>
        <c:idx val="14"/>
      </c:pivotFmt>
      <c:pivotFmt>
        <c:idx val="15"/>
        <c:spPr>
          <a:solidFill>
            <a:srgbClr val="C2D9B5"/>
          </a:solidFill>
          <a:ln>
            <a:noFill/>
          </a:ln>
          <a:effectLst/>
        </c:spPr>
      </c:pivotFmt>
      <c:pivotFmt>
        <c:idx val="16"/>
      </c:pivotFmt>
      <c:pivotFmt>
        <c:idx val="17"/>
      </c:pivotFmt>
    </c:pivotFmts>
    <c:plotArea>
      <c:layout>
        <c:manualLayout>
          <c:layoutTarget val="inner"/>
          <c:xMode val="edge"/>
          <c:yMode val="edge"/>
          <c:x val="6.0095232360202741E-2"/>
          <c:y val="6.7372548155457151E-2"/>
          <c:w val="0.93990476763979725"/>
          <c:h val="0.70421696653775701"/>
        </c:manualLayout>
      </c:layout>
      <c:barChart>
        <c:barDir val="col"/>
        <c:grouping val="clustered"/>
        <c:varyColors val="0"/>
        <c:ser>
          <c:idx val="0"/>
          <c:order val="0"/>
          <c:tx>
            <c:strRef>
              <c:f>Pivot!$AO$5</c:f>
              <c:strCache>
                <c:ptCount val="1"/>
                <c:pt idx="0">
                  <c:v>Tiêu hao (Kg/m2)</c:v>
                </c:pt>
              </c:strCache>
            </c:strRef>
          </c:tx>
          <c:spPr>
            <a:solidFill>
              <a:srgbClr val="415853"/>
            </a:solidFill>
            <a:ln>
              <a:noFill/>
            </a:ln>
            <a:effectLst/>
          </c:spPr>
          <c:invertIfNegative val="0"/>
          <c:dPt>
            <c:idx val="0"/>
            <c:invertIfNegative val="0"/>
            <c:bubble3D val="0"/>
            <c:extLst>
              <c:ext xmlns:c16="http://schemas.microsoft.com/office/drawing/2014/chart" uri="{C3380CC4-5D6E-409C-BE32-E72D297353CC}">
                <c16:uniqueId val="{00000001-8D9D-F743-9A7E-7E48C6B33C9C}"/>
              </c:ext>
            </c:extLst>
          </c:dPt>
          <c:dPt>
            <c:idx val="6"/>
            <c:invertIfNegative val="0"/>
            <c:bubble3D val="0"/>
            <c:extLst>
              <c:ext xmlns:c16="http://schemas.microsoft.com/office/drawing/2014/chart" uri="{C3380CC4-5D6E-409C-BE32-E72D297353CC}">
                <c16:uniqueId val="{00000002-B5EC-404E-B72E-C34EAB59531B}"/>
              </c:ext>
            </c:extLst>
          </c:dPt>
          <c:dLbls>
            <c:spPr>
              <a:solidFill>
                <a:srgbClr val="FF6969"/>
              </a:solid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Pivot!$AN$6:$AN$7</c:f>
              <c:strCache>
                <c:ptCount val="1"/>
                <c:pt idx="0">
                  <c:v>8</c:v>
                </c:pt>
              </c:strCache>
            </c:strRef>
          </c:cat>
          <c:val>
            <c:numRef>
              <c:f>Pivot!$AO$6:$AO$7</c:f>
              <c:numCache>
                <c:formatCode>0.00</c:formatCode>
                <c:ptCount val="1"/>
                <c:pt idx="0">
                  <c:v>2.3839025943842858</c:v>
                </c:pt>
              </c:numCache>
            </c:numRef>
          </c:val>
          <c:extLst>
            <c:ext xmlns:c16="http://schemas.microsoft.com/office/drawing/2014/chart" uri="{C3380CC4-5D6E-409C-BE32-E72D297353CC}">
              <c16:uniqueId val="{00000000-9FCB-4C05-A0DE-3DFC47C92015}"/>
            </c:ext>
          </c:extLst>
        </c:ser>
        <c:ser>
          <c:idx val="1"/>
          <c:order val="1"/>
          <c:tx>
            <c:strRef>
              <c:f>Pivot!$AP$5</c:f>
              <c:strCache>
                <c:ptCount val="1"/>
                <c:pt idx="0">
                  <c:v>Tiêu hao (có cám - % cám)</c:v>
                </c:pt>
              </c:strCache>
            </c:strRef>
          </c:tx>
          <c:spPr>
            <a:solidFill>
              <a:srgbClr val="678B83"/>
            </a:solidFill>
            <a:ln>
              <a:noFill/>
            </a:ln>
            <a:effectLst/>
          </c:spPr>
          <c:invertIfNegative val="0"/>
          <c:dPt>
            <c:idx val="0"/>
            <c:invertIfNegative val="0"/>
            <c:bubble3D val="0"/>
            <c:extLst>
              <c:ext xmlns:c16="http://schemas.microsoft.com/office/drawing/2014/chart" uri="{C3380CC4-5D6E-409C-BE32-E72D297353CC}">
                <c16:uniqueId val="{00000004-8D9D-F743-9A7E-7E48C6B33C9C}"/>
              </c:ext>
            </c:extLst>
          </c:dPt>
          <c:dPt>
            <c:idx val="6"/>
            <c:invertIfNegative val="0"/>
            <c:bubble3D val="0"/>
            <c:extLst>
              <c:ext xmlns:c16="http://schemas.microsoft.com/office/drawing/2014/chart" uri="{C3380CC4-5D6E-409C-BE32-E72D297353CC}">
                <c16:uniqueId val="{00000001-B5EC-404E-B72E-C34EAB59531B}"/>
              </c:ext>
            </c:extLst>
          </c:dPt>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Pivot!$AN$6:$AN$7</c:f>
              <c:strCache>
                <c:ptCount val="1"/>
                <c:pt idx="0">
                  <c:v>8</c:v>
                </c:pt>
              </c:strCache>
            </c:strRef>
          </c:cat>
          <c:val>
            <c:numRef>
              <c:f>Pivot!$AP$6:$AP$7</c:f>
              <c:numCache>
                <c:formatCode>0.00</c:formatCode>
                <c:ptCount val="1"/>
                <c:pt idx="0">
                  <c:v>2.6816262674953086</c:v>
                </c:pt>
              </c:numCache>
            </c:numRef>
          </c:val>
          <c:extLst>
            <c:ext xmlns:c16="http://schemas.microsoft.com/office/drawing/2014/chart" uri="{C3380CC4-5D6E-409C-BE32-E72D297353CC}">
              <c16:uniqueId val="{00000000-7D76-4477-B88B-463A59A57DCB}"/>
            </c:ext>
          </c:extLst>
        </c:ser>
        <c:ser>
          <c:idx val="2"/>
          <c:order val="2"/>
          <c:tx>
            <c:strRef>
              <c:f>Pivot!$AQ$5</c:f>
              <c:strCache>
                <c:ptCount val="1"/>
                <c:pt idx="0">
                  <c:v>Tiêu hao (cục+cám+lĩnh bù - Kg)</c:v>
                </c:pt>
              </c:strCache>
            </c:strRef>
          </c:tx>
          <c:spPr>
            <a:solidFill>
              <a:srgbClr val="C2D9B5"/>
            </a:solidFill>
            <a:ln>
              <a:noFill/>
            </a:ln>
            <a:effectLst/>
          </c:spPr>
          <c:invertIfNegative val="0"/>
          <c:dPt>
            <c:idx val="0"/>
            <c:invertIfNegative val="0"/>
            <c:bubble3D val="0"/>
            <c:extLst>
              <c:ext xmlns:c16="http://schemas.microsoft.com/office/drawing/2014/chart" uri="{C3380CC4-5D6E-409C-BE32-E72D297353CC}">
                <c16:uniqueId val="{0000000B-89A8-6244-B538-F954CCEDD50D}"/>
              </c:ext>
            </c:extLst>
          </c:dPt>
          <c:dPt>
            <c:idx val="1"/>
            <c:invertIfNegative val="0"/>
            <c:bubble3D val="0"/>
            <c:extLst>
              <c:ext xmlns:c16="http://schemas.microsoft.com/office/drawing/2014/chart" uri="{C3380CC4-5D6E-409C-BE32-E72D297353CC}">
                <c16:uniqueId val="{0000000A-89A8-6244-B538-F954CCEDD50D}"/>
              </c:ext>
            </c:extLst>
          </c:dPt>
          <c:dPt>
            <c:idx val="2"/>
            <c:invertIfNegative val="0"/>
            <c:bubble3D val="0"/>
            <c:extLst>
              <c:ext xmlns:c16="http://schemas.microsoft.com/office/drawing/2014/chart" uri="{C3380CC4-5D6E-409C-BE32-E72D297353CC}">
                <c16:uniqueId val="{00000009-89A8-6244-B538-F954CCEDD50D}"/>
              </c:ext>
            </c:extLst>
          </c:dPt>
          <c:dPt>
            <c:idx val="3"/>
            <c:invertIfNegative val="0"/>
            <c:bubble3D val="0"/>
            <c:extLst>
              <c:ext xmlns:c16="http://schemas.microsoft.com/office/drawing/2014/chart" uri="{C3380CC4-5D6E-409C-BE32-E72D297353CC}">
                <c16:uniqueId val="{00000008-89A8-6244-B538-F954CCEDD50D}"/>
              </c:ext>
            </c:extLst>
          </c:dPt>
          <c:dPt>
            <c:idx val="4"/>
            <c:invertIfNegative val="0"/>
            <c:bubble3D val="0"/>
            <c:extLst>
              <c:ext xmlns:c16="http://schemas.microsoft.com/office/drawing/2014/chart" uri="{C3380CC4-5D6E-409C-BE32-E72D297353CC}">
                <c16:uniqueId val="{00000007-89A8-6244-B538-F954CCEDD50D}"/>
              </c:ext>
            </c:extLst>
          </c:dPt>
          <c:dPt>
            <c:idx val="5"/>
            <c:invertIfNegative val="0"/>
            <c:bubble3D val="0"/>
            <c:extLst>
              <c:ext xmlns:c16="http://schemas.microsoft.com/office/drawing/2014/chart" uri="{C3380CC4-5D6E-409C-BE32-E72D297353CC}">
                <c16:uniqueId val="{00000006-89A8-6244-B538-F954CCEDD50D}"/>
              </c:ext>
            </c:extLst>
          </c:dPt>
          <c:dPt>
            <c:idx val="6"/>
            <c:invertIfNegative val="0"/>
            <c:bubble3D val="0"/>
            <c:extLst>
              <c:ext xmlns:c16="http://schemas.microsoft.com/office/drawing/2014/chart" uri="{C3380CC4-5D6E-409C-BE32-E72D297353CC}">
                <c16:uniqueId val="{00000000-B5EC-404E-B72E-C34EAB59531B}"/>
              </c:ext>
            </c:extLst>
          </c:dPt>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Pivot!$AN$6:$AN$7</c:f>
              <c:strCache>
                <c:ptCount val="1"/>
                <c:pt idx="0">
                  <c:v>8</c:v>
                </c:pt>
              </c:strCache>
            </c:strRef>
          </c:cat>
          <c:val>
            <c:numRef>
              <c:f>Pivot!$AQ$6:$AQ$7</c:f>
              <c:numCache>
                <c:formatCode>0.00</c:formatCode>
                <c:ptCount val="1"/>
                <c:pt idx="0">
                  <c:v>2.7058582385043124</c:v>
                </c:pt>
              </c:numCache>
            </c:numRef>
          </c:val>
          <c:extLst>
            <c:ext xmlns:c16="http://schemas.microsoft.com/office/drawing/2014/chart" uri="{C3380CC4-5D6E-409C-BE32-E72D297353CC}">
              <c16:uniqueId val="{00000002-4895-42FA-93D0-E868A65288D8}"/>
            </c:ext>
          </c:extLst>
        </c:ser>
        <c:dLbls>
          <c:showLegendKey val="0"/>
          <c:showVal val="1"/>
          <c:showCatName val="0"/>
          <c:showSerName val="0"/>
          <c:showPercent val="0"/>
          <c:showBubbleSize val="0"/>
        </c:dLbls>
        <c:gapWidth val="75"/>
        <c:axId val="777956304"/>
        <c:axId val="777965904"/>
      </c:barChart>
      <c:catAx>
        <c:axId val="777956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965904"/>
        <c:crosses val="autoZero"/>
        <c:auto val="1"/>
        <c:lblAlgn val="ctr"/>
        <c:lblOffset val="100"/>
        <c:noMultiLvlLbl val="0"/>
      </c:catAx>
      <c:valAx>
        <c:axId val="77796590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9563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Biểu đồ Báo cáo TH 2 DC năm 2026.xlsx]Pivot!PivotTable11</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B9D4AA"/>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6969"/>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2D9B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696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591515386044256E-2"/>
          <c:y val="4.0419745168290146E-2"/>
          <c:w val="0.93168528782067572"/>
          <c:h val="0.55904591542111248"/>
        </c:manualLayout>
      </c:layout>
      <c:barChart>
        <c:barDir val="col"/>
        <c:grouping val="clustered"/>
        <c:varyColors val="0"/>
        <c:ser>
          <c:idx val="0"/>
          <c:order val="0"/>
          <c:tx>
            <c:strRef>
              <c:f>Pivot!$Z$5</c:f>
              <c:strCache>
                <c:ptCount val="1"/>
                <c:pt idx="0">
                  <c:v>Sum of Giảm ĐM</c:v>
                </c:pt>
              </c:strCache>
            </c:strRef>
          </c:tx>
          <c:spPr>
            <a:solidFill>
              <a:srgbClr val="C2D9B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Pivot!$Y$6:$Y$7</c:f>
              <c:strCache>
                <c:ptCount val="1"/>
                <c:pt idx="0">
                  <c:v>Nguyên liệu xương</c:v>
                </c:pt>
              </c:strCache>
            </c:strRef>
          </c:cat>
          <c:val>
            <c:numRef>
              <c:f>Pivot!$Z$6:$Z$7</c:f>
              <c:numCache>
                <c:formatCode>_(* #,##0_);_(* \(#,##0\);_(* "-"??_);_(@_)</c:formatCode>
                <c:ptCount val="1"/>
                <c:pt idx="0">
                  <c:v>290660.92959999753</c:v>
                </c:pt>
              </c:numCache>
            </c:numRef>
          </c:val>
          <c:extLst>
            <c:ext xmlns:c16="http://schemas.microsoft.com/office/drawing/2014/chart" uri="{C3380CC4-5D6E-409C-BE32-E72D297353CC}">
              <c16:uniqueId val="{00000002-82E4-4C29-885C-68DD58594DA6}"/>
            </c:ext>
          </c:extLst>
        </c:ser>
        <c:ser>
          <c:idx val="1"/>
          <c:order val="1"/>
          <c:tx>
            <c:strRef>
              <c:f>Pivot!$AA$5</c:f>
              <c:strCache>
                <c:ptCount val="1"/>
                <c:pt idx="0">
                  <c:v>Sum of Vượt ĐM</c:v>
                </c:pt>
              </c:strCache>
            </c:strRef>
          </c:tx>
          <c:spPr>
            <a:solidFill>
              <a:srgbClr val="FF696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Pivot!$Y$6:$Y$7</c:f>
              <c:strCache>
                <c:ptCount val="1"/>
                <c:pt idx="0">
                  <c:v>Nguyên liệu xương</c:v>
                </c:pt>
              </c:strCache>
            </c:strRef>
          </c:cat>
          <c:val>
            <c:numRef>
              <c:f>Pivot!$AA$6:$AA$7</c:f>
              <c:numCache>
                <c:formatCode>_(* #,##0_);_(* \(#,##0\);_(* "-"??_);_(@_)</c:formatCode>
                <c:ptCount val="1"/>
                <c:pt idx="0">
                  <c:v>0</c:v>
                </c:pt>
              </c:numCache>
            </c:numRef>
          </c:val>
          <c:extLst>
            <c:ext xmlns:c16="http://schemas.microsoft.com/office/drawing/2014/chart" uri="{C3380CC4-5D6E-409C-BE32-E72D297353CC}">
              <c16:uniqueId val="{00000005-82E4-4C29-885C-68DD58594DA6}"/>
            </c:ext>
          </c:extLst>
        </c:ser>
        <c:dLbls>
          <c:showLegendKey val="0"/>
          <c:showVal val="1"/>
          <c:showCatName val="0"/>
          <c:showSerName val="0"/>
          <c:showPercent val="0"/>
          <c:showBubbleSize val="0"/>
        </c:dLbls>
        <c:gapWidth val="75"/>
        <c:axId val="1370249648"/>
        <c:axId val="1370255888"/>
      </c:barChart>
      <c:catAx>
        <c:axId val="1370249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70255888"/>
        <c:crosses val="autoZero"/>
        <c:auto val="1"/>
        <c:lblAlgn val="ctr"/>
        <c:lblOffset val="100"/>
        <c:noMultiLvlLbl val="0"/>
      </c:catAx>
      <c:valAx>
        <c:axId val="1370255888"/>
        <c:scaling>
          <c:orientation val="minMax"/>
        </c:scaling>
        <c:delete val="0"/>
        <c:axPos val="l"/>
        <c:numFmt formatCode="[&gt;=1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70249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Biểu đồ Báo cáo TH 2 DC năm 2026.xlsx]Pivot!PivotTable1</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78B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3E4C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spPr>
          <a:solidFill>
            <a:srgbClr val="C2D9B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Pivot!$AD$5</c:f>
              <c:strCache>
                <c:ptCount val="1"/>
                <c:pt idx="0">
                  <c:v>Average of Định mức tiêu hao</c:v>
                </c:pt>
              </c:strCache>
            </c:strRef>
          </c:tx>
          <c:spPr>
            <a:solidFill>
              <a:srgbClr val="678B83"/>
            </a:solidFill>
            <a:ln>
              <a:noFill/>
            </a:ln>
            <a:effectLst/>
          </c:spPr>
          <c:invertIfNegative val="0"/>
          <c:dPt>
            <c:idx val="0"/>
            <c:invertIfNegative val="0"/>
            <c:bubble3D val="0"/>
            <c:extLst>
              <c:ext xmlns:c16="http://schemas.microsoft.com/office/drawing/2014/chart" uri="{C3380CC4-5D6E-409C-BE32-E72D297353CC}">
                <c16:uniqueId val="{00000000-CC0E-C143-A6A4-732833063B2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Pivot!$AC$6:$AC$7</c:f>
              <c:strCache>
                <c:ptCount val="1"/>
                <c:pt idx="0">
                  <c:v>Nguyên liệu xương</c:v>
                </c:pt>
              </c:strCache>
            </c:strRef>
          </c:cat>
          <c:val>
            <c:numRef>
              <c:f>Pivot!$AD$6:$AD$7</c:f>
              <c:numCache>
                <c:formatCode>0.000</c:formatCode>
                <c:ptCount val="1"/>
                <c:pt idx="0">
                  <c:v>19.04</c:v>
                </c:pt>
              </c:numCache>
            </c:numRef>
          </c:val>
          <c:extLst>
            <c:ext xmlns:c16="http://schemas.microsoft.com/office/drawing/2014/chart" uri="{C3380CC4-5D6E-409C-BE32-E72D297353CC}">
              <c16:uniqueId val="{00000000-0021-483C-9B11-F378A19B3326}"/>
            </c:ext>
          </c:extLst>
        </c:ser>
        <c:ser>
          <c:idx val="1"/>
          <c:order val="1"/>
          <c:tx>
            <c:strRef>
              <c:f>Pivot!$AE$5</c:f>
              <c:strCache>
                <c:ptCount val="1"/>
                <c:pt idx="0">
                  <c:v>Sum of Tiêu hao thực tế</c:v>
                </c:pt>
              </c:strCache>
            </c:strRef>
          </c:tx>
          <c:spPr>
            <a:solidFill>
              <a:srgbClr val="C2D9B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Pivot!$AC$6:$AC$7</c:f>
              <c:strCache>
                <c:ptCount val="1"/>
                <c:pt idx="0">
                  <c:v>Nguyên liệu xương</c:v>
                </c:pt>
              </c:strCache>
            </c:strRef>
          </c:cat>
          <c:val>
            <c:numRef>
              <c:f>Pivot!$AE$6:$AE$7</c:f>
              <c:numCache>
                <c:formatCode>_(* #,##0.000_);_(* \(#,##0.000\);_(* "-"??_);_(@_)</c:formatCode>
                <c:ptCount val="1"/>
                <c:pt idx="0">
                  <c:v>18.440370542010818</c:v>
                </c:pt>
              </c:numCache>
            </c:numRef>
          </c:val>
          <c:extLst>
            <c:ext xmlns:c16="http://schemas.microsoft.com/office/drawing/2014/chart" uri="{C3380CC4-5D6E-409C-BE32-E72D297353CC}">
              <c16:uniqueId val="{00000000-B383-4E51-BE1B-44FF7BF93B5B}"/>
            </c:ext>
          </c:extLst>
        </c:ser>
        <c:dLbls>
          <c:showLegendKey val="0"/>
          <c:showVal val="1"/>
          <c:showCatName val="0"/>
          <c:showSerName val="0"/>
          <c:showPercent val="0"/>
          <c:showBubbleSize val="0"/>
        </c:dLbls>
        <c:gapWidth val="75"/>
        <c:axId val="663952127"/>
        <c:axId val="663952607"/>
      </c:barChart>
      <c:catAx>
        <c:axId val="663952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952607"/>
        <c:crosses val="autoZero"/>
        <c:auto val="1"/>
        <c:lblAlgn val="ctr"/>
        <c:lblOffset val="100"/>
        <c:noMultiLvlLbl val="0"/>
      </c:catAx>
      <c:valAx>
        <c:axId val="663952607"/>
        <c:scaling>
          <c:orientation val="minMax"/>
        </c:scaling>
        <c:delete val="0"/>
        <c:axPos val="l"/>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9521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Biểu đồ Báo cáo TH 2 DC năm 2026.xlsx]Pivot!PivotTable2</c:name>
    <c:fmtId val="1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678B83"/>
          </a:solidFill>
          <a:ln w="19050">
            <a:solidFill>
              <a:schemeClr val="lt1"/>
            </a:solidFill>
          </a:ln>
          <a:effectLst/>
        </c:spPr>
      </c:pivotFmt>
      <c:pivotFmt>
        <c:idx val="7"/>
        <c:spPr>
          <a:solidFill>
            <a:srgbClr val="8EACA6"/>
          </a:solidFill>
          <a:ln w="19050">
            <a:solidFill>
              <a:schemeClr val="lt1"/>
            </a:solidFill>
          </a:ln>
          <a:effectLst/>
        </c:spPr>
        <c:dLbl>
          <c:idx val="0"/>
          <c:layout>
            <c:manualLayout>
              <c:x val="-7.4871303892600355E-2"/>
              <c:y val="-0.10605189245081893"/>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B9D4AA"/>
          </a:solidFill>
          <a:ln w="19050">
            <a:solidFill>
              <a:schemeClr val="lt1"/>
            </a:solidFill>
          </a:ln>
          <a:effectLst/>
        </c:spPr>
        <c:dLbl>
          <c:idx val="0"/>
          <c:layout>
            <c:manualLayout>
              <c:x val="1.1230695583890053E-2"/>
              <c:y val="-0.1152737961421945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1157038727918862"/>
          <c:y val="0.11809304449514922"/>
          <c:w val="0.56937238982127569"/>
          <c:h val="0.73078030423121776"/>
        </c:manualLayout>
      </c:layout>
      <c:doughnutChart>
        <c:varyColors val="1"/>
        <c:ser>
          <c:idx val="0"/>
          <c:order val="0"/>
          <c:tx>
            <c:strRef>
              <c:f>Pivot!$K$7</c:f>
              <c:strCache>
                <c:ptCount val="1"/>
                <c:pt idx="0">
                  <c:v>Total</c:v>
                </c:pt>
              </c:strCache>
            </c:strRef>
          </c:tx>
          <c:dPt>
            <c:idx val="0"/>
            <c:bubble3D val="0"/>
            <c:spPr>
              <a:solidFill>
                <a:srgbClr val="678B83"/>
              </a:solidFill>
              <a:ln w="19050">
                <a:solidFill>
                  <a:schemeClr val="lt1"/>
                </a:solidFill>
              </a:ln>
              <a:effectLst/>
            </c:spPr>
            <c:extLst>
              <c:ext xmlns:c16="http://schemas.microsoft.com/office/drawing/2014/chart" uri="{C3380CC4-5D6E-409C-BE32-E72D297353CC}">
                <c16:uniqueId val="{00000001-DD89-427C-BD88-FD0289EFBF8F}"/>
              </c:ext>
            </c:extLst>
          </c:dPt>
          <c:dPt>
            <c:idx val="1"/>
            <c:bubble3D val="0"/>
            <c:explosion val="3"/>
            <c:spPr>
              <a:solidFill>
                <a:srgbClr val="8EACA6"/>
              </a:solidFill>
              <a:ln w="19050">
                <a:solidFill>
                  <a:schemeClr val="lt1"/>
                </a:solidFill>
              </a:ln>
              <a:effectLst/>
            </c:spPr>
            <c:extLst>
              <c:ext xmlns:c16="http://schemas.microsoft.com/office/drawing/2014/chart" uri="{C3380CC4-5D6E-409C-BE32-E72D297353CC}">
                <c16:uniqueId val="{00000003-DD89-427C-BD88-FD0289EFBF8F}"/>
              </c:ext>
            </c:extLst>
          </c:dPt>
          <c:dPt>
            <c:idx val="2"/>
            <c:bubble3D val="0"/>
            <c:explosion val="3"/>
            <c:spPr>
              <a:solidFill>
                <a:srgbClr val="B9D4AA"/>
              </a:solidFill>
              <a:ln w="19050">
                <a:solidFill>
                  <a:schemeClr val="lt1"/>
                </a:solidFill>
              </a:ln>
              <a:effectLst/>
            </c:spPr>
            <c:extLst>
              <c:ext xmlns:c16="http://schemas.microsoft.com/office/drawing/2014/chart" uri="{C3380CC4-5D6E-409C-BE32-E72D297353CC}">
                <c16:uniqueId val="{00000005-DD89-427C-BD88-FD0289EFBF8F}"/>
              </c:ext>
            </c:extLst>
          </c:dPt>
          <c:dLbls>
            <c:dLbl>
              <c:idx val="1"/>
              <c:layout>
                <c:manualLayout>
                  <c:x val="-7.4871303892600355E-2"/>
                  <c:y val="-0.1060518924508189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D89-427C-BD88-FD0289EFBF8F}"/>
                </c:ext>
              </c:extLst>
            </c:dLbl>
            <c:dLbl>
              <c:idx val="2"/>
              <c:layout>
                <c:manualLayout>
                  <c:x val="1.1230695583890053E-2"/>
                  <c:y val="-0.1152737961421945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D89-427C-BD88-FD0289EFBF8F}"/>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Pivot!$J$8:$J$10</c:f>
              <c:strCache>
                <c:ptCount val="3"/>
                <c:pt idx="0">
                  <c:v>Sum of A1</c:v>
                </c:pt>
                <c:pt idx="1">
                  <c:v>Sum of A</c:v>
                </c:pt>
                <c:pt idx="2">
                  <c:v>Sum of B</c:v>
                </c:pt>
              </c:strCache>
            </c:strRef>
          </c:cat>
          <c:val>
            <c:numRef>
              <c:f>Pivot!$K$8:$K$10</c:f>
              <c:numCache>
                <c:formatCode>General</c:formatCode>
                <c:ptCount val="3"/>
                <c:pt idx="0">
                  <c:v>150019.96800000002</c:v>
                </c:pt>
                <c:pt idx="1">
                  <c:v>0</c:v>
                </c:pt>
                <c:pt idx="2">
                  <c:v>15443.232</c:v>
                </c:pt>
              </c:numCache>
            </c:numRef>
          </c:val>
          <c:extLst>
            <c:ext xmlns:c16="http://schemas.microsoft.com/office/drawing/2014/chart" uri="{C3380CC4-5D6E-409C-BE32-E72D297353CC}">
              <c16:uniqueId val="{00000006-DD89-427C-BD88-FD0289EFBF8F}"/>
            </c:ext>
          </c:extLst>
        </c:ser>
        <c:dLbls>
          <c:showLegendKey val="0"/>
          <c:showVal val="0"/>
          <c:showCatName val="0"/>
          <c:showSerName val="0"/>
          <c:showPercent val="0"/>
          <c:showBubbleSize val="0"/>
          <c:showLeaderLines val="1"/>
        </c:dLbls>
        <c:firstSliceAng val="0"/>
        <c:holeSize val="59"/>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g"/></Relationships>
</file>

<file path=xl/drawings/_rels/drawing4.xml.rels><?xml version="1.0" encoding="UTF-8" standalone="yes"?>
<Relationships xmlns="http://schemas.openxmlformats.org/package/2006/relationships"><Relationship Id="rId1" Type="http://schemas.openxmlformats.org/officeDocument/2006/relationships/image" Target="../media/image2.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5.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1</xdr:col>
      <xdr:colOff>163286</xdr:colOff>
      <xdr:row>0</xdr:row>
      <xdr:rowOff>63501</xdr:rowOff>
    </xdr:from>
    <xdr:to>
      <xdr:col>2</xdr:col>
      <xdr:colOff>208644</xdr:colOff>
      <xdr:row>2</xdr:row>
      <xdr:rowOff>254001</xdr:rowOff>
    </xdr:to>
    <xdr:pic>
      <xdr:nvPicPr>
        <xdr:cNvPr id="3" name="Picture 2">
          <a:extLst>
            <a:ext uri="{FF2B5EF4-FFF2-40B4-BE49-F238E27FC236}">
              <a16:creationId xmlns:a16="http://schemas.microsoft.com/office/drawing/2014/main" id="{A2DDBE91-3E4A-DA4A-9778-28E9A7A1E5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3286" y="63501"/>
          <a:ext cx="1006929" cy="8073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163286</xdr:colOff>
      <xdr:row>0</xdr:row>
      <xdr:rowOff>63501</xdr:rowOff>
    </xdr:from>
    <xdr:to>
      <xdr:col>2</xdr:col>
      <xdr:colOff>462644</xdr:colOff>
      <xdr:row>2</xdr:row>
      <xdr:rowOff>254001</xdr:rowOff>
    </xdr:to>
    <xdr:pic>
      <xdr:nvPicPr>
        <xdr:cNvPr id="2" name="Picture 1">
          <a:extLst>
            <a:ext uri="{FF2B5EF4-FFF2-40B4-BE49-F238E27FC236}">
              <a16:creationId xmlns:a16="http://schemas.microsoft.com/office/drawing/2014/main" id="{FB71B094-3E4D-C345-9643-AF22461B4E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3286" y="63501"/>
          <a:ext cx="1010558" cy="8001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335645</xdr:colOff>
      <xdr:row>0</xdr:row>
      <xdr:rowOff>124331</xdr:rowOff>
    </xdr:from>
    <xdr:ext cx="898070" cy="660760"/>
    <xdr:pic>
      <xdr:nvPicPr>
        <xdr:cNvPr id="2" name="image1.jpeg">
          <a:extLst>
            <a:ext uri="{FF2B5EF4-FFF2-40B4-BE49-F238E27FC236}">
              <a16:creationId xmlns:a16="http://schemas.microsoft.com/office/drawing/2014/main" id="{C084DE20-8F2B-1141-B8EB-1D28509271E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35645" y="124331"/>
          <a:ext cx="898070" cy="66076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335645</xdr:colOff>
      <xdr:row>0</xdr:row>
      <xdr:rowOff>124331</xdr:rowOff>
    </xdr:from>
    <xdr:ext cx="898070" cy="660760"/>
    <xdr:pic>
      <xdr:nvPicPr>
        <xdr:cNvPr id="2" name="image1.jpeg">
          <a:extLst>
            <a:ext uri="{FF2B5EF4-FFF2-40B4-BE49-F238E27FC236}">
              <a16:creationId xmlns:a16="http://schemas.microsoft.com/office/drawing/2014/main" id="{84E95648-4C74-194D-A044-48ACF248381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35645" y="124331"/>
          <a:ext cx="898070" cy="66076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0</xdr:col>
      <xdr:colOff>53474</xdr:colOff>
      <xdr:row>0</xdr:row>
      <xdr:rowOff>13369</xdr:rowOff>
    </xdr:from>
    <xdr:to>
      <xdr:col>2</xdr:col>
      <xdr:colOff>221207</xdr:colOff>
      <xdr:row>2</xdr:row>
      <xdr:rowOff>233948</xdr:rowOff>
    </xdr:to>
    <xdr:pic>
      <xdr:nvPicPr>
        <xdr:cNvPr id="2" name="Picture 1">
          <a:extLst>
            <a:ext uri="{FF2B5EF4-FFF2-40B4-BE49-F238E27FC236}">
              <a16:creationId xmlns:a16="http://schemas.microsoft.com/office/drawing/2014/main" id="{8F9F7BD2-2C37-4DE5-A700-2707E9DB1CF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474" y="13369"/>
          <a:ext cx="1007469" cy="75397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53474</xdr:colOff>
      <xdr:row>0</xdr:row>
      <xdr:rowOff>13369</xdr:rowOff>
    </xdr:from>
    <xdr:to>
      <xdr:col>1</xdr:col>
      <xdr:colOff>607754</xdr:colOff>
      <xdr:row>2</xdr:row>
      <xdr:rowOff>233948</xdr:rowOff>
    </xdr:to>
    <xdr:pic>
      <xdr:nvPicPr>
        <xdr:cNvPr id="4" name="Picture 3">
          <a:extLst>
            <a:ext uri="{FF2B5EF4-FFF2-40B4-BE49-F238E27FC236}">
              <a16:creationId xmlns:a16="http://schemas.microsoft.com/office/drawing/2014/main" id="{C7D9510B-B0FE-FF41-B5C2-7F8242B1EA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474" y="13369"/>
          <a:ext cx="1008806" cy="75531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53474</xdr:colOff>
      <xdr:row>0</xdr:row>
      <xdr:rowOff>13369</xdr:rowOff>
    </xdr:from>
    <xdr:to>
      <xdr:col>1</xdr:col>
      <xdr:colOff>607754</xdr:colOff>
      <xdr:row>2</xdr:row>
      <xdr:rowOff>233948</xdr:rowOff>
    </xdr:to>
    <xdr:pic>
      <xdr:nvPicPr>
        <xdr:cNvPr id="2" name="Picture 1">
          <a:extLst>
            <a:ext uri="{FF2B5EF4-FFF2-40B4-BE49-F238E27FC236}">
              <a16:creationId xmlns:a16="http://schemas.microsoft.com/office/drawing/2014/main" id="{BA094A18-ED0A-1F4C-B32F-7094985E3A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474" y="13369"/>
          <a:ext cx="1011480" cy="75397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53474</xdr:colOff>
      <xdr:row>0</xdr:row>
      <xdr:rowOff>13369</xdr:rowOff>
    </xdr:from>
    <xdr:to>
      <xdr:col>1</xdr:col>
      <xdr:colOff>654543</xdr:colOff>
      <xdr:row>2</xdr:row>
      <xdr:rowOff>233948</xdr:rowOff>
    </xdr:to>
    <xdr:pic>
      <xdr:nvPicPr>
        <xdr:cNvPr id="2" name="Picture 1">
          <a:extLst>
            <a:ext uri="{FF2B5EF4-FFF2-40B4-BE49-F238E27FC236}">
              <a16:creationId xmlns:a16="http://schemas.microsoft.com/office/drawing/2014/main" id="{C55E8A99-2B68-364D-8297-CB307DEBE9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474" y="13369"/>
          <a:ext cx="1011480" cy="75397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53474</xdr:colOff>
      <xdr:row>0</xdr:row>
      <xdr:rowOff>13369</xdr:rowOff>
    </xdr:from>
    <xdr:to>
      <xdr:col>1</xdr:col>
      <xdr:colOff>654543</xdr:colOff>
      <xdr:row>2</xdr:row>
      <xdr:rowOff>233948</xdr:rowOff>
    </xdr:to>
    <xdr:pic>
      <xdr:nvPicPr>
        <xdr:cNvPr id="2" name="Picture 1">
          <a:extLst>
            <a:ext uri="{FF2B5EF4-FFF2-40B4-BE49-F238E27FC236}">
              <a16:creationId xmlns:a16="http://schemas.microsoft.com/office/drawing/2014/main" id="{03E4211A-56EE-BD4F-8D17-97A94DC5EF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474" y="13369"/>
          <a:ext cx="1007469" cy="75397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53474</xdr:colOff>
      <xdr:row>0</xdr:row>
      <xdr:rowOff>13369</xdr:rowOff>
    </xdr:from>
    <xdr:to>
      <xdr:col>1</xdr:col>
      <xdr:colOff>654543</xdr:colOff>
      <xdr:row>2</xdr:row>
      <xdr:rowOff>233948</xdr:rowOff>
    </xdr:to>
    <xdr:pic>
      <xdr:nvPicPr>
        <xdr:cNvPr id="2" name="Picture 1">
          <a:extLst>
            <a:ext uri="{FF2B5EF4-FFF2-40B4-BE49-F238E27FC236}">
              <a16:creationId xmlns:a16="http://schemas.microsoft.com/office/drawing/2014/main" id="{DB6BC463-389E-2C40-BE11-CC8D85AAC65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474" y="13369"/>
          <a:ext cx="1007469" cy="75397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53474</xdr:colOff>
      <xdr:row>0</xdr:row>
      <xdr:rowOff>13369</xdr:rowOff>
    </xdr:from>
    <xdr:to>
      <xdr:col>1</xdr:col>
      <xdr:colOff>654543</xdr:colOff>
      <xdr:row>2</xdr:row>
      <xdr:rowOff>233948</xdr:rowOff>
    </xdr:to>
    <xdr:pic>
      <xdr:nvPicPr>
        <xdr:cNvPr id="2" name="Picture 1">
          <a:extLst>
            <a:ext uri="{FF2B5EF4-FFF2-40B4-BE49-F238E27FC236}">
              <a16:creationId xmlns:a16="http://schemas.microsoft.com/office/drawing/2014/main" id="{80283140-DDF4-FC49-9E98-9A7E976014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474" y="13369"/>
          <a:ext cx="1007469" cy="75397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53474</xdr:colOff>
      <xdr:row>0</xdr:row>
      <xdr:rowOff>13369</xdr:rowOff>
    </xdr:from>
    <xdr:to>
      <xdr:col>1</xdr:col>
      <xdr:colOff>557612</xdr:colOff>
      <xdr:row>2</xdr:row>
      <xdr:rowOff>208643</xdr:rowOff>
    </xdr:to>
    <xdr:pic>
      <xdr:nvPicPr>
        <xdr:cNvPr id="2" name="Picture 1">
          <a:extLst>
            <a:ext uri="{FF2B5EF4-FFF2-40B4-BE49-F238E27FC236}">
              <a16:creationId xmlns:a16="http://schemas.microsoft.com/office/drawing/2014/main" id="{A4EF4727-C989-C04F-ADEB-7A03C77DAEE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474" y="13369"/>
          <a:ext cx="1003067" cy="721417"/>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53474</xdr:colOff>
      <xdr:row>0</xdr:row>
      <xdr:rowOff>13369</xdr:rowOff>
    </xdr:from>
    <xdr:to>
      <xdr:col>1</xdr:col>
      <xdr:colOff>557612</xdr:colOff>
      <xdr:row>2</xdr:row>
      <xdr:rowOff>208643</xdr:rowOff>
    </xdr:to>
    <xdr:pic>
      <xdr:nvPicPr>
        <xdr:cNvPr id="2" name="Picture 1">
          <a:extLst>
            <a:ext uri="{FF2B5EF4-FFF2-40B4-BE49-F238E27FC236}">
              <a16:creationId xmlns:a16="http://schemas.microsoft.com/office/drawing/2014/main" id="{7C9C3007-74B8-B840-B8E5-4BF790F87A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474" y="13369"/>
          <a:ext cx="999438" cy="728674"/>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53474</xdr:colOff>
      <xdr:row>0</xdr:row>
      <xdr:rowOff>13369</xdr:rowOff>
    </xdr:from>
    <xdr:to>
      <xdr:col>1</xdr:col>
      <xdr:colOff>667516</xdr:colOff>
      <xdr:row>2</xdr:row>
      <xdr:rowOff>208643</xdr:rowOff>
    </xdr:to>
    <xdr:pic>
      <xdr:nvPicPr>
        <xdr:cNvPr id="2" name="Picture 1">
          <a:extLst>
            <a:ext uri="{FF2B5EF4-FFF2-40B4-BE49-F238E27FC236}">
              <a16:creationId xmlns:a16="http://schemas.microsoft.com/office/drawing/2014/main" id="{1F6FC095-A540-2A47-ADD8-D1FB74E03C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474" y="13369"/>
          <a:ext cx="999438" cy="728674"/>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0</xdr:col>
      <xdr:colOff>0</xdr:colOff>
      <xdr:row>0</xdr:row>
      <xdr:rowOff>1</xdr:rowOff>
    </xdr:from>
    <xdr:to>
      <xdr:col>16</xdr:col>
      <xdr:colOff>404865</xdr:colOff>
      <xdr:row>126</xdr:row>
      <xdr:rowOff>105834</xdr:rowOff>
    </xdr:to>
    <xdr:sp macro="" textlink="">
      <xdr:nvSpPr>
        <xdr:cNvPr id="2" name="Rectangle: Rounded Corners 1">
          <a:extLst>
            <a:ext uri="{FF2B5EF4-FFF2-40B4-BE49-F238E27FC236}">
              <a16:creationId xmlns:a16="http://schemas.microsoft.com/office/drawing/2014/main" id="{709627FC-CD1C-49F5-9E3B-2F612FF40961}"/>
            </a:ext>
          </a:extLst>
        </xdr:cNvPr>
        <xdr:cNvSpPr/>
      </xdr:nvSpPr>
      <xdr:spPr>
        <a:xfrm>
          <a:off x="0" y="1"/>
          <a:ext cx="11180623" cy="24351288"/>
        </a:xfrm>
        <a:prstGeom prst="roundRect">
          <a:avLst>
            <a:gd name="adj" fmla="val 1010"/>
          </a:avLst>
        </a:prstGeom>
        <a:solidFill>
          <a:srgbClr val="41585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40882</xdr:colOff>
      <xdr:row>35</xdr:row>
      <xdr:rowOff>173381</xdr:rowOff>
    </xdr:from>
    <xdr:to>
      <xdr:col>16</xdr:col>
      <xdr:colOff>299238</xdr:colOff>
      <xdr:row>61</xdr:row>
      <xdr:rowOff>187701</xdr:rowOff>
    </xdr:to>
    <xdr:grpSp>
      <xdr:nvGrpSpPr>
        <xdr:cNvPr id="102" name="Group 101">
          <a:extLst>
            <a:ext uri="{FF2B5EF4-FFF2-40B4-BE49-F238E27FC236}">
              <a16:creationId xmlns:a16="http://schemas.microsoft.com/office/drawing/2014/main" id="{5F936B3E-ECEF-5182-354E-1A823AFEC845}"/>
            </a:ext>
          </a:extLst>
        </xdr:cNvPr>
        <xdr:cNvGrpSpPr/>
      </xdr:nvGrpSpPr>
      <xdr:grpSpPr>
        <a:xfrm>
          <a:off x="40882" y="7353766"/>
          <a:ext cx="12294048" cy="5348320"/>
          <a:chOff x="52316" y="6346263"/>
          <a:chExt cx="11085470" cy="5242487"/>
        </a:xfrm>
      </xdr:grpSpPr>
      <xdr:sp macro="" textlink="">
        <xdr:nvSpPr>
          <xdr:cNvPr id="40" name="TextBox 39">
            <a:extLst>
              <a:ext uri="{FF2B5EF4-FFF2-40B4-BE49-F238E27FC236}">
                <a16:creationId xmlns:a16="http://schemas.microsoft.com/office/drawing/2014/main" id="{83FCCEC4-CBB7-B672-8526-080A22D0DFDA}"/>
              </a:ext>
            </a:extLst>
          </xdr:cNvPr>
          <xdr:cNvSpPr txBox="1"/>
        </xdr:nvSpPr>
        <xdr:spPr>
          <a:xfrm>
            <a:off x="69695" y="6346263"/>
            <a:ext cx="6871985" cy="3516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PHẦN</a:t>
            </a:r>
            <a:r>
              <a:rPr lang="en-US" sz="1400" b="1" baseline="0">
                <a:solidFill>
                  <a:schemeClr val="bg1"/>
                </a:solidFill>
              </a:rPr>
              <a:t> II: </a:t>
            </a:r>
            <a:r>
              <a:rPr lang="vi-VN" sz="1400" b="1" baseline="0">
                <a:solidFill>
                  <a:schemeClr val="bg1"/>
                </a:solidFill>
              </a:rPr>
              <a:t>SẢN LƯỢNG THỰC HIỆN THEO CÁC THƯƠNG HIỆU</a:t>
            </a:r>
            <a:endParaRPr lang="en-US" sz="1400" b="1" baseline="0">
              <a:solidFill>
                <a:schemeClr val="bg1"/>
              </a:solidFill>
            </a:endParaRPr>
          </a:p>
        </xdr:txBody>
      </xdr:sp>
      <xdr:sp macro="" textlink="">
        <xdr:nvSpPr>
          <xdr:cNvPr id="41" name="Rectangle: Top Corners Rounded 40">
            <a:extLst>
              <a:ext uri="{FF2B5EF4-FFF2-40B4-BE49-F238E27FC236}">
                <a16:creationId xmlns:a16="http://schemas.microsoft.com/office/drawing/2014/main" id="{4745C6A2-DC38-986F-429B-11A6D69FA47B}"/>
              </a:ext>
            </a:extLst>
          </xdr:cNvPr>
          <xdr:cNvSpPr/>
        </xdr:nvSpPr>
        <xdr:spPr>
          <a:xfrm rot="10800000">
            <a:off x="52316" y="6675837"/>
            <a:ext cx="11085470" cy="4912913"/>
          </a:xfrm>
          <a:prstGeom prst="round2SameRect">
            <a:avLst>
              <a:gd name="adj1" fmla="val 2343"/>
              <a:gd name="adj2" fmla="val 0"/>
            </a:avLst>
          </a:prstGeom>
          <a:solidFill>
            <a:srgbClr val="E3EDE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2" name="Rectangle: Rounded Corners 41">
            <a:extLst>
              <a:ext uri="{FF2B5EF4-FFF2-40B4-BE49-F238E27FC236}">
                <a16:creationId xmlns:a16="http://schemas.microsoft.com/office/drawing/2014/main" id="{935CCC8F-AF89-F8D3-D6B5-22B8FC5F9986}"/>
              </a:ext>
            </a:extLst>
          </xdr:cNvPr>
          <xdr:cNvSpPr/>
        </xdr:nvSpPr>
        <xdr:spPr>
          <a:xfrm>
            <a:off x="4487958" y="8579076"/>
            <a:ext cx="1733541" cy="883794"/>
          </a:xfrm>
          <a:prstGeom prst="roundRect">
            <a:avLst/>
          </a:prstGeom>
          <a:solidFill>
            <a:schemeClr val="bg1"/>
          </a:solidFill>
          <a:ln>
            <a:noFill/>
          </a:ln>
          <a:effectLst>
            <a:outerShdw blurRad="139700" dist="38100" dir="2700000" algn="tl" rotWithShape="0">
              <a:prstClr val="black">
                <a:alpha val="2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3" name="TextBox 42">
            <a:extLst>
              <a:ext uri="{FF2B5EF4-FFF2-40B4-BE49-F238E27FC236}">
                <a16:creationId xmlns:a16="http://schemas.microsoft.com/office/drawing/2014/main" id="{C3DBBE84-3A25-ED0E-3093-7D73C6FBF954}"/>
              </a:ext>
            </a:extLst>
          </xdr:cNvPr>
          <xdr:cNvSpPr txBox="1"/>
        </xdr:nvSpPr>
        <xdr:spPr>
          <a:xfrm>
            <a:off x="4507555" y="8594324"/>
            <a:ext cx="1609195" cy="263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rgbClr val="415853"/>
                </a:solidFill>
              </a:rPr>
              <a:t>TOP 1</a:t>
            </a:r>
          </a:p>
        </xdr:txBody>
      </xdr:sp>
      <xdr:sp macro="" textlink="Pivot!$P$6">
        <xdr:nvSpPr>
          <xdr:cNvPr id="44" name="TextBox 43">
            <a:extLst>
              <a:ext uri="{FF2B5EF4-FFF2-40B4-BE49-F238E27FC236}">
                <a16:creationId xmlns:a16="http://schemas.microsoft.com/office/drawing/2014/main" id="{8C9725BF-D068-892E-CD6C-649C58EEA3CE}"/>
              </a:ext>
            </a:extLst>
          </xdr:cNvPr>
          <xdr:cNvSpPr txBox="1"/>
        </xdr:nvSpPr>
        <xdr:spPr>
          <a:xfrm>
            <a:off x="4686692" y="9097956"/>
            <a:ext cx="1151918" cy="287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1950499-5D54-4D26-9A1E-98785923C453}" type="TxLink">
              <a:rPr lang="en-US" sz="1200" b="1" i="0" u="none" strike="noStrike" baseline="0">
                <a:solidFill>
                  <a:srgbClr val="415853"/>
                </a:solidFill>
                <a:latin typeface="Calibri"/>
                <a:ea typeface="Calibri"/>
                <a:cs typeface="Calibri"/>
              </a:rPr>
              <a:pPr algn="ctr"/>
              <a:t> 84.788 </a:t>
            </a:fld>
            <a:endParaRPr lang="en-US" sz="11500" b="1" baseline="0">
              <a:solidFill>
                <a:srgbClr val="415853"/>
              </a:solidFill>
            </a:endParaRPr>
          </a:p>
        </xdr:txBody>
      </xdr:sp>
      <xdr:sp macro="" textlink="">
        <xdr:nvSpPr>
          <xdr:cNvPr id="45" name="Rectangle: Rounded Corners 44">
            <a:extLst>
              <a:ext uri="{FF2B5EF4-FFF2-40B4-BE49-F238E27FC236}">
                <a16:creationId xmlns:a16="http://schemas.microsoft.com/office/drawing/2014/main" id="{1AABB782-E5D7-DA6C-C36A-0199B164F594}"/>
              </a:ext>
            </a:extLst>
          </xdr:cNvPr>
          <xdr:cNvSpPr/>
        </xdr:nvSpPr>
        <xdr:spPr>
          <a:xfrm>
            <a:off x="4489171" y="9563576"/>
            <a:ext cx="1733829" cy="876946"/>
          </a:xfrm>
          <a:prstGeom prst="roundRect">
            <a:avLst/>
          </a:prstGeom>
          <a:solidFill>
            <a:schemeClr val="bg1"/>
          </a:solidFill>
          <a:ln>
            <a:noFill/>
          </a:ln>
          <a:effectLst>
            <a:outerShdw blurRad="139700" dist="38100" dir="2700000" algn="tl" rotWithShape="0">
              <a:prstClr val="black">
                <a:alpha val="2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6" name="TextBox 45">
            <a:extLst>
              <a:ext uri="{FF2B5EF4-FFF2-40B4-BE49-F238E27FC236}">
                <a16:creationId xmlns:a16="http://schemas.microsoft.com/office/drawing/2014/main" id="{9251B973-A456-9BAE-1498-1D50F56C4B54}"/>
              </a:ext>
            </a:extLst>
          </xdr:cNvPr>
          <xdr:cNvSpPr txBox="1"/>
        </xdr:nvSpPr>
        <xdr:spPr>
          <a:xfrm>
            <a:off x="4507555" y="9565728"/>
            <a:ext cx="1751292" cy="214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rgbClr val="415853"/>
                </a:solidFill>
              </a:rPr>
              <a:t>TOP 2</a:t>
            </a:r>
          </a:p>
        </xdr:txBody>
      </xdr:sp>
      <xdr:sp macro="" textlink="Pivot!$P$7">
        <xdr:nvSpPr>
          <xdr:cNvPr id="47" name="TextBox 46">
            <a:extLst>
              <a:ext uri="{FF2B5EF4-FFF2-40B4-BE49-F238E27FC236}">
                <a16:creationId xmlns:a16="http://schemas.microsoft.com/office/drawing/2014/main" id="{7CD2E32D-54A3-86C0-A9A3-5340DDC65328}"/>
              </a:ext>
            </a:extLst>
          </xdr:cNvPr>
          <xdr:cNvSpPr txBox="1"/>
        </xdr:nvSpPr>
        <xdr:spPr>
          <a:xfrm>
            <a:off x="4680693" y="10091769"/>
            <a:ext cx="1168402" cy="293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E6A6134-4CFE-413E-AE21-BB04F63AB676}" type="TxLink">
              <a:rPr lang="en-US" sz="1200" b="1" i="0" u="none" strike="noStrike" baseline="0">
                <a:solidFill>
                  <a:srgbClr val="415853"/>
                </a:solidFill>
                <a:latin typeface="Calibri"/>
                <a:ea typeface="Calibri"/>
                <a:cs typeface="Calibri"/>
              </a:rPr>
              <a:pPr algn="ctr"/>
              <a:t> 35.148 </a:t>
            </a:fld>
            <a:endParaRPr lang="en-US" sz="19900" b="1" baseline="0">
              <a:solidFill>
                <a:srgbClr val="415853"/>
              </a:solidFill>
            </a:endParaRPr>
          </a:p>
        </xdr:txBody>
      </xdr:sp>
      <xdr:sp macro="" textlink="Pivot!$O$6">
        <xdr:nvSpPr>
          <xdr:cNvPr id="54" name="TextBox 53">
            <a:extLst>
              <a:ext uri="{FF2B5EF4-FFF2-40B4-BE49-F238E27FC236}">
                <a16:creationId xmlns:a16="http://schemas.microsoft.com/office/drawing/2014/main" id="{92B2DFA0-6C23-7DCF-5970-A262B70D63D9}"/>
              </a:ext>
            </a:extLst>
          </xdr:cNvPr>
          <xdr:cNvSpPr txBox="1"/>
        </xdr:nvSpPr>
        <xdr:spPr>
          <a:xfrm>
            <a:off x="4508165" y="8815288"/>
            <a:ext cx="1662396" cy="314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100860A-6884-4F81-B746-F5F5CCE78CEF}" type="TxLink">
              <a:rPr lang="en-US" sz="1600" b="1" i="0" u="none" strike="noStrike" baseline="0">
                <a:solidFill>
                  <a:srgbClr val="415853"/>
                </a:solidFill>
                <a:latin typeface="Calibri"/>
                <a:ea typeface="Calibri"/>
                <a:cs typeface="Calibri"/>
              </a:rPr>
              <a:pPr algn="ctr"/>
              <a:t>Luxury</a:t>
            </a:fld>
            <a:endParaRPr lang="en-US" sz="1600" b="1" baseline="0">
              <a:solidFill>
                <a:srgbClr val="415853"/>
              </a:solidFill>
            </a:endParaRPr>
          </a:p>
        </xdr:txBody>
      </xdr:sp>
      <xdr:sp macro="" textlink="Pivot!$O$7">
        <xdr:nvSpPr>
          <xdr:cNvPr id="55" name="TextBox 54">
            <a:extLst>
              <a:ext uri="{FF2B5EF4-FFF2-40B4-BE49-F238E27FC236}">
                <a16:creationId xmlns:a16="http://schemas.microsoft.com/office/drawing/2014/main" id="{FFD5D9D2-BC84-7BE5-FC2E-71839BAD7693}"/>
              </a:ext>
            </a:extLst>
          </xdr:cNvPr>
          <xdr:cNvSpPr txBox="1"/>
        </xdr:nvSpPr>
        <xdr:spPr>
          <a:xfrm>
            <a:off x="4497293" y="9783351"/>
            <a:ext cx="1692266" cy="3455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E3EEDE6-BF6A-4A05-9AFB-B815EF668C71}" type="TxLink">
              <a:rPr lang="en-US" sz="1600" b="1" i="0" u="none" strike="noStrike" baseline="0">
                <a:solidFill>
                  <a:srgbClr val="415853"/>
                </a:solidFill>
                <a:latin typeface="Calibri"/>
                <a:ea typeface="Calibri"/>
                <a:cs typeface="Calibri"/>
              </a:rPr>
              <a:pPr algn="ctr"/>
              <a:t>Xanh Tím</a:t>
            </a:fld>
            <a:endParaRPr lang="en-US" sz="1600" b="1" baseline="0">
              <a:solidFill>
                <a:srgbClr val="415853"/>
              </a:solidFill>
            </a:endParaRPr>
          </a:p>
        </xdr:txBody>
      </xdr:sp>
      <xdr:sp macro="" textlink="">
        <xdr:nvSpPr>
          <xdr:cNvPr id="59" name="Rectangle: Rounded Corners 58">
            <a:extLst>
              <a:ext uri="{FF2B5EF4-FFF2-40B4-BE49-F238E27FC236}">
                <a16:creationId xmlns:a16="http://schemas.microsoft.com/office/drawing/2014/main" id="{E5FE5308-EE00-8D4E-B7D7-CD08B099C0C9}"/>
              </a:ext>
            </a:extLst>
          </xdr:cNvPr>
          <xdr:cNvSpPr/>
        </xdr:nvSpPr>
        <xdr:spPr>
          <a:xfrm>
            <a:off x="6336011" y="6777691"/>
            <a:ext cx="4703028" cy="4624918"/>
          </a:xfrm>
          <a:prstGeom prst="roundRect">
            <a:avLst>
              <a:gd name="adj" fmla="val 3619"/>
            </a:avLst>
          </a:prstGeom>
          <a:solidFill>
            <a:schemeClr val="bg1"/>
          </a:solidFill>
          <a:ln>
            <a:noFill/>
          </a:ln>
          <a:effectLst>
            <a:outerShdw blurRad="139700" dist="38100" dir="2700000" algn="tl" rotWithShape="0">
              <a:prstClr val="black">
                <a:alpha val="2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60" name="Chart 59">
            <a:extLst>
              <a:ext uri="{FF2B5EF4-FFF2-40B4-BE49-F238E27FC236}">
                <a16:creationId xmlns:a16="http://schemas.microsoft.com/office/drawing/2014/main" id="{049B259C-9065-4721-BA8A-CF60546FBC41}"/>
              </a:ext>
            </a:extLst>
          </xdr:cNvPr>
          <xdr:cNvGraphicFramePr>
            <a:graphicFrameLocks/>
          </xdr:cNvGraphicFramePr>
        </xdr:nvGraphicFramePr>
        <xdr:xfrm>
          <a:off x="6387352" y="7075270"/>
          <a:ext cx="4591922" cy="4274273"/>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61" name="TextBox 60">
            <a:extLst>
              <a:ext uri="{FF2B5EF4-FFF2-40B4-BE49-F238E27FC236}">
                <a16:creationId xmlns:a16="http://schemas.microsoft.com/office/drawing/2014/main" id="{FB56A692-6224-22AD-E522-049936D73E1B}"/>
              </a:ext>
            </a:extLst>
          </xdr:cNvPr>
          <xdr:cNvSpPr txBox="1"/>
        </xdr:nvSpPr>
        <xdr:spPr>
          <a:xfrm>
            <a:off x="6402780" y="6803771"/>
            <a:ext cx="3304004" cy="335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rgbClr val="415853"/>
                </a:solidFill>
              </a:rPr>
              <a:t>Tổng Sản lượng thực hiện theo thương hiệu</a:t>
            </a:r>
          </a:p>
        </xdr:txBody>
      </xdr:sp>
      <xdr:sp macro="" textlink="">
        <xdr:nvSpPr>
          <xdr:cNvPr id="62" name="Rectangle: Rounded Corners 61">
            <a:extLst>
              <a:ext uri="{FF2B5EF4-FFF2-40B4-BE49-F238E27FC236}">
                <a16:creationId xmlns:a16="http://schemas.microsoft.com/office/drawing/2014/main" id="{C1614AA3-733F-B8A8-C778-2CDB6E8F6362}"/>
              </a:ext>
            </a:extLst>
          </xdr:cNvPr>
          <xdr:cNvSpPr/>
        </xdr:nvSpPr>
        <xdr:spPr>
          <a:xfrm>
            <a:off x="1787960" y="8557559"/>
            <a:ext cx="2612215" cy="2864899"/>
          </a:xfrm>
          <a:prstGeom prst="roundRect">
            <a:avLst>
              <a:gd name="adj" fmla="val 6987"/>
            </a:avLst>
          </a:prstGeom>
          <a:solidFill>
            <a:schemeClr val="bg1"/>
          </a:solidFill>
          <a:ln>
            <a:noFill/>
          </a:ln>
          <a:effectLst>
            <a:outerShdw blurRad="139700" dist="38100" dir="2700000" algn="tl" rotWithShape="0">
              <a:prstClr val="black">
                <a:alpha val="2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4" name="TextBox 63">
            <a:extLst>
              <a:ext uri="{FF2B5EF4-FFF2-40B4-BE49-F238E27FC236}">
                <a16:creationId xmlns:a16="http://schemas.microsoft.com/office/drawing/2014/main" id="{BF961E52-FF69-7497-0BED-A394CF878749}"/>
              </a:ext>
            </a:extLst>
          </xdr:cNvPr>
          <xdr:cNvSpPr txBox="1"/>
        </xdr:nvSpPr>
        <xdr:spPr>
          <a:xfrm>
            <a:off x="1813845" y="8556745"/>
            <a:ext cx="2222764" cy="335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rgbClr val="415853"/>
                </a:solidFill>
              </a:rPr>
              <a:t>Tổng Sản lượng thực hiện loại</a:t>
            </a:r>
          </a:p>
          <a:p>
            <a:endParaRPr lang="en-US" sz="1200" b="1" baseline="0">
              <a:solidFill>
                <a:srgbClr val="415853"/>
              </a:solidFill>
            </a:endParaRPr>
          </a:p>
        </xdr:txBody>
      </xdr:sp>
      <xdr:grpSp>
        <xdr:nvGrpSpPr>
          <xdr:cNvPr id="79" name="Group 78">
            <a:extLst>
              <a:ext uri="{FF2B5EF4-FFF2-40B4-BE49-F238E27FC236}">
                <a16:creationId xmlns:a16="http://schemas.microsoft.com/office/drawing/2014/main" id="{572EDC98-955B-A786-0411-D76213B60D9D}"/>
              </a:ext>
            </a:extLst>
          </xdr:cNvPr>
          <xdr:cNvGrpSpPr/>
        </xdr:nvGrpSpPr>
        <xdr:grpSpPr>
          <a:xfrm>
            <a:off x="1252566" y="8959725"/>
            <a:ext cx="3461375" cy="2459318"/>
            <a:chOff x="1150469" y="8621058"/>
            <a:chExt cx="3361767" cy="2377141"/>
          </a:xfrm>
        </xdr:grpSpPr>
        <xdr:graphicFrame macro="">
          <xdr:nvGraphicFramePr>
            <xdr:cNvPr id="63" name="Chart 62">
              <a:extLst>
                <a:ext uri="{FF2B5EF4-FFF2-40B4-BE49-F238E27FC236}">
                  <a16:creationId xmlns:a16="http://schemas.microsoft.com/office/drawing/2014/main" id="{9B3FFA75-1FA2-4C2C-ABE0-60667BA75A37}"/>
                </a:ext>
              </a:extLst>
            </xdr:cNvPr>
            <xdr:cNvGraphicFramePr>
              <a:graphicFrameLocks/>
            </xdr:cNvGraphicFramePr>
          </xdr:nvGraphicFramePr>
          <xdr:xfrm>
            <a:off x="1150469" y="8621058"/>
            <a:ext cx="3361767" cy="2377141"/>
          </xdr:xfrm>
          <a:graphic>
            <a:graphicData uri="http://schemas.openxmlformats.org/drawingml/2006/chart">
              <c:chart xmlns:c="http://schemas.openxmlformats.org/drawingml/2006/chart" xmlns:r="http://schemas.openxmlformats.org/officeDocument/2006/relationships" r:id="rId2"/>
            </a:graphicData>
          </a:graphic>
        </xdr:graphicFrame>
        <xdr:sp macro="" textlink="Pivot!$V$6">
          <xdr:nvSpPr>
            <xdr:cNvPr id="65" name="TextBox 64">
              <a:extLst>
                <a:ext uri="{FF2B5EF4-FFF2-40B4-BE49-F238E27FC236}">
                  <a16:creationId xmlns:a16="http://schemas.microsoft.com/office/drawing/2014/main" id="{6354472B-E7E4-3FDE-A6EB-81BC1672E0BA}"/>
                </a:ext>
              </a:extLst>
            </xdr:cNvPr>
            <xdr:cNvSpPr txBox="1"/>
          </xdr:nvSpPr>
          <xdr:spPr>
            <a:xfrm>
              <a:off x="2122553" y="9435146"/>
              <a:ext cx="1435616" cy="3050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F1FAA8D-CA16-4906-9D94-7C68310F45B9}" type="TxLink">
                <a:rPr lang="en-US" sz="1600" b="1" i="0" u="none" strike="noStrike" baseline="0">
                  <a:solidFill>
                    <a:srgbClr val="415853"/>
                  </a:solidFill>
                  <a:latin typeface="Calibri"/>
                  <a:ea typeface="Calibri"/>
                  <a:cs typeface="Calibri"/>
                </a:rPr>
                <a:pPr algn="ctr"/>
                <a:t> 174.246 </a:t>
              </a:fld>
              <a:endParaRPr lang="en-US" sz="28700" b="1" baseline="0">
                <a:solidFill>
                  <a:srgbClr val="415853"/>
                </a:solidFill>
              </a:endParaRPr>
            </a:p>
          </xdr:txBody>
        </xdr:sp>
      </xdr:grpSp>
      <xdr:sp macro="" textlink="">
        <xdr:nvSpPr>
          <xdr:cNvPr id="75" name="Rectangle: Rounded Corners 74">
            <a:extLst>
              <a:ext uri="{FF2B5EF4-FFF2-40B4-BE49-F238E27FC236}">
                <a16:creationId xmlns:a16="http://schemas.microsoft.com/office/drawing/2014/main" id="{41AE90F5-EA2F-0D0A-C05F-DD6BD297D7AB}"/>
              </a:ext>
            </a:extLst>
          </xdr:cNvPr>
          <xdr:cNvSpPr/>
        </xdr:nvSpPr>
        <xdr:spPr>
          <a:xfrm>
            <a:off x="4489093" y="10548075"/>
            <a:ext cx="1733541" cy="876947"/>
          </a:xfrm>
          <a:prstGeom prst="roundRect">
            <a:avLst/>
          </a:prstGeom>
          <a:solidFill>
            <a:schemeClr val="bg1"/>
          </a:solidFill>
          <a:ln>
            <a:noFill/>
          </a:ln>
          <a:effectLst>
            <a:outerShdw blurRad="139700" dist="38100" dir="2700000" algn="tl" rotWithShape="0">
              <a:prstClr val="black">
                <a:alpha val="2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2" name="TextBox 51">
            <a:extLst>
              <a:ext uri="{FF2B5EF4-FFF2-40B4-BE49-F238E27FC236}">
                <a16:creationId xmlns:a16="http://schemas.microsoft.com/office/drawing/2014/main" id="{8234EDB0-7204-53F7-47A2-79CAC39B03DB}"/>
              </a:ext>
            </a:extLst>
          </xdr:cNvPr>
          <xdr:cNvSpPr txBox="1"/>
        </xdr:nvSpPr>
        <xdr:spPr>
          <a:xfrm>
            <a:off x="4507555" y="10544093"/>
            <a:ext cx="1396361" cy="2626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rgbClr val="415853"/>
                </a:solidFill>
              </a:rPr>
              <a:t>TOP 3</a:t>
            </a:r>
          </a:p>
        </xdr:txBody>
      </xdr:sp>
      <xdr:sp macro="" textlink="Pivot!$P$8">
        <xdr:nvSpPr>
          <xdr:cNvPr id="53" name="TextBox 52">
            <a:extLst>
              <a:ext uri="{FF2B5EF4-FFF2-40B4-BE49-F238E27FC236}">
                <a16:creationId xmlns:a16="http://schemas.microsoft.com/office/drawing/2014/main" id="{94FBD7A3-86C3-E98B-B7D5-1C281707F2DB}"/>
              </a:ext>
            </a:extLst>
          </xdr:cNvPr>
          <xdr:cNvSpPr txBox="1"/>
        </xdr:nvSpPr>
        <xdr:spPr>
          <a:xfrm>
            <a:off x="4756155" y="11117251"/>
            <a:ext cx="995867" cy="2910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6D4DDDB-C77D-4666-8179-369D8FD6095F}" type="TxLink">
              <a:rPr lang="en-US" sz="1200" b="1" i="0" u="none" strike="noStrike" baseline="0">
                <a:solidFill>
                  <a:srgbClr val="415853"/>
                </a:solidFill>
                <a:latin typeface="Calibri"/>
                <a:ea typeface="Calibri"/>
                <a:cs typeface="Calibri"/>
              </a:rPr>
              <a:pPr algn="ctr"/>
              <a:t> 25.070 </a:t>
            </a:fld>
            <a:endParaRPr lang="en-US" sz="1800" b="1" baseline="0">
              <a:solidFill>
                <a:srgbClr val="415853"/>
              </a:solidFill>
            </a:endParaRPr>
          </a:p>
        </xdr:txBody>
      </xdr:sp>
      <xdr:sp macro="" textlink="Pivot!$O$8">
        <xdr:nvSpPr>
          <xdr:cNvPr id="56" name="TextBox 55">
            <a:extLst>
              <a:ext uri="{FF2B5EF4-FFF2-40B4-BE49-F238E27FC236}">
                <a16:creationId xmlns:a16="http://schemas.microsoft.com/office/drawing/2014/main" id="{E2DB2FAF-F3B1-5375-3294-C61612C1ABF9}"/>
              </a:ext>
            </a:extLst>
          </xdr:cNvPr>
          <xdr:cNvSpPr txBox="1"/>
        </xdr:nvSpPr>
        <xdr:spPr>
          <a:xfrm>
            <a:off x="4494944" y="10811182"/>
            <a:ext cx="1698174" cy="3156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5E0B146-68AC-489F-B4D8-9A8DD979D2F6}" type="TxLink">
              <a:rPr lang="en-US" sz="1600" b="1" i="0" u="none" strike="noStrike" baseline="0">
                <a:solidFill>
                  <a:srgbClr val="415853"/>
                </a:solidFill>
                <a:latin typeface="Calibri"/>
                <a:ea typeface="Calibri"/>
                <a:cs typeface="Calibri"/>
              </a:rPr>
              <a:pPr algn="ctr"/>
              <a:t>Havira</a:t>
            </a:fld>
            <a:endParaRPr lang="en-US" sz="1600" b="1" baseline="0">
              <a:solidFill>
                <a:srgbClr val="415853"/>
              </a:solidFill>
            </a:endParaRPr>
          </a:p>
        </xdr:txBody>
      </xdr:sp>
      <xdr:sp macro="" textlink="">
        <xdr:nvSpPr>
          <xdr:cNvPr id="76" name="Rectangle: Rounded Corners 75">
            <a:extLst>
              <a:ext uri="{FF2B5EF4-FFF2-40B4-BE49-F238E27FC236}">
                <a16:creationId xmlns:a16="http://schemas.microsoft.com/office/drawing/2014/main" id="{7D63A3D7-9DF0-1A30-83A4-3600D4D3718F}"/>
              </a:ext>
            </a:extLst>
          </xdr:cNvPr>
          <xdr:cNvSpPr/>
        </xdr:nvSpPr>
        <xdr:spPr>
          <a:xfrm>
            <a:off x="127000" y="6788150"/>
            <a:ext cx="6081059" cy="1679762"/>
          </a:xfrm>
          <a:prstGeom prst="roundRect">
            <a:avLst>
              <a:gd name="adj" fmla="val 6987"/>
            </a:avLst>
          </a:prstGeom>
          <a:solidFill>
            <a:schemeClr val="bg1"/>
          </a:solidFill>
          <a:ln>
            <a:noFill/>
          </a:ln>
          <a:effectLst>
            <a:outerShdw blurRad="139700" dist="38100" dir="2700000" algn="tl" rotWithShape="0">
              <a:prstClr val="black">
                <a:alpha val="2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77" name="Tháng 1">
                <a:extLst>
                  <a:ext uri="{FF2B5EF4-FFF2-40B4-BE49-F238E27FC236}">
                    <a16:creationId xmlns:a16="http://schemas.microsoft.com/office/drawing/2014/main" id="{3A7AA984-AD02-41B6-A0B9-EF9E9F8733B6}"/>
                  </a:ext>
                </a:extLst>
              </xdr:cNvPr>
              <xdr:cNvGraphicFramePr/>
            </xdr:nvGraphicFramePr>
            <xdr:xfrm>
              <a:off x="149412" y="6817659"/>
              <a:ext cx="1506709" cy="1548902"/>
            </xdr:xfrm>
            <a:graphic>
              <a:graphicData uri="http://schemas.microsoft.com/office/drawing/2010/slicer">
                <sle:slicer xmlns:sle="http://schemas.microsoft.com/office/drawing/2010/slicer" name="Tháng 1"/>
              </a:graphicData>
            </a:graphic>
          </xdr:graphicFrame>
        </mc:Choice>
        <mc:Fallback xmlns="">
          <xdr:sp macro="" textlink="">
            <xdr:nvSpPr>
              <xdr:cNvPr id="0" name=""/>
              <xdr:cNvSpPr>
                <a:spLocks noTextEdit="1"/>
              </xdr:cNvSpPr>
            </xdr:nvSpPr>
            <xdr:spPr>
              <a:xfrm>
                <a:off x="137079" y="7814413"/>
                <a:ext cx="1492754" cy="15760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8" name="Dây chuyền 1">
                <a:extLst>
                  <a:ext uri="{FF2B5EF4-FFF2-40B4-BE49-F238E27FC236}">
                    <a16:creationId xmlns:a16="http://schemas.microsoft.com/office/drawing/2014/main" id="{10C46518-A342-48CA-A691-A64EE6EF4EA7}"/>
                  </a:ext>
                </a:extLst>
              </xdr:cNvPr>
              <xdr:cNvGraphicFramePr/>
            </xdr:nvGraphicFramePr>
            <xdr:xfrm>
              <a:off x="1620514" y="6817659"/>
              <a:ext cx="1303974" cy="1043269"/>
            </xdr:xfrm>
            <a:graphic>
              <a:graphicData uri="http://schemas.microsoft.com/office/drawing/2010/slicer">
                <sle:slicer xmlns:sle="http://schemas.microsoft.com/office/drawing/2010/slicer" name="Dây chuyền 1"/>
              </a:graphicData>
            </a:graphic>
          </xdr:graphicFrame>
        </mc:Choice>
        <mc:Fallback xmlns="">
          <xdr:sp macro="" textlink="">
            <xdr:nvSpPr>
              <xdr:cNvPr id="0" name=""/>
              <xdr:cNvSpPr>
                <a:spLocks noTextEdit="1"/>
              </xdr:cNvSpPr>
            </xdr:nvSpPr>
            <xdr:spPr>
              <a:xfrm>
                <a:off x="1594556" y="7814413"/>
                <a:ext cx="1291897" cy="10615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80" name="Rectangle: Rounded Corners 79">
            <a:extLst>
              <a:ext uri="{FF2B5EF4-FFF2-40B4-BE49-F238E27FC236}">
                <a16:creationId xmlns:a16="http://schemas.microsoft.com/office/drawing/2014/main" id="{FB3B4725-15AC-F667-B426-1E5F2C8A3DB1}"/>
              </a:ext>
            </a:extLst>
          </xdr:cNvPr>
          <xdr:cNvSpPr/>
        </xdr:nvSpPr>
        <xdr:spPr>
          <a:xfrm>
            <a:off x="122517" y="8568018"/>
            <a:ext cx="1583267" cy="2864899"/>
          </a:xfrm>
          <a:prstGeom prst="roundRect">
            <a:avLst>
              <a:gd name="adj" fmla="val 6987"/>
            </a:avLst>
          </a:prstGeom>
          <a:solidFill>
            <a:schemeClr val="bg1"/>
          </a:solidFill>
          <a:ln>
            <a:noFill/>
          </a:ln>
          <a:effectLst>
            <a:outerShdw blurRad="139700" dist="38100" dir="2700000" algn="tl" rotWithShape="0">
              <a:prstClr val="black">
                <a:alpha val="2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81" name="Thương hiệu">
                <a:extLst>
                  <a:ext uri="{FF2B5EF4-FFF2-40B4-BE49-F238E27FC236}">
                    <a16:creationId xmlns:a16="http://schemas.microsoft.com/office/drawing/2014/main" id="{2D878F07-914B-499B-BE22-5C8B23F77633}"/>
                  </a:ext>
                </a:extLst>
              </xdr:cNvPr>
              <xdr:cNvGraphicFramePr/>
            </xdr:nvGraphicFramePr>
            <xdr:xfrm>
              <a:off x="149412" y="8609854"/>
              <a:ext cx="1526489" cy="2785284"/>
            </xdr:xfrm>
            <a:graphic>
              <a:graphicData uri="http://schemas.microsoft.com/office/drawing/2010/slicer">
                <sle:slicer xmlns:sle="http://schemas.microsoft.com/office/drawing/2010/slicer" name="Thương hiệu"/>
              </a:graphicData>
            </a:graphic>
          </xdr:graphicFrame>
        </mc:Choice>
        <mc:Fallback xmlns="">
          <xdr:sp macro="" textlink="">
            <xdr:nvSpPr>
              <xdr:cNvPr id="0" name=""/>
              <xdr:cNvSpPr>
                <a:spLocks noTextEdit="1"/>
              </xdr:cNvSpPr>
            </xdr:nvSpPr>
            <xdr:spPr>
              <a:xfrm>
                <a:off x="137079" y="9637965"/>
                <a:ext cx="1512351" cy="28340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9" name="Kích thước 1">
                <a:extLst>
                  <a:ext uri="{FF2B5EF4-FFF2-40B4-BE49-F238E27FC236}">
                    <a16:creationId xmlns:a16="http://schemas.microsoft.com/office/drawing/2014/main" id="{EA06D424-51C3-4631-A94C-489BD4CD5E0F}"/>
                  </a:ext>
                </a:extLst>
              </xdr:cNvPr>
              <xdr:cNvGraphicFramePr/>
            </xdr:nvGraphicFramePr>
            <xdr:xfrm>
              <a:off x="2895354" y="6817659"/>
              <a:ext cx="1451782" cy="1566831"/>
            </xdr:xfrm>
            <a:graphic>
              <a:graphicData uri="http://schemas.microsoft.com/office/drawing/2010/slicer">
                <sle:slicer xmlns:sle="http://schemas.microsoft.com/office/drawing/2010/slicer" name="Kích thước 1"/>
              </a:graphicData>
            </a:graphic>
          </xdr:graphicFrame>
        </mc:Choice>
        <mc:Fallback xmlns="">
          <xdr:sp macro="" textlink="">
            <xdr:nvSpPr>
              <xdr:cNvPr id="0" name=""/>
              <xdr:cNvSpPr>
                <a:spLocks noTextEdit="1"/>
              </xdr:cNvSpPr>
            </xdr:nvSpPr>
            <xdr:spPr>
              <a:xfrm>
                <a:off x="2857589" y="7814413"/>
                <a:ext cx="1438336" cy="15942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0" name="Men">
                <a:extLst>
                  <a:ext uri="{FF2B5EF4-FFF2-40B4-BE49-F238E27FC236}">
                    <a16:creationId xmlns:a16="http://schemas.microsoft.com/office/drawing/2014/main" id="{44B12CA8-8BF7-24B7-5FAC-17DDAF7F29E0}"/>
                  </a:ext>
                </a:extLst>
              </xdr:cNvPr>
              <xdr:cNvGraphicFramePr/>
            </xdr:nvGraphicFramePr>
            <xdr:xfrm>
              <a:off x="4318000" y="6817659"/>
              <a:ext cx="1815353" cy="1613522"/>
            </xdr:xfrm>
            <a:graphic>
              <a:graphicData uri="http://schemas.microsoft.com/office/drawing/2010/slicer">
                <sle:slicer xmlns:sle="http://schemas.microsoft.com/office/drawing/2010/slicer" name="Men"/>
              </a:graphicData>
            </a:graphic>
          </xdr:graphicFrame>
        </mc:Choice>
        <mc:Fallback xmlns="">
          <xdr:sp macro="" textlink="">
            <xdr:nvSpPr>
              <xdr:cNvPr id="0" name=""/>
              <xdr:cNvSpPr>
                <a:spLocks noTextEdit="1"/>
              </xdr:cNvSpPr>
            </xdr:nvSpPr>
            <xdr:spPr>
              <a:xfrm>
                <a:off x="4267059" y="7814413"/>
                <a:ext cx="1798540" cy="16417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52316</xdr:colOff>
      <xdr:row>5</xdr:row>
      <xdr:rowOff>148836</xdr:rowOff>
    </xdr:from>
    <xdr:to>
      <xdr:col>16</xdr:col>
      <xdr:colOff>300453</xdr:colOff>
      <xdr:row>35</xdr:row>
      <xdr:rowOff>142326</xdr:rowOff>
    </xdr:to>
    <xdr:sp macro="" textlink="">
      <xdr:nvSpPr>
        <xdr:cNvPr id="3" name="Rectangle: Top Corners Rounded 2">
          <a:extLst>
            <a:ext uri="{FF2B5EF4-FFF2-40B4-BE49-F238E27FC236}">
              <a16:creationId xmlns:a16="http://schemas.microsoft.com/office/drawing/2014/main" id="{76AEB23D-63EB-4B1D-A29F-9E0D05320DFA}"/>
            </a:ext>
          </a:extLst>
        </xdr:cNvPr>
        <xdr:cNvSpPr/>
      </xdr:nvSpPr>
      <xdr:spPr>
        <a:xfrm rot="10800000">
          <a:off x="52316" y="1134181"/>
          <a:ext cx="10933654" cy="5905559"/>
        </a:xfrm>
        <a:prstGeom prst="round2SameRect">
          <a:avLst>
            <a:gd name="adj1" fmla="val 2343"/>
            <a:gd name="adj2" fmla="val 0"/>
          </a:avLst>
        </a:prstGeom>
        <a:solidFill>
          <a:srgbClr val="E3EDE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271892</xdr:colOff>
      <xdr:row>0</xdr:row>
      <xdr:rowOff>88484</xdr:rowOff>
    </xdr:from>
    <xdr:to>
      <xdr:col>0</xdr:col>
      <xdr:colOff>317482</xdr:colOff>
      <xdr:row>3</xdr:row>
      <xdr:rowOff>52313</xdr:rowOff>
    </xdr:to>
    <xdr:sp macro="" textlink="">
      <xdr:nvSpPr>
        <xdr:cNvPr id="4" name="Rectangle 3">
          <a:extLst>
            <a:ext uri="{FF2B5EF4-FFF2-40B4-BE49-F238E27FC236}">
              <a16:creationId xmlns:a16="http://schemas.microsoft.com/office/drawing/2014/main" id="{2DD69FAC-980C-45CA-9A7D-A41F1C2C1DD8}"/>
            </a:ext>
          </a:extLst>
        </xdr:cNvPr>
        <xdr:cNvSpPr/>
      </xdr:nvSpPr>
      <xdr:spPr>
        <a:xfrm flipH="1">
          <a:off x="271892" y="88484"/>
          <a:ext cx="45590" cy="55437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352198</xdr:colOff>
      <xdr:row>0</xdr:row>
      <xdr:rowOff>81092</xdr:rowOff>
    </xdr:from>
    <xdr:to>
      <xdr:col>16</xdr:col>
      <xdr:colOff>254000</xdr:colOff>
      <xdr:row>3</xdr:row>
      <xdr:rowOff>55941</xdr:rowOff>
    </xdr:to>
    <xdr:sp macro="" textlink="">
      <xdr:nvSpPr>
        <xdr:cNvPr id="5" name="TextBox 4">
          <a:extLst>
            <a:ext uri="{FF2B5EF4-FFF2-40B4-BE49-F238E27FC236}">
              <a16:creationId xmlns:a16="http://schemas.microsoft.com/office/drawing/2014/main" id="{3CC6304F-4B9B-4C02-8538-CDB933837AF5}"/>
            </a:ext>
          </a:extLst>
        </xdr:cNvPr>
        <xdr:cNvSpPr txBox="1"/>
      </xdr:nvSpPr>
      <xdr:spPr>
        <a:xfrm>
          <a:off x="352198" y="81092"/>
          <a:ext cx="10739135" cy="5780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rgbClr val="0070C0"/>
              </a:solidFill>
            </a:rPr>
            <a:t>BIỂU ĐỒ KẾT</a:t>
          </a:r>
          <a:r>
            <a:rPr lang="en-US" sz="1800" b="1" baseline="0">
              <a:solidFill>
                <a:srgbClr val="0070C0"/>
              </a:solidFill>
            </a:rPr>
            <a:t> QUẢ SẢN XUẤT 2026 CÔNG TY GẠCH MEN PHƯƠNG NAM</a:t>
          </a:r>
        </a:p>
        <a:p>
          <a:pPr algn="ctr"/>
          <a:r>
            <a:rPr lang="en-US" sz="1050" b="1" baseline="0">
              <a:solidFill>
                <a:schemeClr val="accent6">
                  <a:lumMod val="60000"/>
                  <a:lumOff val="40000"/>
                </a:schemeClr>
              </a:solidFill>
            </a:rPr>
            <a:t>Báo cáo tổng hợp sản xuất 2 dây chuyền từ:  01/07/2026 - 30/07/2026</a:t>
          </a:r>
          <a:endParaRPr lang="en-US" sz="1800" b="1" baseline="0">
            <a:solidFill>
              <a:schemeClr val="accent6">
                <a:lumMod val="60000"/>
                <a:lumOff val="40000"/>
              </a:schemeClr>
            </a:solidFill>
          </a:endParaRPr>
        </a:p>
      </xdr:txBody>
    </xdr:sp>
    <xdr:clientData/>
  </xdr:twoCellAnchor>
  <xdr:twoCellAnchor>
    <xdr:from>
      <xdr:col>5</xdr:col>
      <xdr:colOff>103188</xdr:colOff>
      <xdr:row>6</xdr:row>
      <xdr:rowOff>71439</xdr:rowOff>
    </xdr:from>
    <xdr:to>
      <xdr:col>16</xdr:col>
      <xdr:colOff>181428</xdr:colOff>
      <xdr:row>20</xdr:row>
      <xdr:rowOff>134938</xdr:rowOff>
    </xdr:to>
    <xdr:sp macro="" textlink="">
      <xdr:nvSpPr>
        <xdr:cNvPr id="9" name="Rectangle: Rounded Corners 8">
          <a:extLst>
            <a:ext uri="{FF2B5EF4-FFF2-40B4-BE49-F238E27FC236}">
              <a16:creationId xmlns:a16="http://schemas.microsoft.com/office/drawing/2014/main" id="{FF79B1F5-4957-4FCA-88FB-14510CEF8BBA}"/>
            </a:ext>
          </a:extLst>
        </xdr:cNvPr>
        <xdr:cNvSpPr/>
      </xdr:nvSpPr>
      <xdr:spPr>
        <a:xfrm>
          <a:off x="3833813" y="1309689"/>
          <a:ext cx="8285615" cy="2952749"/>
        </a:xfrm>
        <a:prstGeom prst="roundRect">
          <a:avLst>
            <a:gd name="adj" fmla="val 4732"/>
          </a:avLst>
        </a:prstGeom>
        <a:solidFill>
          <a:schemeClr val="bg1"/>
        </a:solidFill>
        <a:ln>
          <a:noFill/>
        </a:ln>
        <a:effectLst>
          <a:outerShdw blurRad="139700" dist="38100" dir="2700000" algn="tl" rotWithShape="0">
            <a:prstClr val="black">
              <a:alpha val="2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357300</xdr:colOff>
      <xdr:row>6</xdr:row>
      <xdr:rowOff>115355</xdr:rowOff>
    </xdr:from>
    <xdr:to>
      <xdr:col>9</xdr:col>
      <xdr:colOff>547076</xdr:colOff>
      <xdr:row>8</xdr:row>
      <xdr:rowOff>48438</xdr:rowOff>
    </xdr:to>
    <xdr:sp macro="" textlink="">
      <xdr:nvSpPr>
        <xdr:cNvPr id="10" name="TextBox 9">
          <a:extLst>
            <a:ext uri="{FF2B5EF4-FFF2-40B4-BE49-F238E27FC236}">
              <a16:creationId xmlns:a16="http://schemas.microsoft.com/office/drawing/2014/main" id="{CE50B07C-8724-4DDF-93B8-39DA0D51E05C}"/>
            </a:ext>
          </a:extLst>
        </xdr:cNvPr>
        <xdr:cNvSpPr txBox="1"/>
      </xdr:nvSpPr>
      <xdr:spPr>
        <a:xfrm>
          <a:off x="3727685" y="1346278"/>
          <a:ext cx="2886083" cy="3433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rgbClr val="415853"/>
              </a:solidFill>
            </a:rPr>
            <a:t>Tổng sản lượng: Kế hoạch/ Thực hiện (m2)</a:t>
          </a:r>
        </a:p>
      </xdr:txBody>
    </xdr:sp>
    <xdr:clientData/>
  </xdr:twoCellAnchor>
  <xdr:twoCellAnchor>
    <xdr:from>
      <xdr:col>0</xdr:col>
      <xdr:colOff>0</xdr:colOff>
      <xdr:row>4</xdr:row>
      <xdr:rowOff>68694</xdr:rowOff>
    </xdr:from>
    <xdr:to>
      <xdr:col>10</xdr:col>
      <xdr:colOff>98652</xdr:colOff>
      <xdr:row>6</xdr:row>
      <xdr:rowOff>18143</xdr:rowOff>
    </xdr:to>
    <xdr:sp macro="" textlink="">
      <xdr:nvSpPr>
        <xdr:cNvPr id="12" name="TextBox 11">
          <a:extLst>
            <a:ext uri="{FF2B5EF4-FFF2-40B4-BE49-F238E27FC236}">
              <a16:creationId xmlns:a16="http://schemas.microsoft.com/office/drawing/2014/main" id="{70B9B1CF-A1B7-ECEF-ED18-700E718701AC}"/>
            </a:ext>
          </a:extLst>
        </xdr:cNvPr>
        <xdr:cNvSpPr txBox="1"/>
      </xdr:nvSpPr>
      <xdr:spPr>
        <a:xfrm>
          <a:off x="0" y="866980"/>
          <a:ext cx="6720795" cy="3485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PHẦN</a:t>
          </a:r>
          <a:r>
            <a:rPr lang="en-US" sz="1400" b="1" baseline="0">
              <a:solidFill>
                <a:schemeClr val="bg1"/>
              </a:solidFill>
            </a:rPr>
            <a:t> I: </a:t>
          </a:r>
          <a:r>
            <a:rPr lang="vi-VN" sz="1400" b="1" baseline="0">
              <a:solidFill>
                <a:schemeClr val="bg1"/>
              </a:solidFill>
            </a:rPr>
            <a:t>SẢN LƯỢNG - CHẤT LƯỢNG - THU HỒI TỔNG</a:t>
          </a:r>
          <a:endParaRPr lang="en-US" sz="1400" b="1" baseline="0">
            <a:solidFill>
              <a:schemeClr val="bg1"/>
            </a:solidFill>
          </a:endParaRPr>
        </a:p>
      </xdr:txBody>
    </xdr:sp>
    <xdr:clientData/>
  </xdr:twoCellAnchor>
  <xdr:twoCellAnchor>
    <xdr:from>
      <xdr:col>5</xdr:col>
      <xdr:colOff>77611</xdr:colOff>
      <xdr:row>7</xdr:row>
      <xdr:rowOff>163286</xdr:rowOff>
    </xdr:from>
    <xdr:to>
      <xdr:col>16</xdr:col>
      <xdr:colOff>63499</xdr:colOff>
      <xdr:row>20</xdr:row>
      <xdr:rowOff>99785</xdr:rowOff>
    </xdr:to>
    <xdr:graphicFrame macro="">
      <xdr:nvGraphicFramePr>
        <xdr:cNvPr id="22" name="Chart 21">
          <a:extLst>
            <a:ext uri="{FF2B5EF4-FFF2-40B4-BE49-F238E27FC236}">
              <a16:creationId xmlns:a16="http://schemas.microsoft.com/office/drawing/2014/main" id="{6A0133C7-2199-41B2-A2F1-8764141E39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90715</xdr:colOff>
      <xdr:row>16</xdr:row>
      <xdr:rowOff>27214</xdr:rowOff>
    </xdr:from>
    <xdr:to>
      <xdr:col>11</xdr:col>
      <xdr:colOff>547600</xdr:colOff>
      <xdr:row>29</xdr:row>
      <xdr:rowOff>128676</xdr:rowOff>
    </xdr:to>
    <xdr:graphicFrame macro="">
      <xdr:nvGraphicFramePr>
        <xdr:cNvPr id="23" name="Chart 22">
          <a:extLst>
            <a:ext uri="{FF2B5EF4-FFF2-40B4-BE49-F238E27FC236}">
              <a16:creationId xmlns:a16="http://schemas.microsoft.com/office/drawing/2014/main" id="{32F83322-D06A-41D2-A4D2-2CA442060F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146573</xdr:colOff>
      <xdr:row>21</xdr:row>
      <xdr:rowOff>55562</xdr:rowOff>
    </xdr:from>
    <xdr:to>
      <xdr:col>8</xdr:col>
      <xdr:colOff>125076</xdr:colOff>
      <xdr:row>35</xdr:row>
      <xdr:rowOff>43392</xdr:rowOff>
    </xdr:to>
    <xdr:sp macro="" textlink="">
      <xdr:nvSpPr>
        <xdr:cNvPr id="24" name="Rectangle: Rounded Corners 23">
          <a:extLst>
            <a:ext uri="{FF2B5EF4-FFF2-40B4-BE49-F238E27FC236}">
              <a16:creationId xmlns:a16="http://schemas.microsoft.com/office/drawing/2014/main" id="{6F9ED0BC-61F3-5036-93B8-2F43BD974331}"/>
            </a:ext>
          </a:extLst>
        </xdr:cNvPr>
        <xdr:cNvSpPr/>
      </xdr:nvSpPr>
      <xdr:spPr>
        <a:xfrm>
          <a:off x="146573" y="4096471"/>
          <a:ext cx="5366382" cy="2681769"/>
        </a:xfrm>
        <a:prstGeom prst="roundRect">
          <a:avLst>
            <a:gd name="adj" fmla="val 6987"/>
          </a:avLst>
        </a:prstGeom>
        <a:solidFill>
          <a:schemeClr val="bg1"/>
        </a:solidFill>
        <a:ln>
          <a:noFill/>
        </a:ln>
        <a:effectLst>
          <a:outerShdw blurRad="139700" dist="38100" dir="2700000" algn="tl" rotWithShape="0">
            <a:prstClr val="black">
              <a:alpha val="2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24</xdr:row>
      <xdr:rowOff>169818</xdr:rowOff>
    </xdr:from>
    <xdr:to>
      <xdr:col>0</xdr:col>
      <xdr:colOff>7258</xdr:colOff>
      <xdr:row>38</xdr:row>
      <xdr:rowOff>160212</xdr:rowOff>
    </xdr:to>
    <xdr:sp macro="" textlink="">
      <xdr:nvSpPr>
        <xdr:cNvPr id="25" name="Rectangle: Rounded Corners 24">
          <a:extLst>
            <a:ext uri="{FF2B5EF4-FFF2-40B4-BE49-F238E27FC236}">
              <a16:creationId xmlns:a16="http://schemas.microsoft.com/office/drawing/2014/main" id="{E1ACEF43-D0ED-462E-599E-109B1B9EF3D7}"/>
            </a:ext>
          </a:extLst>
        </xdr:cNvPr>
        <xdr:cNvSpPr/>
      </xdr:nvSpPr>
      <xdr:spPr>
        <a:xfrm>
          <a:off x="0" y="4959532"/>
          <a:ext cx="7258" cy="2784394"/>
        </a:xfrm>
        <a:prstGeom prst="roundRect">
          <a:avLst>
            <a:gd name="adj" fmla="val 6987"/>
          </a:avLst>
        </a:prstGeom>
        <a:solidFill>
          <a:schemeClr val="bg1"/>
        </a:solidFill>
        <a:ln>
          <a:noFill/>
        </a:ln>
        <a:effectLst>
          <a:outerShdw blurRad="139700" dist="38100" dir="2700000" algn="tl" rotWithShape="0">
            <a:prstClr val="black">
              <a:alpha val="2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149933</xdr:colOff>
      <xdr:row>6</xdr:row>
      <xdr:rowOff>57657</xdr:rowOff>
    </xdr:from>
    <xdr:to>
      <xdr:col>4</xdr:col>
      <xdr:colOff>649111</xdr:colOff>
      <xdr:row>20</xdr:row>
      <xdr:rowOff>134938</xdr:rowOff>
    </xdr:to>
    <xdr:sp macro="" textlink="">
      <xdr:nvSpPr>
        <xdr:cNvPr id="26" name="Rectangle: Rounded Corners 25">
          <a:extLst>
            <a:ext uri="{FF2B5EF4-FFF2-40B4-BE49-F238E27FC236}">
              <a16:creationId xmlns:a16="http://schemas.microsoft.com/office/drawing/2014/main" id="{B253E841-0E4E-3555-4B34-F1DE9BD8247A}"/>
            </a:ext>
          </a:extLst>
        </xdr:cNvPr>
        <xdr:cNvSpPr/>
      </xdr:nvSpPr>
      <xdr:spPr>
        <a:xfrm>
          <a:off x="149933" y="1285324"/>
          <a:ext cx="3180289" cy="2941836"/>
        </a:xfrm>
        <a:prstGeom prst="roundRect">
          <a:avLst>
            <a:gd name="adj" fmla="val 3651"/>
          </a:avLst>
        </a:prstGeom>
        <a:solidFill>
          <a:schemeClr val="bg1"/>
        </a:solidFill>
        <a:ln>
          <a:noFill/>
        </a:ln>
        <a:effectLst>
          <a:outerShdw blurRad="139700" dist="38100" dir="2700000" algn="tl" rotWithShape="0">
            <a:prstClr val="black">
              <a:alpha val="2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84666</xdr:colOff>
      <xdr:row>8</xdr:row>
      <xdr:rowOff>72573</xdr:rowOff>
    </xdr:from>
    <xdr:to>
      <xdr:col>16</xdr:col>
      <xdr:colOff>72572</xdr:colOff>
      <xdr:row>20</xdr:row>
      <xdr:rowOff>9071</xdr:rowOff>
    </xdr:to>
    <xdr:graphicFrame macro="">
      <xdr:nvGraphicFramePr>
        <xdr:cNvPr id="28" name="Chart 27">
          <a:extLst>
            <a:ext uri="{FF2B5EF4-FFF2-40B4-BE49-F238E27FC236}">
              <a16:creationId xmlns:a16="http://schemas.microsoft.com/office/drawing/2014/main" id="{1292DA50-1EF8-43EA-9BF8-D8D7D29A49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67349</xdr:colOff>
      <xdr:row>22</xdr:row>
      <xdr:rowOff>182804</xdr:rowOff>
    </xdr:from>
    <xdr:to>
      <xdr:col>3</xdr:col>
      <xdr:colOff>413712</xdr:colOff>
      <xdr:row>35</xdr:row>
      <xdr:rowOff>18763</xdr:rowOff>
    </xdr:to>
    <xdr:graphicFrame macro="">
      <xdr:nvGraphicFramePr>
        <xdr:cNvPr id="29" name="Chart 28">
          <a:extLst>
            <a:ext uri="{FF2B5EF4-FFF2-40B4-BE49-F238E27FC236}">
              <a16:creationId xmlns:a16="http://schemas.microsoft.com/office/drawing/2014/main" id="{D80ADCAC-70FA-43B8-B5A4-42EFC16489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178972</xdr:colOff>
      <xdr:row>21</xdr:row>
      <xdr:rowOff>101067</xdr:rowOff>
    </xdr:from>
    <xdr:to>
      <xdr:col>5</xdr:col>
      <xdr:colOff>222250</xdr:colOff>
      <xdr:row>23</xdr:row>
      <xdr:rowOff>36796</xdr:rowOff>
    </xdr:to>
    <xdr:sp macro="" textlink="">
      <xdr:nvSpPr>
        <xdr:cNvPr id="30" name="TextBox 29">
          <a:extLst>
            <a:ext uri="{FF2B5EF4-FFF2-40B4-BE49-F238E27FC236}">
              <a16:creationId xmlns:a16="http://schemas.microsoft.com/office/drawing/2014/main" id="{368E8F36-3102-D505-3B82-5BDDE7903598}"/>
            </a:ext>
          </a:extLst>
        </xdr:cNvPr>
        <xdr:cNvSpPr txBox="1"/>
      </xdr:nvSpPr>
      <xdr:spPr>
        <a:xfrm>
          <a:off x="178972" y="4434942"/>
          <a:ext cx="3416716" cy="3484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rgbClr val="415853"/>
              </a:solidFill>
            </a:rPr>
            <a:t>Chất lượng sản lượng: Thực hiện (%) Tổng A1-A-B</a:t>
          </a:r>
        </a:p>
      </xdr:txBody>
    </xdr:sp>
    <xdr:clientData/>
  </xdr:twoCellAnchor>
  <xdr:twoCellAnchor>
    <xdr:from>
      <xdr:col>0</xdr:col>
      <xdr:colOff>653905</xdr:colOff>
      <xdr:row>27</xdr:row>
      <xdr:rowOff>155995</xdr:rowOff>
    </xdr:from>
    <xdr:to>
      <xdr:col>2</xdr:col>
      <xdr:colOff>580624</xdr:colOff>
      <xdr:row>29</xdr:row>
      <xdr:rowOff>55236</xdr:rowOff>
    </xdr:to>
    <xdr:sp macro="" textlink="Pivot!$A$29">
      <xdr:nvSpPr>
        <xdr:cNvPr id="31" name="TextBox 30">
          <a:extLst>
            <a:ext uri="{FF2B5EF4-FFF2-40B4-BE49-F238E27FC236}">
              <a16:creationId xmlns:a16="http://schemas.microsoft.com/office/drawing/2014/main" id="{ED57B4F2-C8AA-FCCF-29EF-58CA0731856F}"/>
            </a:ext>
          </a:extLst>
        </xdr:cNvPr>
        <xdr:cNvSpPr txBox="1"/>
      </xdr:nvSpPr>
      <xdr:spPr>
        <a:xfrm>
          <a:off x="653905" y="5351450"/>
          <a:ext cx="1273689" cy="2840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9726A29-6C21-4483-8457-7D975B732E41}" type="TxLink">
            <a:rPr lang="en-US" sz="1800" b="1" i="0" u="none" strike="noStrike" baseline="0">
              <a:solidFill>
                <a:srgbClr val="415853"/>
              </a:solidFill>
              <a:latin typeface="Calibri"/>
              <a:ea typeface="Calibri"/>
              <a:cs typeface="Calibri"/>
            </a:rPr>
            <a:pPr algn="ctr"/>
            <a:t> 174.247 </a:t>
          </a:fld>
          <a:endParaRPr lang="en-US" sz="11500" b="1" baseline="0">
            <a:solidFill>
              <a:srgbClr val="415853"/>
            </a:solidFill>
          </a:endParaRPr>
        </a:p>
      </xdr:txBody>
    </xdr:sp>
    <xdr:clientData/>
  </xdr:twoCellAnchor>
  <xdr:twoCellAnchor editAs="oneCell">
    <xdr:from>
      <xdr:col>0</xdr:col>
      <xdr:colOff>217596</xdr:colOff>
      <xdr:row>6</xdr:row>
      <xdr:rowOff>110943</xdr:rowOff>
    </xdr:from>
    <xdr:to>
      <xdr:col>4</xdr:col>
      <xdr:colOff>359833</xdr:colOff>
      <xdr:row>13</xdr:row>
      <xdr:rowOff>18065</xdr:rowOff>
    </xdr:to>
    <mc:AlternateContent xmlns:mc="http://schemas.openxmlformats.org/markup-compatibility/2006" xmlns:a14="http://schemas.microsoft.com/office/drawing/2010/main">
      <mc:Choice Requires="a14">
        <xdr:graphicFrame macro="">
          <xdr:nvGraphicFramePr>
            <xdr:cNvPr id="32" name="Tháng">
              <a:extLst>
                <a:ext uri="{FF2B5EF4-FFF2-40B4-BE49-F238E27FC236}">
                  <a16:creationId xmlns:a16="http://schemas.microsoft.com/office/drawing/2014/main" id="{B940503A-16D1-4AE2-8233-46968ACCB84D}"/>
                </a:ext>
              </a:extLst>
            </xdr:cNvPr>
            <xdr:cNvGraphicFramePr/>
          </xdr:nvGraphicFramePr>
          <xdr:xfrm>
            <a:off x="0" y="0"/>
            <a:ext cx="0" cy="0"/>
          </xdr:xfrm>
          <a:graphic>
            <a:graphicData uri="http://schemas.microsoft.com/office/drawing/2010/slicer">
              <sle:slicer xmlns:sle="http://schemas.microsoft.com/office/drawing/2010/slicer" name="Tháng"/>
            </a:graphicData>
          </a:graphic>
        </xdr:graphicFrame>
      </mc:Choice>
      <mc:Fallback xmlns="">
        <xdr:sp macro="" textlink="">
          <xdr:nvSpPr>
            <xdr:cNvPr id="0" name=""/>
            <xdr:cNvSpPr>
              <a:spLocks noTextEdit="1"/>
            </xdr:cNvSpPr>
          </xdr:nvSpPr>
          <xdr:spPr>
            <a:xfrm>
              <a:off x="217596" y="1317443"/>
              <a:ext cx="3280468" cy="13147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257736</xdr:colOff>
      <xdr:row>12</xdr:row>
      <xdr:rowOff>149410</xdr:rowOff>
    </xdr:from>
    <xdr:to>
      <xdr:col>4</xdr:col>
      <xdr:colOff>400611</xdr:colOff>
      <xdr:row>15</xdr:row>
      <xdr:rowOff>112058</xdr:rowOff>
    </xdr:to>
    <mc:AlternateContent xmlns:mc="http://schemas.openxmlformats.org/markup-compatibility/2006" xmlns:a14="http://schemas.microsoft.com/office/drawing/2010/main">
      <mc:Choice Requires="a14">
        <xdr:graphicFrame macro="">
          <xdr:nvGraphicFramePr>
            <xdr:cNvPr id="33" name="Dây chuyền">
              <a:extLst>
                <a:ext uri="{FF2B5EF4-FFF2-40B4-BE49-F238E27FC236}">
                  <a16:creationId xmlns:a16="http://schemas.microsoft.com/office/drawing/2014/main" id="{B060BEEE-8645-C6C0-07B0-CC9E270D539F}"/>
                </a:ext>
              </a:extLst>
            </xdr:cNvPr>
            <xdr:cNvGraphicFramePr/>
          </xdr:nvGraphicFramePr>
          <xdr:xfrm>
            <a:off x="0" y="0"/>
            <a:ext cx="0" cy="0"/>
          </xdr:xfrm>
          <a:graphic>
            <a:graphicData uri="http://schemas.microsoft.com/office/drawing/2010/slicer">
              <sle:slicer xmlns:sle="http://schemas.microsoft.com/office/drawing/2010/slicer" name="Dây chuyền"/>
            </a:graphicData>
          </a:graphic>
        </xdr:graphicFrame>
      </mc:Choice>
      <mc:Fallback xmlns="">
        <xdr:sp macro="" textlink="">
          <xdr:nvSpPr>
            <xdr:cNvPr id="0" name=""/>
            <xdr:cNvSpPr>
              <a:spLocks noTextEdit="1"/>
            </xdr:cNvSpPr>
          </xdr:nvSpPr>
          <xdr:spPr>
            <a:xfrm>
              <a:off x="257736" y="2503581"/>
              <a:ext cx="3131110" cy="6340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228091</xdr:colOff>
      <xdr:row>15</xdr:row>
      <xdr:rowOff>99995</xdr:rowOff>
    </xdr:from>
    <xdr:to>
      <xdr:col>4</xdr:col>
      <xdr:colOff>373945</xdr:colOff>
      <xdr:row>20</xdr:row>
      <xdr:rowOff>83754</xdr:rowOff>
    </xdr:to>
    <mc:AlternateContent xmlns:mc="http://schemas.openxmlformats.org/markup-compatibility/2006" xmlns:a14="http://schemas.microsoft.com/office/drawing/2010/main">
      <mc:Choice Requires="a14">
        <xdr:graphicFrame macro="">
          <xdr:nvGraphicFramePr>
            <xdr:cNvPr id="34" name="Kích thước">
              <a:extLst>
                <a:ext uri="{FF2B5EF4-FFF2-40B4-BE49-F238E27FC236}">
                  <a16:creationId xmlns:a16="http://schemas.microsoft.com/office/drawing/2014/main" id="{48FCA884-FA30-7E0D-0769-917191DC1F62}"/>
                </a:ext>
              </a:extLst>
            </xdr:cNvPr>
            <xdr:cNvGraphicFramePr/>
          </xdr:nvGraphicFramePr>
          <xdr:xfrm>
            <a:off x="0" y="0"/>
            <a:ext cx="0" cy="0"/>
          </xdr:xfrm>
          <a:graphic>
            <a:graphicData uri="http://schemas.microsoft.com/office/drawing/2010/slicer">
              <sle:slicer xmlns:sle="http://schemas.microsoft.com/office/drawing/2010/slicer" name="Kích thước"/>
            </a:graphicData>
          </a:graphic>
        </xdr:graphicFrame>
      </mc:Choice>
      <mc:Fallback xmlns="">
        <xdr:sp macro="" textlink="">
          <xdr:nvSpPr>
            <xdr:cNvPr id="0" name=""/>
            <xdr:cNvSpPr>
              <a:spLocks noTextEdit="1"/>
            </xdr:cNvSpPr>
          </xdr:nvSpPr>
          <xdr:spPr>
            <a:xfrm>
              <a:off x="228090" y="3116245"/>
              <a:ext cx="3259027" cy="9891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62094</xdr:colOff>
      <xdr:row>101</xdr:row>
      <xdr:rowOff>39415</xdr:rowOff>
    </xdr:from>
    <xdr:to>
      <xdr:col>16</xdr:col>
      <xdr:colOff>320700</xdr:colOff>
      <xdr:row>125</xdr:row>
      <xdr:rowOff>182802</xdr:rowOff>
    </xdr:to>
    <xdr:sp macro="" textlink="">
      <xdr:nvSpPr>
        <xdr:cNvPr id="94" name="Rectangle: Top Corners Rounded 93">
          <a:extLst>
            <a:ext uri="{FF2B5EF4-FFF2-40B4-BE49-F238E27FC236}">
              <a16:creationId xmlns:a16="http://schemas.microsoft.com/office/drawing/2014/main" id="{0675DB0C-2BF7-7F79-3969-09558B2B0C86}"/>
            </a:ext>
          </a:extLst>
        </xdr:cNvPr>
        <xdr:cNvSpPr/>
      </xdr:nvSpPr>
      <xdr:spPr>
        <a:xfrm rot="10800000">
          <a:off x="62094" y="19474263"/>
          <a:ext cx="11034364" cy="4761569"/>
        </a:xfrm>
        <a:prstGeom prst="round2SameRect">
          <a:avLst>
            <a:gd name="adj1" fmla="val 2343"/>
            <a:gd name="adj2" fmla="val 0"/>
          </a:avLst>
        </a:prstGeom>
        <a:solidFill>
          <a:srgbClr val="E3EDE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8028</xdr:colOff>
      <xdr:row>99</xdr:row>
      <xdr:rowOff>122948</xdr:rowOff>
    </xdr:from>
    <xdr:to>
      <xdr:col>10</xdr:col>
      <xdr:colOff>113484</xdr:colOff>
      <xdr:row>101</xdr:row>
      <xdr:rowOff>74171</xdr:rowOff>
    </xdr:to>
    <xdr:sp macro="" textlink="">
      <xdr:nvSpPr>
        <xdr:cNvPr id="95" name="TextBox 94">
          <a:extLst>
            <a:ext uri="{FF2B5EF4-FFF2-40B4-BE49-F238E27FC236}">
              <a16:creationId xmlns:a16="http://schemas.microsoft.com/office/drawing/2014/main" id="{333FB0FE-3106-75F8-C722-7A0D0B5C58F8}"/>
            </a:ext>
          </a:extLst>
        </xdr:cNvPr>
        <xdr:cNvSpPr txBox="1"/>
      </xdr:nvSpPr>
      <xdr:spPr>
        <a:xfrm>
          <a:off x="8028" y="19172948"/>
          <a:ext cx="6840304" cy="336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PHẦN</a:t>
          </a:r>
          <a:r>
            <a:rPr lang="en-US" sz="1400" b="1" baseline="0">
              <a:solidFill>
                <a:schemeClr val="bg1"/>
              </a:solidFill>
            </a:rPr>
            <a:t> IV: LƯỢNG THAN TIÊU THỤ</a:t>
          </a:r>
        </a:p>
      </xdr:txBody>
    </xdr:sp>
    <xdr:clientData/>
  </xdr:twoCellAnchor>
  <xdr:twoCellAnchor>
    <xdr:from>
      <xdr:col>0</xdr:col>
      <xdr:colOff>267434</xdr:colOff>
      <xdr:row>110</xdr:row>
      <xdr:rowOff>145118</xdr:rowOff>
    </xdr:from>
    <xdr:to>
      <xdr:col>8</xdr:col>
      <xdr:colOff>49389</xdr:colOff>
      <xdr:row>125</xdr:row>
      <xdr:rowOff>31750</xdr:rowOff>
    </xdr:to>
    <xdr:sp macro="" textlink="">
      <xdr:nvSpPr>
        <xdr:cNvPr id="97" name="Rectangle: Rounded Corners 96">
          <a:extLst>
            <a:ext uri="{FF2B5EF4-FFF2-40B4-BE49-F238E27FC236}">
              <a16:creationId xmlns:a16="http://schemas.microsoft.com/office/drawing/2014/main" id="{34659857-580B-E53D-09C5-EDE756E05B26}"/>
            </a:ext>
          </a:extLst>
        </xdr:cNvPr>
        <xdr:cNvSpPr/>
      </xdr:nvSpPr>
      <xdr:spPr>
        <a:xfrm>
          <a:off x="267434" y="22652340"/>
          <a:ext cx="5144177" cy="2955799"/>
        </a:xfrm>
        <a:prstGeom prst="roundRect">
          <a:avLst>
            <a:gd name="adj" fmla="val 8947"/>
          </a:avLst>
        </a:prstGeom>
        <a:solidFill>
          <a:schemeClr val="bg1"/>
        </a:solidFill>
        <a:ln>
          <a:noFill/>
        </a:ln>
        <a:effectLst>
          <a:outerShdw blurRad="139700" dist="38100" dir="2700000" algn="tl" rotWithShape="0">
            <a:prstClr val="black">
              <a:alpha val="2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292787</xdr:colOff>
      <xdr:row>112</xdr:row>
      <xdr:rowOff>26026</xdr:rowOff>
    </xdr:from>
    <xdr:to>
      <xdr:col>7</xdr:col>
      <xdr:colOff>515056</xdr:colOff>
      <xdr:row>124</xdr:row>
      <xdr:rowOff>173200</xdr:rowOff>
    </xdr:to>
    <xdr:graphicFrame macro="">
      <xdr:nvGraphicFramePr>
        <xdr:cNvPr id="96" name="Chart 95">
          <a:extLst>
            <a:ext uri="{FF2B5EF4-FFF2-40B4-BE49-F238E27FC236}">
              <a16:creationId xmlns:a16="http://schemas.microsoft.com/office/drawing/2014/main" id="{C1E57995-E20C-4572-85EB-E4E68DE020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187677</xdr:colOff>
      <xdr:row>110</xdr:row>
      <xdr:rowOff>142810</xdr:rowOff>
    </xdr:from>
    <xdr:to>
      <xdr:col>6</xdr:col>
      <xdr:colOff>401248</xdr:colOff>
      <xdr:row>112</xdr:row>
      <xdr:rowOff>78391</xdr:rowOff>
    </xdr:to>
    <xdr:sp macro="" textlink="">
      <xdr:nvSpPr>
        <xdr:cNvPr id="98" name="TextBox 97">
          <a:extLst>
            <a:ext uri="{FF2B5EF4-FFF2-40B4-BE49-F238E27FC236}">
              <a16:creationId xmlns:a16="http://schemas.microsoft.com/office/drawing/2014/main" id="{635D7514-FE21-5093-9061-138B9A8EC458}"/>
            </a:ext>
          </a:extLst>
        </xdr:cNvPr>
        <xdr:cNvSpPr txBox="1"/>
      </xdr:nvSpPr>
      <xdr:spPr>
        <a:xfrm>
          <a:off x="187677" y="21309477"/>
          <a:ext cx="4254480" cy="3204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rgbClr val="415853"/>
              </a:solidFill>
            </a:rPr>
            <a:t>Sản lượng sản xuất (m2) và lượng than sử dụng (kg)</a:t>
          </a:r>
        </a:p>
      </xdr:txBody>
    </xdr:sp>
    <xdr:clientData/>
  </xdr:twoCellAnchor>
  <xdr:twoCellAnchor>
    <xdr:from>
      <xdr:col>8</xdr:col>
      <xdr:colOff>119945</xdr:colOff>
      <xdr:row>110</xdr:row>
      <xdr:rowOff>174758</xdr:rowOff>
    </xdr:from>
    <xdr:to>
      <xdr:col>16</xdr:col>
      <xdr:colOff>247499</xdr:colOff>
      <xdr:row>125</xdr:row>
      <xdr:rowOff>16677</xdr:rowOff>
    </xdr:to>
    <xdr:sp macro="" textlink="">
      <xdr:nvSpPr>
        <xdr:cNvPr id="103" name="Rectangle: Rounded Corners 102">
          <a:extLst>
            <a:ext uri="{FF2B5EF4-FFF2-40B4-BE49-F238E27FC236}">
              <a16:creationId xmlns:a16="http://schemas.microsoft.com/office/drawing/2014/main" id="{C4402177-CE7B-28CE-9032-254487B3ED8C}"/>
            </a:ext>
          </a:extLst>
        </xdr:cNvPr>
        <xdr:cNvSpPr/>
      </xdr:nvSpPr>
      <xdr:spPr>
        <a:xfrm>
          <a:off x="5482167" y="22681980"/>
          <a:ext cx="5489776" cy="2911086"/>
        </a:xfrm>
        <a:prstGeom prst="roundRect">
          <a:avLst>
            <a:gd name="adj" fmla="val 3619"/>
          </a:avLst>
        </a:prstGeom>
        <a:solidFill>
          <a:schemeClr val="bg1"/>
        </a:solidFill>
        <a:ln>
          <a:noFill/>
        </a:ln>
        <a:effectLst>
          <a:outerShdw blurRad="139700" dist="38100" dir="2700000" algn="tl" rotWithShape="0">
            <a:prstClr val="black">
              <a:alpha val="2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305816</xdr:colOff>
      <xdr:row>111</xdr:row>
      <xdr:rowOff>1635</xdr:rowOff>
    </xdr:from>
    <xdr:to>
      <xdr:col>13</xdr:col>
      <xdr:colOff>227163</xdr:colOff>
      <xdr:row>112</xdr:row>
      <xdr:rowOff>123095</xdr:rowOff>
    </xdr:to>
    <xdr:sp macro="" textlink="">
      <xdr:nvSpPr>
        <xdr:cNvPr id="104" name="TextBox 103">
          <a:extLst>
            <a:ext uri="{FF2B5EF4-FFF2-40B4-BE49-F238E27FC236}">
              <a16:creationId xmlns:a16="http://schemas.microsoft.com/office/drawing/2014/main" id="{39AC063B-2775-FEFD-F2AA-2626821CC015}"/>
            </a:ext>
          </a:extLst>
        </xdr:cNvPr>
        <xdr:cNvSpPr txBox="1"/>
      </xdr:nvSpPr>
      <xdr:spPr>
        <a:xfrm>
          <a:off x="5693695" y="21360726"/>
          <a:ext cx="3288771" cy="3138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rgbClr val="415853"/>
              </a:solidFill>
            </a:rPr>
            <a:t>Tiêu hao (Kg/m2)</a:t>
          </a:r>
        </a:p>
      </xdr:txBody>
    </xdr:sp>
    <xdr:clientData/>
  </xdr:twoCellAnchor>
  <xdr:twoCellAnchor>
    <xdr:from>
      <xdr:col>8</xdr:col>
      <xdr:colOff>155223</xdr:colOff>
      <xdr:row>112</xdr:row>
      <xdr:rowOff>89294</xdr:rowOff>
    </xdr:from>
    <xdr:to>
      <xdr:col>16</xdr:col>
      <xdr:colOff>239889</xdr:colOff>
      <xdr:row>124</xdr:row>
      <xdr:rowOff>84513</xdr:rowOff>
    </xdr:to>
    <xdr:graphicFrame macro="">
      <xdr:nvGraphicFramePr>
        <xdr:cNvPr id="105" name="Chart 104">
          <a:extLst>
            <a:ext uri="{FF2B5EF4-FFF2-40B4-BE49-F238E27FC236}">
              <a16:creationId xmlns:a16="http://schemas.microsoft.com/office/drawing/2014/main" id="{10EC8D2A-F66E-4C92-AC72-3CBCD6ED64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164187</xdr:colOff>
      <xdr:row>101</xdr:row>
      <xdr:rowOff>130462</xdr:rowOff>
    </xdr:from>
    <xdr:to>
      <xdr:col>2</xdr:col>
      <xdr:colOff>552318</xdr:colOff>
      <xdr:row>105</xdr:row>
      <xdr:rowOff>135168</xdr:rowOff>
    </xdr:to>
    <xdr:sp macro="" textlink="">
      <xdr:nvSpPr>
        <xdr:cNvPr id="124" name="Rectangle: Rounded Corners 123">
          <a:extLst>
            <a:ext uri="{FF2B5EF4-FFF2-40B4-BE49-F238E27FC236}">
              <a16:creationId xmlns:a16="http://schemas.microsoft.com/office/drawing/2014/main" id="{802EDD13-B7EB-4853-B5E3-F61C524EFFE1}"/>
            </a:ext>
          </a:extLst>
        </xdr:cNvPr>
        <xdr:cNvSpPr/>
      </xdr:nvSpPr>
      <xdr:spPr>
        <a:xfrm>
          <a:off x="164187" y="19565310"/>
          <a:ext cx="1735101" cy="774403"/>
        </a:xfrm>
        <a:prstGeom prst="roundRect">
          <a:avLst/>
        </a:prstGeom>
        <a:solidFill>
          <a:schemeClr val="bg1"/>
        </a:solidFill>
        <a:ln>
          <a:noFill/>
        </a:ln>
        <a:effectLst>
          <a:outerShdw blurRad="139700" dist="38100" dir="2700000" algn="tl" rotWithShape="0">
            <a:prstClr val="black">
              <a:alpha val="2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119528</xdr:colOff>
      <xdr:row>101</xdr:row>
      <xdr:rowOff>102195</xdr:rowOff>
    </xdr:from>
    <xdr:to>
      <xdr:col>3</xdr:col>
      <xdr:colOff>47386</xdr:colOff>
      <xdr:row>102</xdr:row>
      <xdr:rowOff>173071</xdr:rowOff>
    </xdr:to>
    <xdr:sp macro="" textlink="">
      <xdr:nvSpPr>
        <xdr:cNvPr id="125" name="TextBox 124">
          <a:extLst>
            <a:ext uri="{FF2B5EF4-FFF2-40B4-BE49-F238E27FC236}">
              <a16:creationId xmlns:a16="http://schemas.microsoft.com/office/drawing/2014/main" id="{106BC2B7-521E-4844-A7FF-B87CCB51E215}"/>
            </a:ext>
          </a:extLst>
        </xdr:cNvPr>
        <xdr:cNvSpPr txBox="1"/>
      </xdr:nvSpPr>
      <xdr:spPr>
        <a:xfrm>
          <a:off x="119528" y="19537043"/>
          <a:ext cx="1948313" cy="2633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rgbClr val="415853"/>
              </a:solidFill>
            </a:rPr>
            <a:t>Sản lượng sản xuất (m2)</a:t>
          </a:r>
        </a:p>
      </xdr:txBody>
    </xdr:sp>
    <xdr:clientData/>
  </xdr:twoCellAnchor>
  <xdr:twoCellAnchor>
    <xdr:from>
      <xdr:col>0</xdr:col>
      <xdr:colOff>396801</xdr:colOff>
      <xdr:row>103</xdr:row>
      <xdr:rowOff>52673</xdr:rowOff>
    </xdr:from>
    <xdr:to>
      <xdr:col>2</xdr:col>
      <xdr:colOff>325310</xdr:colOff>
      <xdr:row>104</xdr:row>
      <xdr:rowOff>144072</xdr:rowOff>
    </xdr:to>
    <xdr:sp macro="" textlink="Pivot!$AU$6">
      <xdr:nvSpPr>
        <xdr:cNvPr id="126" name="TextBox 125">
          <a:extLst>
            <a:ext uri="{FF2B5EF4-FFF2-40B4-BE49-F238E27FC236}">
              <a16:creationId xmlns:a16="http://schemas.microsoft.com/office/drawing/2014/main" id="{50CA28E2-1E3E-4321-8406-176EC7EB20EE}"/>
            </a:ext>
          </a:extLst>
        </xdr:cNvPr>
        <xdr:cNvSpPr txBox="1"/>
      </xdr:nvSpPr>
      <xdr:spPr>
        <a:xfrm>
          <a:off x="396801" y="19872370"/>
          <a:ext cx="1275479" cy="2838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89C623B3-CD8C-41B9-B040-C7BCD3B7E36A}" type="TxLink">
            <a:rPr lang="en-US" sz="1800" b="1" i="0" u="none" strike="noStrike" baseline="0">
              <a:solidFill>
                <a:srgbClr val="415853"/>
              </a:solidFill>
              <a:latin typeface="Calibri"/>
              <a:ea typeface="Calibri"/>
              <a:cs typeface="Calibri"/>
            </a:rPr>
            <a:pPr algn="r"/>
            <a:t> 929.392 </a:t>
          </a:fld>
          <a:endParaRPr lang="en-US" sz="19900" b="1" baseline="0">
            <a:solidFill>
              <a:srgbClr val="415853"/>
            </a:solidFill>
          </a:endParaRPr>
        </a:p>
      </xdr:txBody>
    </xdr:sp>
    <xdr:clientData/>
  </xdr:twoCellAnchor>
  <xdr:twoCellAnchor>
    <xdr:from>
      <xdr:col>2</xdr:col>
      <xdr:colOff>628062</xdr:colOff>
      <xdr:row>101</xdr:row>
      <xdr:rowOff>130259</xdr:rowOff>
    </xdr:from>
    <xdr:to>
      <xdr:col>5</xdr:col>
      <xdr:colOff>328437</xdr:colOff>
      <xdr:row>105</xdr:row>
      <xdr:rowOff>134965</xdr:rowOff>
    </xdr:to>
    <xdr:sp macro="" textlink="">
      <xdr:nvSpPr>
        <xdr:cNvPr id="127" name="Rectangle: Rounded Corners 126">
          <a:extLst>
            <a:ext uri="{FF2B5EF4-FFF2-40B4-BE49-F238E27FC236}">
              <a16:creationId xmlns:a16="http://schemas.microsoft.com/office/drawing/2014/main" id="{E97D7266-A124-4A3B-90B9-720E26FFB2A8}"/>
            </a:ext>
          </a:extLst>
        </xdr:cNvPr>
        <xdr:cNvSpPr/>
      </xdr:nvSpPr>
      <xdr:spPr>
        <a:xfrm>
          <a:off x="1975032" y="19565107"/>
          <a:ext cx="1720829" cy="774403"/>
        </a:xfrm>
        <a:prstGeom prst="roundRect">
          <a:avLst/>
        </a:prstGeom>
        <a:solidFill>
          <a:schemeClr val="bg1"/>
        </a:solidFill>
        <a:ln>
          <a:noFill/>
        </a:ln>
        <a:effectLst>
          <a:outerShdw blurRad="139700" dist="38100" dir="2700000" algn="tl" rotWithShape="0">
            <a:prstClr val="black">
              <a:alpha val="2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41290</xdr:colOff>
      <xdr:row>101</xdr:row>
      <xdr:rowOff>137695</xdr:rowOff>
    </xdr:from>
    <xdr:to>
      <xdr:col>5</xdr:col>
      <xdr:colOff>309105</xdr:colOff>
      <xdr:row>102</xdr:row>
      <xdr:rowOff>165932</xdr:rowOff>
    </xdr:to>
    <xdr:sp macro="" textlink="">
      <xdr:nvSpPr>
        <xdr:cNvPr id="128" name="TextBox 127">
          <a:extLst>
            <a:ext uri="{FF2B5EF4-FFF2-40B4-BE49-F238E27FC236}">
              <a16:creationId xmlns:a16="http://schemas.microsoft.com/office/drawing/2014/main" id="{129BB49A-EB4E-457B-9143-AF6ABAFDEA52}"/>
            </a:ext>
          </a:extLst>
        </xdr:cNvPr>
        <xdr:cNvSpPr txBox="1"/>
      </xdr:nvSpPr>
      <xdr:spPr>
        <a:xfrm>
          <a:off x="2061745" y="19572543"/>
          <a:ext cx="1614784" cy="220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rgbClr val="415853"/>
              </a:solidFill>
            </a:rPr>
            <a:t>Khối lượng than (Kg)</a:t>
          </a:r>
        </a:p>
      </xdr:txBody>
    </xdr:sp>
    <xdr:clientData/>
  </xdr:twoCellAnchor>
  <xdr:twoCellAnchor>
    <xdr:from>
      <xdr:col>3</xdr:col>
      <xdr:colOff>210983</xdr:colOff>
      <xdr:row>103</xdr:row>
      <xdr:rowOff>59610</xdr:rowOff>
    </xdr:from>
    <xdr:to>
      <xdr:col>5</xdr:col>
      <xdr:colOff>249728</xdr:colOff>
      <xdr:row>104</xdr:row>
      <xdr:rowOff>144050</xdr:rowOff>
    </xdr:to>
    <xdr:sp macro="" textlink="Pivot!$AS$6">
      <xdr:nvSpPr>
        <xdr:cNvPr id="129" name="TextBox 128">
          <a:extLst>
            <a:ext uri="{FF2B5EF4-FFF2-40B4-BE49-F238E27FC236}">
              <a16:creationId xmlns:a16="http://schemas.microsoft.com/office/drawing/2014/main" id="{1A509741-91D8-4485-B82E-615671075FF7}"/>
            </a:ext>
          </a:extLst>
        </xdr:cNvPr>
        <xdr:cNvSpPr txBox="1"/>
      </xdr:nvSpPr>
      <xdr:spPr>
        <a:xfrm>
          <a:off x="2231438" y="19879307"/>
          <a:ext cx="1385714" cy="2768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DE80B6ED-C88B-456E-9D66-894D66D59A2C}" type="TxLink">
            <a:rPr lang="en-US" sz="1800" b="1" i="0" u="none" strike="noStrike" baseline="0">
              <a:solidFill>
                <a:srgbClr val="415853"/>
              </a:solidFill>
              <a:latin typeface="Calibri"/>
              <a:ea typeface="Calibri"/>
              <a:cs typeface="Calibri"/>
            </a:rPr>
            <a:pPr algn="r"/>
            <a:t> 2.215.580 </a:t>
          </a:fld>
          <a:endParaRPr lang="en-US" sz="34400" b="1" baseline="0">
            <a:solidFill>
              <a:srgbClr val="415853"/>
            </a:solidFill>
          </a:endParaRPr>
        </a:p>
      </xdr:txBody>
    </xdr:sp>
    <xdr:clientData/>
  </xdr:twoCellAnchor>
  <xdr:twoCellAnchor>
    <xdr:from>
      <xdr:col>5</xdr:col>
      <xdr:colOff>410133</xdr:colOff>
      <xdr:row>101</xdr:row>
      <xdr:rowOff>140255</xdr:rowOff>
    </xdr:from>
    <xdr:to>
      <xdr:col>8</xdr:col>
      <xdr:colOff>21168</xdr:colOff>
      <xdr:row>105</xdr:row>
      <xdr:rowOff>144961</xdr:rowOff>
    </xdr:to>
    <xdr:sp macro="" textlink="">
      <xdr:nvSpPr>
        <xdr:cNvPr id="133" name="Rectangle: Rounded Corners 132">
          <a:extLst>
            <a:ext uri="{FF2B5EF4-FFF2-40B4-BE49-F238E27FC236}">
              <a16:creationId xmlns:a16="http://schemas.microsoft.com/office/drawing/2014/main" id="{1EBD5A13-B1F7-05B9-054E-20EA8536331F}"/>
            </a:ext>
          </a:extLst>
        </xdr:cNvPr>
        <xdr:cNvSpPr/>
      </xdr:nvSpPr>
      <xdr:spPr>
        <a:xfrm>
          <a:off x="3761522" y="20805977"/>
          <a:ext cx="1621868" cy="823151"/>
        </a:xfrm>
        <a:prstGeom prst="roundRect">
          <a:avLst/>
        </a:prstGeom>
        <a:solidFill>
          <a:schemeClr val="bg1"/>
        </a:solidFill>
        <a:ln>
          <a:noFill/>
        </a:ln>
        <a:effectLst>
          <a:outerShdw blurRad="139700" dist="38100" dir="2700000" algn="tl" rotWithShape="0">
            <a:prstClr val="black">
              <a:alpha val="2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477014</xdr:colOff>
      <xdr:row>101</xdr:row>
      <xdr:rowOff>147691</xdr:rowOff>
    </xdr:from>
    <xdr:to>
      <xdr:col>7</xdr:col>
      <xdr:colOff>658150</xdr:colOff>
      <xdr:row>102</xdr:row>
      <xdr:rowOff>163645</xdr:rowOff>
    </xdr:to>
    <xdr:sp macro="" textlink="">
      <xdr:nvSpPr>
        <xdr:cNvPr id="134" name="TextBox 133">
          <a:extLst>
            <a:ext uri="{FF2B5EF4-FFF2-40B4-BE49-F238E27FC236}">
              <a16:creationId xmlns:a16="http://schemas.microsoft.com/office/drawing/2014/main" id="{1795A509-2700-3250-8641-12A5CFDE5406}"/>
            </a:ext>
          </a:extLst>
        </xdr:cNvPr>
        <xdr:cNvSpPr txBox="1"/>
      </xdr:nvSpPr>
      <xdr:spPr>
        <a:xfrm>
          <a:off x="3844438" y="19582539"/>
          <a:ext cx="1528106" cy="2083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rgbClr val="415853"/>
              </a:solidFill>
            </a:rPr>
            <a:t>Tiêu hao (Kg/m2)</a:t>
          </a:r>
        </a:p>
      </xdr:txBody>
    </xdr:sp>
    <xdr:clientData/>
  </xdr:twoCellAnchor>
  <xdr:twoCellAnchor>
    <xdr:from>
      <xdr:col>5</xdr:col>
      <xdr:colOff>637963</xdr:colOff>
      <xdr:row>103</xdr:row>
      <xdr:rowOff>62465</xdr:rowOff>
    </xdr:from>
    <xdr:to>
      <xdr:col>7</xdr:col>
      <xdr:colOff>566473</xdr:colOff>
      <xdr:row>104</xdr:row>
      <xdr:rowOff>153864</xdr:rowOff>
    </xdr:to>
    <xdr:sp macro="" textlink="Pivot!$AW$6">
      <xdr:nvSpPr>
        <xdr:cNvPr id="135" name="TextBox 134">
          <a:extLst>
            <a:ext uri="{FF2B5EF4-FFF2-40B4-BE49-F238E27FC236}">
              <a16:creationId xmlns:a16="http://schemas.microsoft.com/office/drawing/2014/main" id="{2AB375C9-7019-00E6-F322-0927261A9B7B}"/>
            </a:ext>
          </a:extLst>
        </xdr:cNvPr>
        <xdr:cNvSpPr txBox="1"/>
      </xdr:nvSpPr>
      <xdr:spPr>
        <a:xfrm>
          <a:off x="4005387" y="19882162"/>
          <a:ext cx="1275480" cy="2838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BBBD0B43-ADAE-4E87-8CC2-397059F1393F}" type="TxLink">
            <a:rPr lang="en-US" sz="1800" b="1" i="0" u="none" strike="noStrike" baseline="0">
              <a:solidFill>
                <a:srgbClr val="415853"/>
              </a:solidFill>
              <a:latin typeface="Calibri"/>
              <a:ea typeface="Calibri"/>
              <a:cs typeface="Calibri"/>
            </a:rPr>
            <a:pPr algn="r"/>
            <a:t>2,38</a:t>
          </a:fld>
          <a:endParaRPr lang="en-US" sz="34400" b="1" baseline="0">
            <a:solidFill>
              <a:srgbClr val="415853"/>
            </a:solidFill>
          </a:endParaRPr>
        </a:p>
      </xdr:txBody>
    </xdr:sp>
    <xdr:clientData/>
  </xdr:twoCellAnchor>
  <xdr:twoCellAnchor>
    <xdr:from>
      <xdr:col>8</xdr:col>
      <xdr:colOff>91721</xdr:colOff>
      <xdr:row>101</xdr:row>
      <xdr:rowOff>134747</xdr:rowOff>
    </xdr:from>
    <xdr:to>
      <xdr:col>16</xdr:col>
      <xdr:colOff>239888</xdr:colOff>
      <xdr:row>110</xdr:row>
      <xdr:rowOff>38485</xdr:rowOff>
    </xdr:to>
    <xdr:sp macro="" textlink="">
      <xdr:nvSpPr>
        <xdr:cNvPr id="136" name="Rectangle: Rounded Corners 135">
          <a:extLst>
            <a:ext uri="{FF2B5EF4-FFF2-40B4-BE49-F238E27FC236}">
              <a16:creationId xmlns:a16="http://schemas.microsoft.com/office/drawing/2014/main" id="{B617C4F3-E46C-A6D6-CEF7-CA4DEA06C182}"/>
            </a:ext>
          </a:extLst>
        </xdr:cNvPr>
        <xdr:cNvSpPr/>
      </xdr:nvSpPr>
      <xdr:spPr>
        <a:xfrm>
          <a:off x="5453943" y="20800469"/>
          <a:ext cx="5510389" cy="1745238"/>
        </a:xfrm>
        <a:prstGeom prst="roundRect">
          <a:avLst>
            <a:gd name="adj" fmla="val 9200"/>
          </a:avLst>
        </a:prstGeom>
        <a:solidFill>
          <a:schemeClr val="bg1"/>
        </a:solidFill>
        <a:ln>
          <a:noFill/>
        </a:ln>
        <a:effectLst>
          <a:outerShdw blurRad="139700" dist="38100" dir="2700000" algn="tl" rotWithShape="0">
            <a:prstClr val="black">
              <a:alpha val="2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372009</xdr:colOff>
      <xdr:row>101</xdr:row>
      <xdr:rowOff>151885</xdr:rowOff>
    </xdr:from>
    <xdr:to>
      <xdr:col>10</xdr:col>
      <xdr:colOff>379657</xdr:colOff>
      <xdr:row>109</xdr:row>
      <xdr:rowOff>84667</xdr:rowOff>
    </xdr:to>
    <mc:AlternateContent xmlns:mc="http://schemas.openxmlformats.org/markup-compatibility/2006" xmlns:a14="http://schemas.microsoft.com/office/drawing/2010/main">
      <mc:Choice Requires="a14">
        <xdr:graphicFrame macro="">
          <xdr:nvGraphicFramePr>
            <xdr:cNvPr id="137" name="Tháng 3">
              <a:extLst>
                <a:ext uri="{FF2B5EF4-FFF2-40B4-BE49-F238E27FC236}">
                  <a16:creationId xmlns:a16="http://schemas.microsoft.com/office/drawing/2014/main" id="{65A037AB-B815-AF96-02EF-2713A086C6A3}"/>
                </a:ext>
              </a:extLst>
            </xdr:cNvPr>
            <xdr:cNvGraphicFramePr/>
          </xdr:nvGraphicFramePr>
          <xdr:xfrm>
            <a:off x="0" y="0"/>
            <a:ext cx="0" cy="0"/>
          </xdr:xfrm>
          <a:graphic>
            <a:graphicData uri="http://schemas.microsoft.com/office/drawing/2010/slicer">
              <sle:slicer xmlns:sle="http://schemas.microsoft.com/office/drawing/2010/slicer" name="Tháng 3"/>
            </a:graphicData>
          </a:graphic>
        </xdr:graphicFrame>
      </mc:Choice>
      <mc:Fallback xmlns="">
        <xdr:sp macro="" textlink="">
          <xdr:nvSpPr>
            <xdr:cNvPr id="0" name=""/>
            <xdr:cNvSpPr>
              <a:spLocks noTextEdit="1"/>
            </xdr:cNvSpPr>
          </xdr:nvSpPr>
          <xdr:spPr>
            <a:xfrm>
              <a:off x="5790676" y="20461302"/>
              <a:ext cx="1362314" cy="13631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356730</xdr:colOff>
      <xdr:row>101</xdr:row>
      <xdr:rowOff>151885</xdr:rowOff>
    </xdr:from>
    <xdr:to>
      <xdr:col>12</xdr:col>
      <xdr:colOff>60737</xdr:colOff>
      <xdr:row>108</xdr:row>
      <xdr:rowOff>94929</xdr:rowOff>
    </xdr:to>
    <mc:AlternateContent xmlns:mc="http://schemas.openxmlformats.org/markup-compatibility/2006" xmlns:a14="http://schemas.microsoft.com/office/drawing/2010/main">
      <mc:Choice Requires="a14">
        <xdr:graphicFrame macro="">
          <xdr:nvGraphicFramePr>
            <xdr:cNvPr id="138" name="DC 1">
              <a:extLst>
                <a:ext uri="{FF2B5EF4-FFF2-40B4-BE49-F238E27FC236}">
                  <a16:creationId xmlns:a16="http://schemas.microsoft.com/office/drawing/2014/main" id="{EF9F5BF9-81E4-7E03-004F-9B9EB1077694}"/>
                </a:ext>
              </a:extLst>
            </xdr:cNvPr>
            <xdr:cNvGraphicFramePr/>
          </xdr:nvGraphicFramePr>
          <xdr:xfrm>
            <a:off x="0" y="0"/>
            <a:ext cx="0" cy="0"/>
          </xdr:xfrm>
          <a:graphic>
            <a:graphicData uri="http://schemas.microsoft.com/office/drawing/2010/slicer">
              <sle:slicer xmlns:sle="http://schemas.microsoft.com/office/drawing/2010/slicer" name="DC 1"/>
            </a:graphicData>
          </a:graphic>
        </xdr:graphicFrame>
      </mc:Choice>
      <mc:Fallback xmlns="">
        <xdr:sp macro="" textlink="">
          <xdr:nvSpPr>
            <xdr:cNvPr id="0" name=""/>
            <xdr:cNvSpPr>
              <a:spLocks noTextEdit="1"/>
            </xdr:cNvSpPr>
          </xdr:nvSpPr>
          <xdr:spPr>
            <a:xfrm>
              <a:off x="7130063" y="20461302"/>
              <a:ext cx="1058674" cy="13506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37809</xdr:colOff>
      <xdr:row>101</xdr:row>
      <xdr:rowOff>151885</xdr:rowOff>
    </xdr:from>
    <xdr:to>
      <xdr:col>14</xdr:col>
      <xdr:colOff>93172</xdr:colOff>
      <xdr:row>108</xdr:row>
      <xdr:rowOff>118135</xdr:rowOff>
    </xdr:to>
    <mc:AlternateContent xmlns:mc="http://schemas.openxmlformats.org/markup-compatibility/2006" xmlns:a14="http://schemas.microsoft.com/office/drawing/2010/main">
      <mc:Choice Requires="a14">
        <xdr:graphicFrame macro="">
          <xdr:nvGraphicFramePr>
            <xdr:cNvPr id="139" name="Kích thước 3">
              <a:extLst>
                <a:ext uri="{FF2B5EF4-FFF2-40B4-BE49-F238E27FC236}">
                  <a16:creationId xmlns:a16="http://schemas.microsoft.com/office/drawing/2014/main" id="{DB394060-79B3-9717-0652-FC10DA18B2EB}"/>
                </a:ext>
              </a:extLst>
            </xdr:cNvPr>
            <xdr:cNvGraphicFramePr/>
          </xdr:nvGraphicFramePr>
          <xdr:xfrm>
            <a:off x="0" y="0"/>
            <a:ext cx="0" cy="0"/>
          </xdr:xfrm>
          <a:graphic>
            <a:graphicData uri="http://schemas.microsoft.com/office/drawing/2010/slicer">
              <sle:slicer xmlns:sle="http://schemas.microsoft.com/office/drawing/2010/slicer" name="Kích thước 3"/>
            </a:graphicData>
          </a:graphic>
        </xdr:graphicFrame>
      </mc:Choice>
      <mc:Fallback xmlns="">
        <xdr:sp macro="" textlink="">
          <xdr:nvSpPr>
            <xdr:cNvPr id="0" name=""/>
            <xdr:cNvSpPr>
              <a:spLocks noTextEdit="1"/>
            </xdr:cNvSpPr>
          </xdr:nvSpPr>
          <xdr:spPr>
            <a:xfrm>
              <a:off x="8165809" y="20461302"/>
              <a:ext cx="1410030" cy="13738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61778</xdr:colOff>
      <xdr:row>101</xdr:row>
      <xdr:rowOff>143417</xdr:rowOff>
    </xdr:from>
    <xdr:to>
      <xdr:col>16</xdr:col>
      <xdr:colOff>176388</xdr:colOff>
      <xdr:row>109</xdr:row>
      <xdr:rowOff>63499</xdr:rowOff>
    </xdr:to>
    <mc:AlternateContent xmlns:mc="http://schemas.openxmlformats.org/markup-compatibility/2006" xmlns:a14="http://schemas.microsoft.com/office/drawing/2010/main">
      <mc:Choice Requires="a14">
        <xdr:graphicFrame macro="">
          <xdr:nvGraphicFramePr>
            <xdr:cNvPr id="141" name="Tên than">
              <a:extLst>
                <a:ext uri="{FF2B5EF4-FFF2-40B4-BE49-F238E27FC236}">
                  <a16:creationId xmlns:a16="http://schemas.microsoft.com/office/drawing/2014/main" id="{FA2A1FBD-44E8-CC98-50B6-609EC271300A}"/>
                </a:ext>
              </a:extLst>
            </xdr:cNvPr>
            <xdr:cNvGraphicFramePr/>
          </xdr:nvGraphicFramePr>
          <xdr:xfrm>
            <a:off x="0" y="0"/>
            <a:ext cx="0" cy="0"/>
          </xdr:xfrm>
          <a:graphic>
            <a:graphicData uri="http://schemas.microsoft.com/office/drawing/2010/slicer">
              <sle:slicer xmlns:sle="http://schemas.microsoft.com/office/drawing/2010/slicer" name="Tên than"/>
            </a:graphicData>
          </a:graphic>
        </xdr:graphicFrame>
      </mc:Choice>
      <mc:Fallback xmlns="">
        <xdr:sp macro="" textlink="">
          <xdr:nvSpPr>
            <xdr:cNvPr id="0" name=""/>
            <xdr:cNvSpPr>
              <a:spLocks noTextEdit="1"/>
            </xdr:cNvSpPr>
          </xdr:nvSpPr>
          <xdr:spPr>
            <a:xfrm>
              <a:off x="9544446" y="20666618"/>
              <a:ext cx="1367271" cy="13349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8733</xdr:colOff>
      <xdr:row>63</xdr:row>
      <xdr:rowOff>20546</xdr:rowOff>
    </xdr:from>
    <xdr:to>
      <xdr:col>16</xdr:col>
      <xdr:colOff>311916</xdr:colOff>
      <xdr:row>98</xdr:row>
      <xdr:rowOff>181010</xdr:rowOff>
    </xdr:to>
    <xdr:grpSp>
      <xdr:nvGrpSpPr>
        <xdr:cNvPr id="144" name="Group 143">
          <a:extLst>
            <a:ext uri="{FF2B5EF4-FFF2-40B4-BE49-F238E27FC236}">
              <a16:creationId xmlns:a16="http://schemas.microsoft.com/office/drawing/2014/main" id="{B5335F8D-E05F-BE64-86C0-296296389972}"/>
            </a:ext>
          </a:extLst>
        </xdr:cNvPr>
        <xdr:cNvGrpSpPr/>
      </xdr:nvGrpSpPr>
      <xdr:grpSpPr>
        <a:xfrm>
          <a:off x="8733" y="12945238"/>
          <a:ext cx="12338875" cy="7340849"/>
          <a:chOff x="5448" y="11815854"/>
          <a:chExt cx="11139786" cy="7202395"/>
        </a:xfrm>
      </xdr:grpSpPr>
      <xdr:sp macro="" textlink="">
        <xdr:nvSpPr>
          <xdr:cNvPr id="83" name="Rectangle: Top Corners Rounded 82">
            <a:extLst>
              <a:ext uri="{FF2B5EF4-FFF2-40B4-BE49-F238E27FC236}">
                <a16:creationId xmlns:a16="http://schemas.microsoft.com/office/drawing/2014/main" id="{E78C4D34-61BE-797D-A549-BBCE4E5A605F}"/>
              </a:ext>
            </a:extLst>
          </xdr:cNvPr>
          <xdr:cNvSpPr/>
        </xdr:nvSpPr>
        <xdr:spPr>
          <a:xfrm rot="10800000">
            <a:off x="59764" y="12137955"/>
            <a:ext cx="11085470" cy="6880294"/>
          </a:xfrm>
          <a:prstGeom prst="round2SameRect">
            <a:avLst>
              <a:gd name="adj1" fmla="val 2343"/>
              <a:gd name="adj2" fmla="val 0"/>
            </a:avLst>
          </a:prstGeom>
          <a:solidFill>
            <a:srgbClr val="E3EDE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4" name="TextBox 83">
            <a:extLst>
              <a:ext uri="{FF2B5EF4-FFF2-40B4-BE49-F238E27FC236}">
                <a16:creationId xmlns:a16="http://schemas.microsoft.com/office/drawing/2014/main" id="{671E171C-B78C-8500-3773-23BB4F706FE4}"/>
              </a:ext>
            </a:extLst>
          </xdr:cNvPr>
          <xdr:cNvSpPr txBox="1"/>
        </xdr:nvSpPr>
        <xdr:spPr>
          <a:xfrm>
            <a:off x="5448" y="11815854"/>
            <a:ext cx="6871985" cy="3516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PHẦN</a:t>
            </a:r>
            <a:r>
              <a:rPr lang="en-US" sz="1400" b="1" baseline="0">
                <a:solidFill>
                  <a:schemeClr val="bg1"/>
                </a:solidFill>
              </a:rPr>
              <a:t> III: </a:t>
            </a:r>
            <a:r>
              <a:rPr lang="vi-VN" sz="1400" b="1" baseline="0">
                <a:solidFill>
                  <a:schemeClr val="bg1"/>
                </a:solidFill>
              </a:rPr>
              <a:t>TIÊU HAO VẬT TƯ</a:t>
            </a:r>
            <a:endParaRPr lang="en-US" sz="1400" b="1" baseline="0">
              <a:solidFill>
                <a:schemeClr val="bg1"/>
              </a:solidFill>
            </a:endParaRPr>
          </a:p>
        </xdr:txBody>
      </xdr:sp>
      <xdr:sp macro="" textlink="">
        <xdr:nvSpPr>
          <xdr:cNvPr id="86" name="Rectangle: Rounded Corners 85">
            <a:extLst>
              <a:ext uri="{FF2B5EF4-FFF2-40B4-BE49-F238E27FC236}">
                <a16:creationId xmlns:a16="http://schemas.microsoft.com/office/drawing/2014/main" id="{B92C6F85-3898-52C0-1FF2-F9753DF1ED1F}"/>
              </a:ext>
            </a:extLst>
          </xdr:cNvPr>
          <xdr:cNvSpPr/>
        </xdr:nvSpPr>
        <xdr:spPr>
          <a:xfrm>
            <a:off x="157711" y="15592238"/>
            <a:ext cx="7506491" cy="3187098"/>
          </a:xfrm>
          <a:prstGeom prst="roundRect">
            <a:avLst>
              <a:gd name="adj" fmla="val 3619"/>
            </a:avLst>
          </a:prstGeom>
          <a:solidFill>
            <a:schemeClr val="bg1"/>
          </a:solidFill>
          <a:ln>
            <a:noFill/>
          </a:ln>
          <a:effectLst>
            <a:outerShdw blurRad="139700" dist="38100" dir="2700000" algn="tl" rotWithShape="0">
              <a:prstClr val="black">
                <a:alpha val="2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85" name="Chart 84">
            <a:extLst>
              <a:ext uri="{FF2B5EF4-FFF2-40B4-BE49-F238E27FC236}">
                <a16:creationId xmlns:a16="http://schemas.microsoft.com/office/drawing/2014/main" id="{40C6A16D-31E0-49B7-8B6C-991C0D3D81B2}"/>
              </a:ext>
            </a:extLst>
          </xdr:cNvPr>
          <xdr:cNvGraphicFramePr>
            <a:graphicFrameLocks/>
          </xdr:cNvGraphicFramePr>
        </xdr:nvGraphicFramePr>
        <xdr:xfrm>
          <a:off x="198593" y="15872512"/>
          <a:ext cx="7405844" cy="2934072"/>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87" name="TextBox 86">
            <a:extLst>
              <a:ext uri="{FF2B5EF4-FFF2-40B4-BE49-F238E27FC236}">
                <a16:creationId xmlns:a16="http://schemas.microsoft.com/office/drawing/2014/main" id="{8D6821BB-B777-5E8D-FE1D-FB413FA603A0}"/>
              </a:ext>
            </a:extLst>
          </xdr:cNvPr>
          <xdr:cNvSpPr txBox="1"/>
        </xdr:nvSpPr>
        <xdr:spPr>
          <a:xfrm>
            <a:off x="194597" y="15595906"/>
            <a:ext cx="3304004" cy="316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rgbClr val="415853"/>
                </a:solidFill>
              </a:rPr>
              <a:t>Tăng giảm tiêu hao thực tế so với định mức (Kg)</a:t>
            </a:r>
          </a:p>
        </xdr:txBody>
      </xdr:sp>
      <xdr:sp macro="" textlink="">
        <xdr:nvSpPr>
          <xdr:cNvPr id="88" name="Rectangle: Rounded Corners 87">
            <a:extLst>
              <a:ext uri="{FF2B5EF4-FFF2-40B4-BE49-F238E27FC236}">
                <a16:creationId xmlns:a16="http://schemas.microsoft.com/office/drawing/2014/main" id="{B8B594F0-EC47-96FF-CF74-998E5C5C7387}"/>
              </a:ext>
            </a:extLst>
          </xdr:cNvPr>
          <xdr:cNvSpPr/>
        </xdr:nvSpPr>
        <xdr:spPr>
          <a:xfrm>
            <a:off x="7758206" y="13176250"/>
            <a:ext cx="3289548" cy="5606055"/>
          </a:xfrm>
          <a:prstGeom prst="roundRect">
            <a:avLst>
              <a:gd name="adj" fmla="val 3619"/>
            </a:avLst>
          </a:prstGeom>
          <a:solidFill>
            <a:schemeClr val="bg1"/>
          </a:solidFill>
          <a:ln>
            <a:noFill/>
          </a:ln>
          <a:effectLst>
            <a:outerShdw blurRad="139700" dist="38100" dir="2700000" algn="tl" rotWithShape="0">
              <a:prstClr val="black">
                <a:alpha val="2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89" name="Tháng 2">
                <a:extLst>
                  <a:ext uri="{FF2B5EF4-FFF2-40B4-BE49-F238E27FC236}">
                    <a16:creationId xmlns:a16="http://schemas.microsoft.com/office/drawing/2014/main" id="{C89937A6-839D-437B-1EC9-843391ED8337}"/>
                  </a:ext>
                </a:extLst>
              </xdr:cNvPr>
              <xdr:cNvGraphicFramePr/>
            </xdr:nvGraphicFramePr>
            <xdr:xfrm>
              <a:off x="7817225" y="13270381"/>
              <a:ext cx="1542176" cy="1902384"/>
            </xdr:xfrm>
            <a:graphic>
              <a:graphicData uri="http://schemas.microsoft.com/office/drawing/2010/slicer">
                <sle:slicer xmlns:sle="http://schemas.microsoft.com/office/drawing/2010/slicer" name="Tháng 2"/>
              </a:graphicData>
            </a:graphic>
          </xdr:graphicFrame>
        </mc:Choice>
        <mc:Fallback xmlns="">
          <xdr:sp macro="" textlink="">
            <xdr:nvSpPr>
              <xdr:cNvPr id="0" name=""/>
              <xdr:cNvSpPr>
                <a:spLocks noTextEdit="1"/>
              </xdr:cNvSpPr>
            </xdr:nvSpPr>
            <xdr:spPr>
              <a:xfrm>
                <a:off x="7714561" y="13861233"/>
                <a:ext cx="1521260" cy="18642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90" name="DC">
                <a:extLst>
                  <a:ext uri="{FF2B5EF4-FFF2-40B4-BE49-F238E27FC236}">
                    <a16:creationId xmlns:a16="http://schemas.microsoft.com/office/drawing/2014/main" id="{C906D117-1003-E92B-EC21-5EBAA95CCAA4}"/>
                  </a:ext>
                </a:extLst>
              </xdr:cNvPr>
              <xdr:cNvGraphicFramePr/>
            </xdr:nvGraphicFramePr>
            <xdr:xfrm>
              <a:off x="9351930" y="13261041"/>
              <a:ext cx="1651001" cy="1002804"/>
            </xdr:xfrm>
            <a:graphic>
              <a:graphicData uri="http://schemas.microsoft.com/office/drawing/2010/slicer">
                <sle:slicer xmlns:sle="http://schemas.microsoft.com/office/drawing/2010/slicer" name="DC"/>
              </a:graphicData>
            </a:graphic>
          </xdr:graphicFrame>
        </mc:Choice>
        <mc:Fallback xmlns="">
          <xdr:sp macro="" textlink="">
            <xdr:nvSpPr>
              <xdr:cNvPr id="0" name=""/>
              <xdr:cNvSpPr>
                <a:spLocks noTextEdit="1"/>
              </xdr:cNvSpPr>
            </xdr:nvSpPr>
            <xdr:spPr>
              <a:xfrm>
                <a:off x="9228451" y="13852080"/>
                <a:ext cx="1628609" cy="9826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92" name="Nguyên liệu, vật tư">
                <a:extLst>
                  <a:ext uri="{FF2B5EF4-FFF2-40B4-BE49-F238E27FC236}">
                    <a16:creationId xmlns:a16="http://schemas.microsoft.com/office/drawing/2014/main" id="{917CCFB7-D804-161D-646F-E40BDA48A9CA}"/>
                  </a:ext>
                </a:extLst>
              </xdr:cNvPr>
              <xdr:cNvGraphicFramePr/>
            </xdr:nvGraphicFramePr>
            <xdr:xfrm>
              <a:off x="7839636" y="15303500"/>
              <a:ext cx="3178236" cy="3411569"/>
            </xdr:xfrm>
            <a:graphic>
              <a:graphicData uri="http://schemas.microsoft.com/office/drawing/2010/slicer">
                <sle:slicer xmlns:sle="http://schemas.microsoft.com/office/drawing/2010/slicer" name="Nguyên liệu, vật tư"/>
              </a:graphicData>
            </a:graphic>
          </xdr:graphicFrame>
        </mc:Choice>
        <mc:Fallback xmlns="">
          <xdr:sp macro="" textlink="">
            <xdr:nvSpPr>
              <xdr:cNvPr id="0" name=""/>
              <xdr:cNvSpPr>
                <a:spLocks noTextEdit="1"/>
              </xdr:cNvSpPr>
            </xdr:nvSpPr>
            <xdr:spPr>
              <a:xfrm>
                <a:off x="7736668" y="15853557"/>
                <a:ext cx="3135130" cy="33431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93" name="Kích thước 2">
                <a:extLst>
                  <a:ext uri="{FF2B5EF4-FFF2-40B4-BE49-F238E27FC236}">
                    <a16:creationId xmlns:a16="http://schemas.microsoft.com/office/drawing/2014/main" id="{0DA335D0-A4B8-C89D-85F1-11DFA306E9A4}"/>
                  </a:ext>
                </a:extLst>
              </xdr:cNvPr>
              <xdr:cNvGraphicFramePr/>
            </xdr:nvGraphicFramePr>
            <xdr:xfrm>
              <a:off x="9362514" y="14254134"/>
              <a:ext cx="1658845" cy="985866"/>
            </xdr:xfrm>
            <a:graphic>
              <a:graphicData uri="http://schemas.microsoft.com/office/drawing/2010/slicer">
                <sle:slicer xmlns:sle="http://schemas.microsoft.com/office/drawing/2010/slicer" name="Kích thước 2"/>
              </a:graphicData>
            </a:graphic>
          </xdr:graphicFrame>
        </mc:Choice>
        <mc:Fallback xmlns="">
          <xdr:sp macro="" textlink="">
            <xdr:nvSpPr>
              <xdr:cNvPr id="0" name=""/>
              <xdr:cNvSpPr>
                <a:spLocks noTextEdit="1"/>
              </xdr:cNvSpPr>
            </xdr:nvSpPr>
            <xdr:spPr>
              <a:xfrm>
                <a:off x="9238892" y="14825247"/>
                <a:ext cx="1636347" cy="9660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111" name="Rectangle: Rounded Corners 110">
            <a:extLst>
              <a:ext uri="{FF2B5EF4-FFF2-40B4-BE49-F238E27FC236}">
                <a16:creationId xmlns:a16="http://schemas.microsoft.com/office/drawing/2014/main" id="{23722A79-A26C-3914-25CC-9B8022256509}"/>
              </a:ext>
            </a:extLst>
          </xdr:cNvPr>
          <xdr:cNvSpPr/>
        </xdr:nvSpPr>
        <xdr:spPr>
          <a:xfrm>
            <a:off x="151361" y="12262722"/>
            <a:ext cx="7506491" cy="3187098"/>
          </a:xfrm>
          <a:prstGeom prst="roundRect">
            <a:avLst>
              <a:gd name="adj" fmla="val 3619"/>
            </a:avLst>
          </a:prstGeom>
          <a:solidFill>
            <a:schemeClr val="bg1"/>
          </a:solidFill>
          <a:ln>
            <a:noFill/>
          </a:ln>
          <a:effectLst>
            <a:outerShdw blurRad="139700" dist="38100" dir="2700000" algn="tl" rotWithShape="0">
              <a:prstClr val="black">
                <a:alpha val="2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3" name="TextBox 112">
            <a:extLst>
              <a:ext uri="{FF2B5EF4-FFF2-40B4-BE49-F238E27FC236}">
                <a16:creationId xmlns:a16="http://schemas.microsoft.com/office/drawing/2014/main" id="{A6A14036-0717-9C7C-462E-57F3D2181C7C}"/>
              </a:ext>
            </a:extLst>
          </xdr:cNvPr>
          <xdr:cNvSpPr txBox="1"/>
        </xdr:nvSpPr>
        <xdr:spPr>
          <a:xfrm>
            <a:off x="188247" y="12266390"/>
            <a:ext cx="3304004" cy="316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rgbClr val="415853"/>
                </a:solidFill>
              </a:rPr>
              <a:t>Định mức và thực tế tiêu hao trung bình (%)</a:t>
            </a:r>
          </a:p>
        </xdr:txBody>
      </xdr:sp>
      <xdr:graphicFrame macro="">
        <xdr:nvGraphicFramePr>
          <xdr:cNvPr id="57" name="Chart 56">
            <a:extLst>
              <a:ext uri="{FF2B5EF4-FFF2-40B4-BE49-F238E27FC236}">
                <a16:creationId xmlns:a16="http://schemas.microsoft.com/office/drawing/2014/main" id="{8523085B-56A2-4F40-8C4E-CFE4E63CE02E}"/>
              </a:ext>
            </a:extLst>
          </xdr:cNvPr>
          <xdr:cNvGraphicFramePr>
            <a:graphicFrameLocks/>
          </xdr:cNvGraphicFramePr>
        </xdr:nvGraphicFramePr>
        <xdr:xfrm>
          <a:off x="148167" y="12551833"/>
          <a:ext cx="7461249" cy="2857500"/>
        </xdr:xfrm>
        <a:graphic>
          <a:graphicData uri="http://schemas.openxmlformats.org/drawingml/2006/chart">
            <c:chart xmlns:c="http://schemas.openxmlformats.org/drawingml/2006/chart" xmlns:r="http://schemas.openxmlformats.org/officeDocument/2006/relationships" r:id="rId10"/>
          </a:graphicData>
        </a:graphic>
      </xdr:graphicFrame>
      <xdr:sp macro="" textlink="">
        <xdr:nvSpPr>
          <xdr:cNvPr id="114" name="Rectangle: Rounded Corners 113">
            <a:extLst>
              <a:ext uri="{FF2B5EF4-FFF2-40B4-BE49-F238E27FC236}">
                <a16:creationId xmlns:a16="http://schemas.microsoft.com/office/drawing/2014/main" id="{823F600D-C7A6-E9C3-6AF2-A3C909F9CEEE}"/>
              </a:ext>
            </a:extLst>
          </xdr:cNvPr>
          <xdr:cNvSpPr/>
        </xdr:nvSpPr>
        <xdr:spPr>
          <a:xfrm>
            <a:off x="7782125" y="12256865"/>
            <a:ext cx="1605291" cy="810225"/>
          </a:xfrm>
          <a:prstGeom prst="roundRect">
            <a:avLst/>
          </a:prstGeom>
          <a:solidFill>
            <a:schemeClr val="bg1"/>
          </a:solidFill>
          <a:ln>
            <a:noFill/>
          </a:ln>
          <a:effectLst>
            <a:outerShdw blurRad="139700" dist="38100" dir="2700000" algn="tl" rotWithShape="0">
              <a:prstClr val="black">
                <a:alpha val="2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5" name="TextBox 114">
            <a:extLst>
              <a:ext uri="{FF2B5EF4-FFF2-40B4-BE49-F238E27FC236}">
                <a16:creationId xmlns:a16="http://schemas.microsoft.com/office/drawing/2014/main" id="{5C8ADB6C-F350-FA60-8E49-7FA83B0BBB14}"/>
              </a:ext>
            </a:extLst>
          </xdr:cNvPr>
          <xdr:cNvSpPr txBox="1"/>
        </xdr:nvSpPr>
        <xdr:spPr>
          <a:xfrm>
            <a:off x="7849317" y="12264644"/>
            <a:ext cx="1560201" cy="2834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rgbClr val="415853"/>
                </a:solidFill>
              </a:rPr>
              <a:t>Định mức trung bình</a:t>
            </a:r>
          </a:p>
        </xdr:txBody>
      </xdr:sp>
      <xdr:sp macro="" textlink="Pivot!$AG$6">
        <xdr:nvSpPr>
          <xdr:cNvPr id="116" name="TextBox 115">
            <a:extLst>
              <a:ext uri="{FF2B5EF4-FFF2-40B4-BE49-F238E27FC236}">
                <a16:creationId xmlns:a16="http://schemas.microsoft.com/office/drawing/2014/main" id="{FD10DC88-8C87-A673-A13C-B3A1B7AC9792}"/>
              </a:ext>
            </a:extLst>
          </xdr:cNvPr>
          <xdr:cNvSpPr txBox="1"/>
        </xdr:nvSpPr>
        <xdr:spPr>
          <a:xfrm>
            <a:off x="8026398" y="12595562"/>
            <a:ext cx="1261896" cy="290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1691B5EF-291B-45E2-B529-19001489C192}" type="TxLink">
              <a:rPr lang="en-US" sz="1800" b="1" i="0" u="none" strike="noStrike" baseline="0">
                <a:solidFill>
                  <a:srgbClr val="415853"/>
                </a:solidFill>
                <a:latin typeface="Calibri"/>
                <a:ea typeface="Calibri"/>
                <a:cs typeface="Calibri"/>
              </a:rPr>
              <a:pPr algn="r"/>
              <a:t>19,040</a:t>
            </a:fld>
            <a:endParaRPr lang="en-US" sz="19900" b="1" baseline="0">
              <a:solidFill>
                <a:srgbClr val="415853"/>
              </a:solidFill>
            </a:endParaRPr>
          </a:p>
        </xdr:txBody>
      </xdr:sp>
      <xdr:sp macro="" textlink="">
        <xdr:nvSpPr>
          <xdr:cNvPr id="132" name="Rectangle: Rounded Corners 131">
            <a:extLst>
              <a:ext uri="{FF2B5EF4-FFF2-40B4-BE49-F238E27FC236}">
                <a16:creationId xmlns:a16="http://schemas.microsoft.com/office/drawing/2014/main" id="{09F3A5C6-E110-251C-BA59-72ECD36861A1}"/>
              </a:ext>
            </a:extLst>
          </xdr:cNvPr>
          <xdr:cNvSpPr/>
        </xdr:nvSpPr>
        <xdr:spPr>
          <a:xfrm>
            <a:off x="9469109" y="12250515"/>
            <a:ext cx="1605291" cy="810225"/>
          </a:xfrm>
          <a:prstGeom prst="roundRect">
            <a:avLst/>
          </a:prstGeom>
          <a:solidFill>
            <a:schemeClr val="bg1"/>
          </a:solidFill>
          <a:ln>
            <a:noFill/>
          </a:ln>
          <a:effectLst>
            <a:outerShdw blurRad="139700" dist="38100" dir="2700000" algn="tl" rotWithShape="0">
              <a:prstClr val="black">
                <a:alpha val="2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0" name="TextBox 139">
            <a:extLst>
              <a:ext uri="{FF2B5EF4-FFF2-40B4-BE49-F238E27FC236}">
                <a16:creationId xmlns:a16="http://schemas.microsoft.com/office/drawing/2014/main" id="{DE2A1EDF-FFBF-A5C2-551A-50E93B269572}"/>
              </a:ext>
            </a:extLst>
          </xdr:cNvPr>
          <xdr:cNvSpPr txBox="1"/>
        </xdr:nvSpPr>
        <xdr:spPr>
          <a:xfrm>
            <a:off x="9536302" y="12258294"/>
            <a:ext cx="1378318" cy="2626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rgbClr val="415853"/>
                </a:solidFill>
              </a:rPr>
              <a:t>Thực tế trung bình</a:t>
            </a:r>
          </a:p>
        </xdr:txBody>
      </xdr:sp>
      <xdr:sp macro="" textlink="Pivot!$AG$9">
        <xdr:nvSpPr>
          <xdr:cNvPr id="142" name="TextBox 141">
            <a:extLst>
              <a:ext uri="{FF2B5EF4-FFF2-40B4-BE49-F238E27FC236}">
                <a16:creationId xmlns:a16="http://schemas.microsoft.com/office/drawing/2014/main" id="{75DE334E-CC8F-C6E8-8B64-A366DFF47BC3}"/>
              </a:ext>
            </a:extLst>
          </xdr:cNvPr>
          <xdr:cNvSpPr txBox="1"/>
        </xdr:nvSpPr>
        <xdr:spPr>
          <a:xfrm>
            <a:off x="9713382" y="12589212"/>
            <a:ext cx="1261896" cy="283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DB81C447-FB06-42C4-8776-B04D2C6EEBB5}" type="TxLink">
              <a:rPr lang="en-US" sz="1800" b="1" i="0" u="none" strike="noStrike" baseline="0">
                <a:solidFill>
                  <a:srgbClr val="415853"/>
                </a:solidFill>
                <a:latin typeface="Calibri"/>
                <a:ea typeface="Calibri"/>
                <a:cs typeface="Calibri"/>
              </a:rPr>
              <a:pPr algn="r"/>
              <a:t> 18,440 </a:t>
            </a:fld>
            <a:endParaRPr lang="en-US" sz="19900" b="1" baseline="0">
              <a:solidFill>
                <a:srgbClr val="415853"/>
              </a:solidFill>
            </a:endParaRPr>
          </a:p>
        </xdr:txBody>
      </xdr:sp>
    </xdr:grpSp>
    <xdr:clientData/>
  </xdr:twoCellAnchor>
  <xdr:twoCellAnchor>
    <xdr:from>
      <xdr:col>8</xdr:col>
      <xdr:colOff>240531</xdr:colOff>
      <xdr:row>21</xdr:row>
      <xdr:rowOff>77214</xdr:rowOff>
    </xdr:from>
    <xdr:to>
      <xdr:col>16</xdr:col>
      <xdr:colOff>181506</xdr:colOff>
      <xdr:row>35</xdr:row>
      <xdr:rowOff>31750</xdr:rowOff>
    </xdr:to>
    <xdr:sp macro="" textlink="">
      <xdr:nvSpPr>
        <xdr:cNvPr id="152" name="Rectangle: Rounded Corners 151">
          <a:extLst>
            <a:ext uri="{FF2B5EF4-FFF2-40B4-BE49-F238E27FC236}">
              <a16:creationId xmlns:a16="http://schemas.microsoft.com/office/drawing/2014/main" id="{F884586A-7005-E7D4-F214-3DD166E54BB0}"/>
            </a:ext>
          </a:extLst>
        </xdr:cNvPr>
        <xdr:cNvSpPr/>
      </xdr:nvSpPr>
      <xdr:spPr>
        <a:xfrm>
          <a:off x="5628410" y="4118123"/>
          <a:ext cx="5328854" cy="2648475"/>
        </a:xfrm>
        <a:prstGeom prst="roundRect">
          <a:avLst>
            <a:gd name="adj" fmla="val 6987"/>
          </a:avLst>
        </a:prstGeom>
        <a:solidFill>
          <a:schemeClr val="bg1"/>
        </a:solidFill>
        <a:ln>
          <a:noFill/>
        </a:ln>
        <a:effectLst>
          <a:outerShdw blurRad="139700" dist="38100" dir="2700000" algn="tl" rotWithShape="0">
            <a:prstClr val="black">
              <a:alpha val="2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336906</xdr:colOff>
      <xdr:row>21</xdr:row>
      <xdr:rowOff>95677</xdr:rowOff>
    </xdr:from>
    <xdr:to>
      <xdr:col>13</xdr:col>
      <xdr:colOff>275408</xdr:colOff>
      <xdr:row>23</xdr:row>
      <xdr:rowOff>31406</xdr:rowOff>
    </xdr:to>
    <xdr:sp macro="" textlink="">
      <xdr:nvSpPr>
        <xdr:cNvPr id="153" name="TextBox 152">
          <a:extLst>
            <a:ext uri="{FF2B5EF4-FFF2-40B4-BE49-F238E27FC236}">
              <a16:creationId xmlns:a16="http://schemas.microsoft.com/office/drawing/2014/main" id="{6A941C17-4FB0-F93C-B64E-B7EFCB79AFD8}"/>
            </a:ext>
          </a:extLst>
        </xdr:cNvPr>
        <xdr:cNvSpPr txBox="1"/>
      </xdr:nvSpPr>
      <xdr:spPr>
        <a:xfrm>
          <a:off x="5724785" y="4136586"/>
          <a:ext cx="3305926" cy="3205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rgbClr val="415853"/>
              </a:solidFill>
            </a:rPr>
            <a:t>Chất lượng sản lượng: Kế hoạch (%) Tổng A1-A-B</a:t>
          </a:r>
        </a:p>
      </xdr:txBody>
    </xdr:sp>
    <xdr:clientData/>
  </xdr:twoCellAnchor>
  <xdr:twoCellAnchor>
    <xdr:from>
      <xdr:col>7</xdr:col>
      <xdr:colOff>380423</xdr:colOff>
      <xdr:row>22</xdr:row>
      <xdr:rowOff>115454</xdr:rowOff>
    </xdr:from>
    <xdr:to>
      <xdr:col>12</xdr:col>
      <xdr:colOff>336744</xdr:colOff>
      <xdr:row>35</xdr:row>
      <xdr:rowOff>12506</xdr:rowOff>
    </xdr:to>
    <xdr:graphicFrame macro="">
      <xdr:nvGraphicFramePr>
        <xdr:cNvPr id="154" name="Chart 153">
          <a:extLst>
            <a:ext uri="{FF2B5EF4-FFF2-40B4-BE49-F238E27FC236}">
              <a16:creationId xmlns:a16="http://schemas.microsoft.com/office/drawing/2014/main" id="{E8FA5CE4-1585-400E-BC92-13D6376D1E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18026</xdr:colOff>
      <xdr:row>27</xdr:row>
      <xdr:rowOff>160324</xdr:rowOff>
    </xdr:from>
    <xdr:to>
      <xdr:col>10</xdr:col>
      <xdr:colOff>618231</xdr:colOff>
      <xdr:row>29</xdr:row>
      <xdr:rowOff>50905</xdr:rowOff>
    </xdr:to>
    <xdr:sp macro="" textlink="Pivot!$D$29">
      <xdr:nvSpPr>
        <xdr:cNvPr id="156" name="TextBox 155">
          <a:extLst>
            <a:ext uri="{FF2B5EF4-FFF2-40B4-BE49-F238E27FC236}">
              <a16:creationId xmlns:a16="http://schemas.microsoft.com/office/drawing/2014/main" id="{0B6C69CE-B03C-FD6F-0BBE-DC11FFDA20EB}"/>
            </a:ext>
          </a:extLst>
        </xdr:cNvPr>
        <xdr:cNvSpPr txBox="1"/>
      </xdr:nvSpPr>
      <xdr:spPr>
        <a:xfrm>
          <a:off x="6079390" y="5355779"/>
          <a:ext cx="1273689" cy="2754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C5657AA-D339-4D85-A85F-EC54CEF351F3}" type="TxLink">
            <a:rPr lang="en-US" sz="1800" b="1" i="0" u="none" strike="noStrike" baseline="0">
              <a:solidFill>
                <a:srgbClr val="415853"/>
              </a:solidFill>
              <a:latin typeface="Calibri"/>
              <a:ea typeface="Calibri"/>
              <a:cs typeface="Calibri"/>
            </a:rPr>
            <a:pPr algn="ctr"/>
            <a:t> 165.463 </a:t>
          </a:fld>
          <a:endParaRPr lang="en-US" sz="19900" b="1" baseline="0">
            <a:solidFill>
              <a:srgbClr val="415853"/>
            </a:solidFill>
          </a:endParaRPr>
        </a:p>
      </xdr:txBody>
    </xdr:sp>
    <xdr:clientData/>
  </xdr:twoCellAnchor>
  <xdr:twoCellAnchor>
    <xdr:from>
      <xdr:col>5</xdr:col>
      <xdr:colOff>635000</xdr:colOff>
      <xdr:row>23</xdr:row>
      <xdr:rowOff>30065</xdr:rowOff>
    </xdr:from>
    <xdr:to>
      <xdr:col>7</xdr:col>
      <xdr:colOff>625480</xdr:colOff>
      <xdr:row>26</xdr:row>
      <xdr:rowOff>93566</xdr:rowOff>
    </xdr:to>
    <xdr:sp macro="" textlink="">
      <xdr:nvSpPr>
        <xdr:cNvPr id="157" name="Rectangle: Rounded Corners 156">
          <a:extLst>
            <a:ext uri="{FF2B5EF4-FFF2-40B4-BE49-F238E27FC236}">
              <a16:creationId xmlns:a16="http://schemas.microsoft.com/office/drawing/2014/main" id="{4F8FC1F0-7654-1042-1829-B9011F395B59}"/>
            </a:ext>
          </a:extLst>
        </xdr:cNvPr>
        <xdr:cNvSpPr/>
      </xdr:nvSpPr>
      <xdr:spPr>
        <a:xfrm>
          <a:off x="4002424" y="4455823"/>
          <a:ext cx="1337450" cy="640773"/>
        </a:xfrm>
        <a:prstGeom prst="roundRect">
          <a:avLst/>
        </a:prstGeom>
        <a:solidFill>
          <a:srgbClr val="E8F1E3"/>
        </a:solidFill>
        <a:ln>
          <a:noFill/>
        </a:ln>
        <a:effectLst>
          <a:outerShdw blurRad="190500" dist="38100" dir="2700000" algn="tl"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646662</xdr:colOff>
      <xdr:row>23</xdr:row>
      <xdr:rowOff>48917</xdr:rowOff>
    </xdr:from>
    <xdr:to>
      <xdr:col>7</xdr:col>
      <xdr:colOff>581210</xdr:colOff>
      <xdr:row>24</xdr:row>
      <xdr:rowOff>110531</xdr:rowOff>
    </xdr:to>
    <xdr:sp macro="" textlink="">
      <xdr:nvSpPr>
        <xdr:cNvPr id="158" name="TextBox 157">
          <a:extLst>
            <a:ext uri="{FF2B5EF4-FFF2-40B4-BE49-F238E27FC236}">
              <a16:creationId xmlns:a16="http://schemas.microsoft.com/office/drawing/2014/main" id="{BA8D031B-2F66-8911-9E5C-7A738DB87259}"/>
            </a:ext>
          </a:extLst>
        </xdr:cNvPr>
        <xdr:cNvSpPr txBox="1"/>
      </xdr:nvSpPr>
      <xdr:spPr>
        <a:xfrm>
          <a:off x="4014086" y="4474675"/>
          <a:ext cx="1281518" cy="2540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rgbClr val="415853"/>
              </a:solidFill>
            </a:rPr>
            <a:t>Số ngày SX</a:t>
          </a:r>
        </a:p>
      </xdr:txBody>
    </xdr:sp>
    <xdr:clientData/>
  </xdr:twoCellAnchor>
  <xdr:twoCellAnchor>
    <xdr:from>
      <xdr:col>6</xdr:col>
      <xdr:colOff>55055</xdr:colOff>
      <xdr:row>24</xdr:row>
      <xdr:rowOff>104798</xdr:rowOff>
    </xdr:from>
    <xdr:to>
      <xdr:col>7</xdr:col>
      <xdr:colOff>554227</xdr:colOff>
      <xdr:row>25</xdr:row>
      <xdr:rowOff>185301</xdr:rowOff>
    </xdr:to>
    <xdr:sp macro="" textlink="Pivot!$A$40">
      <xdr:nvSpPr>
        <xdr:cNvPr id="159" name="TextBox 158">
          <a:extLst>
            <a:ext uri="{FF2B5EF4-FFF2-40B4-BE49-F238E27FC236}">
              <a16:creationId xmlns:a16="http://schemas.microsoft.com/office/drawing/2014/main" id="{89C669C7-45D5-BD35-47A6-0E292CAB312C}"/>
            </a:ext>
          </a:extLst>
        </xdr:cNvPr>
        <xdr:cNvSpPr txBox="1"/>
      </xdr:nvSpPr>
      <xdr:spPr>
        <a:xfrm>
          <a:off x="4095964" y="4722980"/>
          <a:ext cx="1172657" cy="2729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235D8C5B-6143-4D13-8385-BAF525E51A19}" type="TxLink">
            <a:rPr lang="en-US" sz="1200" b="1" i="0" u="none" strike="noStrike" baseline="0">
              <a:solidFill>
                <a:srgbClr val="415853"/>
              </a:solidFill>
              <a:latin typeface="Calibri"/>
              <a:ea typeface="Calibri"/>
              <a:cs typeface="Calibri"/>
            </a:rPr>
            <a:pPr algn="r"/>
            <a:t> 12,00 </a:t>
          </a:fld>
          <a:endParaRPr lang="en-US" sz="1200" b="1" baseline="0">
            <a:solidFill>
              <a:srgbClr val="415853"/>
            </a:solidFill>
          </a:endParaRPr>
        </a:p>
      </xdr:txBody>
    </xdr:sp>
    <xdr:clientData/>
  </xdr:twoCellAnchor>
  <xdr:twoCellAnchor>
    <xdr:from>
      <xdr:col>5</xdr:col>
      <xdr:colOff>635000</xdr:colOff>
      <xdr:row>27</xdr:row>
      <xdr:rowOff>19746</xdr:rowOff>
    </xdr:from>
    <xdr:to>
      <xdr:col>7</xdr:col>
      <xdr:colOff>625480</xdr:colOff>
      <xdr:row>30</xdr:row>
      <xdr:rowOff>83247</xdr:rowOff>
    </xdr:to>
    <xdr:sp macro="" textlink="">
      <xdr:nvSpPr>
        <xdr:cNvPr id="36" name="Rectangle: Rounded Corners 35">
          <a:extLst>
            <a:ext uri="{FF2B5EF4-FFF2-40B4-BE49-F238E27FC236}">
              <a16:creationId xmlns:a16="http://schemas.microsoft.com/office/drawing/2014/main" id="{5C9E7E9F-72E3-53FA-1377-48F5B55B4BFA}"/>
            </a:ext>
          </a:extLst>
        </xdr:cNvPr>
        <xdr:cNvSpPr/>
      </xdr:nvSpPr>
      <xdr:spPr>
        <a:xfrm>
          <a:off x="4002424" y="5215201"/>
          <a:ext cx="1337450" cy="640773"/>
        </a:xfrm>
        <a:prstGeom prst="roundRect">
          <a:avLst/>
        </a:prstGeom>
        <a:solidFill>
          <a:srgbClr val="E8F1E3"/>
        </a:solidFill>
        <a:ln>
          <a:noFill/>
        </a:ln>
        <a:effectLst>
          <a:outerShdw blurRad="190500" dist="38100" dir="2700000" algn="tl"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648249</xdr:colOff>
      <xdr:row>27</xdr:row>
      <xdr:rowOff>58441</xdr:rowOff>
    </xdr:from>
    <xdr:to>
      <xdr:col>7</xdr:col>
      <xdr:colOff>582797</xdr:colOff>
      <xdr:row>28</xdr:row>
      <xdr:rowOff>120055</xdr:rowOff>
    </xdr:to>
    <xdr:sp macro="" textlink="">
      <xdr:nvSpPr>
        <xdr:cNvPr id="37" name="TextBox 36">
          <a:extLst>
            <a:ext uri="{FF2B5EF4-FFF2-40B4-BE49-F238E27FC236}">
              <a16:creationId xmlns:a16="http://schemas.microsoft.com/office/drawing/2014/main" id="{CE9CBF1C-DC21-B851-AD4F-DE5E2E6ED7FE}"/>
            </a:ext>
          </a:extLst>
        </xdr:cNvPr>
        <xdr:cNvSpPr txBox="1"/>
      </xdr:nvSpPr>
      <xdr:spPr>
        <a:xfrm>
          <a:off x="4015673" y="5253896"/>
          <a:ext cx="1281518" cy="2540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rgbClr val="415853"/>
              </a:solidFill>
            </a:rPr>
            <a:t>TB/ ngày </a:t>
          </a:r>
        </a:p>
      </xdr:txBody>
    </xdr:sp>
    <xdr:clientData/>
  </xdr:twoCellAnchor>
  <xdr:twoCellAnchor>
    <xdr:from>
      <xdr:col>5</xdr:col>
      <xdr:colOff>635000</xdr:colOff>
      <xdr:row>31</xdr:row>
      <xdr:rowOff>9427</xdr:rowOff>
    </xdr:from>
    <xdr:to>
      <xdr:col>7</xdr:col>
      <xdr:colOff>625480</xdr:colOff>
      <xdr:row>34</xdr:row>
      <xdr:rowOff>72928</xdr:rowOff>
    </xdr:to>
    <xdr:sp macro="" textlink="">
      <xdr:nvSpPr>
        <xdr:cNvPr id="38" name="Rectangle: Rounded Corners 37">
          <a:extLst>
            <a:ext uri="{FF2B5EF4-FFF2-40B4-BE49-F238E27FC236}">
              <a16:creationId xmlns:a16="http://schemas.microsoft.com/office/drawing/2014/main" id="{F381BA75-1AA7-2960-11D9-894F829ED460}"/>
            </a:ext>
          </a:extLst>
        </xdr:cNvPr>
        <xdr:cNvSpPr/>
      </xdr:nvSpPr>
      <xdr:spPr>
        <a:xfrm>
          <a:off x="4002424" y="5974579"/>
          <a:ext cx="1337450" cy="640773"/>
        </a:xfrm>
        <a:prstGeom prst="roundRect">
          <a:avLst/>
        </a:prstGeom>
        <a:solidFill>
          <a:srgbClr val="E8F1E3"/>
        </a:solidFill>
        <a:ln>
          <a:noFill/>
        </a:ln>
        <a:effectLst>
          <a:outerShdw blurRad="190500" dist="38100" dir="2700000" algn="tl"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8101</xdr:colOff>
      <xdr:row>31</xdr:row>
      <xdr:rowOff>28278</xdr:rowOff>
    </xdr:from>
    <xdr:to>
      <xdr:col>7</xdr:col>
      <xdr:colOff>616134</xdr:colOff>
      <xdr:row>32</xdr:row>
      <xdr:rowOff>89892</xdr:rowOff>
    </xdr:to>
    <xdr:sp macro="" textlink="">
      <xdr:nvSpPr>
        <xdr:cNvPr id="39" name="TextBox 38">
          <a:extLst>
            <a:ext uri="{FF2B5EF4-FFF2-40B4-BE49-F238E27FC236}">
              <a16:creationId xmlns:a16="http://schemas.microsoft.com/office/drawing/2014/main" id="{F71D5A9F-DAFF-927F-69A8-FD4C48BF810E}"/>
            </a:ext>
          </a:extLst>
        </xdr:cNvPr>
        <xdr:cNvSpPr txBox="1"/>
      </xdr:nvSpPr>
      <xdr:spPr>
        <a:xfrm>
          <a:off x="4049010" y="5993430"/>
          <a:ext cx="1281518" cy="2540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rgbClr val="415853"/>
              </a:solidFill>
            </a:rPr>
            <a:t>T/g dừng 2MF</a:t>
          </a:r>
        </a:p>
      </xdr:txBody>
    </xdr:sp>
    <xdr:clientData/>
  </xdr:twoCellAnchor>
  <xdr:twoCellAnchor>
    <xdr:from>
      <xdr:col>6</xdr:col>
      <xdr:colOff>56642</xdr:colOff>
      <xdr:row>28</xdr:row>
      <xdr:rowOff>122260</xdr:rowOff>
    </xdr:from>
    <xdr:to>
      <xdr:col>7</xdr:col>
      <xdr:colOff>555814</xdr:colOff>
      <xdr:row>30</xdr:row>
      <xdr:rowOff>10339</xdr:rowOff>
    </xdr:to>
    <xdr:sp macro="" textlink="Pivot!$C$40">
      <xdr:nvSpPr>
        <xdr:cNvPr id="48" name="TextBox 47">
          <a:extLst>
            <a:ext uri="{FF2B5EF4-FFF2-40B4-BE49-F238E27FC236}">
              <a16:creationId xmlns:a16="http://schemas.microsoft.com/office/drawing/2014/main" id="{C450F178-9D8A-393C-9454-E146C6A6BA6E}"/>
            </a:ext>
          </a:extLst>
        </xdr:cNvPr>
        <xdr:cNvSpPr txBox="1"/>
      </xdr:nvSpPr>
      <xdr:spPr>
        <a:xfrm>
          <a:off x="4097551" y="5510139"/>
          <a:ext cx="1172657" cy="2729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DEB8FF13-7DD9-4041-95B0-797891BF3C44}" type="TxLink">
            <a:rPr lang="en-US" sz="1200" b="1" i="0" u="none" strike="noStrike" baseline="0">
              <a:solidFill>
                <a:srgbClr val="415853"/>
              </a:solidFill>
              <a:latin typeface="Calibri"/>
              <a:ea typeface="Calibri"/>
              <a:cs typeface="Calibri"/>
            </a:rPr>
            <a:pPr algn="r"/>
            <a:t> 14.521 </a:t>
          </a:fld>
          <a:endParaRPr lang="en-US" sz="1200" b="1" baseline="0">
            <a:solidFill>
              <a:srgbClr val="415853"/>
            </a:solidFill>
          </a:endParaRPr>
        </a:p>
      </xdr:txBody>
    </xdr:sp>
    <xdr:clientData/>
  </xdr:twoCellAnchor>
  <xdr:twoCellAnchor>
    <xdr:from>
      <xdr:col>6</xdr:col>
      <xdr:colOff>82042</xdr:colOff>
      <xdr:row>32</xdr:row>
      <xdr:rowOff>139722</xdr:rowOff>
    </xdr:from>
    <xdr:to>
      <xdr:col>7</xdr:col>
      <xdr:colOff>581214</xdr:colOff>
      <xdr:row>34</xdr:row>
      <xdr:rowOff>27801</xdr:rowOff>
    </xdr:to>
    <xdr:sp macro="" textlink="Pivot!$A$47">
      <xdr:nvSpPr>
        <xdr:cNvPr id="49" name="TextBox 48">
          <a:extLst>
            <a:ext uri="{FF2B5EF4-FFF2-40B4-BE49-F238E27FC236}">
              <a16:creationId xmlns:a16="http://schemas.microsoft.com/office/drawing/2014/main" id="{6ED2BD7D-4C3A-BF65-BC55-C886B8EB507C}"/>
            </a:ext>
          </a:extLst>
        </xdr:cNvPr>
        <xdr:cNvSpPr txBox="1"/>
      </xdr:nvSpPr>
      <xdr:spPr>
        <a:xfrm>
          <a:off x="4122951" y="6297298"/>
          <a:ext cx="1172657" cy="2729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B7483947-38E1-4793-9201-06D85D8DDCF6}" type="TxLink">
            <a:rPr lang="en-US" sz="1200" b="1" i="0" u="none" strike="noStrike" baseline="0">
              <a:solidFill>
                <a:srgbClr val="415853"/>
              </a:solidFill>
              <a:latin typeface="Calibri"/>
              <a:ea typeface="Calibri"/>
              <a:cs typeface="Calibri"/>
            </a:rPr>
            <a:pPr algn="r"/>
            <a:t>65</a:t>
          </a:fld>
          <a:endParaRPr lang="en-US" sz="1200" b="1" baseline="0">
            <a:solidFill>
              <a:srgbClr val="415853"/>
            </a:solidFill>
          </a:endParaRPr>
        </a:p>
      </xdr:txBody>
    </xdr:sp>
    <xdr:clientData/>
  </xdr:twoCellAnchor>
  <xdr:twoCellAnchor>
    <xdr:from>
      <xdr:col>13</xdr:col>
      <xdr:colOff>664250</xdr:colOff>
      <xdr:row>23</xdr:row>
      <xdr:rowOff>42957</xdr:rowOff>
    </xdr:from>
    <xdr:to>
      <xdr:col>15</xdr:col>
      <xdr:colOff>654730</xdr:colOff>
      <xdr:row>26</xdr:row>
      <xdr:rowOff>106458</xdr:rowOff>
    </xdr:to>
    <xdr:sp macro="" textlink="">
      <xdr:nvSpPr>
        <xdr:cNvPr id="50" name="Rectangle: Rounded Corners 49">
          <a:extLst>
            <a:ext uri="{FF2B5EF4-FFF2-40B4-BE49-F238E27FC236}">
              <a16:creationId xmlns:a16="http://schemas.microsoft.com/office/drawing/2014/main" id="{A9BD5B9F-E2C8-0812-337B-E3AAA187A1E7}"/>
            </a:ext>
          </a:extLst>
        </xdr:cNvPr>
        <xdr:cNvSpPr/>
      </xdr:nvSpPr>
      <xdr:spPr>
        <a:xfrm>
          <a:off x="9419553" y="4468715"/>
          <a:ext cx="1337450" cy="640773"/>
        </a:xfrm>
        <a:prstGeom prst="roundRect">
          <a:avLst/>
        </a:prstGeom>
        <a:solidFill>
          <a:srgbClr val="E8F1E3"/>
        </a:solidFill>
        <a:ln>
          <a:noFill/>
        </a:ln>
        <a:effectLst>
          <a:outerShdw blurRad="190500" dist="38100" dir="2700000" algn="tl"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2427</xdr:colOff>
      <xdr:row>23</xdr:row>
      <xdr:rowOff>61809</xdr:rowOff>
    </xdr:from>
    <xdr:to>
      <xdr:col>15</xdr:col>
      <xdr:colOff>610460</xdr:colOff>
      <xdr:row>24</xdr:row>
      <xdr:rowOff>123423</xdr:rowOff>
    </xdr:to>
    <xdr:sp macro="" textlink="">
      <xdr:nvSpPr>
        <xdr:cNvPr id="51" name="TextBox 50">
          <a:extLst>
            <a:ext uri="{FF2B5EF4-FFF2-40B4-BE49-F238E27FC236}">
              <a16:creationId xmlns:a16="http://schemas.microsoft.com/office/drawing/2014/main" id="{0E8241A9-E495-8483-0602-DEE9B710B0C9}"/>
            </a:ext>
          </a:extLst>
        </xdr:cNvPr>
        <xdr:cNvSpPr txBox="1"/>
      </xdr:nvSpPr>
      <xdr:spPr>
        <a:xfrm>
          <a:off x="9431215" y="4487567"/>
          <a:ext cx="1281518" cy="2540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rgbClr val="415853"/>
              </a:solidFill>
            </a:rPr>
            <a:t>Số ngày SX</a:t>
          </a:r>
        </a:p>
      </xdr:txBody>
    </xdr:sp>
    <xdr:clientData/>
  </xdr:twoCellAnchor>
  <xdr:twoCellAnchor>
    <xdr:from>
      <xdr:col>14</xdr:col>
      <xdr:colOff>84305</xdr:colOff>
      <xdr:row>24</xdr:row>
      <xdr:rowOff>117690</xdr:rowOff>
    </xdr:from>
    <xdr:to>
      <xdr:col>15</xdr:col>
      <xdr:colOff>583477</xdr:colOff>
      <xdr:row>26</xdr:row>
      <xdr:rowOff>11782</xdr:rowOff>
    </xdr:to>
    <xdr:sp macro="" textlink="Pivot!$H$40">
      <xdr:nvSpPr>
        <xdr:cNvPr id="58" name="TextBox 57">
          <a:extLst>
            <a:ext uri="{FF2B5EF4-FFF2-40B4-BE49-F238E27FC236}">
              <a16:creationId xmlns:a16="http://schemas.microsoft.com/office/drawing/2014/main" id="{4FD83BF4-F2C5-D92B-47EA-0F4D39AC5016}"/>
            </a:ext>
          </a:extLst>
        </xdr:cNvPr>
        <xdr:cNvSpPr txBox="1"/>
      </xdr:nvSpPr>
      <xdr:spPr>
        <a:xfrm>
          <a:off x="9513093" y="4735872"/>
          <a:ext cx="1172657" cy="278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D4CA9712-5518-4AC8-9741-9928B353AEF1}" type="TxLink">
            <a:rPr lang="en-US" sz="1200" b="1" i="0" u="none" strike="noStrike" baseline="0">
              <a:solidFill>
                <a:srgbClr val="415853"/>
              </a:solidFill>
              <a:latin typeface="Calibri"/>
              <a:ea typeface="Calibri"/>
              <a:cs typeface="Calibri"/>
            </a:rPr>
            <a:pPr algn="r"/>
            <a:t> 12,00 </a:t>
          </a:fld>
          <a:endParaRPr lang="en-US" sz="1200" b="1" baseline="0">
            <a:solidFill>
              <a:srgbClr val="415853"/>
            </a:solidFill>
          </a:endParaRPr>
        </a:p>
      </xdr:txBody>
    </xdr:sp>
    <xdr:clientData/>
  </xdr:twoCellAnchor>
  <xdr:twoCellAnchor>
    <xdr:from>
      <xdr:col>13</xdr:col>
      <xdr:colOff>664250</xdr:colOff>
      <xdr:row>27</xdr:row>
      <xdr:rowOff>32638</xdr:rowOff>
    </xdr:from>
    <xdr:to>
      <xdr:col>15</xdr:col>
      <xdr:colOff>654730</xdr:colOff>
      <xdr:row>30</xdr:row>
      <xdr:rowOff>96139</xdr:rowOff>
    </xdr:to>
    <xdr:sp macro="" textlink="">
      <xdr:nvSpPr>
        <xdr:cNvPr id="66" name="Rectangle: Rounded Corners 65">
          <a:extLst>
            <a:ext uri="{FF2B5EF4-FFF2-40B4-BE49-F238E27FC236}">
              <a16:creationId xmlns:a16="http://schemas.microsoft.com/office/drawing/2014/main" id="{15084B5D-119D-9FB8-5358-BB3D6BC51FEA}"/>
            </a:ext>
          </a:extLst>
        </xdr:cNvPr>
        <xdr:cNvSpPr/>
      </xdr:nvSpPr>
      <xdr:spPr>
        <a:xfrm>
          <a:off x="9419553" y="5228093"/>
          <a:ext cx="1337450" cy="640773"/>
        </a:xfrm>
        <a:prstGeom prst="roundRect">
          <a:avLst/>
        </a:prstGeom>
        <a:solidFill>
          <a:srgbClr val="E8F1E3"/>
        </a:solidFill>
        <a:ln>
          <a:noFill/>
        </a:ln>
        <a:effectLst>
          <a:outerShdw blurRad="190500" dist="38100" dir="2700000" algn="tl"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4014</xdr:colOff>
      <xdr:row>27</xdr:row>
      <xdr:rowOff>71333</xdr:rowOff>
    </xdr:from>
    <xdr:to>
      <xdr:col>15</xdr:col>
      <xdr:colOff>612047</xdr:colOff>
      <xdr:row>28</xdr:row>
      <xdr:rowOff>132947</xdr:rowOff>
    </xdr:to>
    <xdr:sp macro="" textlink="">
      <xdr:nvSpPr>
        <xdr:cNvPr id="67" name="TextBox 66">
          <a:extLst>
            <a:ext uri="{FF2B5EF4-FFF2-40B4-BE49-F238E27FC236}">
              <a16:creationId xmlns:a16="http://schemas.microsoft.com/office/drawing/2014/main" id="{843B6D37-BF7F-ED1A-2895-413695851125}"/>
            </a:ext>
          </a:extLst>
        </xdr:cNvPr>
        <xdr:cNvSpPr txBox="1"/>
      </xdr:nvSpPr>
      <xdr:spPr>
        <a:xfrm>
          <a:off x="9432802" y="5266788"/>
          <a:ext cx="1281518" cy="2540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rgbClr val="415853"/>
              </a:solidFill>
            </a:rPr>
            <a:t>TB/ ngày </a:t>
          </a:r>
        </a:p>
      </xdr:txBody>
    </xdr:sp>
    <xdr:clientData/>
  </xdr:twoCellAnchor>
  <xdr:twoCellAnchor>
    <xdr:from>
      <xdr:col>13</xdr:col>
      <xdr:colOff>664250</xdr:colOff>
      <xdr:row>31</xdr:row>
      <xdr:rowOff>22319</xdr:rowOff>
    </xdr:from>
    <xdr:to>
      <xdr:col>15</xdr:col>
      <xdr:colOff>654730</xdr:colOff>
      <xdr:row>34</xdr:row>
      <xdr:rowOff>85820</xdr:rowOff>
    </xdr:to>
    <xdr:sp macro="" textlink="">
      <xdr:nvSpPr>
        <xdr:cNvPr id="68" name="Rectangle: Rounded Corners 67">
          <a:extLst>
            <a:ext uri="{FF2B5EF4-FFF2-40B4-BE49-F238E27FC236}">
              <a16:creationId xmlns:a16="http://schemas.microsoft.com/office/drawing/2014/main" id="{F178065E-EF62-0B5A-6FA6-3CB404D70272}"/>
            </a:ext>
          </a:extLst>
        </xdr:cNvPr>
        <xdr:cNvSpPr/>
      </xdr:nvSpPr>
      <xdr:spPr>
        <a:xfrm>
          <a:off x="9419553" y="5987471"/>
          <a:ext cx="1337450" cy="640773"/>
        </a:xfrm>
        <a:prstGeom prst="roundRect">
          <a:avLst/>
        </a:prstGeom>
        <a:solidFill>
          <a:srgbClr val="E8F1E3"/>
        </a:solidFill>
        <a:ln>
          <a:noFill/>
        </a:ln>
        <a:effectLst>
          <a:outerShdw blurRad="190500" dist="38100" dir="2700000" algn="tl"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13538</xdr:colOff>
      <xdr:row>31</xdr:row>
      <xdr:rowOff>41170</xdr:rowOff>
    </xdr:from>
    <xdr:to>
      <xdr:col>15</xdr:col>
      <xdr:colOff>621571</xdr:colOff>
      <xdr:row>32</xdr:row>
      <xdr:rowOff>102784</xdr:rowOff>
    </xdr:to>
    <xdr:sp macro="" textlink="">
      <xdr:nvSpPr>
        <xdr:cNvPr id="71" name="TextBox 70">
          <a:extLst>
            <a:ext uri="{FF2B5EF4-FFF2-40B4-BE49-F238E27FC236}">
              <a16:creationId xmlns:a16="http://schemas.microsoft.com/office/drawing/2014/main" id="{11359E0B-11F4-BE11-925B-4D18D584E895}"/>
            </a:ext>
          </a:extLst>
        </xdr:cNvPr>
        <xdr:cNvSpPr txBox="1"/>
      </xdr:nvSpPr>
      <xdr:spPr>
        <a:xfrm>
          <a:off x="9442326" y="6006322"/>
          <a:ext cx="1281518" cy="2540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rgbClr val="415853"/>
              </a:solidFill>
            </a:rPr>
            <a:t>T/g dừng 2MF</a:t>
          </a:r>
        </a:p>
      </xdr:txBody>
    </xdr:sp>
    <xdr:clientData/>
  </xdr:twoCellAnchor>
  <xdr:twoCellAnchor>
    <xdr:from>
      <xdr:col>14</xdr:col>
      <xdr:colOff>85892</xdr:colOff>
      <xdr:row>28</xdr:row>
      <xdr:rowOff>135152</xdr:rowOff>
    </xdr:from>
    <xdr:to>
      <xdr:col>15</xdr:col>
      <xdr:colOff>585064</xdr:colOff>
      <xdr:row>30</xdr:row>
      <xdr:rowOff>23231</xdr:rowOff>
    </xdr:to>
    <xdr:sp macro="" textlink="Pivot!$J$40">
      <xdr:nvSpPr>
        <xdr:cNvPr id="72" name="TextBox 71">
          <a:extLst>
            <a:ext uri="{FF2B5EF4-FFF2-40B4-BE49-F238E27FC236}">
              <a16:creationId xmlns:a16="http://schemas.microsoft.com/office/drawing/2014/main" id="{3C97EA42-2F3D-FD6D-817E-D56B50572666}"/>
            </a:ext>
          </a:extLst>
        </xdr:cNvPr>
        <xdr:cNvSpPr txBox="1"/>
      </xdr:nvSpPr>
      <xdr:spPr>
        <a:xfrm>
          <a:off x="9514680" y="5523031"/>
          <a:ext cx="1172657" cy="2729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1D6499A7-E5AD-4CE5-B730-1582C004B8EC}" type="TxLink">
            <a:rPr lang="en-US" sz="1200" b="1" i="0" u="none" strike="noStrike" baseline="0">
              <a:solidFill>
                <a:srgbClr val="415853"/>
              </a:solidFill>
              <a:latin typeface="Calibri"/>
              <a:ea typeface="Calibri"/>
              <a:cs typeface="Calibri"/>
            </a:rPr>
            <a:pPr algn="r"/>
            <a:t> 13.789 </a:t>
          </a:fld>
          <a:endParaRPr lang="en-US" sz="1200" b="1" baseline="0">
            <a:solidFill>
              <a:srgbClr val="415853"/>
            </a:solidFill>
          </a:endParaRPr>
        </a:p>
      </xdr:txBody>
    </xdr:sp>
    <xdr:clientData/>
  </xdr:twoCellAnchor>
  <xdr:twoCellAnchor>
    <xdr:from>
      <xdr:col>14</xdr:col>
      <xdr:colOff>87479</xdr:colOff>
      <xdr:row>32</xdr:row>
      <xdr:rowOff>152614</xdr:rowOff>
    </xdr:from>
    <xdr:to>
      <xdr:col>15</xdr:col>
      <xdr:colOff>586651</xdr:colOff>
      <xdr:row>34</xdr:row>
      <xdr:rowOff>40693</xdr:rowOff>
    </xdr:to>
    <xdr:sp macro="" textlink="Pivot!$L$42">
      <xdr:nvSpPr>
        <xdr:cNvPr id="73" name="TextBox 72">
          <a:extLst>
            <a:ext uri="{FF2B5EF4-FFF2-40B4-BE49-F238E27FC236}">
              <a16:creationId xmlns:a16="http://schemas.microsoft.com/office/drawing/2014/main" id="{BE225CB8-2CFF-D8E7-2714-4DA68145FA46}"/>
            </a:ext>
          </a:extLst>
        </xdr:cNvPr>
        <xdr:cNvSpPr txBox="1"/>
      </xdr:nvSpPr>
      <xdr:spPr>
        <a:xfrm>
          <a:off x="9516267" y="6310190"/>
          <a:ext cx="1172657" cy="2729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A88BCFE-E14B-448E-825D-B1E7DC16623C}" type="TxLink">
            <a:rPr lang="en-US" sz="1200" b="1" i="0" u="none" strike="noStrike" baseline="0">
              <a:solidFill>
                <a:srgbClr val="415853"/>
              </a:solidFill>
              <a:latin typeface="Calibri"/>
              <a:ea typeface="Calibri"/>
              <a:cs typeface="Calibri"/>
            </a:rPr>
            <a:pPr algn="r"/>
            <a:t>100</a:t>
          </a:fld>
          <a:endParaRPr lang="en-US" sz="1200" b="1" baseline="0">
            <a:solidFill>
              <a:srgbClr val="415853"/>
            </a:solidFill>
          </a:endParaRPr>
        </a:p>
      </xdr:txBody>
    </xdr:sp>
    <xdr:clientData/>
  </xdr:twoCellAnchor>
  <xdr:twoCellAnchor>
    <xdr:from>
      <xdr:col>4</xdr:col>
      <xdr:colOff>86205</xdr:colOff>
      <xdr:row>23</xdr:row>
      <xdr:rowOff>18904</xdr:rowOff>
    </xdr:from>
    <xdr:to>
      <xdr:col>5</xdr:col>
      <xdr:colOff>527728</xdr:colOff>
      <xdr:row>26</xdr:row>
      <xdr:rowOff>82405</xdr:rowOff>
    </xdr:to>
    <xdr:sp macro="" textlink="">
      <xdr:nvSpPr>
        <xdr:cNvPr id="74" name="Rectangle: Rounded Corners 73">
          <a:extLst>
            <a:ext uri="{FF2B5EF4-FFF2-40B4-BE49-F238E27FC236}">
              <a16:creationId xmlns:a16="http://schemas.microsoft.com/office/drawing/2014/main" id="{1999D68C-FD05-C458-5A36-7887EDE6FE44}"/>
            </a:ext>
          </a:extLst>
        </xdr:cNvPr>
        <xdr:cNvSpPr/>
      </xdr:nvSpPr>
      <xdr:spPr>
        <a:xfrm>
          <a:off x="2780144" y="4444662"/>
          <a:ext cx="1115008" cy="640773"/>
        </a:xfrm>
        <a:prstGeom prst="roundRect">
          <a:avLst/>
        </a:prstGeom>
        <a:solidFill>
          <a:srgbClr val="E8F1E3"/>
        </a:solidFill>
        <a:ln>
          <a:noFill/>
        </a:ln>
        <a:effectLst>
          <a:outerShdw blurRad="190500" dist="38100" dir="2700000" algn="tl"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87092</xdr:colOff>
      <xdr:row>23</xdr:row>
      <xdr:rowOff>37756</xdr:rowOff>
    </xdr:from>
    <xdr:to>
      <xdr:col>6</xdr:col>
      <xdr:colOff>21640</xdr:colOff>
      <xdr:row>24</xdr:row>
      <xdr:rowOff>99370</xdr:rowOff>
    </xdr:to>
    <xdr:sp macro="" textlink="">
      <xdr:nvSpPr>
        <xdr:cNvPr id="82" name="TextBox 81">
          <a:extLst>
            <a:ext uri="{FF2B5EF4-FFF2-40B4-BE49-F238E27FC236}">
              <a16:creationId xmlns:a16="http://schemas.microsoft.com/office/drawing/2014/main" id="{11F2339E-0D10-4116-8A31-9996A57FF3D3}"/>
            </a:ext>
          </a:extLst>
        </xdr:cNvPr>
        <xdr:cNvSpPr txBox="1"/>
      </xdr:nvSpPr>
      <xdr:spPr>
        <a:xfrm>
          <a:off x="2781031" y="4463514"/>
          <a:ext cx="1281518" cy="2540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rgbClr val="415853"/>
              </a:solidFill>
            </a:rPr>
            <a:t>Sản lượng A1</a:t>
          </a:r>
        </a:p>
      </xdr:txBody>
    </xdr:sp>
    <xdr:clientData/>
  </xdr:twoCellAnchor>
  <xdr:twoCellAnchor>
    <xdr:from>
      <xdr:col>3</xdr:col>
      <xdr:colOff>630787</xdr:colOff>
      <xdr:row>24</xdr:row>
      <xdr:rowOff>93637</xdr:rowOff>
    </xdr:from>
    <xdr:to>
      <xdr:col>5</xdr:col>
      <xdr:colOff>456475</xdr:colOff>
      <xdr:row>25</xdr:row>
      <xdr:rowOff>174140</xdr:rowOff>
    </xdr:to>
    <xdr:sp macro="" textlink="Pivot!$A$35">
      <xdr:nvSpPr>
        <xdr:cNvPr id="91" name="TextBox 90">
          <a:extLst>
            <a:ext uri="{FF2B5EF4-FFF2-40B4-BE49-F238E27FC236}">
              <a16:creationId xmlns:a16="http://schemas.microsoft.com/office/drawing/2014/main" id="{DF0872D1-F2FE-E889-2E2E-2BF551010673}"/>
            </a:ext>
          </a:extLst>
        </xdr:cNvPr>
        <xdr:cNvSpPr txBox="1"/>
      </xdr:nvSpPr>
      <xdr:spPr>
        <a:xfrm>
          <a:off x="2651242" y="4711819"/>
          <a:ext cx="1172657" cy="2729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0A15D352-E113-4780-A8F1-BF2B88A608AA}" type="TxLink">
            <a:rPr lang="en-US" sz="1200" b="1" i="0" u="none" strike="noStrike" baseline="0">
              <a:solidFill>
                <a:srgbClr val="415853"/>
              </a:solidFill>
              <a:latin typeface="Calibri"/>
              <a:ea typeface="Calibri"/>
              <a:cs typeface="Calibri"/>
            </a:rPr>
            <a:pPr algn="r"/>
            <a:t> 168.143 </a:t>
          </a:fld>
          <a:endParaRPr lang="en-US" sz="1400" b="1" baseline="0">
            <a:solidFill>
              <a:srgbClr val="415853"/>
            </a:solidFill>
          </a:endParaRPr>
        </a:p>
      </xdr:txBody>
    </xdr:sp>
    <xdr:clientData/>
  </xdr:twoCellAnchor>
  <xdr:twoCellAnchor>
    <xdr:from>
      <xdr:col>4</xdr:col>
      <xdr:colOff>86205</xdr:colOff>
      <xdr:row>27</xdr:row>
      <xdr:rowOff>8585</xdr:rowOff>
    </xdr:from>
    <xdr:to>
      <xdr:col>5</xdr:col>
      <xdr:colOff>527728</xdr:colOff>
      <xdr:row>30</xdr:row>
      <xdr:rowOff>72086</xdr:rowOff>
    </xdr:to>
    <xdr:sp macro="" textlink="">
      <xdr:nvSpPr>
        <xdr:cNvPr id="99" name="Rectangle: Rounded Corners 98">
          <a:extLst>
            <a:ext uri="{FF2B5EF4-FFF2-40B4-BE49-F238E27FC236}">
              <a16:creationId xmlns:a16="http://schemas.microsoft.com/office/drawing/2014/main" id="{56F7EB84-71D4-26B5-B70F-89768126B082}"/>
            </a:ext>
          </a:extLst>
        </xdr:cNvPr>
        <xdr:cNvSpPr/>
      </xdr:nvSpPr>
      <xdr:spPr>
        <a:xfrm>
          <a:off x="2780144" y="5204040"/>
          <a:ext cx="1115008" cy="640773"/>
        </a:xfrm>
        <a:prstGeom prst="roundRect">
          <a:avLst/>
        </a:prstGeom>
        <a:solidFill>
          <a:srgbClr val="E8F1E3"/>
        </a:solidFill>
        <a:ln>
          <a:noFill/>
        </a:ln>
        <a:effectLst>
          <a:outerShdw blurRad="190500" dist="38100" dir="2700000" algn="tl"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88679</xdr:colOff>
      <xdr:row>27</xdr:row>
      <xdr:rowOff>47280</xdr:rowOff>
    </xdr:from>
    <xdr:to>
      <xdr:col>6</xdr:col>
      <xdr:colOff>23227</xdr:colOff>
      <xdr:row>28</xdr:row>
      <xdr:rowOff>108894</xdr:rowOff>
    </xdr:to>
    <xdr:sp macro="" textlink="">
      <xdr:nvSpPr>
        <xdr:cNvPr id="100" name="TextBox 99">
          <a:extLst>
            <a:ext uri="{FF2B5EF4-FFF2-40B4-BE49-F238E27FC236}">
              <a16:creationId xmlns:a16="http://schemas.microsoft.com/office/drawing/2014/main" id="{47A888AA-DB0F-F76A-DCAA-F14F61545C55}"/>
            </a:ext>
          </a:extLst>
        </xdr:cNvPr>
        <xdr:cNvSpPr txBox="1"/>
      </xdr:nvSpPr>
      <xdr:spPr>
        <a:xfrm>
          <a:off x="2782618" y="5242735"/>
          <a:ext cx="1281518" cy="2540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rgbClr val="415853"/>
              </a:solidFill>
            </a:rPr>
            <a:t>Sản lượng A</a:t>
          </a:r>
        </a:p>
      </xdr:txBody>
    </xdr:sp>
    <xdr:clientData/>
  </xdr:twoCellAnchor>
  <xdr:twoCellAnchor>
    <xdr:from>
      <xdr:col>4</xdr:col>
      <xdr:colOff>86205</xdr:colOff>
      <xdr:row>30</xdr:row>
      <xdr:rowOff>190691</xdr:rowOff>
    </xdr:from>
    <xdr:to>
      <xdr:col>5</xdr:col>
      <xdr:colOff>527728</xdr:colOff>
      <xdr:row>34</xdr:row>
      <xdr:rowOff>61767</xdr:rowOff>
    </xdr:to>
    <xdr:sp macro="" textlink="">
      <xdr:nvSpPr>
        <xdr:cNvPr id="101" name="Rectangle: Rounded Corners 100">
          <a:extLst>
            <a:ext uri="{FF2B5EF4-FFF2-40B4-BE49-F238E27FC236}">
              <a16:creationId xmlns:a16="http://schemas.microsoft.com/office/drawing/2014/main" id="{862572A5-22E9-BA2C-F609-C8949ED78806}"/>
            </a:ext>
          </a:extLst>
        </xdr:cNvPr>
        <xdr:cNvSpPr/>
      </xdr:nvSpPr>
      <xdr:spPr>
        <a:xfrm>
          <a:off x="2780144" y="5963418"/>
          <a:ext cx="1115008" cy="640773"/>
        </a:xfrm>
        <a:prstGeom prst="roundRect">
          <a:avLst/>
        </a:prstGeom>
        <a:solidFill>
          <a:srgbClr val="E8F1E3"/>
        </a:solidFill>
        <a:ln>
          <a:noFill/>
        </a:ln>
        <a:effectLst>
          <a:outerShdw blurRad="190500" dist="38100" dir="2700000" algn="tl"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122016</xdr:colOff>
      <xdr:row>31</xdr:row>
      <xdr:rowOff>17117</xdr:rowOff>
    </xdr:from>
    <xdr:to>
      <xdr:col>6</xdr:col>
      <xdr:colOff>56564</xdr:colOff>
      <xdr:row>32</xdr:row>
      <xdr:rowOff>78731</xdr:rowOff>
    </xdr:to>
    <xdr:sp macro="" textlink="">
      <xdr:nvSpPr>
        <xdr:cNvPr id="109" name="TextBox 108">
          <a:extLst>
            <a:ext uri="{FF2B5EF4-FFF2-40B4-BE49-F238E27FC236}">
              <a16:creationId xmlns:a16="http://schemas.microsoft.com/office/drawing/2014/main" id="{12623FE9-3227-07FB-3D39-76F51275D839}"/>
            </a:ext>
          </a:extLst>
        </xdr:cNvPr>
        <xdr:cNvSpPr txBox="1"/>
      </xdr:nvSpPr>
      <xdr:spPr>
        <a:xfrm>
          <a:off x="2815955" y="5982269"/>
          <a:ext cx="1281518" cy="2540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rgbClr val="415853"/>
              </a:solidFill>
            </a:rPr>
            <a:t>Sản lượng B</a:t>
          </a:r>
        </a:p>
      </xdr:txBody>
    </xdr:sp>
    <xdr:clientData/>
  </xdr:twoCellAnchor>
  <xdr:twoCellAnchor>
    <xdr:from>
      <xdr:col>3</xdr:col>
      <xdr:colOff>632374</xdr:colOff>
      <xdr:row>28</xdr:row>
      <xdr:rowOff>111099</xdr:rowOff>
    </xdr:from>
    <xdr:to>
      <xdr:col>5</xdr:col>
      <xdr:colOff>458062</xdr:colOff>
      <xdr:row>29</xdr:row>
      <xdr:rowOff>191602</xdr:rowOff>
    </xdr:to>
    <xdr:sp macro="" textlink="Pivot!$B$35">
      <xdr:nvSpPr>
        <xdr:cNvPr id="110" name="TextBox 109">
          <a:extLst>
            <a:ext uri="{FF2B5EF4-FFF2-40B4-BE49-F238E27FC236}">
              <a16:creationId xmlns:a16="http://schemas.microsoft.com/office/drawing/2014/main" id="{751BD884-0DFD-C79A-4152-2718D002050C}"/>
            </a:ext>
          </a:extLst>
        </xdr:cNvPr>
        <xdr:cNvSpPr txBox="1"/>
      </xdr:nvSpPr>
      <xdr:spPr>
        <a:xfrm>
          <a:off x="2652829" y="5498978"/>
          <a:ext cx="1172657" cy="2729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80F5691E-7451-4A8E-937A-E66F90C4BAC7}" type="TxLink">
            <a:rPr lang="en-US" sz="1200" b="1" i="0" u="none" strike="noStrike" baseline="0">
              <a:solidFill>
                <a:srgbClr val="415853"/>
              </a:solidFill>
              <a:latin typeface="Calibri"/>
              <a:ea typeface="Calibri"/>
              <a:cs typeface="Calibri"/>
            </a:rPr>
            <a:pPr algn="r"/>
            <a:t> -   </a:t>
          </a:fld>
          <a:endParaRPr lang="en-US" sz="1400" b="1" baseline="0">
            <a:solidFill>
              <a:srgbClr val="415853"/>
            </a:solidFill>
          </a:endParaRPr>
        </a:p>
      </xdr:txBody>
    </xdr:sp>
    <xdr:clientData/>
  </xdr:twoCellAnchor>
  <xdr:twoCellAnchor>
    <xdr:from>
      <xdr:col>3</xdr:col>
      <xdr:colOff>657774</xdr:colOff>
      <xdr:row>32</xdr:row>
      <xdr:rowOff>128561</xdr:rowOff>
    </xdr:from>
    <xdr:to>
      <xdr:col>5</xdr:col>
      <xdr:colOff>483462</xdr:colOff>
      <xdr:row>34</xdr:row>
      <xdr:rowOff>16640</xdr:rowOff>
    </xdr:to>
    <xdr:sp macro="" textlink="Pivot!$C$35">
      <xdr:nvSpPr>
        <xdr:cNvPr id="112" name="TextBox 111">
          <a:extLst>
            <a:ext uri="{FF2B5EF4-FFF2-40B4-BE49-F238E27FC236}">
              <a16:creationId xmlns:a16="http://schemas.microsoft.com/office/drawing/2014/main" id="{586BA937-2203-95D7-1A99-3128C27024DA}"/>
            </a:ext>
          </a:extLst>
        </xdr:cNvPr>
        <xdr:cNvSpPr txBox="1"/>
      </xdr:nvSpPr>
      <xdr:spPr>
        <a:xfrm>
          <a:off x="2678229" y="6286137"/>
          <a:ext cx="1172657" cy="2729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143059A3-4548-4FC9-90F1-05FCB1F3B5F2}" type="TxLink">
            <a:rPr lang="en-US" sz="1200" b="1" i="0" u="none" strike="noStrike" baseline="0">
              <a:solidFill>
                <a:srgbClr val="415853"/>
              </a:solidFill>
              <a:latin typeface="Calibri"/>
              <a:ea typeface="Calibri"/>
              <a:cs typeface="Calibri"/>
            </a:rPr>
            <a:pPr algn="r"/>
            <a:t> 6.104 </a:t>
          </a:fld>
          <a:endParaRPr lang="en-US" sz="1400" b="1" baseline="0">
            <a:solidFill>
              <a:srgbClr val="415853"/>
            </a:solidFill>
          </a:endParaRPr>
        </a:p>
      </xdr:txBody>
    </xdr:sp>
    <xdr:clientData/>
  </xdr:twoCellAnchor>
  <xdr:twoCellAnchor>
    <xdr:from>
      <xdr:col>12</xdr:col>
      <xdr:colOff>115455</xdr:colOff>
      <xdr:row>23</xdr:row>
      <xdr:rowOff>31796</xdr:rowOff>
    </xdr:from>
    <xdr:to>
      <xdr:col>13</xdr:col>
      <xdr:colOff>556978</xdr:colOff>
      <xdr:row>26</xdr:row>
      <xdr:rowOff>95297</xdr:rowOff>
    </xdr:to>
    <xdr:sp macro="" textlink="">
      <xdr:nvSpPr>
        <xdr:cNvPr id="117" name="Rectangle: Rounded Corners 116">
          <a:extLst>
            <a:ext uri="{FF2B5EF4-FFF2-40B4-BE49-F238E27FC236}">
              <a16:creationId xmlns:a16="http://schemas.microsoft.com/office/drawing/2014/main" id="{93D5BE5F-3901-9374-2685-6B3E64E2EF9E}"/>
            </a:ext>
          </a:extLst>
        </xdr:cNvPr>
        <xdr:cNvSpPr/>
      </xdr:nvSpPr>
      <xdr:spPr>
        <a:xfrm>
          <a:off x="8197273" y="4457554"/>
          <a:ext cx="1115008" cy="640773"/>
        </a:xfrm>
        <a:prstGeom prst="roundRect">
          <a:avLst/>
        </a:prstGeom>
        <a:solidFill>
          <a:srgbClr val="E8F1E3"/>
        </a:solidFill>
        <a:ln>
          <a:noFill/>
        </a:ln>
        <a:effectLst>
          <a:outerShdw blurRad="190500" dist="38100" dir="2700000" algn="tl"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116342</xdr:colOff>
      <xdr:row>23</xdr:row>
      <xdr:rowOff>50648</xdr:rowOff>
    </xdr:from>
    <xdr:to>
      <xdr:col>14</xdr:col>
      <xdr:colOff>50890</xdr:colOff>
      <xdr:row>24</xdr:row>
      <xdr:rowOff>112262</xdr:rowOff>
    </xdr:to>
    <xdr:sp macro="" textlink="">
      <xdr:nvSpPr>
        <xdr:cNvPr id="118" name="TextBox 117">
          <a:extLst>
            <a:ext uri="{FF2B5EF4-FFF2-40B4-BE49-F238E27FC236}">
              <a16:creationId xmlns:a16="http://schemas.microsoft.com/office/drawing/2014/main" id="{D2BE41C5-182D-FC2E-B14E-D176241504DC}"/>
            </a:ext>
          </a:extLst>
        </xdr:cNvPr>
        <xdr:cNvSpPr txBox="1"/>
      </xdr:nvSpPr>
      <xdr:spPr>
        <a:xfrm>
          <a:off x="8198160" y="4476406"/>
          <a:ext cx="1281518" cy="2540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rgbClr val="415853"/>
              </a:solidFill>
            </a:rPr>
            <a:t>Sản lượng A1</a:t>
          </a:r>
        </a:p>
      </xdr:txBody>
    </xdr:sp>
    <xdr:clientData/>
  </xdr:twoCellAnchor>
  <xdr:twoCellAnchor>
    <xdr:from>
      <xdr:col>11</xdr:col>
      <xdr:colOff>660038</xdr:colOff>
      <xdr:row>24</xdr:row>
      <xdr:rowOff>106529</xdr:rowOff>
    </xdr:from>
    <xdr:to>
      <xdr:col>13</xdr:col>
      <xdr:colOff>485725</xdr:colOff>
      <xdr:row>26</xdr:row>
      <xdr:rowOff>621</xdr:rowOff>
    </xdr:to>
    <xdr:sp macro="" textlink="Pivot!$D$35">
      <xdr:nvSpPr>
        <xdr:cNvPr id="119" name="TextBox 118">
          <a:extLst>
            <a:ext uri="{FF2B5EF4-FFF2-40B4-BE49-F238E27FC236}">
              <a16:creationId xmlns:a16="http://schemas.microsoft.com/office/drawing/2014/main" id="{B0ECCD60-F9A8-C20B-52D7-FA1A5CCB415C}"/>
            </a:ext>
          </a:extLst>
        </xdr:cNvPr>
        <xdr:cNvSpPr txBox="1"/>
      </xdr:nvSpPr>
      <xdr:spPr>
        <a:xfrm>
          <a:off x="8068371" y="4724711"/>
          <a:ext cx="1172657" cy="278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0F44D661-8D37-42E8-A315-F51CFDBACAB7}" type="TxLink">
            <a:rPr lang="en-US" sz="1200" b="1" i="0" u="none" strike="noStrike" baseline="0">
              <a:solidFill>
                <a:srgbClr val="415853"/>
              </a:solidFill>
              <a:latin typeface="Calibri"/>
              <a:ea typeface="Calibri"/>
              <a:cs typeface="Calibri"/>
            </a:rPr>
            <a:pPr algn="r"/>
            <a:t> 150.020 </a:t>
          </a:fld>
          <a:endParaRPr lang="en-US" sz="1400" b="1" baseline="0">
            <a:solidFill>
              <a:srgbClr val="415853"/>
            </a:solidFill>
          </a:endParaRPr>
        </a:p>
      </xdr:txBody>
    </xdr:sp>
    <xdr:clientData/>
  </xdr:twoCellAnchor>
  <xdr:twoCellAnchor>
    <xdr:from>
      <xdr:col>12</xdr:col>
      <xdr:colOff>115455</xdr:colOff>
      <xdr:row>27</xdr:row>
      <xdr:rowOff>21477</xdr:rowOff>
    </xdr:from>
    <xdr:to>
      <xdr:col>13</xdr:col>
      <xdr:colOff>556978</xdr:colOff>
      <xdr:row>30</xdr:row>
      <xdr:rowOff>84978</xdr:rowOff>
    </xdr:to>
    <xdr:sp macro="" textlink="">
      <xdr:nvSpPr>
        <xdr:cNvPr id="120" name="Rectangle: Rounded Corners 119">
          <a:extLst>
            <a:ext uri="{FF2B5EF4-FFF2-40B4-BE49-F238E27FC236}">
              <a16:creationId xmlns:a16="http://schemas.microsoft.com/office/drawing/2014/main" id="{77254311-E65E-F97D-100F-7778DB7E3A5A}"/>
            </a:ext>
          </a:extLst>
        </xdr:cNvPr>
        <xdr:cNvSpPr/>
      </xdr:nvSpPr>
      <xdr:spPr>
        <a:xfrm>
          <a:off x="8197273" y="5216932"/>
          <a:ext cx="1115008" cy="640773"/>
        </a:xfrm>
        <a:prstGeom prst="roundRect">
          <a:avLst/>
        </a:prstGeom>
        <a:solidFill>
          <a:srgbClr val="E8F1E3"/>
        </a:solidFill>
        <a:ln>
          <a:noFill/>
        </a:ln>
        <a:effectLst>
          <a:outerShdw blurRad="190500" dist="38100" dir="2700000" algn="tl"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117929</xdr:colOff>
      <xdr:row>27</xdr:row>
      <xdr:rowOff>60172</xdr:rowOff>
    </xdr:from>
    <xdr:to>
      <xdr:col>14</xdr:col>
      <xdr:colOff>52477</xdr:colOff>
      <xdr:row>28</xdr:row>
      <xdr:rowOff>121786</xdr:rowOff>
    </xdr:to>
    <xdr:sp macro="" textlink="">
      <xdr:nvSpPr>
        <xdr:cNvPr id="121" name="TextBox 120">
          <a:extLst>
            <a:ext uri="{FF2B5EF4-FFF2-40B4-BE49-F238E27FC236}">
              <a16:creationId xmlns:a16="http://schemas.microsoft.com/office/drawing/2014/main" id="{F3802C6C-1F28-61C0-30F0-72AD1D9D858A}"/>
            </a:ext>
          </a:extLst>
        </xdr:cNvPr>
        <xdr:cNvSpPr txBox="1"/>
      </xdr:nvSpPr>
      <xdr:spPr>
        <a:xfrm>
          <a:off x="8199747" y="5255627"/>
          <a:ext cx="1281518" cy="2540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rgbClr val="415853"/>
              </a:solidFill>
            </a:rPr>
            <a:t>Sản lượng A</a:t>
          </a:r>
        </a:p>
      </xdr:txBody>
    </xdr:sp>
    <xdr:clientData/>
  </xdr:twoCellAnchor>
  <xdr:twoCellAnchor>
    <xdr:from>
      <xdr:col>12</xdr:col>
      <xdr:colOff>115455</xdr:colOff>
      <xdr:row>31</xdr:row>
      <xdr:rowOff>11158</xdr:rowOff>
    </xdr:from>
    <xdr:to>
      <xdr:col>13</xdr:col>
      <xdr:colOff>556978</xdr:colOff>
      <xdr:row>34</xdr:row>
      <xdr:rowOff>74659</xdr:rowOff>
    </xdr:to>
    <xdr:sp macro="" textlink="">
      <xdr:nvSpPr>
        <xdr:cNvPr id="122" name="Rectangle: Rounded Corners 121">
          <a:extLst>
            <a:ext uri="{FF2B5EF4-FFF2-40B4-BE49-F238E27FC236}">
              <a16:creationId xmlns:a16="http://schemas.microsoft.com/office/drawing/2014/main" id="{E13FC58D-13DB-9F25-ECE4-24917FE155AE}"/>
            </a:ext>
          </a:extLst>
        </xdr:cNvPr>
        <xdr:cNvSpPr/>
      </xdr:nvSpPr>
      <xdr:spPr>
        <a:xfrm>
          <a:off x="8197273" y="5976310"/>
          <a:ext cx="1115008" cy="640773"/>
        </a:xfrm>
        <a:prstGeom prst="roundRect">
          <a:avLst/>
        </a:prstGeom>
        <a:solidFill>
          <a:srgbClr val="E8F1E3"/>
        </a:solidFill>
        <a:ln>
          <a:noFill/>
        </a:ln>
        <a:effectLst>
          <a:outerShdw blurRad="190500" dist="38100" dir="2700000" algn="tl"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127453</xdr:colOff>
      <xdr:row>31</xdr:row>
      <xdr:rowOff>30009</xdr:rowOff>
    </xdr:from>
    <xdr:to>
      <xdr:col>14</xdr:col>
      <xdr:colOff>62001</xdr:colOff>
      <xdr:row>32</xdr:row>
      <xdr:rowOff>91623</xdr:rowOff>
    </xdr:to>
    <xdr:sp macro="" textlink="">
      <xdr:nvSpPr>
        <xdr:cNvPr id="123" name="TextBox 122">
          <a:extLst>
            <a:ext uri="{FF2B5EF4-FFF2-40B4-BE49-F238E27FC236}">
              <a16:creationId xmlns:a16="http://schemas.microsoft.com/office/drawing/2014/main" id="{9E9BE4F3-3E05-BF86-C3A9-497E3AA55A90}"/>
            </a:ext>
          </a:extLst>
        </xdr:cNvPr>
        <xdr:cNvSpPr txBox="1"/>
      </xdr:nvSpPr>
      <xdr:spPr>
        <a:xfrm>
          <a:off x="8209271" y="5995161"/>
          <a:ext cx="1281518" cy="2540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rgbClr val="415853"/>
              </a:solidFill>
            </a:rPr>
            <a:t>Sản lượng B</a:t>
          </a:r>
        </a:p>
      </xdr:txBody>
    </xdr:sp>
    <xdr:clientData/>
  </xdr:twoCellAnchor>
  <xdr:twoCellAnchor>
    <xdr:from>
      <xdr:col>11</xdr:col>
      <xdr:colOff>661625</xdr:colOff>
      <xdr:row>28</xdr:row>
      <xdr:rowOff>123991</xdr:rowOff>
    </xdr:from>
    <xdr:to>
      <xdr:col>13</xdr:col>
      <xdr:colOff>487312</xdr:colOff>
      <xdr:row>30</xdr:row>
      <xdr:rowOff>12070</xdr:rowOff>
    </xdr:to>
    <xdr:sp macro="" textlink="Pivot!$E$35">
      <xdr:nvSpPr>
        <xdr:cNvPr id="130" name="TextBox 129">
          <a:extLst>
            <a:ext uri="{FF2B5EF4-FFF2-40B4-BE49-F238E27FC236}">
              <a16:creationId xmlns:a16="http://schemas.microsoft.com/office/drawing/2014/main" id="{1141082D-30B4-7C51-5C83-3969ACB6477D}"/>
            </a:ext>
          </a:extLst>
        </xdr:cNvPr>
        <xdr:cNvSpPr txBox="1"/>
      </xdr:nvSpPr>
      <xdr:spPr>
        <a:xfrm>
          <a:off x="8069958" y="5511870"/>
          <a:ext cx="1172657" cy="2729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FCB7AE3E-1494-4B87-AE42-FBD1A6C00102}" type="TxLink">
            <a:rPr lang="en-US" sz="1200" b="1" i="0" u="none" strike="noStrike" baseline="0">
              <a:solidFill>
                <a:srgbClr val="415853"/>
              </a:solidFill>
              <a:latin typeface="Calibri"/>
              <a:ea typeface="Calibri"/>
              <a:cs typeface="Calibri"/>
            </a:rPr>
            <a:pPr algn="r"/>
            <a:t> -   </a:t>
          </a:fld>
          <a:endParaRPr lang="en-US" sz="1400" b="1" baseline="0">
            <a:solidFill>
              <a:srgbClr val="415853"/>
            </a:solidFill>
          </a:endParaRPr>
        </a:p>
      </xdr:txBody>
    </xdr:sp>
    <xdr:clientData/>
  </xdr:twoCellAnchor>
  <xdr:twoCellAnchor>
    <xdr:from>
      <xdr:col>11</xdr:col>
      <xdr:colOff>663212</xdr:colOff>
      <xdr:row>32</xdr:row>
      <xdr:rowOff>141453</xdr:rowOff>
    </xdr:from>
    <xdr:to>
      <xdr:col>13</xdr:col>
      <xdr:colOff>488899</xdr:colOff>
      <xdr:row>34</xdr:row>
      <xdr:rowOff>29532</xdr:rowOff>
    </xdr:to>
    <xdr:sp macro="" textlink="Pivot!$F$35">
      <xdr:nvSpPr>
        <xdr:cNvPr id="131" name="TextBox 130">
          <a:extLst>
            <a:ext uri="{FF2B5EF4-FFF2-40B4-BE49-F238E27FC236}">
              <a16:creationId xmlns:a16="http://schemas.microsoft.com/office/drawing/2014/main" id="{BC9DCB04-B62C-45BE-EA60-F26FF5006E1E}"/>
            </a:ext>
          </a:extLst>
        </xdr:cNvPr>
        <xdr:cNvSpPr txBox="1"/>
      </xdr:nvSpPr>
      <xdr:spPr>
        <a:xfrm>
          <a:off x="8071545" y="6299029"/>
          <a:ext cx="1172657" cy="2729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65E4C03F-DDD3-48A2-B562-05A4E12021A3}" type="TxLink">
            <a:rPr lang="en-US" sz="1200" b="1" i="0" u="none" strike="noStrike" baseline="0">
              <a:solidFill>
                <a:srgbClr val="415853"/>
              </a:solidFill>
              <a:latin typeface="Calibri"/>
              <a:ea typeface="Calibri"/>
              <a:cs typeface="Calibri"/>
            </a:rPr>
            <a:pPr algn="r"/>
            <a:t> 15.443 </a:t>
          </a:fld>
          <a:endParaRPr lang="en-US" sz="1400" b="1" baseline="0">
            <a:solidFill>
              <a:srgbClr val="415853"/>
            </a:solidFill>
          </a:endParaRPr>
        </a:p>
      </xdr:txBody>
    </xdr:sp>
    <xdr:clientData/>
  </xdr:twoCellAnchor>
  <xdr:twoCellAnchor>
    <xdr:from>
      <xdr:col>0</xdr:col>
      <xdr:colOff>181890</xdr:colOff>
      <xdr:row>106</xdr:row>
      <xdr:rowOff>32710</xdr:rowOff>
    </xdr:from>
    <xdr:to>
      <xdr:col>4</xdr:col>
      <xdr:colOff>106069</xdr:colOff>
      <xdr:row>110</xdr:row>
      <xdr:rowOff>37416</xdr:rowOff>
    </xdr:to>
    <xdr:sp macro="" textlink="">
      <xdr:nvSpPr>
        <xdr:cNvPr id="146" name="Rectangle: Rounded Corners 145">
          <a:extLst>
            <a:ext uri="{FF2B5EF4-FFF2-40B4-BE49-F238E27FC236}">
              <a16:creationId xmlns:a16="http://schemas.microsoft.com/office/drawing/2014/main" id="{A7AC1BE1-E278-C944-B06B-EB46EF365D32}"/>
            </a:ext>
          </a:extLst>
        </xdr:cNvPr>
        <xdr:cNvSpPr/>
      </xdr:nvSpPr>
      <xdr:spPr>
        <a:xfrm>
          <a:off x="181890" y="20429680"/>
          <a:ext cx="2618118" cy="774403"/>
        </a:xfrm>
        <a:prstGeom prst="roundRect">
          <a:avLst/>
        </a:prstGeom>
        <a:solidFill>
          <a:schemeClr val="bg1"/>
        </a:solidFill>
        <a:ln>
          <a:noFill/>
        </a:ln>
        <a:effectLst>
          <a:outerShdw blurRad="139700" dist="38100" dir="2700000" algn="tl" rotWithShape="0">
            <a:prstClr val="black">
              <a:alpha val="2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137231</xdr:colOff>
      <xdr:row>106</xdr:row>
      <xdr:rowOff>4443</xdr:rowOff>
    </xdr:from>
    <xdr:to>
      <xdr:col>3</xdr:col>
      <xdr:colOff>423333</xdr:colOff>
      <xdr:row>107</xdr:row>
      <xdr:rowOff>134697</xdr:rowOff>
    </xdr:to>
    <xdr:sp macro="" textlink="">
      <xdr:nvSpPr>
        <xdr:cNvPr id="147" name="TextBox 146">
          <a:extLst>
            <a:ext uri="{FF2B5EF4-FFF2-40B4-BE49-F238E27FC236}">
              <a16:creationId xmlns:a16="http://schemas.microsoft.com/office/drawing/2014/main" id="{23A9D426-C94A-A9EC-139E-DA2956E11111}"/>
            </a:ext>
          </a:extLst>
        </xdr:cNvPr>
        <xdr:cNvSpPr txBox="1"/>
      </xdr:nvSpPr>
      <xdr:spPr>
        <a:xfrm>
          <a:off x="137231" y="20401413"/>
          <a:ext cx="2306557" cy="3226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rgbClr val="415853"/>
              </a:solidFill>
            </a:rPr>
            <a:t>Tiêu hao Cục + Cám (% Cám)</a:t>
          </a:r>
        </a:p>
      </xdr:txBody>
    </xdr:sp>
    <xdr:clientData/>
  </xdr:twoCellAnchor>
  <xdr:twoCellAnchor>
    <xdr:from>
      <xdr:col>1</xdr:col>
      <xdr:colOff>616549</xdr:colOff>
      <xdr:row>107</xdr:row>
      <xdr:rowOff>156968</xdr:rowOff>
    </xdr:from>
    <xdr:to>
      <xdr:col>3</xdr:col>
      <xdr:colOff>545058</xdr:colOff>
      <xdr:row>109</xdr:row>
      <xdr:rowOff>55943</xdr:rowOff>
    </xdr:to>
    <xdr:sp macro="" textlink="Pivot!$AU$10">
      <xdr:nvSpPr>
        <xdr:cNvPr id="148" name="TextBox 147">
          <a:extLst>
            <a:ext uri="{FF2B5EF4-FFF2-40B4-BE49-F238E27FC236}">
              <a16:creationId xmlns:a16="http://schemas.microsoft.com/office/drawing/2014/main" id="{BF3D6406-60B6-F423-A36A-E931E78A5BF4}"/>
            </a:ext>
          </a:extLst>
        </xdr:cNvPr>
        <xdr:cNvSpPr txBox="1"/>
      </xdr:nvSpPr>
      <xdr:spPr>
        <a:xfrm>
          <a:off x="1290034" y="20746362"/>
          <a:ext cx="1275479" cy="2838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2425ACFB-DF3B-4348-B8A5-4ADC7BA0075D}" type="TxLink">
            <a:rPr lang="en-US" sz="1800" b="1" i="0" u="none" strike="noStrike" baseline="0">
              <a:solidFill>
                <a:srgbClr val="415853"/>
              </a:solidFill>
              <a:latin typeface="Calibri"/>
              <a:ea typeface="Calibri"/>
              <a:cs typeface="Calibri"/>
            </a:rPr>
            <a:pPr algn="r"/>
            <a:t> 2,68 </a:t>
          </a:fld>
          <a:endParaRPr lang="en-US" sz="34400" b="1" baseline="0">
            <a:solidFill>
              <a:srgbClr val="415853"/>
            </a:solidFill>
          </a:endParaRPr>
        </a:p>
      </xdr:txBody>
    </xdr:sp>
    <xdr:clientData/>
  </xdr:twoCellAnchor>
  <xdr:twoCellAnchor>
    <xdr:from>
      <xdr:col>4</xdr:col>
      <xdr:colOff>193571</xdr:colOff>
      <xdr:row>106</xdr:row>
      <xdr:rowOff>51749</xdr:rowOff>
    </xdr:from>
    <xdr:to>
      <xdr:col>8</xdr:col>
      <xdr:colOff>21167</xdr:colOff>
      <xdr:row>110</xdr:row>
      <xdr:rowOff>56455</xdr:rowOff>
    </xdr:to>
    <xdr:sp macro="" textlink="">
      <xdr:nvSpPr>
        <xdr:cNvPr id="149" name="Rectangle: Rounded Corners 148">
          <a:extLst>
            <a:ext uri="{FF2B5EF4-FFF2-40B4-BE49-F238E27FC236}">
              <a16:creationId xmlns:a16="http://schemas.microsoft.com/office/drawing/2014/main" id="{6797BABF-26EB-08ED-3D77-8FE2053A3A7B}"/>
            </a:ext>
          </a:extLst>
        </xdr:cNvPr>
        <xdr:cNvSpPr/>
      </xdr:nvSpPr>
      <xdr:spPr>
        <a:xfrm>
          <a:off x="2874682" y="21740527"/>
          <a:ext cx="2508707" cy="823150"/>
        </a:xfrm>
        <a:prstGeom prst="roundRect">
          <a:avLst/>
        </a:prstGeom>
        <a:solidFill>
          <a:schemeClr val="bg1"/>
        </a:solidFill>
        <a:ln>
          <a:noFill/>
        </a:ln>
        <a:effectLst>
          <a:outerShdw blurRad="139700" dist="38100" dir="2700000" algn="tl" rotWithShape="0">
            <a:prstClr val="black">
              <a:alpha val="2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280283</xdr:colOff>
      <xdr:row>106</xdr:row>
      <xdr:rowOff>59184</xdr:rowOff>
    </xdr:from>
    <xdr:to>
      <xdr:col>7</xdr:col>
      <xdr:colOff>413712</xdr:colOff>
      <xdr:row>107</xdr:row>
      <xdr:rowOff>144317</xdr:rowOff>
    </xdr:to>
    <xdr:sp macro="" textlink="">
      <xdr:nvSpPr>
        <xdr:cNvPr id="150" name="TextBox 149">
          <a:extLst>
            <a:ext uri="{FF2B5EF4-FFF2-40B4-BE49-F238E27FC236}">
              <a16:creationId xmlns:a16="http://schemas.microsoft.com/office/drawing/2014/main" id="{F0AE787B-5883-1EF6-B673-7F22B7A97C48}"/>
            </a:ext>
          </a:extLst>
        </xdr:cNvPr>
        <xdr:cNvSpPr txBox="1"/>
      </xdr:nvSpPr>
      <xdr:spPr>
        <a:xfrm>
          <a:off x="2974222" y="20456154"/>
          <a:ext cx="2153884" cy="2775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rgbClr val="415853"/>
              </a:solidFill>
            </a:rPr>
            <a:t>Tiêu hao Cục + Cám + Lĩnh bù )KG)</a:t>
          </a:r>
        </a:p>
      </xdr:txBody>
    </xdr:sp>
    <xdr:clientData/>
  </xdr:twoCellAnchor>
  <xdr:twoCellAnchor>
    <xdr:from>
      <xdr:col>5</xdr:col>
      <xdr:colOff>565430</xdr:colOff>
      <xdr:row>107</xdr:row>
      <xdr:rowOff>183147</xdr:rowOff>
    </xdr:from>
    <xdr:to>
      <xdr:col>7</xdr:col>
      <xdr:colOff>604174</xdr:colOff>
      <xdr:row>109</xdr:row>
      <xdr:rowOff>75163</xdr:rowOff>
    </xdr:to>
    <xdr:sp macro="" textlink="Pivot!$AW$10">
      <xdr:nvSpPr>
        <xdr:cNvPr id="151" name="TextBox 150">
          <a:extLst>
            <a:ext uri="{FF2B5EF4-FFF2-40B4-BE49-F238E27FC236}">
              <a16:creationId xmlns:a16="http://schemas.microsoft.com/office/drawing/2014/main" id="{40171FD3-1AA9-E69D-F2AC-F2228AB1750E}"/>
            </a:ext>
          </a:extLst>
        </xdr:cNvPr>
        <xdr:cNvSpPr txBox="1"/>
      </xdr:nvSpPr>
      <xdr:spPr>
        <a:xfrm>
          <a:off x="3932854" y="20772541"/>
          <a:ext cx="1385714" cy="2768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93B1A3F2-B945-4394-A27C-E1BE3682D4F7}" type="TxLink">
            <a:rPr lang="en-US" sz="1800" b="1" i="0" u="none" strike="noStrike" baseline="0">
              <a:solidFill>
                <a:srgbClr val="415853"/>
              </a:solidFill>
              <a:latin typeface="Calibri"/>
              <a:ea typeface="Calibri"/>
              <a:cs typeface="Calibri"/>
            </a:rPr>
            <a:pPr algn="r"/>
            <a:t> 2,71 </a:t>
          </a:fld>
          <a:endParaRPr lang="en-US" sz="59500" b="1" baseline="0">
            <a:solidFill>
              <a:srgbClr val="415853"/>
            </a:solidFill>
          </a:endParaRPr>
        </a:p>
      </xdr:txBody>
    </xdr:sp>
    <xdr:clientData/>
  </xdr:twoCellAnchor>
  <xdr:twoCellAnchor editAs="oneCell">
    <xdr:from>
      <xdr:col>0</xdr:col>
      <xdr:colOff>292302</xdr:colOff>
      <xdr:row>6</xdr:row>
      <xdr:rowOff>58649</xdr:rowOff>
    </xdr:from>
    <xdr:to>
      <xdr:col>4</xdr:col>
      <xdr:colOff>434539</xdr:colOff>
      <xdr:row>12</xdr:row>
      <xdr:rowOff>167476</xdr:rowOff>
    </xdr:to>
    <mc:AlternateContent xmlns:mc="http://schemas.openxmlformats.org/markup-compatibility/2006" xmlns:a14="http://schemas.microsoft.com/office/drawing/2010/main">
      <mc:Choice Requires="a14">
        <xdr:graphicFrame macro="">
          <xdr:nvGraphicFramePr>
            <xdr:cNvPr id="6" name="Tháng 4">
              <a:extLst>
                <a:ext uri="{FF2B5EF4-FFF2-40B4-BE49-F238E27FC236}">
                  <a16:creationId xmlns:a16="http://schemas.microsoft.com/office/drawing/2014/main" id="{55983563-DAA6-EE23-7317-DB23012F7EB1}"/>
                </a:ext>
              </a:extLst>
            </xdr:cNvPr>
            <xdr:cNvGraphicFramePr/>
          </xdr:nvGraphicFramePr>
          <xdr:xfrm>
            <a:off x="0" y="0"/>
            <a:ext cx="0" cy="0"/>
          </xdr:xfrm>
          <a:graphic>
            <a:graphicData uri="http://schemas.microsoft.com/office/drawing/2010/slicer">
              <sle:slicer xmlns:sle="http://schemas.microsoft.com/office/drawing/2010/slicer" name="Tháng 4"/>
            </a:graphicData>
          </a:graphic>
        </xdr:graphicFrame>
      </mc:Choice>
      <mc:Fallback xmlns="">
        <xdr:sp macro="" textlink="">
          <xdr:nvSpPr>
            <xdr:cNvPr id="0" name=""/>
            <xdr:cNvSpPr>
              <a:spLocks noTextEdit="1"/>
            </xdr:cNvSpPr>
          </xdr:nvSpPr>
          <xdr:spPr>
            <a:xfrm>
              <a:off x="292302" y="1268884"/>
              <a:ext cx="3130472" cy="13190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337126</xdr:colOff>
      <xdr:row>6</xdr:row>
      <xdr:rowOff>51179</xdr:rowOff>
    </xdr:from>
    <xdr:to>
      <xdr:col>4</xdr:col>
      <xdr:colOff>479363</xdr:colOff>
      <xdr:row>12</xdr:row>
      <xdr:rowOff>160006</xdr:rowOff>
    </xdr:to>
    <mc:AlternateContent xmlns:mc="http://schemas.openxmlformats.org/markup-compatibility/2006" xmlns:a14="http://schemas.microsoft.com/office/drawing/2010/main">
      <mc:Choice Requires="a14">
        <xdr:graphicFrame macro="">
          <xdr:nvGraphicFramePr>
            <xdr:cNvPr id="7" name="Tháng 5">
              <a:extLst>
                <a:ext uri="{FF2B5EF4-FFF2-40B4-BE49-F238E27FC236}">
                  <a16:creationId xmlns:a16="http://schemas.microsoft.com/office/drawing/2014/main" id="{78951622-6563-76EF-1447-EBC64E5795CB}"/>
                </a:ext>
              </a:extLst>
            </xdr:cNvPr>
            <xdr:cNvGraphicFramePr/>
          </xdr:nvGraphicFramePr>
          <xdr:xfrm>
            <a:off x="0" y="0"/>
            <a:ext cx="0" cy="0"/>
          </xdr:xfrm>
          <a:graphic>
            <a:graphicData uri="http://schemas.microsoft.com/office/drawing/2010/slicer">
              <sle:slicer xmlns:sle="http://schemas.microsoft.com/office/drawing/2010/slicer" name="Tháng 5"/>
            </a:graphicData>
          </a:graphic>
        </xdr:graphicFrame>
      </mc:Choice>
      <mc:Fallback xmlns="">
        <xdr:sp macro="" textlink="">
          <xdr:nvSpPr>
            <xdr:cNvPr id="0" name=""/>
            <xdr:cNvSpPr>
              <a:spLocks noTextEdit="1"/>
            </xdr:cNvSpPr>
          </xdr:nvSpPr>
          <xdr:spPr>
            <a:xfrm>
              <a:off x="337126" y="1261414"/>
              <a:ext cx="3130472" cy="13190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344596</xdr:colOff>
      <xdr:row>6</xdr:row>
      <xdr:rowOff>13826</xdr:rowOff>
    </xdr:from>
    <xdr:to>
      <xdr:col>4</xdr:col>
      <xdr:colOff>486833</xdr:colOff>
      <xdr:row>12</xdr:row>
      <xdr:rowOff>112057</xdr:rowOff>
    </xdr:to>
    <mc:AlternateContent xmlns:mc="http://schemas.openxmlformats.org/markup-compatibility/2006" xmlns:a14="http://schemas.microsoft.com/office/drawing/2010/main">
      <mc:Choice Requires="a14">
        <xdr:graphicFrame macro="">
          <xdr:nvGraphicFramePr>
            <xdr:cNvPr id="8" name="Tháng 6">
              <a:extLst>
                <a:ext uri="{FF2B5EF4-FFF2-40B4-BE49-F238E27FC236}">
                  <a16:creationId xmlns:a16="http://schemas.microsoft.com/office/drawing/2014/main" id="{81466459-5F93-A9D0-59CB-5620F796621F}"/>
                </a:ext>
              </a:extLst>
            </xdr:cNvPr>
            <xdr:cNvGraphicFramePr/>
          </xdr:nvGraphicFramePr>
          <xdr:xfrm>
            <a:off x="0" y="0"/>
            <a:ext cx="0" cy="0"/>
          </xdr:xfrm>
          <a:graphic>
            <a:graphicData uri="http://schemas.microsoft.com/office/drawing/2010/slicer">
              <sle:slicer xmlns:sle="http://schemas.microsoft.com/office/drawing/2010/slicer" name="Tháng 6"/>
            </a:graphicData>
          </a:graphic>
        </xdr:graphicFrame>
      </mc:Choice>
      <mc:Fallback xmlns="">
        <xdr:sp macro="" textlink="">
          <xdr:nvSpPr>
            <xdr:cNvPr id="0" name=""/>
            <xdr:cNvSpPr>
              <a:spLocks noTextEdit="1"/>
            </xdr:cNvSpPr>
          </xdr:nvSpPr>
          <xdr:spPr>
            <a:xfrm>
              <a:off x="344596" y="1224061"/>
              <a:ext cx="3130472" cy="13084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262419</xdr:colOff>
      <xdr:row>6</xdr:row>
      <xdr:rowOff>88532</xdr:rowOff>
    </xdr:from>
    <xdr:to>
      <xdr:col>4</xdr:col>
      <xdr:colOff>366059</xdr:colOff>
      <xdr:row>12</xdr:row>
      <xdr:rowOff>74705</xdr:rowOff>
    </xdr:to>
    <mc:AlternateContent xmlns:mc="http://schemas.openxmlformats.org/markup-compatibility/2006" xmlns:a14="http://schemas.microsoft.com/office/drawing/2010/main">
      <mc:Choice Requires="a14">
        <xdr:graphicFrame macro="">
          <xdr:nvGraphicFramePr>
            <xdr:cNvPr id="11" name="Tháng 7">
              <a:extLst>
                <a:ext uri="{FF2B5EF4-FFF2-40B4-BE49-F238E27FC236}">
                  <a16:creationId xmlns:a16="http://schemas.microsoft.com/office/drawing/2014/main" id="{861A5BD3-B626-22F6-A154-AACBDB00E29D}"/>
                </a:ext>
              </a:extLst>
            </xdr:cNvPr>
            <xdr:cNvGraphicFramePr/>
          </xdr:nvGraphicFramePr>
          <xdr:xfrm>
            <a:off x="0" y="0"/>
            <a:ext cx="0" cy="0"/>
          </xdr:xfrm>
          <a:graphic>
            <a:graphicData uri="http://schemas.microsoft.com/office/drawing/2010/slicer">
              <sle:slicer xmlns:sle="http://schemas.microsoft.com/office/drawing/2010/slicer" name="Tháng 7"/>
            </a:graphicData>
          </a:graphic>
        </xdr:graphicFrame>
      </mc:Choice>
      <mc:Fallback xmlns="">
        <xdr:sp macro="" textlink="">
          <xdr:nvSpPr>
            <xdr:cNvPr id="0" name=""/>
            <xdr:cNvSpPr>
              <a:spLocks noTextEdit="1"/>
            </xdr:cNvSpPr>
          </xdr:nvSpPr>
          <xdr:spPr>
            <a:xfrm>
              <a:off x="262419" y="1298767"/>
              <a:ext cx="3091875" cy="11964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macos/Desktop/KH-MT%20THA&#769;NG/Ke&#770;&#769;%20hoa&#803;ch%20va&#768;%20Mu&#803;c%20tie&#770;u%20tha&#769;ng.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macos/Desktop/Ba&#769;o%20ca&#769;o%20Se&#770;&#769;p%20Vie&#803;&#770;n%20ha&#768;ng%20tha&#769;ng%202%20DC/BC%20NA&#774;M%202024/BC%20THAN%20NA&#774;M%202024/ba&#769;o%20ca&#769;o%20su&#795;&#777;%20du&#803;ng%20than%206%20tha&#769;ng%20cuo&#770;&#769;i%20na&#774;m%202024%20&#273;u&#769;ng.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macos/Desktop/KH-MT%20THA&#769;NG/KH-MT%20Tha&#769;ng%208%20na&#774;m%202025.xlsx" TargetMode="External"/><Relationship Id="rId1" Type="http://schemas.openxmlformats.org/officeDocument/2006/relationships/externalLinkPath" Target="KH-MT%20THA&#769;NG/KH-MT%20Tha&#769;ng%208%20na&#774;m%2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H-MY MỚI 2025 (OK)"/>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6 tháng cuối năm a viện"/>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háng 8"/>
      <sheetName val="Tháng 9"/>
      <sheetName val="Tháng 10"/>
    </sheetNames>
    <sheetDataSet>
      <sheetData sheetId="0"/>
      <sheetData sheetId="1"/>
      <sheetData sheetId="2">
        <row r="26">
          <cell r="J26">
            <v>15015.167999999998</v>
          </cell>
        </row>
        <row r="28">
          <cell r="J28">
            <v>13788.6</v>
          </cell>
        </row>
        <row r="42">
          <cell r="J42">
            <v>15718.2</v>
          </cell>
        </row>
        <row r="48">
          <cell r="J48">
            <v>15315.471359999998</v>
          </cell>
        </row>
        <row r="50">
          <cell r="J50">
            <v>14064.372000000001</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269.452417708337" createdVersion="8" refreshedVersion="8" minRefreshableVersion="3" recordCount="78" xr:uid="{2D4E56C8-9345-4B94-924C-B9EAC9180CBF}">
  <cacheSource type="worksheet">
    <worksheetSource name="Table3"/>
  </cacheSource>
  <cacheFields count="23">
    <cacheField name="STT" numFmtId="0">
      <sharedItems containsMixedTypes="1" containsNumber="1" containsInteger="1" minValue="1" maxValue="64"/>
    </cacheField>
    <cacheField name="Tháng" numFmtId="0">
      <sharedItems containsString="0" containsBlank="1" containsNumber="1" containsInteger="1" minValue="1" maxValue="12" count="13">
        <n v="1"/>
        <n v="3"/>
        <n v="4"/>
        <n v="5"/>
        <n v="6"/>
        <n v="7"/>
        <n v="8"/>
        <m/>
        <n v="2" u="1"/>
        <n v="9" u="1"/>
        <n v="10" u="1"/>
        <n v="11" u="1"/>
        <n v="12" u="1"/>
      </sharedItems>
    </cacheField>
    <cacheField name="DC" numFmtId="0">
      <sharedItems containsBlank="1" count="3">
        <s v="DC1"/>
        <s v="DC2"/>
        <m/>
      </sharedItems>
    </cacheField>
    <cacheField name="Kích thước" numFmtId="0">
      <sharedItems containsBlank="1" count="5">
        <s v="30x60"/>
        <s v="40x80"/>
        <s v="50x50"/>
        <m/>
        <s v="60x60" u="1"/>
      </sharedItems>
    </cacheField>
    <cacheField name="Tên than" numFmtId="0">
      <sharedItems containsBlank="1" count="5">
        <s v="Hưng Tam Long"/>
        <s v="Hải Thành"/>
        <m/>
        <s v="Đức Anh" u="1"/>
        <s v="Thịnh Huyền" u="1"/>
      </sharedItems>
    </cacheField>
    <cacheField name="Kho" numFmtId="0">
      <sharedItems containsBlank="1"/>
    </cacheField>
    <cacheField name="Ngày nhập" numFmtId="0">
      <sharedItems containsDate="1" containsBlank="1" containsMixedTypes="1" minDate="2025-12-30T00:00:00" maxDate="2025-12-31T00:00:00"/>
    </cacheField>
    <cacheField name="Loại đốt lò" numFmtId="0">
      <sharedItems containsBlank="1"/>
    </cacheField>
    <cacheField name="Nhiệt trị" numFmtId="0">
      <sharedItems containsString="0" containsBlank="1" containsNumber="1" containsInteger="1" minValue="7276" maxValue="7805"/>
    </cacheField>
    <cacheField name="Tỷ lệ cám" numFmtId="0">
      <sharedItems containsBlank="1" containsMixedTypes="1" containsNumber="1" minValue="0.115" maxValue="0.24099999999999999"/>
    </cacheField>
    <cacheField name="Tỷ lệ xít đá" numFmtId="0">
      <sharedItems containsBlank="1" containsMixedTypes="1" containsNumber="1" minValue="2.4500000000000001E-2" maxValue="8.7999999999999995E-2"/>
    </cacheField>
    <cacheField name="KL Lĩnh " numFmtId="164">
      <sharedItems containsString="0" containsBlank="1" containsNumber="1" containsInteger="1" minValue="387" maxValue="865300"/>
    </cacheField>
    <cacheField name="Sản lượng" numFmtId="164">
      <sharedItems containsString="0" containsBlank="1" containsNumber="1" minValue="1699" maxValue="354969"/>
    </cacheField>
    <cacheField name="Tiêu hao" numFmtId="2">
      <sharedItems containsMixedTypes="1" containsNumber="1" minValue="1.7090536185174334" maxValue="3.4850082372322899"/>
    </cacheField>
    <cacheField name="Xuất cám" numFmtId="164">
      <sharedItems containsString="0" containsBlank="1" containsNumber="1" containsInteger="1" minValue="60" maxValue="153618"/>
    </cacheField>
    <cacheField name="% Xuất cám" numFmtId="10">
      <sharedItems containsString="0" containsBlank="1" containsNumber="1" minValue="6.8434081290425622E-2" maxValue="0.17812438316778953"/>
    </cacheField>
    <cacheField name="Tiêu hao (có cám)" numFmtId="2">
      <sharedItems containsMixedTypes="1" containsNumber="1" minValue="1.8346029885731028" maxValue="4.1380560131795718"/>
    </cacheField>
    <cacheField name="Lĩnh bù" numFmtId="0">
      <sharedItems containsString="0" containsBlank="1" containsNumber="1" containsInteger="1" minValue="0" maxValue="11256"/>
    </cacheField>
    <cacheField name="Tiêu hao (cục+cám+lĩnh bù)" numFmtId="0">
      <sharedItems containsBlank="1" containsMixedTypes="1" containsNumber="1" minValue="1.8346029885731028" maxValue="4.1380560131795718"/>
    </cacheField>
    <cacheField name="Ghi chú" numFmtId="0">
      <sharedItems containsBlank="1"/>
    </cacheField>
    <cacheField name="Field1" numFmtId="0" formula="'KL Lĩnh '/'Sản lượng'" databaseField="0"/>
    <cacheField name="Field2" numFmtId="0" formula="('Xuất cám'+'KL Lĩnh ')/'Sản lượng'" databaseField="0"/>
    <cacheField name="Field3" numFmtId="0" formula="('KL Lĩnh '+'Lĩnh bù'+'Xuất cám')/'Sản lượng'" databaseField="0"/>
  </cacheFields>
  <extLst>
    <ext xmlns:x14="http://schemas.microsoft.com/office/spreadsheetml/2009/9/main" uri="{725AE2AE-9491-48be-B2B4-4EB974FC3084}">
      <x14:pivotCacheDefinition pivotCacheId="22234720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269.452418749999" createdVersion="8" refreshedVersion="8" minRefreshableVersion="3" recordCount="971" xr:uid="{15142C3B-5CE1-4F7E-82CA-89F66C722B4A}">
  <cacheSource type="worksheet">
    <worksheetSource name="Table2"/>
  </cacheSource>
  <cacheFields count="9">
    <cacheField name="STT" numFmtId="0">
      <sharedItems containsMixedTypes="1" containsNumber="1" containsInteger="1" minValue="1" maxValue="477"/>
    </cacheField>
    <cacheField name="Tháng" numFmtId="0">
      <sharedItems containsString="0" containsBlank="1" containsNumber="1" containsInteger="1" minValue="1" maxValue="12" count="13">
        <n v="1"/>
        <n v="3"/>
        <n v="4"/>
        <n v="5"/>
        <n v="6"/>
        <n v="7"/>
        <n v="8"/>
        <m/>
        <n v="2" u="1"/>
        <n v="9" u="1"/>
        <n v="10" u="1"/>
        <n v="11" u="1"/>
        <n v="12" u="1"/>
      </sharedItems>
    </cacheField>
    <cacheField name="Dây chuyền" numFmtId="0">
      <sharedItems containsBlank="1" count="3">
        <s v="DC1"/>
        <s v="DC2"/>
        <m/>
      </sharedItems>
    </cacheField>
    <cacheField name="Kích thước" numFmtId="0">
      <sharedItems containsBlank="1" count="5">
        <s v="30x60"/>
        <s v="40x80"/>
        <s v="50x50"/>
        <m/>
        <s v="60x60" u="1"/>
      </sharedItems>
    </cacheField>
    <cacheField name="Men" numFmtId="0">
      <sharedItems containsBlank="1" count="6">
        <s v="Phương Nam"/>
        <s v="Panson"/>
        <s v="Sugar Sân vườn"/>
        <s v="Matt"/>
        <s v="Bóng"/>
        <m/>
      </sharedItems>
    </cacheField>
    <cacheField name="Thương hiệu" numFmtId="164">
      <sharedItems containsBlank="1" count="24">
        <s v="Grandcera chung"/>
        <s v="Crovina"/>
        <s v="Sahado"/>
        <s v="Green Home"/>
        <s v="Lustile"/>
        <s v="Pana Tile"/>
        <s v="Top One"/>
        <s v="Luxury"/>
        <s v="Crown"/>
        <s v="Havira"/>
        <s v="Espana"/>
        <s v="Green Era"/>
        <s v="Xanh Tím"/>
        <s v="Vidona"/>
        <s v="Karpo"/>
        <s v="Trang Hoàng Phương"/>
        <s v="VinaPhacon"/>
        <s v="Grandcera"/>
        <s v="Padova"/>
        <m/>
        <s v="Grandcera " u="1"/>
        <s v="HARIVA" u="1"/>
        <s v="Pana Tiles" u="1"/>
        <s v="Unitile" u="1"/>
      </sharedItems>
    </cacheField>
    <cacheField name="Loại" numFmtId="164">
      <sharedItems containsBlank="1" count="4">
        <s v="A1"/>
        <s v="A"/>
        <s v="B"/>
        <m/>
      </sharedItems>
    </cacheField>
    <cacheField name="Sản lượng" numFmtId="164">
      <sharedItems containsString="0" containsBlank="1" containsNumber="1" minValue="0" maxValue="265487.03999999998"/>
    </cacheField>
    <cacheField name="Column1" numFmtId="0">
      <sharedItems containsNonDate="0" containsString="0" containsBlank="1"/>
    </cacheField>
  </cacheFields>
  <extLst>
    <ext xmlns:x14="http://schemas.microsoft.com/office/spreadsheetml/2009/9/main" uri="{725AE2AE-9491-48be-B2B4-4EB974FC3084}">
      <x14:pivotCacheDefinition pivotCacheId="893767876"/>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269.452419328707" createdVersion="8" refreshedVersion="8" minRefreshableVersion="3" recordCount="281" xr:uid="{F5BA4697-24AC-47E9-92C9-CDE5B68C2BC8}">
  <cacheSource type="worksheet">
    <worksheetSource name="Table4"/>
  </cacheSource>
  <cacheFields count="17">
    <cacheField name="STT" numFmtId="0">
      <sharedItems containsMixedTypes="1" containsNumber="1" containsInteger="1" minValue="1" maxValue="259"/>
    </cacheField>
    <cacheField name="Tháng" numFmtId="0">
      <sharedItems containsString="0" containsBlank="1" containsNumber="1" containsInteger="1" minValue="1" maxValue="12" count="13">
        <n v="1"/>
        <n v="3"/>
        <n v="4"/>
        <n v="5"/>
        <n v="6"/>
        <n v="7"/>
        <n v="8"/>
        <m/>
        <n v="2" u="1"/>
        <n v="9" u="1"/>
        <n v="10" u="1"/>
        <n v="11" u="1"/>
        <n v="12" u="1"/>
      </sharedItems>
    </cacheField>
    <cacheField name="DC" numFmtId="0">
      <sharedItems containsBlank="1" count="3">
        <s v="DC1"/>
        <s v="DC2"/>
        <m/>
      </sharedItems>
    </cacheField>
    <cacheField name="Kích thước" numFmtId="0">
      <sharedItems containsBlank="1" count="5">
        <s v="30x60"/>
        <s v="40x80"/>
        <s v="50x50"/>
        <m/>
        <s v="60x60" u="1"/>
      </sharedItems>
    </cacheField>
    <cacheField name="Nguyên liệu, vật tư" numFmtId="0">
      <sharedItems containsBlank="1" count="26">
        <s v="Nguyên liệu xương"/>
        <s v="Men EWB"/>
        <s v="Men EWM"/>
        <s v="Men EWP"/>
        <s v="Men GWB"/>
        <s v="Men GWP"/>
        <s v="Men GWM"/>
        <s v="Bao bì"/>
        <s v="Ke góc"/>
        <s v="Dây đai hộp"/>
        <s v="Bi trung nhôm"/>
        <s v="Bi cao nhôm (Grand)"/>
        <s v="Bi cao nhôm (Luxury)"/>
        <s v="Vỏ Điều"/>
        <s v="Dây đai pét"/>
        <s v="Nan Nẹp"/>
        <s v="Pallet"/>
        <s v="Màng co PE khổ 500mm"/>
        <s v="Men EFM"/>
        <s v="Men GFM"/>
        <s v="Men SFSV"/>
        <s v="Men EFSV"/>
        <s v="Men EFB"/>
        <s v="Men GFB"/>
        <m/>
        <s v="Bi trung nhôm (Grand)" u="1"/>
      </sharedItems>
    </cacheField>
    <cacheField name="ĐVT" numFmtId="0">
      <sharedItems/>
    </cacheField>
    <cacheField name="Định mức tiêu hao" numFmtId="0">
      <sharedItems containsString="0" containsBlank="1" containsNumber="1" minValue="1.2999999999999999E-3" maxValue="21.26"/>
    </cacheField>
    <cacheField name="Thực tế" numFmtId="0">
      <sharedItems containsSemiMixedTypes="0" containsString="0" containsNumber="1" minValue="0" maxValue="33.609523809523807"/>
    </cacheField>
    <cacheField name="Lượng SD" numFmtId="164">
      <sharedItems containsString="0" containsBlank="1" containsNumber="1" minValue="0" maxValue="9563504.2300000004"/>
    </cacheField>
    <cacheField name="Giảm ĐM" numFmtId="164">
      <sharedItems containsBlank="1" containsMixedTypes="1" containsNumber="1" minValue="0" maxValue="346561.53000000044"/>
    </cacheField>
    <cacheField name="Vượt ĐM" numFmtId="164">
      <sharedItems containsMixedTypes="1" containsNumber="1" minValue="0" maxValue="260567.9184"/>
    </cacheField>
    <cacheField name="Sản lượng thực tế" numFmtId="43">
      <sharedItems containsSemiMixedTypes="0" containsString="0" containsNumber="1" minValue="0" maxValue="495444.96"/>
    </cacheField>
    <cacheField name="Chênh lệch tiêu hao" numFmtId="0" formula="'Định mức tiêu hao'-'Thực tế'" databaseField="0"/>
    <cacheField name="Tiêu hao thực tế" numFmtId="0" formula="'Lượng SD'/'Sản lượng thực tế'" databaseField="0"/>
    <cacheField name="Field1" numFmtId="0" formula=" ('Tiêu hao thực tế'-'Định mức tiêu hao')/'Sản lượng thực tế'" databaseField="0"/>
    <cacheField name="Tăng giảm định mức" numFmtId="0" formula="-('Tiêu hao thực tế'-'Định mức tiêu hao')*'Sản lượng thực tế'" databaseField="0"/>
    <cacheField name="Field2" numFmtId="0" formula="'Lượng SD'-'Định mức tiêu hao'*'Sản lượng thực tế'" databaseField="0"/>
  </cacheFields>
  <extLst>
    <ext xmlns:x14="http://schemas.microsoft.com/office/spreadsheetml/2009/9/main" uri="{725AE2AE-9491-48be-B2B4-4EB974FC3084}">
      <x14:pivotCacheDefinition pivotCacheId="1650882196"/>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269.452420023146" createdVersion="8" refreshedVersion="8" minRefreshableVersion="3" recordCount="73" xr:uid="{5D083131-E437-4228-A8E0-666D4AB3ADA8}">
  <cacheSource type="worksheet">
    <worksheetSource name="Table1"/>
  </cacheSource>
  <cacheFields count="23">
    <cacheField name="STT" numFmtId="0">
      <sharedItems containsMixedTypes="1" containsNumber="1" containsInteger="1" minValue="1" maxValue="72"/>
    </cacheField>
    <cacheField name="Tháng" numFmtId="0">
      <sharedItems containsString="0" containsBlank="1" containsNumber="1" containsInteger="1" minValue="1" maxValue="12" count="13">
        <n v="1"/>
        <n v="3"/>
        <n v="4"/>
        <n v="5"/>
        <n v="6"/>
        <n v="7"/>
        <n v="8"/>
        <m/>
        <n v="2" u="1"/>
        <n v="9" u="1"/>
        <n v="10" u="1"/>
        <n v="11" u="1"/>
        <n v="12" u="1"/>
      </sharedItems>
    </cacheField>
    <cacheField name="Dây chuyền" numFmtId="0">
      <sharedItems containsBlank="1" count="3">
        <s v="DC1"/>
        <s v="DC2"/>
        <m/>
      </sharedItems>
    </cacheField>
    <cacheField name="Kích thước" numFmtId="0">
      <sharedItems containsBlank="1" count="5">
        <s v="30x60"/>
        <s v="40x80"/>
        <s v="50x50"/>
        <m/>
        <s v="60x60" u="1"/>
      </sharedItems>
    </cacheField>
    <cacheField name="Loại số liệu" numFmtId="0">
      <sharedItems containsBlank="1" count="3">
        <s v="Kế hoạch"/>
        <s v="Thực hiện"/>
        <m/>
      </sharedItems>
    </cacheField>
    <cacheField name="Đơn vị" numFmtId="0">
      <sharedItems containsBlank="1" count="3">
        <s v="m2"/>
        <s v="%"/>
        <m/>
      </sharedItems>
    </cacheField>
    <cacheField name="Tổng sản lượng ép" numFmtId="0">
      <sharedItems containsMixedTypes="1" containsNumber="1" minValue="7035" maxValue="501371"/>
    </cacheField>
    <cacheField name="A1" numFmtId="0">
      <sharedItems containsString="0" containsBlank="1" containsNumber="1" minValue="88.809875525324358" maxValue="459164.15999999997"/>
    </cacheField>
    <cacheField name="A" numFmtId="0">
      <sharedItems containsString="0" containsBlank="1" containsNumber="1" minValue="0" maxValue="33440.359680000001"/>
    </cacheField>
    <cacheField name="B" numFmtId="0">
      <sharedItems containsString="0" containsBlank="1" containsNumber="1" minValue="0.58345158432316013" maxValue="25841.894400000005"/>
    </cacheField>
    <cacheField name="Tổng (A1+A+B)" numFmtId="0">
      <sharedItems containsSemiMixedTypes="0" containsString="0" containsNumber="1" minValue="0" maxValue="495444.95999999996"/>
    </cacheField>
    <cacheField name="Số ngày SX" numFmtId="0">
      <sharedItems containsBlank="1" containsMixedTypes="1" containsNumber="1" minValue="0.5" maxValue="31"/>
    </cacheField>
    <cacheField name="TB/ ngày " numFmtId="164">
      <sharedItems containsBlank="1" containsMixedTypes="1" containsNumber="1" minValue="11341" maxValue="16157.807999999999"/>
    </cacheField>
    <cacheField name="A/ép" numFmtId="0">
      <sharedItems containsBlank="1" containsMixedTypes="1" containsNumber="1" minValue="0" maxValue="99.531259192216311"/>
    </cacheField>
    <cacheField name="C/ép" numFmtId="0">
      <sharedItems containsBlank="1" containsMixedTypes="1" containsNumber="1" minValue="0.46874080778368921" maxValue="2746.3"/>
    </cacheField>
    <cacheField name="Huỷ/ép" numFmtId="0">
      <sharedItems containsBlank="1" containsMixedTypes="1" containsNumber="1" minValue="45" maxValue="3217.9"/>
    </cacheField>
    <cacheField name="T/g dừng 2MF" numFmtId="0">
      <sharedItems containsBlank="1" containsMixedTypes="1" containsNumber="1" minValue="13" maxValue="105"/>
    </cacheField>
    <cacheField name="T/g dừng tổng" numFmtId="43">
      <sharedItems containsMixedTypes="1" containsNumber="1" minValue="0" maxValue="3255"/>
    </cacheField>
    <cacheField name="A1/Tổng" numFmtId="0" formula="A1/'Tổng (A1+A+B)'" databaseField="0"/>
    <cacheField name="A/Tổng" numFmtId="0" formula="A/'Tổng (A1+A+B)'" databaseField="0"/>
    <cacheField name="B/Tổng" numFmtId="0" formula="B/'Tổng (A1+A+B)'" databaseField="0"/>
    <cacheField name="% A/ép" numFmtId="0" formula="'A/ép'/100" databaseField="0"/>
    <cacheField name="Field1" numFmtId="0" formula="'T/g dừng 2MF'*'Số ngày SX'" databaseField="0"/>
  </cacheFields>
  <extLst>
    <ext xmlns:x14="http://schemas.microsoft.com/office/spreadsheetml/2009/9/main" uri="{725AE2AE-9491-48be-B2B4-4EB974FC3084}">
      <x14:pivotCacheDefinition pivotCacheId="18224511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
  <r>
    <n v="1"/>
    <x v="0"/>
    <x v="0"/>
    <x v="0"/>
    <x v="0"/>
    <s v="Kho 4"/>
    <s v="11-19/12//25"/>
    <s v="Có tính tiêu hao"/>
    <n v="7276"/>
    <n v="0.24099999999999999"/>
    <n v="5.3999999999999999E-2"/>
    <n v="53225"/>
    <n v="19535"/>
    <n v="2.7245968773995393"/>
    <n v="10961"/>
    <n v="0.17076932664443958"/>
    <n v="3.2856923470693626"/>
    <n v="0"/>
    <n v="3.2856923470693626"/>
    <s v="Đốt từ ngày 01-03/01/2026"/>
  </r>
  <r>
    <n v="2"/>
    <x v="0"/>
    <x v="0"/>
    <x v="0"/>
    <x v="0"/>
    <s v="Kho 3"/>
    <d v="2025-12-30T00:00:00"/>
    <s v="Có tính tiêu hao"/>
    <n v="7311"/>
    <n v="0.1195"/>
    <n v="6.4799999999999996E-2"/>
    <n v="53225"/>
    <n v="19535"/>
    <n v="2.7245968773995393"/>
    <n v="10961"/>
    <n v="0.17076932664443958"/>
    <n v="3.2856923470693626"/>
    <n v="2614"/>
    <n v="3.4195034553365753"/>
    <s v="Đốt từ ngày 01-03/01/2026"/>
  </r>
  <r>
    <n v="3"/>
    <x v="0"/>
    <x v="0"/>
    <x v="0"/>
    <x v="1"/>
    <s v="Kho 1+2"/>
    <s v="31/12/25-01/01/26"/>
    <s v="Có tính tiêu hao"/>
    <n v="7581"/>
    <n v="0.2"/>
    <n v="2.7E-2"/>
    <n v="228315"/>
    <n v="86681"/>
    <n v="2.6339682283314683"/>
    <n v="41836"/>
    <n v="0.15486154039777755"/>
    <n v="3.1166114834854235"/>
    <n v="0"/>
    <n v="3.1166114834854235"/>
    <s v="Đốt từ ngày 03-15/01/2026"/>
  </r>
  <r>
    <n v="4"/>
    <x v="0"/>
    <x v="1"/>
    <x v="1"/>
    <x v="0"/>
    <s v="Kho 4"/>
    <s v="11-19/12//25"/>
    <s v="Có tính tiêu hao"/>
    <n v="7276"/>
    <n v="0.24099999999999999"/>
    <n v="5.3999999999999999E-2"/>
    <n v="54498"/>
    <n v="18305"/>
    <n v="2.9772193389784212"/>
    <n v="11224"/>
    <n v="0.17077995191868781"/>
    <n v="3.5903851406719474"/>
    <n v="0"/>
    <n v="3.5903851406719474"/>
    <s v="Đốt từ ngày 01-03/01/2026"/>
  </r>
  <r>
    <n v="5"/>
    <x v="0"/>
    <x v="1"/>
    <x v="1"/>
    <x v="0"/>
    <s v="Kho 3"/>
    <d v="2025-12-30T00:00:00"/>
    <s v="Có tính tiêu hao"/>
    <n v="7311"/>
    <n v="0.1195"/>
    <n v="6.4799999999999996E-2"/>
    <n v="54499"/>
    <n v="18305"/>
    <n v="2.9772739688609668"/>
    <n v="11224"/>
    <n v="0.17077735343791367"/>
    <n v="3.5904397705544935"/>
    <n v="2676"/>
    <n v="3.7366293362469269"/>
    <s v="Đốt từ ngày 01-03/01/2026"/>
  </r>
  <r>
    <n v="6"/>
    <x v="0"/>
    <x v="1"/>
    <x v="1"/>
    <x v="1"/>
    <s v="Kho 1+2"/>
    <s v="31/12/25-01/01/26"/>
    <s v="Có tính tiêu hao"/>
    <n v="7581"/>
    <n v="0.2"/>
    <n v="2.7E-2"/>
    <n v="508829"/>
    <n v="183329"/>
    <n v="2.775496511735732"/>
    <n v="93237"/>
    <n v="0.15486175934199906"/>
    <n v="3.284073987203334"/>
    <n v="0"/>
    <n v="3.284073987203334"/>
    <s v="Đốt từ ngày 03-15/01/2026"/>
  </r>
  <r>
    <n v="7"/>
    <x v="1"/>
    <x v="0"/>
    <x v="0"/>
    <x v="1"/>
    <s v="Kho 1"/>
    <s v="31/12/2025-01/01/2026"/>
    <s v="Không tính tiêu hao"/>
    <n v="7581"/>
    <n v="0.2"/>
    <n v="2.7E-2"/>
    <n v="23490"/>
    <m/>
    <s v=""/>
    <n v="4732"/>
    <n v="0.16767061157961874"/>
    <s v=""/>
    <m/>
    <s v=""/>
    <m/>
  </r>
  <r>
    <n v="8"/>
    <x v="1"/>
    <x v="0"/>
    <x v="0"/>
    <x v="1"/>
    <s v="Kho 2+3+4 "/>
    <s v="03-04/03/2026"/>
    <s v="Không tính tiêu hao"/>
    <n v="7415"/>
    <n v="0.115"/>
    <n v="2.4799999999999999E-2"/>
    <n v="35591"/>
    <m/>
    <s v=""/>
    <n v="4095"/>
    <n v="0.10318500226780225"/>
    <s v=""/>
    <m/>
    <s v=""/>
    <m/>
  </r>
  <r>
    <n v="9"/>
    <x v="1"/>
    <x v="0"/>
    <x v="0"/>
    <x v="1"/>
    <s v="Kho 2+3+4 "/>
    <s v="03-04/03/2026"/>
    <s v="Có tính tiêu hao"/>
    <n v="7415"/>
    <n v="0.115"/>
    <n v="2.4799999999999999E-2"/>
    <n v="865300"/>
    <n v="336286"/>
    <n v="2.5731074145221626"/>
    <n v="100859"/>
    <n v="0.10439172020340337"/>
    <n v="2.8730277204522343"/>
    <n v="0"/>
    <n v="2.8730277204522343"/>
    <s v="Đốt từ ngày 08-31/03/2026"/>
  </r>
  <r>
    <n v="10"/>
    <x v="1"/>
    <x v="1"/>
    <x v="2"/>
    <x v="1"/>
    <s v="Kho 1"/>
    <s v="31/12/2025-01/01/2026"/>
    <s v="Không tính tiêu hao"/>
    <n v="7581"/>
    <n v="0.2"/>
    <n v="2.7E-2"/>
    <n v="67877"/>
    <m/>
    <s v=""/>
    <n v="13676"/>
    <n v="0.16769462803330348"/>
    <s v=""/>
    <m/>
    <s v=""/>
    <m/>
  </r>
  <r>
    <n v="11"/>
    <x v="1"/>
    <x v="1"/>
    <x v="2"/>
    <x v="1"/>
    <s v="Kho 1"/>
    <s v="31/12/2025-01/01/2026"/>
    <s v="Có tính tiêu hao"/>
    <n v="7581"/>
    <n v="0.2"/>
    <n v="2.7E-2"/>
    <n v="109852"/>
    <n v="60769"/>
    <n v="1.8076980039164705"/>
    <n v="22133"/>
    <n v="0.16769329848088799"/>
    <n v="2.1719133110632067"/>
    <m/>
    <n v="2.1719133110632067"/>
    <s v="Đốt từ ngày 01-08/03/2026"/>
  </r>
  <r>
    <n v="12"/>
    <x v="1"/>
    <x v="1"/>
    <x v="2"/>
    <x v="1"/>
    <s v="Kho 2+3+4 "/>
    <s v="03-04/03/2026"/>
    <s v="Có tính tiêu hao"/>
    <n v="7415"/>
    <n v="0.115"/>
    <n v="2.4799999999999999E-2"/>
    <n v="621560"/>
    <n v="354969"/>
    <n v="1.7510261459451388"/>
    <n v="70235"/>
    <n v="0.10152574100709025"/>
    <n v="1.9488884944882512"/>
    <m/>
    <n v="1.9488884944882512"/>
    <s v="Đốt từ ngày 08-31/03/2026"/>
  </r>
  <r>
    <n v="13"/>
    <x v="2"/>
    <x v="0"/>
    <x v="0"/>
    <x v="1"/>
    <s v="Kho 4"/>
    <s v="03-04/03/2026"/>
    <s v="Có tính tiêu hao"/>
    <n v="7415"/>
    <n v="0.115"/>
    <n v="2.4799999999999999E-2"/>
    <n v="543520"/>
    <n v="232886"/>
    <n v="2.3338457442697287"/>
    <n v="97921"/>
    <n v="0.1526578438235161"/>
    <n v="2.754313269153148"/>
    <m/>
    <n v="2.754313269153148"/>
    <s v="Đốt từ ngày 01-15/04/2026"/>
  </r>
  <r>
    <n v="14"/>
    <x v="2"/>
    <x v="0"/>
    <x v="0"/>
    <x v="0"/>
    <s v="Kho 2"/>
    <s v="06-10/04/2026"/>
    <s v="Có tính tiêu hao"/>
    <n v="7310"/>
    <s v="18.6%"/>
    <s v="5.47%"/>
    <n v="292639"/>
    <n v="124964"/>
    <n v="2.3417864344931338"/>
    <n v="39819"/>
    <n v="0.11977152001155034"/>
    <n v="2.6604302038987226"/>
    <m/>
    <n v="2.6604302038987226"/>
    <s v="Đốt từ ngày 15-30/04/2026"/>
  </r>
  <r>
    <n v="15"/>
    <x v="2"/>
    <x v="0"/>
    <x v="0"/>
    <x v="1"/>
    <s v="Kho 3+4 "/>
    <s v="18-20/04/2026"/>
    <s v="Có tính tiêu hao"/>
    <n v="7512"/>
    <s v="13.9%"/>
    <s v="2.45%"/>
    <n v="296235"/>
    <n v="121623"/>
    <n v="2.4356823955995166"/>
    <n v="33679"/>
    <n v="0.10208417951344896"/>
    <n v="2.712595479473455"/>
    <m/>
    <n v="2.712595479473455"/>
    <s v="Đốt từ ngày 20-30/04/2026"/>
  </r>
  <r>
    <n v="16"/>
    <x v="2"/>
    <x v="1"/>
    <x v="2"/>
    <x v="1"/>
    <s v="Kho 2+3+4 "/>
    <s v="03-04/03/2026"/>
    <s v="Có tính tiêu hao"/>
    <n v="7415"/>
    <n v="0.115"/>
    <n v="2.4799999999999999E-2"/>
    <n v="368181"/>
    <n v="208244"/>
    <n v="1.7680269299475615"/>
    <n v="69976"/>
    <n v="0.1597053111099446"/>
    <n v="2.1040558191352452"/>
    <m/>
    <n v="2.1040558191352452"/>
    <s v="Đốt từ ngày 01-15/04/2026"/>
  </r>
  <r>
    <n v="17"/>
    <x v="2"/>
    <x v="1"/>
    <x v="2"/>
    <x v="1"/>
    <s v="Kho 2+3+4 "/>
    <s v="03-04/03/2026"/>
    <s v="Không tính tiêu hao"/>
    <n v="7415"/>
    <n v="0.115"/>
    <n v="2.4799999999999999E-2"/>
    <n v="16278"/>
    <m/>
    <s v=""/>
    <n v="2948"/>
    <n v="0.15333402683865599"/>
    <s v=""/>
    <m/>
    <s v=""/>
    <s v="Đốt từ ngày 15-30/04/2026"/>
  </r>
  <r>
    <n v="18"/>
    <x v="2"/>
    <x v="1"/>
    <x v="1"/>
    <x v="1"/>
    <s v="Kho 4"/>
    <s v="03-04/03/2026"/>
    <s v="Có tính tiêu hao"/>
    <n v="7415"/>
    <n v="0.115"/>
    <n v="2.4799999999999999E-2"/>
    <n v="10577"/>
    <n v="3035"/>
    <n v="3.4850082372322899"/>
    <n v="1982"/>
    <n v="0.15781511266820608"/>
    <n v="4.1380560131795718"/>
    <m/>
    <n v="4.1380560131795718"/>
    <s v="Đốt từ ngày 15/04/2026"/>
  </r>
  <r>
    <n v="19"/>
    <x v="2"/>
    <x v="1"/>
    <x v="1"/>
    <x v="0"/>
    <s v="Kho 2"/>
    <s v="06-10/04/2026"/>
    <s v="Có tính tiêu hao"/>
    <n v="7310"/>
    <s v="18.6%"/>
    <s v="5.47%"/>
    <n v="300950"/>
    <n v="109837"/>
    <n v="2.7399692271274705"/>
    <n v="40950"/>
    <n v="0.11977186311787072"/>
    <n v="3.112794413540064"/>
    <m/>
    <n v="3.112794413540064"/>
    <s v="Đốt từ ngày 15-30/04/2026"/>
  </r>
  <r>
    <n v="20"/>
    <x v="2"/>
    <x v="1"/>
    <x v="1"/>
    <x v="1"/>
    <s v="Kho 3+4 "/>
    <s v="18-20/04/2026"/>
    <s v="Có tính tiêu hao"/>
    <n v="7512"/>
    <s v="13.9%"/>
    <s v="2.45%"/>
    <n v="304552"/>
    <n v="111862"/>
    <n v="2.7225688795122562"/>
    <n v="34624"/>
    <n v="0.10208269453027337"/>
    <n v="3.0320931147306505"/>
    <m/>
    <n v="3.0320931147306505"/>
    <s v="Đốt từ ngày 20-30/04/2026"/>
  </r>
  <r>
    <n v="21"/>
    <x v="3"/>
    <x v="0"/>
    <x v="0"/>
    <x v="0"/>
    <s v="Kho 2"/>
    <s v="06-10/04/2026"/>
    <s v="Có tính tiêu hao"/>
    <n v="7310"/>
    <s v="18.6%"/>
    <s v="5.47%"/>
    <n v="211798"/>
    <n v="87813"/>
    <n v="2.411920786216164"/>
    <n v="37980"/>
    <n v="0.15205502486207753"/>
    <n v="2.8444307790418275"/>
    <n v="8650"/>
    <n v="2.9429355562388255"/>
    <s v="Đốt từ ngày 01-19/05/2026"/>
  </r>
  <r>
    <n v="22"/>
    <x v="3"/>
    <x v="0"/>
    <x v="0"/>
    <x v="0"/>
    <s v="Kho 2"/>
    <s v="06-10/04/2026"/>
    <s v="Không tính tiêu hao"/>
    <n v="7310"/>
    <s v="18.6%"/>
    <s v="5.47%"/>
    <n v="3137"/>
    <m/>
    <s v=""/>
    <n v="562"/>
    <n v="0.15193295485266289"/>
    <s v=""/>
    <n v="128"/>
    <s v=""/>
    <s v="Đốt từ ngày 13/05/2026"/>
  </r>
  <r>
    <n v="23"/>
    <x v="3"/>
    <x v="0"/>
    <x v="0"/>
    <x v="1"/>
    <s v="Kho 3+4 "/>
    <s v="18-20/04/2026"/>
    <s v="Có tính tiêu hao"/>
    <n v="7512"/>
    <s v="13.9%"/>
    <s v="2.45%"/>
    <n v="831300"/>
    <n v="342971"/>
    <n v="2.4238200897451971"/>
    <n v="149505"/>
    <n v="0.15243091134323336"/>
    <n v="2.8597315808042079"/>
    <n v="0"/>
    <n v="2.8597315808042079"/>
    <s v="Đốt từ ngày 01-31/05/2026"/>
  </r>
  <r>
    <n v="24"/>
    <x v="3"/>
    <x v="0"/>
    <x v="0"/>
    <x v="1"/>
    <s v="Kho 3+4 "/>
    <s v="18-20/04/2026"/>
    <s v="Không tính tiêu hao"/>
    <n v="7512"/>
    <s v="13.9%"/>
    <s v="2.45%"/>
    <n v="7321"/>
    <m/>
    <s v=""/>
    <n v="1316"/>
    <n v="0.15236772027324302"/>
    <s v=""/>
    <m/>
    <m/>
    <s v="Đốt ngày 13/05/2026"/>
  </r>
  <r>
    <n v="25"/>
    <x v="3"/>
    <x v="0"/>
    <x v="0"/>
    <x v="0"/>
    <s v="Kho 1"/>
    <s v="09-11/03/2026"/>
    <s v="Có tính tiêu hao"/>
    <n v="7294"/>
    <n v="0.1978"/>
    <n v="8.7999999999999995E-2"/>
    <n v="144473"/>
    <n v="59175"/>
    <n v="2.4414533164343051"/>
    <n v="26098"/>
    <n v="0.15300373451524585"/>
    <n v="2.8824841571609632"/>
    <n v="0"/>
    <n v="2.8824841571609632"/>
    <s v="Đốt từ ngày 19-31/05/2026"/>
  </r>
  <r>
    <n v="26"/>
    <x v="3"/>
    <x v="1"/>
    <x v="1"/>
    <x v="0"/>
    <s v="Kho 2"/>
    <s v="06-10/04/2026"/>
    <s v="Có tính tiêu hao"/>
    <n v="7310"/>
    <n v="0.186"/>
    <n v="5.4699999999999999E-2"/>
    <n v="221738"/>
    <n v="83098.400000000009"/>
    <n v="2.6683786932119027"/>
    <n v="39762"/>
    <n v="0.15205353728489485"/>
    <n v="3.1468716605855223"/>
    <n v="9057"/>
    <n v="3.2558629287687846"/>
    <s v="Đốt từ ngày 01-19/05/2026"/>
  </r>
  <r>
    <n v="27"/>
    <x v="3"/>
    <x v="1"/>
    <x v="1"/>
    <x v="1"/>
    <s v="Kho 3+4 "/>
    <s v="18-20/04/2026"/>
    <s v="Có tính tiêu hao"/>
    <n v="7512"/>
    <n v="0.13900000000000001"/>
    <n v="2.4500000000000001E-2"/>
    <n v="854166"/>
    <n v="321811.83999999997"/>
    <n v="2.6542404406251805"/>
    <n v="153618"/>
    <n v="0.15243147341096902"/>
    <n v="3.1315939152518442"/>
    <n v="0"/>
    <n v="3.1315939152518442"/>
    <s v="Đốt từ ngày 01-31/05/2026"/>
  </r>
  <r>
    <n v="28"/>
    <x v="3"/>
    <x v="1"/>
    <x v="1"/>
    <x v="0"/>
    <s v="Kho 1"/>
    <s v="09-11/03/2026"/>
    <s v="Có tính tiêu hao"/>
    <n v="7294"/>
    <n v="0.1978"/>
    <n v="8.7999999999999995E-2"/>
    <n v="144331"/>
    <n v="54820.959999999992"/>
    <n v="2.6327703856335245"/>
    <n v="26073"/>
    <n v="0.15300697166733176"/>
    <n v="3.1083731477887295"/>
    <n v="0"/>
    <n v="3.1083731477887295"/>
    <s v="Đốt từ ngày 19-31/05/2026"/>
  </r>
  <r>
    <n v="29"/>
    <x v="4"/>
    <x v="0"/>
    <x v="0"/>
    <x v="1"/>
    <s v="Kho 3+4 "/>
    <s v="18-20/04/2026"/>
    <s v="Có tính tiêu hao"/>
    <n v="7512"/>
    <n v="0.13900000000000001"/>
    <n v="2.4500000000000001E-2"/>
    <n v="220681"/>
    <n v="91702"/>
    <n v="2.4065014939695972"/>
    <n v="47828"/>
    <n v="0.17812438316778953"/>
    <n v="2.9280604566966915"/>
    <n v="11256"/>
    <n v="3.0508058711914678"/>
    <s v="Đốt từ ngày 01-09/06/2026"/>
  </r>
  <r>
    <n v="30"/>
    <x v="4"/>
    <x v="0"/>
    <x v="0"/>
    <x v="0"/>
    <s v="Kho 1"/>
    <s v="09-11/03/2026"/>
    <s v="Có tính tiêu hao"/>
    <n v="7294"/>
    <n v="0.1978"/>
    <n v="8.7999999999999995E-2"/>
    <n v="277904"/>
    <n v="110425"/>
    <n v="2.5166764772470001"/>
    <n v="39669"/>
    <n v="0.12491301212634576"/>
    <n v="2.8759157799411366"/>
    <n v="1300"/>
    <n v="2.8876884763414084"/>
    <s v="Đốt từ ngày 01-13/06/2026"/>
  </r>
  <r>
    <n v="31"/>
    <x v="4"/>
    <x v="0"/>
    <x v="0"/>
    <x v="0"/>
    <s v="Kho 2"/>
    <s v="27-30/05/2026"/>
    <s v="Có tính tiêu hao"/>
    <n v="7353"/>
    <n v="0.1754"/>
    <n v="8.3699999999999997E-2"/>
    <n v="459800"/>
    <n v="177155"/>
    <n v="2.5954672461968333"/>
    <n v="45471"/>
    <n v="8.9993290729133479E-2"/>
    <n v="2.8521407806722925"/>
    <n v="3238"/>
    <n v="2.8704185600180634"/>
    <s v="Đốt từ ngày 13-24/06/2026"/>
  </r>
  <r>
    <n v="32"/>
    <x v="4"/>
    <x v="0"/>
    <x v="0"/>
    <x v="0"/>
    <s v="Kho 1"/>
    <s v="23-24/05/2026"/>
    <s v="Có tính tiêu hao"/>
    <n v="7404"/>
    <n v="0.128"/>
    <n v="5.0999999999999997E-2"/>
    <n v="90549"/>
    <n v="36141"/>
    <n v="2.5054370382667885"/>
    <n v="7164"/>
    <n v="7.3316754167817993E-2"/>
    <n v="2.7036606624055781"/>
    <n v="0"/>
    <n v="2.7036606624055781"/>
    <s v="Đốt từ ngày 24-30/06/2026"/>
  </r>
  <r>
    <n v="33"/>
    <x v="4"/>
    <x v="0"/>
    <x v="0"/>
    <x v="1"/>
    <s v="Kho 3+4 "/>
    <s v="25-26/06/2026"/>
    <s v="Có tính tiêu hao"/>
    <n v="7527"/>
    <n v="0.13500000000000001"/>
    <n v="3.6299999999999999E-2"/>
    <n v="157124"/>
    <n v="63233"/>
    <n v="2.4848417756551169"/>
    <n v="16901"/>
    <n v="9.7118230139347797E-2"/>
    <n v="2.7521231002799169"/>
    <n v="0"/>
    <n v="2.7521231002799169"/>
    <s v="Đốt từ ngày 24-30/06/2026"/>
  </r>
  <r>
    <n v="34"/>
    <x v="4"/>
    <x v="1"/>
    <x v="1"/>
    <x v="1"/>
    <s v="Kho 3+4 "/>
    <s v="18-20/04/2026"/>
    <s v="Có tính tiêu hao"/>
    <n v="7512"/>
    <n v="0.13900000000000001"/>
    <n v="2.4500000000000001E-2"/>
    <n v="220416"/>
    <n v="84509"/>
    <n v="2.6081955768024709"/>
    <n v="47770"/>
    <n v="0.17812264622314364"/>
    <n v="3.1734608148244567"/>
    <n v="11243"/>
    <n v="3.3064998994189967"/>
    <s v="Đốt từ ngày 01-09/06/2026"/>
  </r>
  <r>
    <n v="35"/>
    <x v="4"/>
    <x v="1"/>
    <x v="1"/>
    <x v="0"/>
    <s v="Kho 1"/>
    <s v="09-11/03/2026"/>
    <s v="Có tính tiêu hao"/>
    <n v="7294"/>
    <n v="0.1978"/>
    <n v="8.7999999999999995E-2"/>
    <n v="281655"/>
    <n v="103942"/>
    <n v="2.7097323507340634"/>
    <n v="40205"/>
    <n v="0.12491455912508544"/>
    <n v="3.0965346058378711"/>
    <n v="1317"/>
    <n v="3.109205133632218"/>
    <s v="Đốt từ ngày 01-13/06/2026"/>
  </r>
  <r>
    <n v="36"/>
    <x v="4"/>
    <x v="1"/>
    <x v="1"/>
    <x v="0"/>
    <s v="Kho 2"/>
    <s v="27-30/05/2026"/>
    <s v="Có tính tiêu hao"/>
    <n v="7353"/>
    <n v="0.1754"/>
    <n v="8.3699999999999997E-2"/>
    <n v="461030"/>
    <n v="164174"/>
    <n v="2.8081791270237675"/>
    <n v="45330"/>
    <n v="8.9521289201358711E-2"/>
    <n v="3.0842886206098408"/>
    <n v="3247"/>
    <n v="3.1040664173377026"/>
    <s v="Đốt từ ngày 13-24/06/2026"/>
  </r>
  <r>
    <n v="37"/>
    <x v="4"/>
    <x v="1"/>
    <x v="1"/>
    <x v="0"/>
    <s v="Kho 1"/>
    <s v="23-24/05/2026"/>
    <s v="Có tính tiêu hao"/>
    <n v="7404"/>
    <n v="0.128"/>
    <n v="5.0999999999999997E-2"/>
    <n v="80553"/>
    <n v="29933"/>
    <n v="2.6911101459927171"/>
    <n v="6373"/>
    <n v="7.3315233647010106E-2"/>
    <n v="2.9040189757124244"/>
    <n v="0"/>
    <n v="2.9040189757124244"/>
    <s v="Đốt từ ngày 24-30/06/2026"/>
  </r>
  <r>
    <n v="38"/>
    <x v="4"/>
    <x v="1"/>
    <x v="1"/>
    <x v="0"/>
    <s v="Kho 1"/>
    <s v="23-24/05/2026"/>
    <s v="Không tính tiêu hao"/>
    <n v="7404"/>
    <n v="0.128"/>
    <n v="5.0999999999999997E-2"/>
    <n v="3047"/>
    <m/>
    <s v=""/>
    <n v="241"/>
    <n v="7.3296836982968364E-2"/>
    <s v=""/>
    <n v="0"/>
    <s v=""/>
    <s v="Đốt ngày 30/06/2026"/>
  </r>
  <r>
    <n v="39"/>
    <x v="4"/>
    <x v="1"/>
    <x v="1"/>
    <x v="1"/>
    <s v="Kho 3+4 "/>
    <s v="25-26/06/2026"/>
    <s v="Có tính tiêu hao"/>
    <n v="7527"/>
    <n v="0.13500000000000001"/>
    <n v="3.6299999999999999E-2"/>
    <n v="131979"/>
    <n v="48281"/>
    <n v="2.7335597854228371"/>
    <n v="14196"/>
    <n v="9.711646998460749E-2"/>
    <n v="3.027588492367598"/>
    <n v="0"/>
    <n v="3.027588492367598"/>
    <s v="Đốt từ ngày 24-30/06/2026"/>
  </r>
  <r>
    <n v="40"/>
    <x v="4"/>
    <x v="1"/>
    <x v="1"/>
    <x v="1"/>
    <s v="Kho 3+4 "/>
    <s v="25-26/06/2026"/>
    <s v="Không tính tiêu hao"/>
    <n v="7527"/>
    <n v="0.13500000000000001"/>
    <n v="3.6299999999999999E-2"/>
    <n v="7111"/>
    <m/>
    <s v=""/>
    <n v="765"/>
    <n v="9.7130523108176742E-2"/>
    <s v=""/>
    <n v="0"/>
    <s v=""/>
    <s v="Đốt ngày 30/06/2026"/>
  </r>
  <r>
    <n v="41"/>
    <x v="4"/>
    <x v="1"/>
    <x v="2"/>
    <x v="0"/>
    <s v="Kho 1"/>
    <s v="23-24/05/2026"/>
    <s v="Không tính tiêu hao"/>
    <n v="7404"/>
    <n v="0.128"/>
    <n v="5.0999999999999997E-2"/>
    <n v="4290"/>
    <n v="1699"/>
    <n v="2.5250147145379636"/>
    <n v="339"/>
    <n v="7.3233959818535324E-2"/>
    <n v="2.7245438493231311"/>
    <n v="0"/>
    <n v="2.7245438493231311"/>
    <s v="Đốt từ ngày 24-30/06/2026"/>
  </r>
  <r>
    <n v="64"/>
    <x v="4"/>
    <x v="1"/>
    <x v="2"/>
    <x v="1"/>
    <s v="Kho 3+4 "/>
    <s v="25-26/06/2026"/>
    <s v="Có tính tiêu hao"/>
    <n v="7527"/>
    <n v="0.13500000000000001"/>
    <n v="3.6299999999999999E-2"/>
    <n v="10009"/>
    <n v="3970"/>
    <n v="2.5211586901763225"/>
    <n v="1077"/>
    <n v="9.7149558001082451E-2"/>
    <n v="2.7924433249370275"/>
    <n v="0"/>
    <n v="2.7924433249370275"/>
    <s v="Đốt từ ngày 24-30/06/2026"/>
  </r>
  <r>
    <n v="43"/>
    <x v="5"/>
    <x v="0"/>
    <x v="0"/>
    <x v="0"/>
    <s v="Kho 1"/>
    <s v="23-24/05/2026"/>
    <s v="Có tính tiêu hao"/>
    <n v="7404"/>
    <n v="0.128"/>
    <n v="5.0999999999999997E-2"/>
    <n v="166651"/>
    <n v="68695.127999999997"/>
    <n v="2.4259507894067829"/>
    <n v="17409"/>
    <n v="9.4583288058241871E-2"/>
    <n v="2.6793748750275275"/>
    <n v="1481"/>
    <n v="2.700933900290571"/>
    <s v="Đốt từ ngày 01-15/07/2026"/>
  </r>
  <r>
    <n v="44"/>
    <x v="5"/>
    <x v="0"/>
    <x v="0"/>
    <x v="1"/>
    <s v="Kho 3+4 "/>
    <s v="25-26/06/2026"/>
    <s v="Có tính tiêu hao"/>
    <n v="7527"/>
    <n v="0.13500000000000001"/>
    <n v="3.6299999999999999E-2"/>
    <n v="830550"/>
    <n v="346811.47200000001"/>
    <n v="2.3948169742205065"/>
    <n v="102199"/>
    <n v="0.10956752566874904"/>
    <n v="2.6894986910928944"/>
    <n v="0"/>
    <n v="2.6894986910928944"/>
    <s v="Đốt từ ngày 01-31/07/2026"/>
  </r>
  <r>
    <n v="45"/>
    <x v="5"/>
    <x v="0"/>
    <x v="0"/>
    <x v="0"/>
    <s v="Kho 2"/>
    <s v="09-10/07/2026"/>
    <s v="Có tính tiêu hao"/>
    <n v="7360"/>
    <n v="0.17399999999999999"/>
    <n v="5.6000000000000001E-2"/>
    <n v="189302"/>
    <n v="79938.36"/>
    <n v="2.368099620757794"/>
    <n v="23276"/>
    <n v="0.10949392693505443"/>
    <n v="2.6592739705943429"/>
    <n v="0"/>
    <n v="2.6592739705943429"/>
    <s v="Đốt từ ngày 15-31/07/2026"/>
  </r>
  <r>
    <n v="46"/>
    <x v="5"/>
    <x v="1"/>
    <x v="2"/>
    <x v="0"/>
    <s v="Kho 1"/>
    <s v="23-24/05/2026"/>
    <s v="Có tính tiêu hao"/>
    <n v="7404"/>
    <n v="0.128"/>
    <n v="5.0999999999999997E-2"/>
    <n v="108110"/>
    <n v="59303.25"/>
    <n v="1.8230029551500129"/>
    <n v="11293"/>
    <n v="9.4578863177642108E-2"/>
    <n v="2.0134309671055126"/>
    <n v="960"/>
    <n v="2.029618950057543"/>
    <s v="Đốt từ ngày 01-15/07/2026"/>
  </r>
  <r>
    <n v="47"/>
    <x v="5"/>
    <x v="1"/>
    <x v="2"/>
    <x v="1"/>
    <s v="Kho 3+4 "/>
    <s v="25-26/06/2026"/>
    <s v="Có tính tiêu hao"/>
    <n v="7527"/>
    <n v="0.13500000000000001"/>
    <n v="3.6299999999999999E-2"/>
    <n v="541253"/>
    <n v="306848.84999999998"/>
    <n v="1.7639075394937933"/>
    <n v="66601"/>
    <n v="0.10956742902078459"/>
    <n v="1.9809557702432323"/>
    <m/>
    <n v="1.9809557702432323"/>
    <s v="Đốt từ ngày 01-31/07/2026"/>
  </r>
  <r>
    <n v="48"/>
    <x v="5"/>
    <x v="1"/>
    <x v="2"/>
    <x v="0"/>
    <s v="Kho 2"/>
    <s v="09-10/07/2026"/>
    <s v="Có tính tiêu hao"/>
    <n v="7360"/>
    <n v="0.17399999999999999"/>
    <n v="5.6000000000000001E-2"/>
    <n v="123853"/>
    <n v="72203.399999999994"/>
    <n v="1.7153347349293802"/>
    <n v="15228"/>
    <n v="0.109490153220066"/>
    <n v="1.9262389305766765"/>
    <m/>
    <n v="1.9262389305766765"/>
    <s v="Đốt từ ngày 15-31/07/2026"/>
  </r>
  <r>
    <n v="49"/>
    <x v="6"/>
    <x v="0"/>
    <x v="0"/>
    <x v="1"/>
    <s v="Kho 3+4 "/>
    <s v="25-26/06/2026"/>
    <s v="Có tính tiêu hao"/>
    <n v="7527"/>
    <n v="0.13500000000000001"/>
    <n v="3.6299999999999999E-2"/>
    <n v="532615"/>
    <n v="223309"/>
    <n v="2.3851031530301063"/>
    <n v="83540"/>
    <n v="0.13558276732315733"/>
    <n v="2.759203614722201"/>
    <n v="9783"/>
    <n v="2.8030128655808766"/>
    <s v="Đốt từ ngày 01-21/08/2026"/>
  </r>
  <r>
    <n v="50"/>
    <x v="6"/>
    <x v="0"/>
    <x v="0"/>
    <x v="1"/>
    <s v="Kho 3+4 "/>
    <s v="25-26/06/2026"/>
    <s v="Không tính tiêu hao"/>
    <n v="7527"/>
    <n v="0.13500000000000001"/>
    <n v="3.6299999999999999E-2"/>
    <n v="3613"/>
    <m/>
    <s v=""/>
    <n v="567"/>
    <n v="0.13564593301435407"/>
    <s v=""/>
    <m/>
    <s v=""/>
    <s v="Đốt từ ngày 21/08/2026"/>
  </r>
  <r>
    <n v="51"/>
    <x v="6"/>
    <x v="0"/>
    <x v="0"/>
    <x v="0"/>
    <s v="Kho 2"/>
    <s v="09-11/07/2026"/>
    <s v="Có tính tiêu hao"/>
    <n v="7360"/>
    <n v="0.17399999999999999"/>
    <n v="5.6000000000000001E-2"/>
    <n v="119591"/>
    <n v="50825"/>
    <n v="2.3529955730447614"/>
    <n v="16280"/>
    <n v="0.11981953470571351"/>
    <n v="2.6733103787506147"/>
    <n v="2969"/>
    <n v="2.7317265125430397"/>
    <s v="Đốt từ ngày 01-11/08/2026"/>
  </r>
  <r>
    <n v="64"/>
    <x v="6"/>
    <x v="0"/>
    <x v="0"/>
    <x v="0"/>
    <s v="Kho 1"/>
    <s v="27-29/07/2026"/>
    <s v="Có tính tiêu hao"/>
    <n v="7299"/>
    <n v="0.19400000000000001"/>
    <n v="4.5999999999999999E-2"/>
    <n v="220974"/>
    <n v="94596"/>
    <n v="2.3359761512114678"/>
    <n v="20476"/>
    <n v="8.4804307310002075E-2"/>
    <n v="2.5524335067021862"/>
    <m/>
    <n v="2.5524335067021862"/>
    <s v="Đốt từ ngày 11-31/08/2026"/>
  </r>
  <r>
    <n v="53"/>
    <x v="6"/>
    <x v="0"/>
    <x v="0"/>
    <x v="0"/>
    <s v="Kho 1"/>
    <s v="27-29/07/2026"/>
    <s v="Không tính tiêu hao"/>
    <n v="7299"/>
    <n v="0.19400000000000001"/>
    <n v="4.5999999999999999E-2"/>
    <n v="3125"/>
    <m/>
    <s v=""/>
    <n v="400"/>
    <n v="0.11347517730496454"/>
    <s v=""/>
    <m/>
    <s v=""/>
    <s v="Đốt từ ngày 21/08/2026"/>
  </r>
  <r>
    <n v="54"/>
    <x v="6"/>
    <x v="0"/>
    <x v="0"/>
    <x v="1"/>
    <s v="Kho 3+4 "/>
    <s v="11-12/08/2026"/>
    <s v="Có tính tiêu hao"/>
    <n v="7805"/>
    <n v="0.13350000000000001"/>
    <n v="2.5999999999999999E-2"/>
    <n v="278937"/>
    <n v="116005"/>
    <n v="2.4045256669971122"/>
    <n v="25702"/>
    <n v="8.4368711819563486E-2"/>
    <n v="2.6260850825395456"/>
    <m/>
    <n v="2.6260850825395456"/>
    <s v="Đốt từ ngày 21-31/08/2026"/>
  </r>
  <r>
    <n v="55"/>
    <x v="6"/>
    <x v="0"/>
    <x v="0"/>
    <x v="1"/>
    <s v="Kho 3+4 "/>
    <s v="11-12/08/2026"/>
    <s v="Không tính tiêu hao"/>
    <n v="7805"/>
    <n v="0.13350000000000001"/>
    <n v="2.5999999999999999E-2"/>
    <n v="3678"/>
    <m/>
    <s v=""/>
    <n v="338"/>
    <n v="8.4163346613545811E-2"/>
    <s v=""/>
    <m/>
    <s v=""/>
    <s v="Đốt từ ngày 21/08/2026"/>
  </r>
  <r>
    <n v="56"/>
    <x v="6"/>
    <x v="1"/>
    <x v="2"/>
    <x v="1"/>
    <s v="Kho 3+4 "/>
    <s v="25-26/06/2026"/>
    <s v="Có tính tiêu hao"/>
    <n v="7527"/>
    <n v="0.13500000000000001"/>
    <n v="3.6299999999999999E-2"/>
    <n v="208981"/>
    <n v="121972"/>
    <n v="1.7133522447774898"/>
    <n v="32778"/>
    <n v="0.13558130204046179"/>
    <n v="1.9820860525366477"/>
    <n v="3838"/>
    <n v="2.0135522906896663"/>
    <s v="Đốt từ ngày 01-21/08/2026"/>
  </r>
  <r>
    <n v="57"/>
    <x v="6"/>
    <x v="1"/>
    <x v="2"/>
    <x v="1"/>
    <s v="Kho 3+4 "/>
    <s v="25-26/06/2026"/>
    <s v="Không tính tiêu hao"/>
    <n v="7527"/>
    <n v="0.13500000000000001"/>
    <n v="3.6299999999999999E-2"/>
    <n v="16319"/>
    <m/>
    <s v=""/>
    <n v="2560"/>
    <n v="0.1356004025636951"/>
    <s v=""/>
    <m/>
    <s v=""/>
    <s v="Đốt từ ngày 11-13/08/2026"/>
  </r>
  <r>
    <n v="58"/>
    <x v="6"/>
    <x v="1"/>
    <x v="2"/>
    <x v="0"/>
    <s v="Kho 2"/>
    <s v="09-11/07/2026"/>
    <s v="Có tính tiêu hao"/>
    <n v="7360"/>
    <n v="0.17399999999999999"/>
    <n v="5.6000000000000001E-2"/>
    <n v="77898"/>
    <n v="45448"/>
    <n v="1.7140028164055623"/>
    <n v="10665"/>
    <n v="0.12042274990684597"/>
    <n v="1.9486666079915509"/>
    <n v="1944"/>
    <n v="1.9914407674705157"/>
    <s v="Đốt từ ngày 01-11/08/2026"/>
  </r>
  <r>
    <n v="59"/>
    <x v="6"/>
    <x v="1"/>
    <x v="2"/>
    <x v="0"/>
    <s v="Kho 2"/>
    <s v="09-11/07/2026"/>
    <s v="Không tính tiêu hao"/>
    <n v="7360"/>
    <n v="0.17399999999999999"/>
    <n v="5.6000000000000001E-2"/>
    <n v="387"/>
    <m/>
    <s v=""/>
    <n v="60"/>
    <n v="0.13422818791946309"/>
    <s v=""/>
    <m/>
    <s v=""/>
    <s v="Đốt ngày 11/08/2026"/>
  </r>
  <r>
    <n v="60"/>
    <x v="6"/>
    <x v="1"/>
    <x v="2"/>
    <x v="0"/>
    <s v="Kho 1"/>
    <s v="27-29/07/2026"/>
    <s v="Có tính tiêu hao"/>
    <n v="7299"/>
    <n v="0.19400000000000001"/>
    <n v="4.5999999999999999E-2"/>
    <n v="11666"/>
    <n v="6826"/>
    <n v="1.7090536185174334"/>
    <n v="857"/>
    <n v="6.8434081290425622E-2"/>
    <n v="1.8346029885731028"/>
    <m/>
    <n v="1.8346029885731028"/>
    <s v="Đốt từ ngày 11-13/08/2026"/>
  </r>
  <r>
    <n v="61"/>
    <x v="6"/>
    <x v="1"/>
    <x v="2"/>
    <x v="0"/>
    <s v="Kho 1"/>
    <s v="27-29/07/2026"/>
    <s v="Không tính tiêu hao"/>
    <n v="7299"/>
    <n v="0.19400000000000001"/>
    <n v="4.5999999999999999E-2"/>
    <n v="6606"/>
    <m/>
    <s v=""/>
    <n v="844"/>
    <n v="0.11328859060402685"/>
    <s v=""/>
    <m/>
    <s v=""/>
    <s v="Đốt từ ngày 11-13/08/2026"/>
  </r>
  <r>
    <n v="62"/>
    <x v="6"/>
    <x v="1"/>
    <x v="1"/>
    <x v="1"/>
    <s v="Kho 3+4 "/>
    <s v="25-26/06/2026"/>
    <s v="Có tính tiêu hao"/>
    <n v="7527"/>
    <n v="0.13500000000000001"/>
    <n v="3.6299999999999999E-2"/>
    <n v="217062"/>
    <n v="78318"/>
    <n v="2.7715467708572743"/>
    <n v="34046"/>
    <n v="0.13558309571976998"/>
    <n v="3.2062616512168338"/>
    <n v="3987"/>
    <n v="3.2571694884956206"/>
    <s v="Đốt từ ngày 01-21/08/2026"/>
  </r>
  <r>
    <n v="63"/>
    <x v="6"/>
    <x v="1"/>
    <x v="1"/>
    <x v="0"/>
    <s v="Kho 1"/>
    <s v="27-29/07/2026"/>
    <s v="Có tính tiêu hao"/>
    <n v="7299"/>
    <n v="0.19400000000000001"/>
    <n v="4.5999999999999999E-2"/>
    <n v="213767"/>
    <n v="81123"/>
    <n v="2.6350973213515281"/>
    <n v="19913"/>
    <n v="8.5214823690516944E-2"/>
    <n v="2.8805640817030929"/>
    <m/>
    <n v="2.8805640817030929"/>
    <s v="Đốt từ ngày 11-31/08/2026"/>
  </r>
  <r>
    <n v="64"/>
    <x v="6"/>
    <x v="1"/>
    <x v="1"/>
    <x v="1"/>
    <s v="Kho 3+4 "/>
    <s v="11-12/08/2026"/>
    <s v="Không tính tiêu hao"/>
    <n v="7805"/>
    <n v="0.13350000000000001"/>
    <n v="2.5999999999999999E-2"/>
    <n v="300361"/>
    <n v="110970"/>
    <n v="2.7066864918446427"/>
    <n v="27676"/>
    <n v="8.4368531598569677E-2"/>
    <n v="2.9560872307830945"/>
    <m/>
    <n v="2.9560872307830945"/>
    <s v="Đốt từ ngày 21-31/08/2026"/>
  </r>
  <r>
    <s v=""/>
    <x v="7"/>
    <x v="2"/>
    <x v="3"/>
    <x v="2"/>
    <m/>
    <m/>
    <m/>
    <m/>
    <m/>
    <m/>
    <m/>
    <m/>
    <s v=""/>
    <m/>
    <m/>
    <s v=""/>
    <m/>
    <m/>
    <m/>
  </r>
  <r>
    <s v=""/>
    <x v="7"/>
    <x v="2"/>
    <x v="3"/>
    <x v="2"/>
    <m/>
    <m/>
    <m/>
    <m/>
    <m/>
    <m/>
    <m/>
    <m/>
    <s v=""/>
    <m/>
    <m/>
    <s v=""/>
    <m/>
    <m/>
    <m/>
  </r>
  <r>
    <s v=""/>
    <x v="7"/>
    <x v="2"/>
    <x v="3"/>
    <x v="2"/>
    <m/>
    <m/>
    <m/>
    <m/>
    <m/>
    <m/>
    <m/>
    <m/>
    <s v=""/>
    <m/>
    <m/>
    <s v=""/>
    <m/>
    <m/>
    <m/>
  </r>
  <r>
    <s v=""/>
    <x v="7"/>
    <x v="2"/>
    <x v="3"/>
    <x v="2"/>
    <m/>
    <m/>
    <m/>
    <m/>
    <m/>
    <m/>
    <m/>
    <m/>
    <s v=""/>
    <m/>
    <m/>
    <s v=""/>
    <m/>
    <m/>
    <m/>
  </r>
  <r>
    <s v=""/>
    <x v="7"/>
    <x v="2"/>
    <x v="3"/>
    <x v="2"/>
    <m/>
    <m/>
    <m/>
    <m/>
    <m/>
    <m/>
    <m/>
    <m/>
    <s v=""/>
    <m/>
    <m/>
    <s v=""/>
    <m/>
    <m/>
    <m/>
  </r>
  <r>
    <s v=""/>
    <x v="7"/>
    <x v="2"/>
    <x v="3"/>
    <x v="2"/>
    <m/>
    <m/>
    <m/>
    <m/>
    <m/>
    <m/>
    <m/>
    <m/>
    <s v=""/>
    <m/>
    <m/>
    <s v=""/>
    <m/>
    <m/>
    <m/>
  </r>
  <r>
    <s v=""/>
    <x v="7"/>
    <x v="2"/>
    <x v="3"/>
    <x v="2"/>
    <m/>
    <m/>
    <m/>
    <m/>
    <m/>
    <m/>
    <m/>
    <m/>
    <s v=""/>
    <m/>
    <m/>
    <s v=""/>
    <m/>
    <m/>
    <m/>
  </r>
  <r>
    <s v=""/>
    <x v="7"/>
    <x v="2"/>
    <x v="3"/>
    <x v="2"/>
    <m/>
    <m/>
    <m/>
    <m/>
    <m/>
    <m/>
    <m/>
    <m/>
    <s v=""/>
    <m/>
    <m/>
    <s v=""/>
    <m/>
    <m/>
    <m/>
  </r>
  <r>
    <s v=""/>
    <x v="7"/>
    <x v="2"/>
    <x v="3"/>
    <x v="2"/>
    <m/>
    <m/>
    <m/>
    <m/>
    <m/>
    <m/>
    <m/>
    <m/>
    <s v=""/>
    <m/>
    <m/>
    <s v=""/>
    <m/>
    <m/>
    <m/>
  </r>
  <r>
    <s v=""/>
    <x v="7"/>
    <x v="2"/>
    <x v="3"/>
    <x v="2"/>
    <m/>
    <m/>
    <m/>
    <m/>
    <m/>
    <m/>
    <m/>
    <m/>
    <s v=""/>
    <m/>
    <m/>
    <s v=""/>
    <m/>
    <m/>
    <m/>
  </r>
  <r>
    <s v=""/>
    <x v="7"/>
    <x v="2"/>
    <x v="3"/>
    <x v="2"/>
    <m/>
    <m/>
    <m/>
    <m/>
    <m/>
    <m/>
    <m/>
    <m/>
    <s v=""/>
    <m/>
    <m/>
    <s v=""/>
    <m/>
    <m/>
    <m/>
  </r>
  <r>
    <s v=""/>
    <x v="7"/>
    <x v="2"/>
    <x v="3"/>
    <x v="2"/>
    <m/>
    <m/>
    <m/>
    <m/>
    <m/>
    <m/>
    <m/>
    <m/>
    <s v=""/>
    <m/>
    <m/>
    <s v=""/>
    <m/>
    <m/>
    <m/>
  </r>
  <r>
    <s v=""/>
    <x v="7"/>
    <x v="2"/>
    <x v="3"/>
    <x v="2"/>
    <m/>
    <m/>
    <m/>
    <m/>
    <m/>
    <m/>
    <m/>
    <m/>
    <s v=""/>
    <m/>
    <m/>
    <s v=""/>
    <m/>
    <m/>
    <m/>
  </r>
  <r>
    <s v=""/>
    <x v="7"/>
    <x v="2"/>
    <x v="3"/>
    <x v="2"/>
    <m/>
    <m/>
    <m/>
    <m/>
    <m/>
    <m/>
    <m/>
    <m/>
    <s v=""/>
    <m/>
    <m/>
    <s v=""/>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71">
  <r>
    <n v="1"/>
    <x v="0"/>
    <x v="0"/>
    <x v="0"/>
    <x v="0"/>
    <x v="0"/>
    <x v="0"/>
    <n v="40151.519999999997"/>
    <m/>
  </r>
  <r>
    <n v="2"/>
    <x v="0"/>
    <x v="0"/>
    <x v="0"/>
    <x v="0"/>
    <x v="0"/>
    <x v="1"/>
    <n v="2388.96"/>
    <m/>
  </r>
  <r>
    <n v="3"/>
    <x v="0"/>
    <x v="0"/>
    <x v="0"/>
    <x v="0"/>
    <x v="0"/>
    <x v="2"/>
    <n v="9898.56"/>
    <m/>
  </r>
  <r>
    <n v="4"/>
    <x v="0"/>
    <x v="0"/>
    <x v="0"/>
    <x v="0"/>
    <x v="1"/>
    <x v="0"/>
    <n v="2400.48"/>
    <m/>
  </r>
  <r>
    <n v="5"/>
    <x v="0"/>
    <x v="0"/>
    <x v="0"/>
    <x v="0"/>
    <x v="1"/>
    <x v="1"/>
    <n v="0"/>
    <m/>
  </r>
  <r>
    <n v="6"/>
    <x v="0"/>
    <x v="0"/>
    <x v="0"/>
    <x v="0"/>
    <x v="1"/>
    <x v="2"/>
    <n v="171.36"/>
    <m/>
  </r>
  <r>
    <n v="7"/>
    <x v="0"/>
    <x v="0"/>
    <x v="0"/>
    <x v="0"/>
    <x v="2"/>
    <x v="0"/>
    <n v="1260"/>
    <m/>
  </r>
  <r>
    <n v="8"/>
    <x v="0"/>
    <x v="0"/>
    <x v="0"/>
    <x v="0"/>
    <x v="2"/>
    <x v="1"/>
    <n v="0"/>
    <m/>
  </r>
  <r>
    <n v="9"/>
    <x v="0"/>
    <x v="0"/>
    <x v="0"/>
    <x v="0"/>
    <x v="2"/>
    <x v="2"/>
    <n v="108"/>
    <m/>
  </r>
  <r>
    <n v="10"/>
    <x v="0"/>
    <x v="0"/>
    <x v="0"/>
    <x v="0"/>
    <x v="3"/>
    <x v="0"/>
    <n v="7488"/>
    <m/>
  </r>
  <r>
    <n v="11"/>
    <x v="0"/>
    <x v="0"/>
    <x v="0"/>
    <x v="0"/>
    <x v="3"/>
    <x v="1"/>
    <n v="712.8"/>
    <m/>
  </r>
  <r>
    <n v="12"/>
    <x v="0"/>
    <x v="0"/>
    <x v="0"/>
    <x v="0"/>
    <x v="3"/>
    <x v="2"/>
    <n v="272.16000000000003"/>
    <m/>
  </r>
  <r>
    <n v="13"/>
    <x v="0"/>
    <x v="0"/>
    <x v="0"/>
    <x v="0"/>
    <x v="4"/>
    <x v="0"/>
    <n v="55791.360000000001"/>
    <m/>
  </r>
  <r>
    <n v="14"/>
    <x v="0"/>
    <x v="0"/>
    <x v="0"/>
    <x v="0"/>
    <x v="4"/>
    <x v="1"/>
    <n v="0"/>
    <m/>
  </r>
  <r>
    <n v="15"/>
    <x v="0"/>
    <x v="0"/>
    <x v="0"/>
    <x v="0"/>
    <x v="4"/>
    <x v="2"/>
    <n v="0"/>
    <m/>
  </r>
  <r>
    <n v="16"/>
    <x v="0"/>
    <x v="0"/>
    <x v="0"/>
    <x v="0"/>
    <x v="5"/>
    <x v="0"/>
    <n v="1049.76"/>
    <m/>
  </r>
  <r>
    <n v="17"/>
    <x v="0"/>
    <x v="0"/>
    <x v="0"/>
    <x v="0"/>
    <x v="5"/>
    <x v="1"/>
    <n v="0"/>
    <m/>
  </r>
  <r>
    <n v="18"/>
    <x v="0"/>
    <x v="0"/>
    <x v="0"/>
    <x v="0"/>
    <x v="5"/>
    <x v="2"/>
    <n v="138.24"/>
    <m/>
  </r>
  <r>
    <n v="19"/>
    <x v="0"/>
    <x v="0"/>
    <x v="0"/>
    <x v="0"/>
    <x v="6"/>
    <x v="0"/>
    <n v="3538.08"/>
    <m/>
  </r>
  <r>
    <n v="20"/>
    <x v="0"/>
    <x v="0"/>
    <x v="0"/>
    <x v="0"/>
    <x v="6"/>
    <x v="1"/>
    <n v="230.4"/>
    <m/>
  </r>
  <r>
    <n v="21"/>
    <x v="0"/>
    <x v="0"/>
    <x v="0"/>
    <x v="0"/>
    <x v="6"/>
    <x v="2"/>
    <n v="151.19999999999999"/>
    <m/>
  </r>
  <r>
    <n v="22"/>
    <x v="0"/>
    <x v="1"/>
    <x v="1"/>
    <x v="1"/>
    <x v="7"/>
    <x v="0"/>
    <n v="125476.8"/>
    <m/>
  </r>
  <r>
    <n v="23"/>
    <x v="0"/>
    <x v="1"/>
    <x v="1"/>
    <x v="1"/>
    <x v="7"/>
    <x v="1"/>
    <n v="0"/>
    <m/>
  </r>
  <r>
    <n v="24"/>
    <x v="0"/>
    <x v="1"/>
    <x v="1"/>
    <x v="1"/>
    <x v="7"/>
    <x v="2"/>
    <n v="8251.2000000000007"/>
    <m/>
  </r>
  <r>
    <n v="25"/>
    <x v="0"/>
    <x v="1"/>
    <x v="1"/>
    <x v="1"/>
    <x v="6"/>
    <x v="0"/>
    <n v="41331.199999999997"/>
    <m/>
  </r>
  <r>
    <n v="26"/>
    <x v="0"/>
    <x v="1"/>
    <x v="1"/>
    <x v="1"/>
    <x v="6"/>
    <x v="1"/>
    <n v="0"/>
    <m/>
  </r>
  <r>
    <n v="27"/>
    <x v="0"/>
    <x v="1"/>
    <x v="1"/>
    <x v="1"/>
    <x v="6"/>
    <x v="2"/>
    <n v="972.8"/>
    <m/>
  </r>
  <r>
    <n v="28"/>
    <x v="0"/>
    <x v="1"/>
    <x v="1"/>
    <x v="1"/>
    <x v="8"/>
    <x v="0"/>
    <n v="1121.5999999999999"/>
    <m/>
  </r>
  <r>
    <n v="29"/>
    <x v="0"/>
    <x v="1"/>
    <x v="1"/>
    <x v="1"/>
    <x v="8"/>
    <x v="1"/>
    <n v="0"/>
    <m/>
  </r>
  <r>
    <n v="30"/>
    <x v="0"/>
    <x v="1"/>
    <x v="1"/>
    <x v="1"/>
    <x v="8"/>
    <x v="2"/>
    <n v="27.2"/>
    <m/>
  </r>
  <r>
    <n v="31"/>
    <x v="0"/>
    <x v="1"/>
    <x v="1"/>
    <x v="1"/>
    <x v="9"/>
    <x v="0"/>
    <n v="17524.8"/>
    <m/>
  </r>
  <r>
    <n v="32"/>
    <x v="0"/>
    <x v="1"/>
    <x v="1"/>
    <x v="1"/>
    <x v="9"/>
    <x v="1"/>
    <n v="0"/>
    <m/>
  </r>
  <r>
    <n v="33"/>
    <x v="0"/>
    <x v="1"/>
    <x v="1"/>
    <x v="1"/>
    <x v="9"/>
    <x v="2"/>
    <n v="384"/>
    <m/>
  </r>
  <r>
    <n v="34"/>
    <x v="0"/>
    <x v="1"/>
    <x v="1"/>
    <x v="1"/>
    <x v="10"/>
    <x v="0"/>
    <n v="1984"/>
    <m/>
  </r>
  <r>
    <n v="35"/>
    <x v="0"/>
    <x v="1"/>
    <x v="1"/>
    <x v="1"/>
    <x v="10"/>
    <x v="1"/>
    <n v="0"/>
    <m/>
  </r>
  <r>
    <n v="36"/>
    <x v="0"/>
    <x v="1"/>
    <x v="1"/>
    <x v="1"/>
    <x v="10"/>
    <x v="2"/>
    <n v="142.4"/>
    <m/>
  </r>
  <r>
    <n v="37"/>
    <x v="0"/>
    <x v="1"/>
    <x v="1"/>
    <x v="1"/>
    <x v="3"/>
    <x v="0"/>
    <n v="15052.8"/>
    <m/>
  </r>
  <r>
    <n v="38"/>
    <x v="0"/>
    <x v="1"/>
    <x v="1"/>
    <x v="1"/>
    <x v="3"/>
    <x v="1"/>
    <n v="0"/>
    <m/>
  </r>
  <r>
    <n v="39"/>
    <x v="0"/>
    <x v="1"/>
    <x v="1"/>
    <x v="1"/>
    <x v="3"/>
    <x v="2"/>
    <n v="665.6"/>
    <m/>
  </r>
  <r>
    <n v="40"/>
    <x v="0"/>
    <x v="1"/>
    <x v="1"/>
    <x v="1"/>
    <x v="11"/>
    <x v="0"/>
    <n v="3504"/>
    <m/>
  </r>
  <r>
    <n v="41"/>
    <x v="0"/>
    <x v="1"/>
    <x v="1"/>
    <x v="1"/>
    <x v="11"/>
    <x v="1"/>
    <n v="0"/>
    <m/>
  </r>
  <r>
    <n v="42"/>
    <x v="0"/>
    <x v="1"/>
    <x v="1"/>
    <x v="1"/>
    <x v="11"/>
    <x v="2"/>
    <n v="123.2"/>
    <m/>
  </r>
  <r>
    <n v="43"/>
    <x v="0"/>
    <x v="1"/>
    <x v="1"/>
    <x v="1"/>
    <x v="4"/>
    <x v="0"/>
    <n v="3377.6"/>
    <m/>
  </r>
  <r>
    <n v="44"/>
    <x v="0"/>
    <x v="1"/>
    <x v="1"/>
    <x v="1"/>
    <x v="4"/>
    <x v="1"/>
    <n v="0"/>
    <m/>
  </r>
  <r>
    <n v="45"/>
    <x v="0"/>
    <x v="1"/>
    <x v="1"/>
    <x v="1"/>
    <x v="4"/>
    <x v="2"/>
    <n v="0"/>
    <m/>
  </r>
  <r>
    <n v="46"/>
    <x v="1"/>
    <x v="0"/>
    <x v="0"/>
    <x v="0"/>
    <x v="0"/>
    <x v="0"/>
    <n v="186573.6"/>
    <m/>
  </r>
  <r>
    <n v="47"/>
    <x v="1"/>
    <x v="0"/>
    <x v="0"/>
    <x v="0"/>
    <x v="0"/>
    <x v="1"/>
    <n v="6072.48"/>
    <m/>
  </r>
  <r>
    <n v="48"/>
    <x v="1"/>
    <x v="0"/>
    <x v="0"/>
    <x v="0"/>
    <x v="0"/>
    <x v="2"/>
    <n v="6937.92"/>
    <m/>
  </r>
  <r>
    <n v="49"/>
    <x v="1"/>
    <x v="0"/>
    <x v="0"/>
    <x v="0"/>
    <x v="10"/>
    <x v="0"/>
    <n v="10313.280000000001"/>
    <m/>
  </r>
  <r>
    <n v="50"/>
    <x v="1"/>
    <x v="0"/>
    <x v="0"/>
    <x v="0"/>
    <x v="10"/>
    <x v="1"/>
    <n v="0"/>
    <m/>
  </r>
  <r>
    <n v="51"/>
    <x v="1"/>
    <x v="0"/>
    <x v="0"/>
    <x v="0"/>
    <x v="10"/>
    <x v="2"/>
    <n v="162.72"/>
    <m/>
  </r>
  <r>
    <n v="52"/>
    <x v="1"/>
    <x v="0"/>
    <x v="0"/>
    <x v="0"/>
    <x v="1"/>
    <x v="0"/>
    <n v="7977.6"/>
    <m/>
  </r>
  <r>
    <n v="53"/>
    <x v="1"/>
    <x v="0"/>
    <x v="0"/>
    <x v="0"/>
    <x v="1"/>
    <x v="1"/>
    <n v="0"/>
    <m/>
  </r>
  <r>
    <n v="54"/>
    <x v="1"/>
    <x v="0"/>
    <x v="0"/>
    <x v="0"/>
    <x v="1"/>
    <x v="2"/>
    <n v="378.72"/>
    <m/>
  </r>
  <r>
    <n v="55"/>
    <x v="1"/>
    <x v="0"/>
    <x v="0"/>
    <x v="0"/>
    <x v="2"/>
    <x v="0"/>
    <n v="12661.92"/>
    <m/>
  </r>
  <r>
    <n v="56"/>
    <x v="1"/>
    <x v="0"/>
    <x v="0"/>
    <x v="0"/>
    <x v="2"/>
    <x v="1"/>
    <n v="0"/>
    <m/>
  </r>
  <r>
    <n v="57"/>
    <x v="1"/>
    <x v="0"/>
    <x v="0"/>
    <x v="0"/>
    <x v="2"/>
    <x v="2"/>
    <n v="521.28"/>
    <m/>
  </r>
  <r>
    <n v="58"/>
    <x v="1"/>
    <x v="0"/>
    <x v="0"/>
    <x v="0"/>
    <x v="3"/>
    <x v="0"/>
    <n v="18154.080000000002"/>
    <m/>
  </r>
  <r>
    <n v="59"/>
    <x v="1"/>
    <x v="0"/>
    <x v="0"/>
    <x v="0"/>
    <x v="3"/>
    <x v="1"/>
    <n v="466.56"/>
    <m/>
  </r>
  <r>
    <n v="60"/>
    <x v="1"/>
    <x v="0"/>
    <x v="0"/>
    <x v="0"/>
    <x v="3"/>
    <x v="2"/>
    <n v="296.64"/>
    <m/>
  </r>
  <r>
    <n v="61"/>
    <x v="1"/>
    <x v="0"/>
    <x v="0"/>
    <x v="0"/>
    <x v="11"/>
    <x v="0"/>
    <n v="18442.080000000002"/>
    <m/>
  </r>
  <r>
    <n v="62"/>
    <x v="1"/>
    <x v="0"/>
    <x v="0"/>
    <x v="0"/>
    <x v="11"/>
    <x v="1"/>
    <n v="298.08"/>
    <m/>
  </r>
  <r>
    <n v="63"/>
    <x v="1"/>
    <x v="0"/>
    <x v="0"/>
    <x v="0"/>
    <x v="11"/>
    <x v="2"/>
    <n v="324"/>
    <m/>
  </r>
  <r>
    <n v="64"/>
    <x v="1"/>
    <x v="0"/>
    <x v="0"/>
    <x v="0"/>
    <x v="5"/>
    <x v="0"/>
    <n v="10820.16"/>
    <m/>
  </r>
  <r>
    <n v="65"/>
    <x v="1"/>
    <x v="0"/>
    <x v="0"/>
    <x v="0"/>
    <x v="5"/>
    <x v="1"/>
    <n v="0"/>
    <m/>
  </r>
  <r>
    <n v="66"/>
    <x v="1"/>
    <x v="0"/>
    <x v="0"/>
    <x v="0"/>
    <x v="5"/>
    <x v="2"/>
    <n v="368.64"/>
    <m/>
  </r>
  <r>
    <n v="67"/>
    <x v="1"/>
    <x v="0"/>
    <x v="0"/>
    <x v="0"/>
    <x v="6"/>
    <x v="0"/>
    <n v="54031.68"/>
    <m/>
  </r>
  <r>
    <n v="68"/>
    <x v="1"/>
    <x v="0"/>
    <x v="0"/>
    <x v="0"/>
    <x v="6"/>
    <x v="1"/>
    <n v="691.2"/>
    <m/>
  </r>
  <r>
    <n v="69"/>
    <x v="1"/>
    <x v="0"/>
    <x v="0"/>
    <x v="0"/>
    <x v="6"/>
    <x v="2"/>
    <n v="793.44"/>
    <m/>
  </r>
  <r>
    <n v="70"/>
    <x v="1"/>
    <x v="1"/>
    <x v="2"/>
    <x v="2"/>
    <x v="7"/>
    <x v="0"/>
    <n v="233358"/>
    <m/>
  </r>
  <r>
    <n v="71"/>
    <x v="1"/>
    <x v="1"/>
    <x v="2"/>
    <x v="2"/>
    <x v="7"/>
    <x v="1"/>
    <n v="0"/>
    <m/>
  </r>
  <r>
    <n v="72"/>
    <x v="1"/>
    <x v="1"/>
    <x v="2"/>
    <x v="2"/>
    <x v="7"/>
    <x v="2"/>
    <n v="1960.5"/>
    <m/>
  </r>
  <r>
    <n v="73"/>
    <x v="1"/>
    <x v="1"/>
    <x v="2"/>
    <x v="2"/>
    <x v="3"/>
    <x v="0"/>
    <n v="31834.5"/>
    <m/>
  </r>
  <r>
    <n v="74"/>
    <x v="1"/>
    <x v="1"/>
    <x v="2"/>
    <x v="2"/>
    <x v="3"/>
    <x v="1"/>
    <n v="0"/>
    <m/>
  </r>
  <r>
    <n v="75"/>
    <x v="1"/>
    <x v="1"/>
    <x v="2"/>
    <x v="2"/>
    <x v="3"/>
    <x v="2"/>
    <n v="106.5"/>
    <m/>
  </r>
  <r>
    <n v="76"/>
    <x v="1"/>
    <x v="1"/>
    <x v="2"/>
    <x v="2"/>
    <x v="1"/>
    <x v="0"/>
    <n v="17817"/>
    <m/>
  </r>
  <r>
    <n v="77"/>
    <x v="1"/>
    <x v="1"/>
    <x v="2"/>
    <x v="2"/>
    <x v="1"/>
    <x v="1"/>
    <n v="0"/>
    <m/>
  </r>
  <r>
    <n v="78"/>
    <x v="1"/>
    <x v="1"/>
    <x v="2"/>
    <x v="2"/>
    <x v="1"/>
    <x v="2"/>
    <n v="64.5"/>
    <m/>
  </r>
  <r>
    <n v="79"/>
    <x v="1"/>
    <x v="1"/>
    <x v="2"/>
    <x v="2"/>
    <x v="9"/>
    <x v="0"/>
    <n v="54442.5"/>
    <m/>
  </r>
  <r>
    <n v="80"/>
    <x v="1"/>
    <x v="1"/>
    <x v="2"/>
    <x v="2"/>
    <x v="9"/>
    <x v="1"/>
    <n v="0"/>
    <m/>
  </r>
  <r>
    <n v="81"/>
    <x v="1"/>
    <x v="1"/>
    <x v="2"/>
    <x v="2"/>
    <x v="9"/>
    <x v="2"/>
    <n v="246"/>
    <m/>
  </r>
  <r>
    <n v="82"/>
    <x v="1"/>
    <x v="1"/>
    <x v="2"/>
    <x v="2"/>
    <x v="12"/>
    <x v="0"/>
    <n v="30355.5"/>
    <m/>
  </r>
  <r>
    <n v="83"/>
    <x v="1"/>
    <x v="1"/>
    <x v="2"/>
    <x v="2"/>
    <x v="12"/>
    <x v="1"/>
    <n v="0"/>
    <m/>
  </r>
  <r>
    <n v="84"/>
    <x v="1"/>
    <x v="1"/>
    <x v="2"/>
    <x v="2"/>
    <x v="12"/>
    <x v="2"/>
    <n v="58.5"/>
    <m/>
  </r>
  <r>
    <n v="85"/>
    <x v="1"/>
    <x v="1"/>
    <x v="2"/>
    <x v="2"/>
    <x v="6"/>
    <x v="0"/>
    <n v="45324"/>
    <m/>
  </r>
  <r>
    <n v="86"/>
    <x v="1"/>
    <x v="1"/>
    <x v="2"/>
    <x v="2"/>
    <x v="6"/>
    <x v="1"/>
    <n v="0"/>
    <m/>
  </r>
  <r>
    <n v="87"/>
    <x v="1"/>
    <x v="1"/>
    <x v="2"/>
    <x v="2"/>
    <x v="6"/>
    <x v="2"/>
    <n v="171"/>
    <m/>
  </r>
  <r>
    <n v="88"/>
    <x v="2"/>
    <x v="1"/>
    <x v="2"/>
    <x v="2"/>
    <x v="7"/>
    <x v="0"/>
    <n v="78493.5"/>
    <m/>
  </r>
  <r>
    <n v="89"/>
    <x v="2"/>
    <x v="1"/>
    <x v="2"/>
    <x v="2"/>
    <x v="7"/>
    <x v="1"/>
    <n v="0"/>
    <m/>
  </r>
  <r>
    <n v="90"/>
    <x v="2"/>
    <x v="1"/>
    <x v="2"/>
    <x v="2"/>
    <x v="7"/>
    <x v="2"/>
    <n v="409.5"/>
    <m/>
  </r>
  <r>
    <n v="91"/>
    <x v="2"/>
    <x v="1"/>
    <x v="2"/>
    <x v="2"/>
    <x v="3"/>
    <x v="0"/>
    <n v="9565.5"/>
    <m/>
  </r>
  <r>
    <n v="92"/>
    <x v="2"/>
    <x v="1"/>
    <x v="2"/>
    <x v="2"/>
    <x v="3"/>
    <x v="1"/>
    <n v="0"/>
    <m/>
  </r>
  <r>
    <n v="93"/>
    <x v="2"/>
    <x v="1"/>
    <x v="2"/>
    <x v="2"/>
    <x v="3"/>
    <x v="2"/>
    <n v="91.5"/>
    <m/>
  </r>
  <r>
    <n v="94"/>
    <x v="2"/>
    <x v="1"/>
    <x v="2"/>
    <x v="2"/>
    <x v="12"/>
    <x v="0"/>
    <n v="23089.5"/>
    <m/>
  </r>
  <r>
    <n v="95"/>
    <x v="2"/>
    <x v="1"/>
    <x v="2"/>
    <x v="2"/>
    <x v="12"/>
    <x v="1"/>
    <n v="0"/>
    <m/>
  </r>
  <r>
    <n v="96"/>
    <x v="2"/>
    <x v="1"/>
    <x v="2"/>
    <x v="2"/>
    <x v="12"/>
    <x v="2"/>
    <n v="67.5"/>
    <m/>
  </r>
  <r>
    <n v="97"/>
    <x v="2"/>
    <x v="1"/>
    <x v="2"/>
    <x v="2"/>
    <x v="9"/>
    <x v="0"/>
    <n v="25012.5"/>
    <m/>
  </r>
  <r>
    <n v="98"/>
    <x v="2"/>
    <x v="1"/>
    <x v="2"/>
    <x v="2"/>
    <x v="9"/>
    <x v="1"/>
    <n v="0"/>
    <m/>
  </r>
  <r>
    <n v="99"/>
    <x v="2"/>
    <x v="1"/>
    <x v="2"/>
    <x v="2"/>
    <x v="9"/>
    <x v="2"/>
    <n v="331.5"/>
    <m/>
  </r>
  <r>
    <n v="100"/>
    <x v="2"/>
    <x v="1"/>
    <x v="2"/>
    <x v="2"/>
    <x v="6"/>
    <x v="0"/>
    <n v="26017.5"/>
    <m/>
  </r>
  <r>
    <n v="101"/>
    <x v="2"/>
    <x v="1"/>
    <x v="2"/>
    <x v="2"/>
    <x v="6"/>
    <x v="1"/>
    <n v="0"/>
    <m/>
  </r>
  <r>
    <n v="102"/>
    <x v="2"/>
    <x v="1"/>
    <x v="2"/>
    <x v="2"/>
    <x v="6"/>
    <x v="2"/>
    <n v="147"/>
    <m/>
  </r>
  <r>
    <n v="103"/>
    <x v="2"/>
    <x v="1"/>
    <x v="2"/>
    <x v="2"/>
    <x v="1"/>
    <x v="0"/>
    <n v="13810.5"/>
    <m/>
  </r>
  <r>
    <n v="104"/>
    <x v="2"/>
    <x v="1"/>
    <x v="2"/>
    <x v="2"/>
    <x v="1"/>
    <x v="1"/>
    <n v="0"/>
    <m/>
  </r>
  <r>
    <n v="105"/>
    <x v="2"/>
    <x v="1"/>
    <x v="2"/>
    <x v="2"/>
    <x v="1"/>
    <x v="2"/>
    <n v="30"/>
    <m/>
  </r>
  <r>
    <n v="106"/>
    <x v="2"/>
    <x v="1"/>
    <x v="2"/>
    <x v="2"/>
    <x v="13"/>
    <x v="0"/>
    <n v="15009"/>
    <m/>
  </r>
  <r>
    <n v="107"/>
    <x v="2"/>
    <x v="1"/>
    <x v="2"/>
    <x v="2"/>
    <x v="13"/>
    <x v="1"/>
    <n v="0"/>
    <m/>
  </r>
  <r>
    <n v="108"/>
    <x v="2"/>
    <x v="1"/>
    <x v="2"/>
    <x v="2"/>
    <x v="13"/>
    <x v="2"/>
    <n v="54"/>
    <m/>
  </r>
  <r>
    <n v="109"/>
    <x v="2"/>
    <x v="1"/>
    <x v="2"/>
    <x v="2"/>
    <x v="14"/>
    <x v="0"/>
    <n v="16030.5"/>
    <m/>
  </r>
  <r>
    <n v="110"/>
    <x v="2"/>
    <x v="1"/>
    <x v="2"/>
    <x v="2"/>
    <x v="14"/>
    <x v="1"/>
    <n v="0"/>
    <m/>
  </r>
  <r>
    <n v="111"/>
    <x v="2"/>
    <x v="1"/>
    <x v="2"/>
    <x v="2"/>
    <x v="14"/>
    <x v="2"/>
    <n v="84"/>
    <m/>
  </r>
  <r>
    <n v="112"/>
    <x v="2"/>
    <x v="1"/>
    <x v="1"/>
    <x v="1"/>
    <x v="9"/>
    <x v="0"/>
    <n v="25628.799999999999"/>
    <m/>
  </r>
  <r>
    <n v="113"/>
    <x v="2"/>
    <x v="1"/>
    <x v="1"/>
    <x v="1"/>
    <x v="9"/>
    <x v="1"/>
    <n v="0"/>
    <m/>
  </r>
  <r>
    <n v="114"/>
    <x v="2"/>
    <x v="1"/>
    <x v="1"/>
    <x v="1"/>
    <x v="9"/>
    <x v="2"/>
    <n v="835.2"/>
    <m/>
  </r>
  <r>
    <n v="115"/>
    <x v="2"/>
    <x v="1"/>
    <x v="1"/>
    <x v="1"/>
    <x v="1"/>
    <x v="0"/>
    <n v="9072"/>
    <m/>
  </r>
  <r>
    <n v="116"/>
    <x v="2"/>
    <x v="1"/>
    <x v="1"/>
    <x v="1"/>
    <x v="1"/>
    <x v="1"/>
    <n v="0"/>
    <m/>
  </r>
  <r>
    <n v="117"/>
    <x v="2"/>
    <x v="1"/>
    <x v="1"/>
    <x v="1"/>
    <x v="1"/>
    <x v="2"/>
    <n v="270.39999999999998"/>
    <m/>
  </r>
  <r>
    <n v="118"/>
    <x v="2"/>
    <x v="1"/>
    <x v="1"/>
    <x v="1"/>
    <x v="3"/>
    <x v="0"/>
    <n v="347.2"/>
    <m/>
  </r>
  <r>
    <n v="119"/>
    <x v="2"/>
    <x v="1"/>
    <x v="1"/>
    <x v="1"/>
    <x v="3"/>
    <x v="1"/>
    <n v="0"/>
    <m/>
  </r>
  <r>
    <n v="120"/>
    <x v="2"/>
    <x v="1"/>
    <x v="1"/>
    <x v="1"/>
    <x v="3"/>
    <x v="2"/>
    <n v="6.4"/>
    <m/>
  </r>
  <r>
    <n v="121"/>
    <x v="2"/>
    <x v="1"/>
    <x v="1"/>
    <x v="1"/>
    <x v="7"/>
    <x v="0"/>
    <n v="56257.599999999999"/>
    <m/>
  </r>
  <r>
    <n v="122"/>
    <x v="2"/>
    <x v="1"/>
    <x v="1"/>
    <x v="1"/>
    <x v="7"/>
    <x v="1"/>
    <n v="0"/>
    <m/>
  </r>
  <r>
    <n v="123"/>
    <x v="2"/>
    <x v="1"/>
    <x v="1"/>
    <x v="1"/>
    <x v="7"/>
    <x v="2"/>
    <n v="13192"/>
    <m/>
  </r>
  <r>
    <n v="124"/>
    <x v="2"/>
    <x v="1"/>
    <x v="1"/>
    <x v="1"/>
    <x v="15"/>
    <x v="0"/>
    <n v="44201.599999999999"/>
    <m/>
  </r>
  <r>
    <n v="125"/>
    <x v="2"/>
    <x v="1"/>
    <x v="1"/>
    <x v="1"/>
    <x v="15"/>
    <x v="1"/>
    <n v="0"/>
    <m/>
  </r>
  <r>
    <n v="126"/>
    <x v="2"/>
    <x v="1"/>
    <x v="1"/>
    <x v="1"/>
    <x v="15"/>
    <x v="2"/>
    <n v="2344"/>
    <m/>
  </r>
  <r>
    <n v="127"/>
    <x v="2"/>
    <x v="1"/>
    <x v="1"/>
    <x v="1"/>
    <x v="16"/>
    <x v="0"/>
    <n v="5638.4"/>
    <m/>
  </r>
  <r>
    <n v="128"/>
    <x v="2"/>
    <x v="1"/>
    <x v="1"/>
    <x v="1"/>
    <x v="16"/>
    <x v="1"/>
    <n v="0"/>
    <m/>
  </r>
  <r>
    <n v="129"/>
    <x v="2"/>
    <x v="1"/>
    <x v="1"/>
    <x v="1"/>
    <x v="16"/>
    <x v="2"/>
    <n v="417.6"/>
    <m/>
  </r>
  <r>
    <n v="130"/>
    <x v="2"/>
    <x v="1"/>
    <x v="1"/>
    <x v="1"/>
    <x v="11"/>
    <x v="0"/>
    <n v="5236.8"/>
    <m/>
  </r>
  <r>
    <n v="131"/>
    <x v="2"/>
    <x v="1"/>
    <x v="1"/>
    <x v="1"/>
    <x v="11"/>
    <x v="1"/>
    <n v="0"/>
    <m/>
  </r>
  <r>
    <n v="132"/>
    <x v="2"/>
    <x v="1"/>
    <x v="1"/>
    <x v="1"/>
    <x v="11"/>
    <x v="2"/>
    <n v="284.8"/>
    <m/>
  </r>
  <r>
    <n v="133"/>
    <x v="2"/>
    <x v="1"/>
    <x v="1"/>
    <x v="1"/>
    <x v="4"/>
    <x v="0"/>
    <n v="36112"/>
    <m/>
  </r>
  <r>
    <n v="134"/>
    <x v="2"/>
    <x v="1"/>
    <x v="1"/>
    <x v="1"/>
    <x v="4"/>
    <x v="1"/>
    <n v="0"/>
    <m/>
  </r>
  <r>
    <n v="135"/>
    <x v="2"/>
    <x v="1"/>
    <x v="1"/>
    <x v="1"/>
    <x v="4"/>
    <x v="2"/>
    <n v="0"/>
    <m/>
  </r>
  <r>
    <n v="136"/>
    <x v="2"/>
    <x v="1"/>
    <x v="1"/>
    <x v="1"/>
    <x v="6"/>
    <x v="0"/>
    <n v="24347.200000000001"/>
    <m/>
  </r>
  <r>
    <n v="137"/>
    <x v="2"/>
    <x v="1"/>
    <x v="1"/>
    <x v="1"/>
    <x v="6"/>
    <x v="1"/>
    <n v="0"/>
    <m/>
  </r>
  <r>
    <n v="138"/>
    <x v="2"/>
    <x v="1"/>
    <x v="1"/>
    <x v="1"/>
    <x v="6"/>
    <x v="2"/>
    <n v="542.4"/>
    <m/>
  </r>
  <r>
    <n v="139"/>
    <x v="2"/>
    <x v="0"/>
    <x v="0"/>
    <x v="0"/>
    <x v="0"/>
    <x v="0"/>
    <n v="185617.44"/>
    <m/>
  </r>
  <r>
    <n v="140"/>
    <x v="2"/>
    <x v="0"/>
    <x v="0"/>
    <x v="0"/>
    <x v="0"/>
    <x v="1"/>
    <n v="4381.92"/>
    <m/>
  </r>
  <r>
    <n v="141"/>
    <x v="2"/>
    <x v="0"/>
    <x v="0"/>
    <x v="0"/>
    <x v="0"/>
    <x v="2"/>
    <n v="13489.92"/>
    <m/>
  </r>
  <r>
    <n v="142"/>
    <x v="2"/>
    <x v="0"/>
    <x v="0"/>
    <x v="0"/>
    <x v="10"/>
    <x v="0"/>
    <n v="512.64"/>
    <m/>
  </r>
  <r>
    <n v="143"/>
    <x v="2"/>
    <x v="0"/>
    <x v="0"/>
    <x v="0"/>
    <x v="10"/>
    <x v="1"/>
    <n v="0"/>
    <m/>
  </r>
  <r>
    <n v="144"/>
    <x v="2"/>
    <x v="0"/>
    <x v="0"/>
    <x v="0"/>
    <x v="10"/>
    <x v="2"/>
    <n v="17.28"/>
    <m/>
  </r>
  <r>
    <n v="145"/>
    <x v="2"/>
    <x v="0"/>
    <x v="0"/>
    <x v="0"/>
    <x v="1"/>
    <x v="0"/>
    <n v="43824.959999999999"/>
    <m/>
  </r>
  <r>
    <n v="146"/>
    <x v="2"/>
    <x v="0"/>
    <x v="0"/>
    <x v="0"/>
    <x v="1"/>
    <x v="1"/>
    <n v="0"/>
    <m/>
  </r>
  <r>
    <n v="147"/>
    <x v="2"/>
    <x v="0"/>
    <x v="0"/>
    <x v="0"/>
    <x v="1"/>
    <x v="2"/>
    <n v="1977.12"/>
    <m/>
  </r>
  <r>
    <n v="148"/>
    <x v="2"/>
    <x v="0"/>
    <x v="0"/>
    <x v="0"/>
    <x v="6"/>
    <x v="0"/>
    <n v="55402.559999999998"/>
    <m/>
  </r>
  <r>
    <n v="149"/>
    <x v="2"/>
    <x v="0"/>
    <x v="0"/>
    <x v="0"/>
    <x v="6"/>
    <x v="1"/>
    <n v="1860.48"/>
    <m/>
  </r>
  <r>
    <n v="150"/>
    <x v="2"/>
    <x v="0"/>
    <x v="0"/>
    <x v="0"/>
    <x v="6"/>
    <x v="2"/>
    <n v="1339.2"/>
    <m/>
  </r>
  <r>
    <n v="151"/>
    <x v="2"/>
    <x v="0"/>
    <x v="0"/>
    <x v="0"/>
    <x v="4"/>
    <x v="0"/>
    <n v="97444.800000000003"/>
    <m/>
  </r>
  <r>
    <n v="152"/>
    <x v="2"/>
    <x v="0"/>
    <x v="0"/>
    <x v="0"/>
    <x v="4"/>
    <x v="1"/>
    <n v="0"/>
    <m/>
  </r>
  <r>
    <n v="153"/>
    <x v="2"/>
    <x v="0"/>
    <x v="0"/>
    <x v="0"/>
    <x v="4"/>
    <x v="2"/>
    <n v="0"/>
    <m/>
  </r>
  <r>
    <n v="154"/>
    <x v="2"/>
    <x v="0"/>
    <x v="0"/>
    <x v="0"/>
    <x v="14"/>
    <x v="0"/>
    <n v="56000.160000000003"/>
    <m/>
  </r>
  <r>
    <n v="155"/>
    <x v="2"/>
    <x v="0"/>
    <x v="0"/>
    <x v="0"/>
    <x v="14"/>
    <x v="1"/>
    <n v="1576.8"/>
    <m/>
  </r>
  <r>
    <n v="156"/>
    <x v="2"/>
    <x v="0"/>
    <x v="0"/>
    <x v="0"/>
    <x v="14"/>
    <x v="2"/>
    <n v="1552.32"/>
    <m/>
  </r>
  <r>
    <n v="157"/>
    <x v="2"/>
    <x v="0"/>
    <x v="0"/>
    <x v="0"/>
    <x v="13"/>
    <x v="0"/>
    <n v="9449.2800000000007"/>
    <m/>
  </r>
  <r>
    <n v="158"/>
    <x v="2"/>
    <x v="0"/>
    <x v="0"/>
    <x v="0"/>
    <x v="13"/>
    <x v="1"/>
    <n v="403.2"/>
    <m/>
  </r>
  <r>
    <n v="159"/>
    <x v="2"/>
    <x v="0"/>
    <x v="0"/>
    <x v="0"/>
    <x v="13"/>
    <x v="2"/>
    <n v="239.04"/>
    <m/>
  </r>
  <r>
    <n v="160"/>
    <x v="2"/>
    <x v="0"/>
    <x v="0"/>
    <x v="0"/>
    <x v="3"/>
    <x v="0"/>
    <n v="4180.32"/>
    <m/>
  </r>
  <r>
    <n v="161"/>
    <x v="2"/>
    <x v="0"/>
    <x v="0"/>
    <x v="0"/>
    <x v="3"/>
    <x v="1"/>
    <n v="86.4"/>
    <m/>
  </r>
  <r>
    <n v="162"/>
    <x v="2"/>
    <x v="0"/>
    <x v="0"/>
    <x v="0"/>
    <x v="3"/>
    <x v="2"/>
    <n v="116.64"/>
    <m/>
  </r>
  <r>
    <n v="163"/>
    <x v="3"/>
    <x v="0"/>
    <x v="0"/>
    <x v="0"/>
    <x v="0"/>
    <x v="0"/>
    <n v="158351.04000000001"/>
    <m/>
  </r>
  <r>
    <n v="164"/>
    <x v="3"/>
    <x v="0"/>
    <x v="0"/>
    <x v="0"/>
    <x v="0"/>
    <x v="1"/>
    <n v="5832"/>
    <m/>
  </r>
  <r>
    <n v="165"/>
    <x v="3"/>
    <x v="0"/>
    <x v="0"/>
    <x v="0"/>
    <x v="0"/>
    <x v="2"/>
    <n v="9708.48"/>
    <m/>
  </r>
  <r>
    <n v="166"/>
    <x v="3"/>
    <x v="0"/>
    <x v="0"/>
    <x v="0"/>
    <x v="1"/>
    <x v="0"/>
    <n v="24756.48"/>
    <m/>
  </r>
  <r>
    <n v="167"/>
    <x v="3"/>
    <x v="0"/>
    <x v="0"/>
    <x v="0"/>
    <x v="1"/>
    <x v="1"/>
    <n v="0"/>
    <m/>
  </r>
  <r>
    <n v="168"/>
    <x v="3"/>
    <x v="0"/>
    <x v="0"/>
    <x v="0"/>
    <x v="1"/>
    <x v="2"/>
    <n v="1608.48"/>
    <m/>
  </r>
  <r>
    <n v="169"/>
    <x v="3"/>
    <x v="0"/>
    <x v="0"/>
    <x v="0"/>
    <x v="6"/>
    <x v="0"/>
    <n v="35650.080000000002"/>
    <m/>
  </r>
  <r>
    <n v="170"/>
    <x v="3"/>
    <x v="0"/>
    <x v="0"/>
    <x v="0"/>
    <x v="6"/>
    <x v="1"/>
    <n v="2206.08"/>
    <m/>
  </r>
  <r>
    <n v="171"/>
    <x v="3"/>
    <x v="0"/>
    <x v="0"/>
    <x v="0"/>
    <x v="6"/>
    <x v="2"/>
    <n v="1738.08"/>
    <m/>
  </r>
  <r>
    <n v="172"/>
    <x v="3"/>
    <x v="0"/>
    <x v="0"/>
    <x v="0"/>
    <x v="4"/>
    <x v="0"/>
    <n v="66680.639999999999"/>
    <m/>
  </r>
  <r>
    <n v="173"/>
    <x v="3"/>
    <x v="0"/>
    <x v="0"/>
    <x v="0"/>
    <x v="4"/>
    <x v="1"/>
    <n v="0"/>
    <m/>
  </r>
  <r>
    <n v="174"/>
    <x v="3"/>
    <x v="0"/>
    <x v="0"/>
    <x v="0"/>
    <x v="4"/>
    <x v="2"/>
    <n v="0"/>
    <m/>
  </r>
  <r>
    <n v="175"/>
    <x v="3"/>
    <x v="0"/>
    <x v="0"/>
    <x v="0"/>
    <x v="14"/>
    <x v="0"/>
    <n v="42687.360000000001"/>
    <m/>
  </r>
  <r>
    <n v="176"/>
    <x v="3"/>
    <x v="0"/>
    <x v="0"/>
    <x v="0"/>
    <x v="14"/>
    <x v="1"/>
    <n v="2862.72"/>
    <m/>
  </r>
  <r>
    <n v="177"/>
    <x v="3"/>
    <x v="0"/>
    <x v="0"/>
    <x v="0"/>
    <x v="14"/>
    <x v="2"/>
    <n v="1795.68"/>
    <m/>
  </r>
  <r>
    <n v="178"/>
    <x v="3"/>
    <x v="0"/>
    <x v="0"/>
    <x v="0"/>
    <x v="13"/>
    <x v="0"/>
    <n v="39143.519999999997"/>
    <m/>
  </r>
  <r>
    <n v="179"/>
    <x v="3"/>
    <x v="0"/>
    <x v="0"/>
    <x v="0"/>
    <x v="13"/>
    <x v="1"/>
    <n v="1340.64"/>
    <m/>
  </r>
  <r>
    <n v="180"/>
    <x v="3"/>
    <x v="0"/>
    <x v="0"/>
    <x v="0"/>
    <x v="13"/>
    <x v="2"/>
    <n v="1143.3599999999999"/>
    <m/>
  </r>
  <r>
    <n v="181"/>
    <x v="3"/>
    <x v="0"/>
    <x v="0"/>
    <x v="0"/>
    <x v="11"/>
    <x v="0"/>
    <n v="5083.2"/>
    <m/>
  </r>
  <r>
    <n v="182"/>
    <x v="3"/>
    <x v="0"/>
    <x v="0"/>
    <x v="0"/>
    <x v="11"/>
    <x v="1"/>
    <n v="86.4"/>
    <m/>
  </r>
  <r>
    <n v="183"/>
    <x v="3"/>
    <x v="0"/>
    <x v="0"/>
    <x v="0"/>
    <x v="11"/>
    <x v="2"/>
    <n v="223.2"/>
    <m/>
  </r>
  <r>
    <n v="184"/>
    <x v="3"/>
    <x v="0"/>
    <x v="0"/>
    <x v="0"/>
    <x v="3"/>
    <x v="0"/>
    <n v="19513.439999999999"/>
    <m/>
  </r>
  <r>
    <n v="185"/>
    <x v="3"/>
    <x v="0"/>
    <x v="0"/>
    <x v="0"/>
    <x v="3"/>
    <x v="1"/>
    <n v="802.08"/>
    <m/>
  </r>
  <r>
    <n v="186"/>
    <x v="3"/>
    <x v="0"/>
    <x v="0"/>
    <x v="0"/>
    <x v="3"/>
    <x v="2"/>
    <n v="1189.44"/>
    <m/>
  </r>
  <r>
    <n v="187"/>
    <x v="3"/>
    <x v="0"/>
    <x v="0"/>
    <x v="0"/>
    <x v="2"/>
    <x v="0"/>
    <n v="26894.880000000001"/>
    <m/>
  </r>
  <r>
    <n v="188"/>
    <x v="3"/>
    <x v="0"/>
    <x v="0"/>
    <x v="0"/>
    <x v="2"/>
    <x v="1"/>
    <n v="0"/>
    <m/>
  </r>
  <r>
    <n v="189"/>
    <x v="3"/>
    <x v="0"/>
    <x v="0"/>
    <x v="0"/>
    <x v="2"/>
    <x v="2"/>
    <n v="1753.92"/>
    <m/>
  </r>
  <r>
    <n v="190"/>
    <x v="3"/>
    <x v="0"/>
    <x v="0"/>
    <x v="0"/>
    <x v="5"/>
    <x v="0"/>
    <n v="3562.56"/>
    <m/>
  </r>
  <r>
    <n v="191"/>
    <x v="3"/>
    <x v="0"/>
    <x v="0"/>
    <x v="0"/>
    <x v="5"/>
    <x v="1"/>
    <n v="0"/>
    <m/>
  </r>
  <r>
    <n v="192"/>
    <x v="3"/>
    <x v="0"/>
    <x v="0"/>
    <x v="0"/>
    <x v="5"/>
    <x v="2"/>
    <n v="341.28"/>
    <m/>
  </r>
  <r>
    <n v="193"/>
    <x v="3"/>
    <x v="0"/>
    <x v="0"/>
    <x v="3"/>
    <x v="8"/>
    <x v="0"/>
    <n v="27587.52"/>
    <m/>
  </r>
  <r>
    <n v="194"/>
    <x v="3"/>
    <x v="0"/>
    <x v="0"/>
    <x v="3"/>
    <x v="8"/>
    <x v="1"/>
    <n v="0"/>
    <m/>
  </r>
  <r>
    <n v="195"/>
    <x v="3"/>
    <x v="0"/>
    <x v="0"/>
    <x v="3"/>
    <x v="8"/>
    <x v="2"/>
    <n v="519.84"/>
    <m/>
  </r>
  <r>
    <n v="196"/>
    <x v="3"/>
    <x v="0"/>
    <x v="0"/>
    <x v="3"/>
    <x v="17"/>
    <x v="0"/>
    <n v="3006.72"/>
    <m/>
  </r>
  <r>
    <n v="197"/>
    <x v="3"/>
    <x v="0"/>
    <x v="0"/>
    <x v="3"/>
    <x v="17"/>
    <x v="1"/>
    <n v="0"/>
    <m/>
  </r>
  <r>
    <n v="198"/>
    <x v="3"/>
    <x v="0"/>
    <x v="0"/>
    <x v="3"/>
    <x v="17"/>
    <x v="2"/>
    <n v="76.319999999999993"/>
    <m/>
  </r>
  <r>
    <n v="199"/>
    <x v="3"/>
    <x v="0"/>
    <x v="0"/>
    <x v="3"/>
    <x v="3"/>
    <x v="0"/>
    <n v="3741.12"/>
    <m/>
  </r>
  <r>
    <n v="200"/>
    <x v="3"/>
    <x v="0"/>
    <x v="0"/>
    <x v="3"/>
    <x v="3"/>
    <x v="1"/>
    <n v="0"/>
    <m/>
  </r>
  <r>
    <n v="201"/>
    <x v="3"/>
    <x v="0"/>
    <x v="0"/>
    <x v="3"/>
    <x v="3"/>
    <x v="2"/>
    <n v="72"/>
    <m/>
  </r>
  <r>
    <n v="202"/>
    <x v="3"/>
    <x v="1"/>
    <x v="1"/>
    <x v="1"/>
    <x v="7"/>
    <x v="0"/>
    <n v="188121.59999999998"/>
    <m/>
  </r>
  <r>
    <n v="203"/>
    <x v="3"/>
    <x v="1"/>
    <x v="1"/>
    <x v="1"/>
    <x v="7"/>
    <x v="1"/>
    <n v="0"/>
    <m/>
  </r>
  <r>
    <n v="204"/>
    <x v="3"/>
    <x v="1"/>
    <x v="1"/>
    <x v="1"/>
    <x v="7"/>
    <x v="2"/>
    <n v="14204.8"/>
    <m/>
  </r>
  <r>
    <n v="205"/>
    <x v="3"/>
    <x v="1"/>
    <x v="1"/>
    <x v="1"/>
    <x v="3"/>
    <x v="0"/>
    <n v="11886.4"/>
    <m/>
  </r>
  <r>
    <n v="206"/>
    <x v="3"/>
    <x v="1"/>
    <x v="1"/>
    <x v="1"/>
    <x v="3"/>
    <x v="1"/>
    <n v="0"/>
    <m/>
  </r>
  <r>
    <n v="207"/>
    <x v="3"/>
    <x v="1"/>
    <x v="1"/>
    <x v="1"/>
    <x v="3"/>
    <x v="2"/>
    <n v="793.6"/>
    <m/>
  </r>
  <r>
    <n v="208"/>
    <x v="3"/>
    <x v="1"/>
    <x v="1"/>
    <x v="1"/>
    <x v="11"/>
    <x v="0"/>
    <n v="12752"/>
    <m/>
  </r>
  <r>
    <n v="209"/>
    <x v="3"/>
    <x v="1"/>
    <x v="1"/>
    <x v="1"/>
    <x v="11"/>
    <x v="1"/>
    <n v="0"/>
    <m/>
  </r>
  <r>
    <n v="210"/>
    <x v="3"/>
    <x v="1"/>
    <x v="1"/>
    <x v="1"/>
    <x v="11"/>
    <x v="2"/>
    <n v="920"/>
    <m/>
  </r>
  <r>
    <n v="211"/>
    <x v="3"/>
    <x v="1"/>
    <x v="1"/>
    <x v="1"/>
    <x v="9"/>
    <x v="0"/>
    <n v="8545.6"/>
    <m/>
  </r>
  <r>
    <n v="212"/>
    <x v="3"/>
    <x v="1"/>
    <x v="1"/>
    <x v="1"/>
    <x v="9"/>
    <x v="1"/>
    <n v="0"/>
    <m/>
  </r>
  <r>
    <n v="213"/>
    <x v="3"/>
    <x v="1"/>
    <x v="1"/>
    <x v="1"/>
    <x v="9"/>
    <x v="2"/>
    <n v="552"/>
    <m/>
  </r>
  <r>
    <n v="214"/>
    <x v="3"/>
    <x v="1"/>
    <x v="1"/>
    <x v="1"/>
    <x v="6"/>
    <x v="0"/>
    <n v="8473.6"/>
    <m/>
  </r>
  <r>
    <n v="215"/>
    <x v="3"/>
    <x v="1"/>
    <x v="1"/>
    <x v="1"/>
    <x v="6"/>
    <x v="1"/>
    <n v="0"/>
    <m/>
  </r>
  <r>
    <n v="216"/>
    <x v="3"/>
    <x v="1"/>
    <x v="1"/>
    <x v="1"/>
    <x v="6"/>
    <x v="2"/>
    <n v="467.2"/>
    <m/>
  </r>
  <r>
    <n v="217"/>
    <x v="3"/>
    <x v="1"/>
    <x v="1"/>
    <x v="1"/>
    <x v="1"/>
    <x v="0"/>
    <n v="13889.6"/>
    <m/>
  </r>
  <r>
    <n v="218"/>
    <x v="3"/>
    <x v="1"/>
    <x v="1"/>
    <x v="1"/>
    <x v="1"/>
    <x v="1"/>
    <n v="0"/>
    <m/>
  </r>
  <r>
    <n v="219"/>
    <x v="3"/>
    <x v="1"/>
    <x v="1"/>
    <x v="1"/>
    <x v="1"/>
    <x v="2"/>
    <n v="475.2"/>
    <m/>
  </r>
  <r>
    <n v="220"/>
    <x v="3"/>
    <x v="1"/>
    <x v="1"/>
    <x v="1"/>
    <x v="15"/>
    <x v="0"/>
    <n v="72897.600000000006"/>
    <m/>
  </r>
  <r>
    <n v="221"/>
    <x v="3"/>
    <x v="1"/>
    <x v="1"/>
    <x v="1"/>
    <x v="15"/>
    <x v="1"/>
    <n v="0"/>
    <m/>
  </r>
  <r>
    <n v="222"/>
    <x v="3"/>
    <x v="1"/>
    <x v="1"/>
    <x v="1"/>
    <x v="15"/>
    <x v="2"/>
    <n v="3838.4"/>
    <m/>
  </r>
  <r>
    <n v="223"/>
    <x v="3"/>
    <x v="1"/>
    <x v="1"/>
    <x v="1"/>
    <x v="16"/>
    <x v="0"/>
    <n v="13280"/>
    <m/>
  </r>
  <r>
    <n v="224"/>
    <x v="3"/>
    <x v="1"/>
    <x v="1"/>
    <x v="1"/>
    <x v="16"/>
    <x v="1"/>
    <n v="0"/>
    <m/>
  </r>
  <r>
    <n v="225"/>
    <x v="3"/>
    <x v="1"/>
    <x v="1"/>
    <x v="1"/>
    <x v="16"/>
    <x v="2"/>
    <n v="667.2"/>
    <m/>
  </r>
  <r>
    <n v="226"/>
    <x v="3"/>
    <x v="1"/>
    <x v="1"/>
    <x v="1"/>
    <x v="4"/>
    <x v="0"/>
    <n v="43427.199999999997"/>
    <m/>
  </r>
  <r>
    <n v="227"/>
    <x v="3"/>
    <x v="1"/>
    <x v="1"/>
    <x v="1"/>
    <x v="4"/>
    <x v="1"/>
    <n v="0"/>
    <m/>
  </r>
  <r>
    <n v="228"/>
    <x v="3"/>
    <x v="1"/>
    <x v="1"/>
    <x v="1"/>
    <x v="4"/>
    <x v="2"/>
    <n v="0"/>
    <m/>
  </r>
  <r>
    <n v="229"/>
    <x v="3"/>
    <x v="1"/>
    <x v="1"/>
    <x v="1"/>
    <x v="13"/>
    <x v="0"/>
    <n v="46681.599999999999"/>
    <m/>
  </r>
  <r>
    <n v="230"/>
    <x v="3"/>
    <x v="1"/>
    <x v="1"/>
    <x v="1"/>
    <x v="13"/>
    <x v="1"/>
    <n v="0"/>
    <m/>
  </r>
  <r>
    <n v="231"/>
    <x v="3"/>
    <x v="1"/>
    <x v="1"/>
    <x v="1"/>
    <x v="13"/>
    <x v="2"/>
    <n v="2129.6"/>
    <m/>
  </r>
  <r>
    <n v="232"/>
    <x v="3"/>
    <x v="1"/>
    <x v="1"/>
    <x v="1"/>
    <x v="10"/>
    <x v="0"/>
    <n v="14904"/>
    <m/>
  </r>
  <r>
    <n v="233"/>
    <x v="3"/>
    <x v="1"/>
    <x v="1"/>
    <x v="1"/>
    <x v="10"/>
    <x v="1"/>
    <n v="0"/>
    <m/>
  </r>
  <r>
    <n v="234"/>
    <x v="3"/>
    <x v="1"/>
    <x v="1"/>
    <x v="1"/>
    <x v="10"/>
    <x v="2"/>
    <n v="824"/>
    <m/>
  </r>
  <r>
    <n v="235"/>
    <x v="4"/>
    <x v="0"/>
    <x v="0"/>
    <x v="0"/>
    <x v="0"/>
    <x v="0"/>
    <n v="176797.44"/>
    <m/>
  </r>
  <r>
    <n v="236"/>
    <x v="4"/>
    <x v="0"/>
    <x v="0"/>
    <x v="0"/>
    <x v="0"/>
    <x v="1"/>
    <n v="4881.6000000000004"/>
    <m/>
  </r>
  <r>
    <n v="237"/>
    <x v="4"/>
    <x v="0"/>
    <x v="0"/>
    <x v="0"/>
    <x v="0"/>
    <x v="2"/>
    <n v="10303.200000000001"/>
    <m/>
  </r>
  <r>
    <n v="238"/>
    <x v="4"/>
    <x v="0"/>
    <x v="0"/>
    <x v="0"/>
    <x v="1"/>
    <x v="0"/>
    <n v="21278.880000000001"/>
    <m/>
  </r>
  <r>
    <n v="239"/>
    <x v="4"/>
    <x v="0"/>
    <x v="0"/>
    <x v="0"/>
    <x v="1"/>
    <x v="1"/>
    <n v="0"/>
    <m/>
  </r>
  <r>
    <n v="240"/>
    <x v="4"/>
    <x v="0"/>
    <x v="0"/>
    <x v="0"/>
    <x v="1"/>
    <x v="2"/>
    <n v="1992.96"/>
    <m/>
  </r>
  <r>
    <n v="241"/>
    <x v="4"/>
    <x v="0"/>
    <x v="0"/>
    <x v="0"/>
    <x v="6"/>
    <x v="0"/>
    <n v="35169.120000000003"/>
    <m/>
  </r>
  <r>
    <n v="242"/>
    <x v="4"/>
    <x v="0"/>
    <x v="0"/>
    <x v="0"/>
    <x v="6"/>
    <x v="1"/>
    <n v="1516.32"/>
    <m/>
  </r>
  <r>
    <n v="243"/>
    <x v="4"/>
    <x v="0"/>
    <x v="0"/>
    <x v="0"/>
    <x v="6"/>
    <x v="2"/>
    <n v="1549.44"/>
    <m/>
  </r>
  <r>
    <n v="244"/>
    <x v="4"/>
    <x v="0"/>
    <x v="0"/>
    <x v="0"/>
    <x v="4"/>
    <x v="0"/>
    <n v="46586.879999999997"/>
    <m/>
  </r>
  <r>
    <n v="245"/>
    <x v="4"/>
    <x v="0"/>
    <x v="0"/>
    <x v="0"/>
    <x v="4"/>
    <x v="1"/>
    <n v="0"/>
    <m/>
  </r>
  <r>
    <n v="246"/>
    <x v="4"/>
    <x v="0"/>
    <x v="0"/>
    <x v="0"/>
    <x v="4"/>
    <x v="2"/>
    <n v="0"/>
    <m/>
  </r>
  <r>
    <n v="247"/>
    <x v="4"/>
    <x v="0"/>
    <x v="0"/>
    <x v="0"/>
    <x v="14"/>
    <x v="0"/>
    <n v="27660.959999999999"/>
    <m/>
  </r>
  <r>
    <n v="248"/>
    <x v="4"/>
    <x v="0"/>
    <x v="0"/>
    <x v="0"/>
    <x v="14"/>
    <x v="1"/>
    <n v="859.68"/>
    <m/>
  </r>
  <r>
    <n v="249"/>
    <x v="4"/>
    <x v="0"/>
    <x v="0"/>
    <x v="0"/>
    <x v="14"/>
    <x v="2"/>
    <n v="943.2"/>
    <m/>
  </r>
  <r>
    <n v="250"/>
    <x v="4"/>
    <x v="0"/>
    <x v="0"/>
    <x v="0"/>
    <x v="13"/>
    <x v="0"/>
    <n v="11888.64"/>
    <m/>
  </r>
  <r>
    <n v="251"/>
    <x v="4"/>
    <x v="0"/>
    <x v="0"/>
    <x v="0"/>
    <x v="13"/>
    <x v="1"/>
    <n v="303.83999999999997"/>
    <m/>
  </r>
  <r>
    <n v="252"/>
    <x v="4"/>
    <x v="0"/>
    <x v="0"/>
    <x v="0"/>
    <x v="13"/>
    <x v="2"/>
    <n v="440.64"/>
    <m/>
  </r>
  <r>
    <n v="253"/>
    <x v="4"/>
    <x v="0"/>
    <x v="0"/>
    <x v="0"/>
    <x v="11"/>
    <x v="0"/>
    <n v="26334.720000000001"/>
    <m/>
  </r>
  <r>
    <n v="254"/>
    <x v="4"/>
    <x v="0"/>
    <x v="0"/>
    <x v="0"/>
    <x v="11"/>
    <x v="1"/>
    <n v="617.76"/>
    <m/>
  </r>
  <r>
    <n v="255"/>
    <x v="4"/>
    <x v="0"/>
    <x v="0"/>
    <x v="0"/>
    <x v="11"/>
    <x v="2"/>
    <n v="1029.5999999999999"/>
    <m/>
  </r>
  <r>
    <n v="256"/>
    <x v="4"/>
    <x v="0"/>
    <x v="0"/>
    <x v="0"/>
    <x v="3"/>
    <x v="0"/>
    <n v="25525.439999999999"/>
    <m/>
  </r>
  <r>
    <n v="257"/>
    <x v="4"/>
    <x v="0"/>
    <x v="0"/>
    <x v="0"/>
    <x v="3"/>
    <x v="1"/>
    <n v="1085.76"/>
    <m/>
  </r>
  <r>
    <n v="258"/>
    <x v="4"/>
    <x v="0"/>
    <x v="0"/>
    <x v="0"/>
    <x v="3"/>
    <x v="2"/>
    <n v="876.96"/>
    <m/>
  </r>
  <r>
    <n v="259"/>
    <x v="4"/>
    <x v="0"/>
    <x v="0"/>
    <x v="0"/>
    <x v="2"/>
    <x v="0"/>
    <n v="8169.12"/>
    <m/>
  </r>
  <r>
    <n v="260"/>
    <x v="4"/>
    <x v="0"/>
    <x v="0"/>
    <x v="0"/>
    <x v="2"/>
    <x v="1"/>
    <n v="0"/>
    <m/>
  </r>
  <r>
    <n v="261"/>
    <x v="4"/>
    <x v="0"/>
    <x v="0"/>
    <x v="0"/>
    <x v="2"/>
    <x v="2"/>
    <n v="527.04"/>
    <m/>
  </r>
  <r>
    <n v="262"/>
    <x v="4"/>
    <x v="0"/>
    <x v="0"/>
    <x v="0"/>
    <x v="10"/>
    <x v="0"/>
    <n v="14191.2"/>
    <m/>
  </r>
  <r>
    <n v="263"/>
    <x v="4"/>
    <x v="0"/>
    <x v="0"/>
    <x v="0"/>
    <x v="10"/>
    <x v="1"/>
    <n v="0"/>
    <m/>
  </r>
  <r>
    <n v="264"/>
    <x v="4"/>
    <x v="0"/>
    <x v="0"/>
    <x v="0"/>
    <x v="10"/>
    <x v="2"/>
    <n v="672.48"/>
    <m/>
  </r>
  <r>
    <n v="265"/>
    <x v="4"/>
    <x v="0"/>
    <x v="0"/>
    <x v="3"/>
    <x v="1"/>
    <x v="0"/>
    <n v="8652.9599999999991"/>
    <m/>
  </r>
  <r>
    <n v="266"/>
    <x v="4"/>
    <x v="0"/>
    <x v="0"/>
    <x v="3"/>
    <x v="1"/>
    <x v="1"/>
    <n v="0"/>
    <m/>
  </r>
  <r>
    <n v="267"/>
    <x v="4"/>
    <x v="0"/>
    <x v="0"/>
    <x v="3"/>
    <x v="1"/>
    <x v="2"/>
    <n v="152.63999999999999"/>
    <m/>
  </r>
  <r>
    <n v="268"/>
    <x v="4"/>
    <x v="0"/>
    <x v="0"/>
    <x v="3"/>
    <x v="17"/>
    <x v="0"/>
    <n v="31423.68"/>
    <m/>
  </r>
  <r>
    <n v="269"/>
    <x v="4"/>
    <x v="0"/>
    <x v="0"/>
    <x v="3"/>
    <x v="17"/>
    <x v="1"/>
    <n v="0"/>
    <m/>
  </r>
  <r>
    <n v="270"/>
    <x v="4"/>
    <x v="0"/>
    <x v="0"/>
    <x v="3"/>
    <x v="17"/>
    <x v="2"/>
    <n v="760.32"/>
    <m/>
  </r>
  <r>
    <n v="271"/>
    <x v="4"/>
    <x v="0"/>
    <x v="0"/>
    <x v="3"/>
    <x v="7"/>
    <x v="0"/>
    <n v="16007.04"/>
    <m/>
  </r>
  <r>
    <n v="272"/>
    <x v="4"/>
    <x v="0"/>
    <x v="0"/>
    <x v="3"/>
    <x v="7"/>
    <x v="1"/>
    <n v="0"/>
    <m/>
  </r>
  <r>
    <n v="273"/>
    <x v="4"/>
    <x v="0"/>
    <x v="0"/>
    <x v="3"/>
    <x v="7"/>
    <x v="2"/>
    <n v="456.48"/>
    <m/>
  </r>
  <r>
    <n v="274"/>
    <x v="4"/>
    <x v="1"/>
    <x v="1"/>
    <x v="1"/>
    <x v="7"/>
    <x v="0"/>
    <n v="92777.600000000006"/>
    <m/>
  </r>
  <r>
    <n v="275"/>
    <x v="4"/>
    <x v="1"/>
    <x v="1"/>
    <x v="1"/>
    <x v="7"/>
    <x v="1"/>
    <n v="0"/>
    <m/>
  </r>
  <r>
    <n v="276"/>
    <x v="4"/>
    <x v="1"/>
    <x v="1"/>
    <x v="1"/>
    <x v="7"/>
    <x v="2"/>
    <n v="9334.4"/>
    <m/>
  </r>
  <r>
    <n v="277"/>
    <x v="4"/>
    <x v="1"/>
    <x v="1"/>
    <x v="1"/>
    <x v="3"/>
    <x v="0"/>
    <n v="3388.8"/>
    <m/>
  </r>
  <r>
    <n v="278"/>
    <x v="4"/>
    <x v="1"/>
    <x v="1"/>
    <x v="1"/>
    <x v="3"/>
    <x v="1"/>
    <n v="0"/>
    <m/>
  </r>
  <r>
    <n v="279"/>
    <x v="4"/>
    <x v="1"/>
    <x v="1"/>
    <x v="1"/>
    <x v="3"/>
    <x v="2"/>
    <n v="179.2"/>
    <m/>
  </r>
  <r>
    <n v="280"/>
    <x v="4"/>
    <x v="1"/>
    <x v="1"/>
    <x v="1"/>
    <x v="13"/>
    <x v="0"/>
    <n v="11126.4"/>
    <m/>
  </r>
  <r>
    <n v="281"/>
    <x v="4"/>
    <x v="1"/>
    <x v="1"/>
    <x v="1"/>
    <x v="13"/>
    <x v="1"/>
    <n v="0"/>
    <m/>
  </r>
  <r>
    <n v="282"/>
    <x v="4"/>
    <x v="1"/>
    <x v="1"/>
    <x v="1"/>
    <x v="13"/>
    <x v="2"/>
    <n v="785.6"/>
    <m/>
  </r>
  <r>
    <n v="283"/>
    <x v="4"/>
    <x v="1"/>
    <x v="1"/>
    <x v="1"/>
    <x v="9"/>
    <x v="0"/>
    <n v="17403.2"/>
    <m/>
  </r>
  <r>
    <n v="284"/>
    <x v="4"/>
    <x v="1"/>
    <x v="1"/>
    <x v="1"/>
    <x v="9"/>
    <x v="1"/>
    <n v="0"/>
    <m/>
  </r>
  <r>
    <n v="285"/>
    <x v="4"/>
    <x v="1"/>
    <x v="1"/>
    <x v="1"/>
    <x v="9"/>
    <x v="2"/>
    <n v="966.4"/>
    <m/>
  </r>
  <r>
    <n v="286"/>
    <x v="4"/>
    <x v="1"/>
    <x v="1"/>
    <x v="1"/>
    <x v="1"/>
    <x v="0"/>
    <n v="18683.2"/>
    <m/>
  </r>
  <r>
    <n v="287"/>
    <x v="4"/>
    <x v="1"/>
    <x v="1"/>
    <x v="1"/>
    <x v="1"/>
    <x v="1"/>
    <n v="0"/>
    <m/>
  </r>
  <r>
    <n v="288"/>
    <x v="4"/>
    <x v="1"/>
    <x v="1"/>
    <x v="1"/>
    <x v="1"/>
    <x v="2"/>
    <n v="996.8"/>
    <m/>
  </r>
  <r>
    <n v="289"/>
    <x v="4"/>
    <x v="1"/>
    <x v="1"/>
    <x v="1"/>
    <x v="15"/>
    <x v="0"/>
    <n v="61971.199999999997"/>
    <m/>
  </r>
  <r>
    <n v="290"/>
    <x v="4"/>
    <x v="1"/>
    <x v="1"/>
    <x v="1"/>
    <x v="15"/>
    <x v="1"/>
    <n v="0"/>
    <m/>
  </r>
  <r>
    <n v="291"/>
    <x v="4"/>
    <x v="1"/>
    <x v="1"/>
    <x v="1"/>
    <x v="15"/>
    <x v="2"/>
    <n v="4073.6"/>
    <m/>
  </r>
  <r>
    <n v="292"/>
    <x v="4"/>
    <x v="1"/>
    <x v="1"/>
    <x v="1"/>
    <x v="16"/>
    <x v="0"/>
    <n v="21702.400000000001"/>
    <m/>
  </r>
  <r>
    <n v="293"/>
    <x v="4"/>
    <x v="1"/>
    <x v="1"/>
    <x v="1"/>
    <x v="16"/>
    <x v="1"/>
    <n v="0"/>
    <m/>
  </r>
  <r>
    <n v="294"/>
    <x v="4"/>
    <x v="1"/>
    <x v="1"/>
    <x v="1"/>
    <x v="16"/>
    <x v="2"/>
    <n v="1161.5999999999999"/>
    <m/>
  </r>
  <r>
    <n v="295"/>
    <x v="4"/>
    <x v="1"/>
    <x v="1"/>
    <x v="1"/>
    <x v="6"/>
    <x v="0"/>
    <n v="39804.800000000003"/>
    <m/>
  </r>
  <r>
    <n v="296"/>
    <x v="4"/>
    <x v="1"/>
    <x v="1"/>
    <x v="1"/>
    <x v="6"/>
    <x v="1"/>
    <n v="0"/>
    <m/>
  </r>
  <r>
    <n v="297"/>
    <x v="4"/>
    <x v="1"/>
    <x v="1"/>
    <x v="1"/>
    <x v="6"/>
    <x v="2"/>
    <n v="1792"/>
    <m/>
  </r>
  <r>
    <n v="298"/>
    <x v="4"/>
    <x v="1"/>
    <x v="1"/>
    <x v="1"/>
    <x v="4"/>
    <x v="0"/>
    <n v="37968"/>
    <m/>
  </r>
  <r>
    <n v="299"/>
    <x v="4"/>
    <x v="1"/>
    <x v="1"/>
    <x v="1"/>
    <x v="4"/>
    <x v="1"/>
    <n v="0"/>
    <m/>
  </r>
  <r>
    <n v="300"/>
    <x v="4"/>
    <x v="1"/>
    <x v="1"/>
    <x v="1"/>
    <x v="4"/>
    <x v="2"/>
    <n v="0"/>
    <m/>
  </r>
  <r>
    <n v="301"/>
    <x v="4"/>
    <x v="1"/>
    <x v="1"/>
    <x v="1"/>
    <x v="10"/>
    <x v="0"/>
    <n v="7086.4"/>
    <m/>
  </r>
  <r>
    <n v="302"/>
    <x v="4"/>
    <x v="1"/>
    <x v="1"/>
    <x v="1"/>
    <x v="10"/>
    <x v="1"/>
    <n v="0"/>
    <m/>
  </r>
  <r>
    <n v="303"/>
    <x v="4"/>
    <x v="1"/>
    <x v="1"/>
    <x v="1"/>
    <x v="10"/>
    <x v="2"/>
    <n v="635.20000000000005"/>
    <m/>
  </r>
  <r>
    <n v="304"/>
    <x v="4"/>
    <x v="1"/>
    <x v="1"/>
    <x v="1"/>
    <x v="18"/>
    <x v="0"/>
    <n v="20960"/>
    <m/>
  </r>
  <r>
    <n v="305"/>
    <x v="4"/>
    <x v="1"/>
    <x v="1"/>
    <x v="1"/>
    <x v="18"/>
    <x v="1"/>
    <n v="0"/>
    <m/>
  </r>
  <r>
    <n v="306"/>
    <x v="4"/>
    <x v="1"/>
    <x v="1"/>
    <x v="1"/>
    <x v="18"/>
    <x v="2"/>
    <n v="1108.8"/>
    <m/>
  </r>
  <r>
    <n v="307"/>
    <x v="4"/>
    <x v="1"/>
    <x v="1"/>
    <x v="3"/>
    <x v="7"/>
    <x v="0"/>
    <n v="24246.400000000001"/>
    <m/>
  </r>
  <r>
    <n v="308"/>
    <x v="4"/>
    <x v="1"/>
    <x v="1"/>
    <x v="3"/>
    <x v="7"/>
    <x v="1"/>
    <n v="0"/>
    <m/>
  </r>
  <r>
    <n v="309"/>
    <x v="4"/>
    <x v="1"/>
    <x v="1"/>
    <x v="3"/>
    <x v="7"/>
    <x v="2"/>
    <n v="505.6"/>
    <m/>
  </r>
  <r>
    <n v="310"/>
    <x v="4"/>
    <x v="1"/>
    <x v="1"/>
    <x v="3"/>
    <x v="1"/>
    <x v="0"/>
    <n v="16392"/>
    <m/>
  </r>
  <r>
    <n v="311"/>
    <x v="4"/>
    <x v="1"/>
    <x v="1"/>
    <x v="3"/>
    <x v="1"/>
    <x v="1"/>
    <n v="0"/>
    <m/>
  </r>
  <r>
    <n v="312"/>
    <x v="4"/>
    <x v="1"/>
    <x v="1"/>
    <x v="3"/>
    <x v="1"/>
    <x v="2"/>
    <n v="185.6"/>
    <m/>
  </r>
  <r>
    <n v="313"/>
    <x v="4"/>
    <x v="1"/>
    <x v="1"/>
    <x v="3"/>
    <x v="9"/>
    <x v="0"/>
    <n v="6236.8"/>
    <m/>
  </r>
  <r>
    <n v="314"/>
    <x v="4"/>
    <x v="1"/>
    <x v="1"/>
    <x v="3"/>
    <x v="9"/>
    <x v="1"/>
    <n v="0"/>
    <m/>
  </r>
  <r>
    <n v="315"/>
    <x v="4"/>
    <x v="1"/>
    <x v="1"/>
    <x v="3"/>
    <x v="9"/>
    <x v="2"/>
    <n v="91.2"/>
    <m/>
  </r>
  <r>
    <n v="316"/>
    <x v="4"/>
    <x v="1"/>
    <x v="1"/>
    <x v="3"/>
    <x v="15"/>
    <x v="0"/>
    <n v="28852.799999999999"/>
    <m/>
  </r>
  <r>
    <n v="317"/>
    <x v="4"/>
    <x v="1"/>
    <x v="1"/>
    <x v="3"/>
    <x v="15"/>
    <x v="1"/>
    <n v="0"/>
    <m/>
  </r>
  <r>
    <n v="318"/>
    <x v="4"/>
    <x v="1"/>
    <x v="1"/>
    <x v="3"/>
    <x v="15"/>
    <x v="2"/>
    <n v="422.4"/>
    <m/>
  </r>
  <r>
    <n v="319"/>
    <x v="4"/>
    <x v="1"/>
    <x v="2"/>
    <x v="2"/>
    <x v="7"/>
    <x v="0"/>
    <n v="2784"/>
    <m/>
  </r>
  <r>
    <n v="320"/>
    <x v="4"/>
    <x v="1"/>
    <x v="2"/>
    <x v="2"/>
    <x v="7"/>
    <x v="1"/>
    <n v="0"/>
    <m/>
  </r>
  <r>
    <n v="321"/>
    <x v="4"/>
    <x v="1"/>
    <x v="2"/>
    <x v="2"/>
    <x v="7"/>
    <x v="2"/>
    <n v="161"/>
    <m/>
  </r>
  <r>
    <n v="322"/>
    <x v="4"/>
    <x v="1"/>
    <x v="2"/>
    <x v="2"/>
    <x v="13"/>
    <x v="0"/>
    <n v="2688"/>
    <m/>
  </r>
  <r>
    <n v="323"/>
    <x v="4"/>
    <x v="1"/>
    <x v="2"/>
    <x v="2"/>
    <x v="13"/>
    <x v="1"/>
    <n v="0"/>
    <m/>
  </r>
  <r>
    <n v="324"/>
    <x v="4"/>
    <x v="1"/>
    <x v="2"/>
    <x v="2"/>
    <x v="13"/>
    <x v="2"/>
    <n v="37"/>
    <m/>
  </r>
  <r>
    <n v="325"/>
    <x v="5"/>
    <x v="0"/>
    <x v="0"/>
    <x v="0"/>
    <x v="0"/>
    <x v="0"/>
    <n v="246669.12"/>
    <m/>
  </r>
  <r>
    <n v="326"/>
    <x v="5"/>
    <x v="0"/>
    <x v="0"/>
    <x v="0"/>
    <x v="0"/>
    <x v="1"/>
    <n v="8822.8799999999992"/>
    <m/>
  </r>
  <r>
    <n v="327"/>
    <x v="5"/>
    <x v="0"/>
    <x v="0"/>
    <x v="0"/>
    <x v="0"/>
    <x v="2"/>
    <n v="8447.0400000000009"/>
    <m/>
  </r>
  <r>
    <n v="328"/>
    <x v="5"/>
    <x v="0"/>
    <x v="0"/>
    <x v="0"/>
    <x v="1"/>
    <x v="0"/>
    <n v="29619.360000000001"/>
    <m/>
  </r>
  <r>
    <n v="329"/>
    <x v="5"/>
    <x v="0"/>
    <x v="0"/>
    <x v="0"/>
    <x v="1"/>
    <x v="1"/>
    <n v="0"/>
    <m/>
  </r>
  <r>
    <n v="330"/>
    <x v="5"/>
    <x v="0"/>
    <x v="0"/>
    <x v="0"/>
    <x v="1"/>
    <x v="2"/>
    <n v="2316.96"/>
    <m/>
  </r>
  <r>
    <n v="331"/>
    <x v="5"/>
    <x v="0"/>
    <x v="0"/>
    <x v="0"/>
    <x v="6"/>
    <x v="0"/>
    <n v="49396.32"/>
    <m/>
  </r>
  <r>
    <n v="332"/>
    <x v="5"/>
    <x v="0"/>
    <x v="0"/>
    <x v="0"/>
    <x v="6"/>
    <x v="1"/>
    <n v="2946.24"/>
    <m/>
  </r>
  <r>
    <n v="333"/>
    <x v="5"/>
    <x v="0"/>
    <x v="0"/>
    <x v="0"/>
    <x v="6"/>
    <x v="2"/>
    <n v="1982.88"/>
    <m/>
  </r>
  <r>
    <n v="334"/>
    <x v="5"/>
    <x v="0"/>
    <x v="0"/>
    <x v="0"/>
    <x v="18"/>
    <x v="0"/>
    <n v="38151.360000000001"/>
    <m/>
  </r>
  <r>
    <n v="335"/>
    <x v="5"/>
    <x v="0"/>
    <x v="0"/>
    <x v="0"/>
    <x v="18"/>
    <x v="1"/>
    <n v="1814.4"/>
    <m/>
  </r>
  <r>
    <n v="336"/>
    <x v="5"/>
    <x v="0"/>
    <x v="0"/>
    <x v="0"/>
    <x v="18"/>
    <x v="2"/>
    <n v="1742.4"/>
    <m/>
  </r>
  <r>
    <n v="337"/>
    <x v="5"/>
    <x v="0"/>
    <x v="0"/>
    <x v="0"/>
    <x v="14"/>
    <x v="0"/>
    <n v="55349.279999999999"/>
    <m/>
  </r>
  <r>
    <n v="338"/>
    <x v="5"/>
    <x v="0"/>
    <x v="0"/>
    <x v="0"/>
    <x v="14"/>
    <x v="1"/>
    <n v="2592"/>
    <m/>
  </r>
  <r>
    <n v="339"/>
    <x v="5"/>
    <x v="0"/>
    <x v="0"/>
    <x v="0"/>
    <x v="14"/>
    <x v="2"/>
    <n v="2134.08"/>
    <m/>
  </r>
  <r>
    <n v="340"/>
    <x v="5"/>
    <x v="0"/>
    <x v="0"/>
    <x v="0"/>
    <x v="5"/>
    <x v="0"/>
    <n v="3867.84"/>
    <m/>
  </r>
  <r>
    <n v="341"/>
    <x v="5"/>
    <x v="0"/>
    <x v="0"/>
    <x v="0"/>
    <x v="5"/>
    <x v="1"/>
    <n v="129.6"/>
    <m/>
  </r>
  <r>
    <n v="342"/>
    <x v="5"/>
    <x v="0"/>
    <x v="0"/>
    <x v="0"/>
    <x v="5"/>
    <x v="2"/>
    <n v="112.32"/>
    <m/>
  </r>
  <r>
    <n v="343"/>
    <x v="5"/>
    <x v="0"/>
    <x v="0"/>
    <x v="0"/>
    <x v="3"/>
    <x v="0"/>
    <n v="17193.599999999999"/>
    <m/>
  </r>
  <r>
    <n v="344"/>
    <x v="5"/>
    <x v="0"/>
    <x v="0"/>
    <x v="0"/>
    <x v="3"/>
    <x v="1"/>
    <n v="973.44"/>
    <m/>
  </r>
  <r>
    <n v="345"/>
    <x v="5"/>
    <x v="0"/>
    <x v="0"/>
    <x v="0"/>
    <x v="3"/>
    <x v="2"/>
    <n v="640.79999999999995"/>
    <m/>
  </r>
  <r>
    <n v="346"/>
    <x v="5"/>
    <x v="0"/>
    <x v="0"/>
    <x v="0"/>
    <x v="2"/>
    <x v="0"/>
    <n v="4644"/>
    <m/>
  </r>
  <r>
    <n v="347"/>
    <x v="5"/>
    <x v="0"/>
    <x v="0"/>
    <x v="0"/>
    <x v="2"/>
    <x v="1"/>
    <n v="0"/>
    <m/>
  </r>
  <r>
    <n v="348"/>
    <x v="5"/>
    <x v="0"/>
    <x v="0"/>
    <x v="0"/>
    <x v="2"/>
    <x v="2"/>
    <n v="267.83999999999997"/>
    <m/>
  </r>
  <r>
    <n v="349"/>
    <x v="5"/>
    <x v="0"/>
    <x v="0"/>
    <x v="0"/>
    <x v="10"/>
    <x v="0"/>
    <n v="14273.28"/>
    <m/>
  </r>
  <r>
    <n v="350"/>
    <x v="5"/>
    <x v="0"/>
    <x v="0"/>
    <x v="0"/>
    <x v="10"/>
    <x v="1"/>
    <n v="0"/>
    <m/>
  </r>
  <r>
    <n v="351"/>
    <x v="5"/>
    <x v="0"/>
    <x v="0"/>
    <x v="0"/>
    <x v="10"/>
    <x v="2"/>
    <n v="1357.92"/>
    <m/>
  </r>
  <r>
    <n v="352"/>
    <x v="5"/>
    <x v="1"/>
    <x v="2"/>
    <x v="2"/>
    <x v="1"/>
    <x v="0"/>
    <n v="12798"/>
    <m/>
  </r>
  <r>
    <n v="353"/>
    <x v="5"/>
    <x v="1"/>
    <x v="2"/>
    <x v="2"/>
    <x v="1"/>
    <x v="1"/>
    <n v="0"/>
    <m/>
  </r>
  <r>
    <n v="354"/>
    <x v="5"/>
    <x v="1"/>
    <x v="2"/>
    <x v="2"/>
    <x v="1"/>
    <x v="2"/>
    <n v="61.5"/>
    <m/>
  </r>
  <r>
    <n v="355"/>
    <x v="5"/>
    <x v="1"/>
    <x v="2"/>
    <x v="2"/>
    <x v="10"/>
    <x v="0"/>
    <n v="6015"/>
    <m/>
  </r>
  <r>
    <n v="356"/>
    <x v="5"/>
    <x v="1"/>
    <x v="2"/>
    <x v="2"/>
    <x v="10"/>
    <x v="1"/>
    <n v="0"/>
    <m/>
  </r>
  <r>
    <n v="357"/>
    <x v="5"/>
    <x v="1"/>
    <x v="2"/>
    <x v="2"/>
    <x v="10"/>
    <x v="2"/>
    <n v="46.5"/>
    <m/>
  </r>
  <r>
    <n v="358"/>
    <x v="5"/>
    <x v="1"/>
    <x v="2"/>
    <x v="2"/>
    <x v="3"/>
    <x v="0"/>
    <n v="44280"/>
    <m/>
  </r>
  <r>
    <n v="359"/>
    <x v="5"/>
    <x v="1"/>
    <x v="2"/>
    <x v="2"/>
    <x v="3"/>
    <x v="1"/>
    <n v="0"/>
    <m/>
  </r>
  <r>
    <n v="360"/>
    <x v="5"/>
    <x v="1"/>
    <x v="2"/>
    <x v="2"/>
    <x v="3"/>
    <x v="2"/>
    <n v="277.5"/>
    <m/>
  </r>
  <r>
    <n v="361"/>
    <x v="5"/>
    <x v="1"/>
    <x v="2"/>
    <x v="2"/>
    <x v="15"/>
    <x v="0"/>
    <n v="33048"/>
    <m/>
  </r>
  <r>
    <n v="362"/>
    <x v="5"/>
    <x v="1"/>
    <x v="2"/>
    <x v="2"/>
    <x v="15"/>
    <x v="1"/>
    <n v="0"/>
    <m/>
  </r>
  <r>
    <n v="363"/>
    <x v="5"/>
    <x v="1"/>
    <x v="2"/>
    <x v="2"/>
    <x v="15"/>
    <x v="2"/>
    <n v="162"/>
    <m/>
  </r>
  <r>
    <n v="364"/>
    <x v="5"/>
    <x v="1"/>
    <x v="2"/>
    <x v="2"/>
    <x v="9"/>
    <x v="0"/>
    <n v="41955"/>
    <m/>
  </r>
  <r>
    <n v="365"/>
    <x v="5"/>
    <x v="1"/>
    <x v="2"/>
    <x v="2"/>
    <x v="9"/>
    <x v="1"/>
    <n v="0"/>
    <m/>
  </r>
  <r>
    <n v="366"/>
    <x v="5"/>
    <x v="1"/>
    <x v="2"/>
    <x v="2"/>
    <x v="9"/>
    <x v="2"/>
    <n v="484.5"/>
    <m/>
  </r>
  <r>
    <n v="367"/>
    <x v="5"/>
    <x v="1"/>
    <x v="2"/>
    <x v="2"/>
    <x v="14"/>
    <x v="0"/>
    <n v="10815"/>
    <m/>
  </r>
  <r>
    <n v="368"/>
    <x v="5"/>
    <x v="1"/>
    <x v="2"/>
    <x v="2"/>
    <x v="14"/>
    <x v="1"/>
    <n v="0"/>
    <m/>
  </r>
  <r>
    <n v="369"/>
    <x v="5"/>
    <x v="1"/>
    <x v="2"/>
    <x v="2"/>
    <x v="14"/>
    <x v="2"/>
    <n v="25.5"/>
    <m/>
  </r>
  <r>
    <n v="370"/>
    <x v="5"/>
    <x v="1"/>
    <x v="2"/>
    <x v="2"/>
    <x v="12"/>
    <x v="0"/>
    <n v="47070"/>
    <m/>
  </r>
  <r>
    <n v="371"/>
    <x v="5"/>
    <x v="1"/>
    <x v="2"/>
    <x v="2"/>
    <x v="12"/>
    <x v="1"/>
    <n v="0"/>
    <m/>
  </r>
  <r>
    <n v="372"/>
    <x v="5"/>
    <x v="1"/>
    <x v="2"/>
    <x v="2"/>
    <x v="12"/>
    <x v="2"/>
    <n v="972"/>
    <m/>
  </r>
  <r>
    <n v="373"/>
    <x v="5"/>
    <x v="1"/>
    <x v="2"/>
    <x v="2"/>
    <x v="18"/>
    <x v="0"/>
    <n v="26700"/>
    <m/>
  </r>
  <r>
    <n v="374"/>
    <x v="5"/>
    <x v="1"/>
    <x v="2"/>
    <x v="2"/>
    <x v="18"/>
    <x v="1"/>
    <n v="0"/>
    <m/>
  </r>
  <r>
    <n v="375"/>
    <x v="5"/>
    <x v="1"/>
    <x v="2"/>
    <x v="2"/>
    <x v="18"/>
    <x v="2"/>
    <n v="100.5"/>
    <m/>
  </r>
  <r>
    <n v="376"/>
    <x v="5"/>
    <x v="1"/>
    <x v="2"/>
    <x v="2"/>
    <x v="7"/>
    <x v="0"/>
    <n v="166327.5"/>
    <m/>
  </r>
  <r>
    <n v="377"/>
    <x v="5"/>
    <x v="1"/>
    <x v="2"/>
    <x v="2"/>
    <x v="7"/>
    <x v="1"/>
    <n v="0"/>
    <m/>
  </r>
  <r>
    <n v="378"/>
    <x v="5"/>
    <x v="1"/>
    <x v="2"/>
    <x v="2"/>
    <x v="7"/>
    <x v="2"/>
    <n v="1345.5"/>
    <m/>
  </r>
  <r>
    <n v="379"/>
    <x v="5"/>
    <x v="1"/>
    <x v="2"/>
    <x v="2"/>
    <x v="6"/>
    <x v="0"/>
    <n v="2992.5"/>
    <m/>
  </r>
  <r>
    <n v="380"/>
    <x v="5"/>
    <x v="1"/>
    <x v="2"/>
    <x v="2"/>
    <x v="6"/>
    <x v="1"/>
    <n v="0"/>
    <m/>
  </r>
  <r>
    <n v="381"/>
    <x v="5"/>
    <x v="1"/>
    <x v="2"/>
    <x v="2"/>
    <x v="6"/>
    <x v="2"/>
    <n v="19.5"/>
    <m/>
  </r>
  <r>
    <n v="382"/>
    <x v="5"/>
    <x v="1"/>
    <x v="2"/>
    <x v="2"/>
    <x v="13"/>
    <x v="0"/>
    <n v="42298.5"/>
    <m/>
  </r>
  <r>
    <n v="383"/>
    <x v="5"/>
    <x v="1"/>
    <x v="2"/>
    <x v="2"/>
    <x v="13"/>
    <x v="1"/>
    <n v="0"/>
    <m/>
  </r>
  <r>
    <n v="384"/>
    <x v="5"/>
    <x v="1"/>
    <x v="2"/>
    <x v="2"/>
    <x v="13"/>
    <x v="2"/>
    <n v="312"/>
    <m/>
  </r>
  <r>
    <n v="385"/>
    <x v="5"/>
    <x v="1"/>
    <x v="2"/>
    <x v="4"/>
    <x v="12"/>
    <x v="0"/>
    <n v="0"/>
    <m/>
  </r>
  <r>
    <n v="386"/>
    <x v="5"/>
    <x v="1"/>
    <x v="2"/>
    <x v="4"/>
    <x v="12"/>
    <x v="1"/>
    <n v="0"/>
    <m/>
  </r>
  <r>
    <n v="387"/>
    <x v="5"/>
    <x v="1"/>
    <x v="2"/>
    <x v="4"/>
    <x v="12"/>
    <x v="2"/>
    <n v="249"/>
    <m/>
  </r>
  <r>
    <n v="388"/>
    <x v="6"/>
    <x v="0"/>
    <x v="0"/>
    <x v="0"/>
    <x v="0"/>
    <x v="0"/>
    <n v="265487.03999999998"/>
    <m/>
  </r>
  <r>
    <n v="389"/>
    <x v="6"/>
    <x v="0"/>
    <x v="0"/>
    <x v="0"/>
    <x v="0"/>
    <x v="1"/>
    <n v="8382.24"/>
    <m/>
  </r>
  <r>
    <n v="390"/>
    <x v="6"/>
    <x v="0"/>
    <x v="0"/>
    <x v="0"/>
    <x v="0"/>
    <x v="2"/>
    <n v="11282.4"/>
    <m/>
  </r>
  <r>
    <n v="391"/>
    <x v="6"/>
    <x v="0"/>
    <x v="0"/>
    <x v="0"/>
    <x v="10"/>
    <x v="0"/>
    <n v="11859.84"/>
    <m/>
  </r>
  <r>
    <n v="392"/>
    <x v="6"/>
    <x v="0"/>
    <x v="0"/>
    <x v="0"/>
    <x v="10"/>
    <x v="1"/>
    <n v="0"/>
    <m/>
  </r>
  <r>
    <n v="393"/>
    <x v="6"/>
    <x v="0"/>
    <x v="0"/>
    <x v="0"/>
    <x v="10"/>
    <x v="2"/>
    <n v="537.12"/>
    <m/>
  </r>
  <r>
    <n v="394"/>
    <x v="6"/>
    <x v="0"/>
    <x v="0"/>
    <x v="0"/>
    <x v="1"/>
    <x v="0"/>
    <n v="26475.84"/>
    <m/>
  </r>
  <r>
    <n v="395"/>
    <x v="6"/>
    <x v="0"/>
    <x v="0"/>
    <x v="0"/>
    <x v="1"/>
    <x v="1"/>
    <n v="0"/>
    <m/>
  </r>
  <r>
    <n v="396"/>
    <x v="6"/>
    <x v="0"/>
    <x v="0"/>
    <x v="0"/>
    <x v="1"/>
    <x v="2"/>
    <n v="1601.28"/>
    <m/>
  </r>
  <r>
    <n v="397"/>
    <x v="6"/>
    <x v="0"/>
    <x v="0"/>
    <x v="0"/>
    <x v="6"/>
    <x v="0"/>
    <n v="42547.68"/>
    <m/>
  </r>
  <r>
    <n v="398"/>
    <x v="6"/>
    <x v="0"/>
    <x v="0"/>
    <x v="0"/>
    <x v="6"/>
    <x v="1"/>
    <n v="1573.92"/>
    <m/>
  </r>
  <r>
    <n v="399"/>
    <x v="6"/>
    <x v="0"/>
    <x v="0"/>
    <x v="0"/>
    <x v="6"/>
    <x v="2"/>
    <n v="1431.36"/>
    <m/>
  </r>
  <r>
    <n v="400"/>
    <x v="6"/>
    <x v="0"/>
    <x v="0"/>
    <x v="0"/>
    <x v="18"/>
    <x v="0"/>
    <n v="28461.599999999999"/>
    <m/>
  </r>
  <r>
    <n v="401"/>
    <x v="6"/>
    <x v="0"/>
    <x v="0"/>
    <x v="0"/>
    <x v="18"/>
    <x v="1"/>
    <n v="897.12"/>
    <m/>
  </r>
  <r>
    <n v="402"/>
    <x v="6"/>
    <x v="0"/>
    <x v="0"/>
    <x v="0"/>
    <x v="18"/>
    <x v="2"/>
    <n v="951.84"/>
    <m/>
  </r>
  <r>
    <n v="403"/>
    <x v="6"/>
    <x v="0"/>
    <x v="0"/>
    <x v="0"/>
    <x v="14"/>
    <x v="0"/>
    <n v="27357.119999999999"/>
    <m/>
  </r>
  <r>
    <n v="404"/>
    <x v="6"/>
    <x v="0"/>
    <x v="0"/>
    <x v="0"/>
    <x v="14"/>
    <x v="1"/>
    <n v="1208.1600000000001"/>
    <m/>
  </r>
  <r>
    <n v="405"/>
    <x v="6"/>
    <x v="0"/>
    <x v="0"/>
    <x v="0"/>
    <x v="14"/>
    <x v="2"/>
    <n v="639.36"/>
    <m/>
  </r>
  <r>
    <n v="406"/>
    <x v="6"/>
    <x v="0"/>
    <x v="0"/>
    <x v="0"/>
    <x v="4"/>
    <x v="0"/>
    <n v="30614.400000000001"/>
    <m/>
  </r>
  <r>
    <n v="407"/>
    <x v="6"/>
    <x v="0"/>
    <x v="0"/>
    <x v="0"/>
    <x v="4"/>
    <x v="1"/>
    <n v="0"/>
    <m/>
  </r>
  <r>
    <n v="408"/>
    <x v="6"/>
    <x v="0"/>
    <x v="0"/>
    <x v="0"/>
    <x v="4"/>
    <x v="2"/>
    <n v="0"/>
    <m/>
  </r>
  <r>
    <n v="409"/>
    <x v="6"/>
    <x v="0"/>
    <x v="0"/>
    <x v="0"/>
    <x v="11"/>
    <x v="0"/>
    <n v="5948.64"/>
    <m/>
  </r>
  <r>
    <n v="410"/>
    <x v="6"/>
    <x v="0"/>
    <x v="0"/>
    <x v="0"/>
    <x v="11"/>
    <x v="1"/>
    <n v="144"/>
    <m/>
  </r>
  <r>
    <n v="411"/>
    <x v="6"/>
    <x v="0"/>
    <x v="0"/>
    <x v="0"/>
    <x v="11"/>
    <x v="2"/>
    <n v="171.36"/>
    <m/>
  </r>
  <r>
    <n v="412"/>
    <x v="6"/>
    <x v="0"/>
    <x v="0"/>
    <x v="0"/>
    <x v="3"/>
    <x v="0"/>
    <n v="6609.6"/>
    <m/>
  </r>
  <r>
    <n v="413"/>
    <x v="6"/>
    <x v="0"/>
    <x v="0"/>
    <x v="0"/>
    <x v="3"/>
    <x v="1"/>
    <n v="345.6"/>
    <m/>
  </r>
  <r>
    <n v="414"/>
    <x v="6"/>
    <x v="0"/>
    <x v="0"/>
    <x v="0"/>
    <x v="3"/>
    <x v="2"/>
    <n v="253.44"/>
    <m/>
  </r>
  <r>
    <n v="415"/>
    <x v="6"/>
    <x v="0"/>
    <x v="0"/>
    <x v="0"/>
    <x v="2"/>
    <x v="0"/>
    <n v="4281.12"/>
    <m/>
  </r>
  <r>
    <n v="416"/>
    <x v="6"/>
    <x v="0"/>
    <x v="0"/>
    <x v="0"/>
    <x v="2"/>
    <x v="1"/>
    <n v="0"/>
    <m/>
  </r>
  <r>
    <n v="417"/>
    <x v="6"/>
    <x v="0"/>
    <x v="0"/>
    <x v="0"/>
    <x v="2"/>
    <x v="2"/>
    <n v="214.56"/>
    <m/>
  </r>
  <r>
    <n v="418"/>
    <x v="6"/>
    <x v="0"/>
    <x v="0"/>
    <x v="0"/>
    <x v="13"/>
    <x v="0"/>
    <n v="5103.3599999999997"/>
    <m/>
  </r>
  <r>
    <n v="419"/>
    <x v="6"/>
    <x v="0"/>
    <x v="0"/>
    <x v="0"/>
    <x v="13"/>
    <x v="1"/>
    <n v="259.2"/>
    <m/>
  </r>
  <r>
    <n v="420"/>
    <x v="6"/>
    <x v="0"/>
    <x v="0"/>
    <x v="0"/>
    <x v="13"/>
    <x v="2"/>
    <n v="95.04"/>
    <m/>
  </r>
  <r>
    <n v="421"/>
    <x v="6"/>
    <x v="1"/>
    <x v="2"/>
    <x v="2"/>
    <x v="3"/>
    <x v="0"/>
    <n v="4509"/>
    <m/>
  </r>
  <r>
    <n v="422"/>
    <x v="6"/>
    <x v="1"/>
    <x v="2"/>
    <x v="2"/>
    <x v="3"/>
    <x v="1"/>
    <n v="0"/>
    <m/>
  </r>
  <r>
    <n v="423"/>
    <x v="6"/>
    <x v="1"/>
    <x v="2"/>
    <x v="2"/>
    <x v="3"/>
    <x v="2"/>
    <n v="774"/>
    <m/>
  </r>
  <r>
    <n v="424"/>
    <x v="6"/>
    <x v="1"/>
    <x v="2"/>
    <x v="2"/>
    <x v="9"/>
    <x v="0"/>
    <n v="5017.5"/>
    <m/>
  </r>
  <r>
    <n v="425"/>
    <x v="6"/>
    <x v="1"/>
    <x v="2"/>
    <x v="2"/>
    <x v="9"/>
    <x v="1"/>
    <n v="0"/>
    <m/>
  </r>
  <r>
    <n v="426"/>
    <x v="6"/>
    <x v="1"/>
    <x v="2"/>
    <x v="2"/>
    <x v="9"/>
    <x v="2"/>
    <n v="16.5"/>
    <m/>
  </r>
  <r>
    <n v="427"/>
    <x v="6"/>
    <x v="1"/>
    <x v="2"/>
    <x v="2"/>
    <x v="7"/>
    <x v="0"/>
    <n v="24255"/>
    <m/>
  </r>
  <r>
    <n v="428"/>
    <x v="6"/>
    <x v="1"/>
    <x v="2"/>
    <x v="2"/>
    <x v="7"/>
    <x v="1"/>
    <n v="0"/>
    <m/>
  </r>
  <r>
    <n v="429"/>
    <x v="6"/>
    <x v="1"/>
    <x v="2"/>
    <x v="2"/>
    <x v="7"/>
    <x v="2"/>
    <n v="210"/>
    <m/>
  </r>
  <r>
    <n v="430"/>
    <x v="6"/>
    <x v="1"/>
    <x v="2"/>
    <x v="2"/>
    <x v="12"/>
    <x v="0"/>
    <n v="26482.5"/>
    <m/>
  </r>
  <r>
    <n v="431"/>
    <x v="6"/>
    <x v="1"/>
    <x v="2"/>
    <x v="2"/>
    <x v="12"/>
    <x v="1"/>
    <n v="0"/>
    <m/>
  </r>
  <r>
    <n v="432"/>
    <x v="6"/>
    <x v="1"/>
    <x v="2"/>
    <x v="2"/>
    <x v="12"/>
    <x v="2"/>
    <n v="204"/>
    <m/>
  </r>
  <r>
    <n v="433"/>
    <x v="6"/>
    <x v="1"/>
    <x v="2"/>
    <x v="4"/>
    <x v="1"/>
    <x v="0"/>
    <n v="9087"/>
    <m/>
  </r>
  <r>
    <n v="434"/>
    <x v="6"/>
    <x v="1"/>
    <x v="2"/>
    <x v="4"/>
    <x v="1"/>
    <x v="1"/>
    <n v="0"/>
    <m/>
  </r>
  <r>
    <n v="435"/>
    <x v="6"/>
    <x v="1"/>
    <x v="2"/>
    <x v="4"/>
    <x v="1"/>
    <x v="2"/>
    <n v="231"/>
    <m/>
  </r>
  <r>
    <n v="436"/>
    <x v="6"/>
    <x v="1"/>
    <x v="2"/>
    <x v="4"/>
    <x v="3"/>
    <x v="0"/>
    <n v="13858.5"/>
    <m/>
  </r>
  <r>
    <n v="437"/>
    <x v="6"/>
    <x v="1"/>
    <x v="2"/>
    <x v="4"/>
    <x v="3"/>
    <x v="1"/>
    <n v="0"/>
    <m/>
  </r>
  <r>
    <n v="438"/>
    <x v="6"/>
    <x v="1"/>
    <x v="2"/>
    <x v="4"/>
    <x v="3"/>
    <x v="2"/>
    <n v="781.5"/>
    <m/>
  </r>
  <r>
    <n v="439"/>
    <x v="6"/>
    <x v="1"/>
    <x v="2"/>
    <x v="4"/>
    <x v="9"/>
    <x v="0"/>
    <n v="19188"/>
    <m/>
  </r>
  <r>
    <n v="440"/>
    <x v="6"/>
    <x v="1"/>
    <x v="2"/>
    <x v="4"/>
    <x v="9"/>
    <x v="1"/>
    <n v="0"/>
    <m/>
  </r>
  <r>
    <n v="441"/>
    <x v="6"/>
    <x v="1"/>
    <x v="2"/>
    <x v="4"/>
    <x v="9"/>
    <x v="2"/>
    <n v="847.5"/>
    <m/>
  </r>
  <r>
    <n v="442"/>
    <x v="6"/>
    <x v="1"/>
    <x v="2"/>
    <x v="4"/>
    <x v="7"/>
    <x v="0"/>
    <n v="58252.5"/>
    <m/>
  </r>
  <r>
    <n v="443"/>
    <x v="6"/>
    <x v="1"/>
    <x v="2"/>
    <x v="4"/>
    <x v="7"/>
    <x v="1"/>
    <n v="0"/>
    <m/>
  </r>
  <r>
    <n v="444"/>
    <x v="6"/>
    <x v="1"/>
    <x v="2"/>
    <x v="4"/>
    <x v="7"/>
    <x v="2"/>
    <n v="2070"/>
    <m/>
  </r>
  <r>
    <n v="445"/>
    <x v="6"/>
    <x v="1"/>
    <x v="2"/>
    <x v="4"/>
    <x v="12"/>
    <x v="0"/>
    <n v="7492.5"/>
    <m/>
  </r>
  <r>
    <n v="446"/>
    <x v="6"/>
    <x v="1"/>
    <x v="2"/>
    <x v="4"/>
    <x v="12"/>
    <x v="1"/>
    <n v="0"/>
    <m/>
  </r>
  <r>
    <n v="447"/>
    <x v="6"/>
    <x v="1"/>
    <x v="2"/>
    <x v="4"/>
    <x v="12"/>
    <x v="2"/>
    <n v="969"/>
    <m/>
  </r>
  <r>
    <n v="448"/>
    <x v="6"/>
    <x v="1"/>
    <x v="1"/>
    <x v="1"/>
    <x v="1"/>
    <x v="0"/>
    <n v="27444.799999999999"/>
    <m/>
  </r>
  <r>
    <n v="449"/>
    <x v="6"/>
    <x v="1"/>
    <x v="1"/>
    <x v="1"/>
    <x v="1"/>
    <x v="1"/>
    <n v="0"/>
    <m/>
  </r>
  <r>
    <n v="450"/>
    <x v="6"/>
    <x v="1"/>
    <x v="1"/>
    <x v="1"/>
    <x v="1"/>
    <x v="2"/>
    <n v="1505.6"/>
    <m/>
  </r>
  <r>
    <n v="451"/>
    <x v="6"/>
    <x v="1"/>
    <x v="1"/>
    <x v="1"/>
    <x v="10"/>
    <x v="0"/>
    <n v="5833.6"/>
    <m/>
  </r>
  <r>
    <n v="452"/>
    <x v="6"/>
    <x v="1"/>
    <x v="1"/>
    <x v="1"/>
    <x v="10"/>
    <x v="1"/>
    <n v="0"/>
    <m/>
  </r>
  <r>
    <n v="453"/>
    <x v="6"/>
    <x v="1"/>
    <x v="1"/>
    <x v="1"/>
    <x v="10"/>
    <x v="2"/>
    <n v="366.4"/>
    <m/>
  </r>
  <r>
    <n v="454"/>
    <x v="6"/>
    <x v="1"/>
    <x v="1"/>
    <x v="1"/>
    <x v="11"/>
    <x v="0"/>
    <n v="9057.6"/>
    <m/>
  </r>
  <r>
    <n v="455"/>
    <x v="6"/>
    <x v="1"/>
    <x v="1"/>
    <x v="1"/>
    <x v="11"/>
    <x v="1"/>
    <n v="0"/>
    <m/>
  </r>
  <r>
    <n v="456"/>
    <x v="6"/>
    <x v="1"/>
    <x v="1"/>
    <x v="1"/>
    <x v="11"/>
    <x v="2"/>
    <n v="296"/>
    <m/>
  </r>
  <r>
    <n v="457"/>
    <x v="6"/>
    <x v="1"/>
    <x v="1"/>
    <x v="1"/>
    <x v="3"/>
    <x v="0"/>
    <n v="7814.4"/>
    <m/>
  </r>
  <r>
    <n v="458"/>
    <x v="6"/>
    <x v="1"/>
    <x v="1"/>
    <x v="1"/>
    <x v="3"/>
    <x v="1"/>
    <n v="0"/>
    <m/>
  </r>
  <r>
    <n v="459"/>
    <x v="6"/>
    <x v="1"/>
    <x v="1"/>
    <x v="1"/>
    <x v="3"/>
    <x v="2"/>
    <n v="347.2"/>
    <m/>
  </r>
  <r>
    <n v="460"/>
    <x v="6"/>
    <x v="1"/>
    <x v="1"/>
    <x v="1"/>
    <x v="9"/>
    <x v="0"/>
    <n v="30073.599999999999"/>
    <m/>
  </r>
  <r>
    <n v="461"/>
    <x v="6"/>
    <x v="1"/>
    <x v="1"/>
    <x v="1"/>
    <x v="9"/>
    <x v="1"/>
    <n v="0"/>
    <m/>
  </r>
  <r>
    <n v="462"/>
    <x v="6"/>
    <x v="1"/>
    <x v="1"/>
    <x v="1"/>
    <x v="9"/>
    <x v="2"/>
    <n v="2105.6"/>
    <m/>
  </r>
  <r>
    <n v="463"/>
    <x v="6"/>
    <x v="1"/>
    <x v="1"/>
    <x v="1"/>
    <x v="7"/>
    <x v="0"/>
    <n v="69662.399999999994"/>
    <m/>
  </r>
  <r>
    <n v="464"/>
    <x v="6"/>
    <x v="1"/>
    <x v="1"/>
    <x v="1"/>
    <x v="7"/>
    <x v="1"/>
    <n v="0"/>
    <m/>
  </r>
  <r>
    <n v="465"/>
    <x v="6"/>
    <x v="1"/>
    <x v="1"/>
    <x v="1"/>
    <x v="7"/>
    <x v="2"/>
    <n v="6953.6"/>
    <m/>
  </r>
  <r>
    <n v="466"/>
    <x v="6"/>
    <x v="1"/>
    <x v="1"/>
    <x v="1"/>
    <x v="18"/>
    <x v="0"/>
    <n v="16961.599999999999"/>
    <m/>
  </r>
  <r>
    <n v="467"/>
    <x v="6"/>
    <x v="1"/>
    <x v="1"/>
    <x v="1"/>
    <x v="18"/>
    <x v="1"/>
    <n v="0"/>
    <m/>
  </r>
  <r>
    <n v="468"/>
    <x v="6"/>
    <x v="1"/>
    <x v="1"/>
    <x v="1"/>
    <x v="18"/>
    <x v="2"/>
    <n v="822.4"/>
    <m/>
  </r>
  <r>
    <n v="469"/>
    <x v="6"/>
    <x v="1"/>
    <x v="1"/>
    <x v="1"/>
    <x v="6"/>
    <x v="0"/>
    <n v="26257.599999999999"/>
    <m/>
  </r>
  <r>
    <n v="470"/>
    <x v="6"/>
    <x v="1"/>
    <x v="1"/>
    <x v="1"/>
    <x v="6"/>
    <x v="1"/>
    <n v="0"/>
    <m/>
  </r>
  <r>
    <n v="471"/>
    <x v="6"/>
    <x v="1"/>
    <x v="1"/>
    <x v="1"/>
    <x v="6"/>
    <x v="2"/>
    <n v="1403.2"/>
    <m/>
  </r>
  <r>
    <n v="472"/>
    <x v="6"/>
    <x v="1"/>
    <x v="1"/>
    <x v="1"/>
    <x v="15"/>
    <x v="0"/>
    <n v="31990.400000000001"/>
    <m/>
  </r>
  <r>
    <n v="473"/>
    <x v="6"/>
    <x v="1"/>
    <x v="1"/>
    <x v="1"/>
    <x v="15"/>
    <x v="1"/>
    <n v="0"/>
    <m/>
  </r>
  <r>
    <n v="474"/>
    <x v="6"/>
    <x v="1"/>
    <x v="1"/>
    <x v="1"/>
    <x v="15"/>
    <x v="2"/>
    <n v="2328"/>
    <m/>
  </r>
  <r>
    <n v="475"/>
    <x v="6"/>
    <x v="1"/>
    <x v="1"/>
    <x v="1"/>
    <x v="16"/>
    <x v="0"/>
    <n v="27633.599999999999"/>
    <m/>
  </r>
  <r>
    <n v="476"/>
    <x v="6"/>
    <x v="1"/>
    <x v="1"/>
    <x v="1"/>
    <x v="16"/>
    <x v="1"/>
    <n v="0"/>
    <m/>
  </r>
  <r>
    <n v="477"/>
    <x v="6"/>
    <x v="1"/>
    <x v="1"/>
    <x v="1"/>
    <x v="16"/>
    <x v="2"/>
    <n v="1553.6"/>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r>
    <s v=""/>
    <x v="7"/>
    <x v="2"/>
    <x v="3"/>
    <x v="5"/>
    <x v="19"/>
    <x v="3"/>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1">
  <r>
    <n v="1"/>
    <x v="0"/>
    <x v="0"/>
    <x v="0"/>
    <x v="0"/>
    <s v="Kg"/>
    <n v="19.04"/>
    <n v="18.85278258092508"/>
    <n v="2370754"/>
    <n v="23542.755199999872"/>
    <s v=""/>
    <n v="125750.88"/>
  </r>
  <r>
    <n v="2"/>
    <x v="0"/>
    <x v="0"/>
    <x v="0"/>
    <x v="1"/>
    <s v="Kg"/>
    <n v="0.45600000000000002"/>
    <n v="0.43856551938244887"/>
    <n v="55150"/>
    <n v="2192.401280000001"/>
    <s v=""/>
    <n v="125750.88"/>
  </r>
  <r>
    <n v="3"/>
    <x v="0"/>
    <x v="0"/>
    <x v="0"/>
    <x v="2"/>
    <s v="Kg"/>
    <n v="0.38300000000000001"/>
    <n v="0"/>
    <m/>
    <n v="0"/>
    <n v="0"/>
    <n v="0"/>
  </r>
  <r>
    <n v="4"/>
    <x v="0"/>
    <x v="0"/>
    <x v="0"/>
    <x v="3"/>
    <s v="Kg"/>
    <n v="0.53800000000000003"/>
    <n v="0"/>
    <m/>
    <n v="0"/>
    <n v="0"/>
    <n v="0"/>
  </r>
  <r>
    <n v="5"/>
    <x v="0"/>
    <x v="0"/>
    <x v="0"/>
    <x v="4"/>
    <s v="Kg"/>
    <n v="0.434"/>
    <n v="0.41910641102471807"/>
    <n v="52703"/>
    <n v="1872.8819200000003"/>
    <s v=""/>
    <n v="125750.88"/>
  </r>
  <r>
    <n v="6"/>
    <x v="0"/>
    <x v="0"/>
    <x v="0"/>
    <x v="5"/>
    <s v="Kg"/>
    <n v="0.624"/>
    <n v="0"/>
    <m/>
    <n v="0"/>
    <n v="0"/>
    <n v="0"/>
  </r>
  <r>
    <n v="7"/>
    <x v="0"/>
    <x v="0"/>
    <x v="0"/>
    <x v="6"/>
    <s v="Kg"/>
    <n v="0.434"/>
    <n v="0"/>
    <m/>
    <n v="0"/>
    <n v="0"/>
    <n v="0"/>
  </r>
  <r>
    <n v="8"/>
    <x v="0"/>
    <x v="0"/>
    <x v="0"/>
    <x v="7"/>
    <s v="Cái"/>
    <n v="0.69699999999999995"/>
    <n v="0.69733110416404243"/>
    <n v="87690"/>
    <s v=""/>
    <n v="41.636640000005315"/>
    <n v="125750.88"/>
  </r>
  <r>
    <n v="9"/>
    <x v="0"/>
    <x v="0"/>
    <x v="0"/>
    <x v="8"/>
    <s v="Kg"/>
    <n v="3.7100000000000001E-2"/>
    <n v="2.5884510708791858E-2"/>
    <n v="3255"/>
    <n v="1410.3576480000004"/>
    <s v=""/>
    <n v="125750.88"/>
  </r>
  <r>
    <n v="10"/>
    <x v="0"/>
    <x v="0"/>
    <x v="0"/>
    <x v="9"/>
    <s v="Kg"/>
    <n v="8.2000000000000007E-3"/>
    <n v="1.081503366020182E-2"/>
    <n v="1360"/>
    <s v=""/>
    <n v="328.84278399999982"/>
    <n v="125750.88"/>
  </r>
  <r>
    <n v="11"/>
    <x v="0"/>
    <x v="0"/>
    <x v="0"/>
    <x v="10"/>
    <s v="Kg"/>
    <n v="4.2700000000000002E-2"/>
    <n v="1.9880576581253348E-2"/>
    <n v="2500"/>
    <n v="2869.5625760000003"/>
    <s v=""/>
    <n v="125750.88"/>
  </r>
  <r>
    <n v="12"/>
    <x v="0"/>
    <x v="0"/>
    <x v="0"/>
    <x v="11"/>
    <s v="Kg"/>
    <n v="3.0000000000000001E-3"/>
    <n v="0"/>
    <m/>
    <n v="377.25264000000004"/>
    <s v=""/>
    <n v="125750.88"/>
  </r>
  <r>
    <n v="13"/>
    <x v="0"/>
    <x v="0"/>
    <x v="0"/>
    <x v="12"/>
    <s v="Kg"/>
    <m/>
    <n v="0"/>
    <m/>
    <n v="0"/>
    <n v="0"/>
    <n v="125750.88"/>
  </r>
  <r>
    <n v="14"/>
    <x v="0"/>
    <x v="0"/>
    <x v="0"/>
    <x v="13"/>
    <s v="Kg"/>
    <n v="1.65"/>
    <n v="1.5187806240401658"/>
    <n v="190988"/>
    <n v="16500.951999999987"/>
    <s v=""/>
    <n v="125750.88"/>
  </r>
  <r>
    <n v="15"/>
    <x v="0"/>
    <x v="0"/>
    <x v="0"/>
    <x v="14"/>
    <s v="Cái"/>
    <n v="6.4000000000000003E-3"/>
    <n v="6.3617845060010714E-3"/>
    <n v="800"/>
    <n v="4.8056320000000241"/>
    <s v=""/>
    <n v="125750.88"/>
  </r>
  <r>
    <n v="16"/>
    <x v="0"/>
    <x v="0"/>
    <x v="0"/>
    <x v="15"/>
    <s v="Cái"/>
    <n v="4.7239999999999997E-2"/>
    <n v="0"/>
    <m/>
    <n v="5940.4715711999997"/>
    <s v=""/>
    <n v="125750.88"/>
  </r>
  <r>
    <n v="17"/>
    <x v="0"/>
    <x v="0"/>
    <x v="0"/>
    <x v="16"/>
    <s v="Kg"/>
    <n v="1.1809999999999999E-2"/>
    <n v="1.2564524399352116E-2"/>
    <n v="1580"/>
    <s v=""/>
    <s v=""/>
    <n v="125750.88"/>
  </r>
  <r>
    <n v="18"/>
    <x v="0"/>
    <x v="0"/>
    <x v="0"/>
    <x v="17"/>
    <s v="Kg"/>
    <n v="3.4299999999999999E-3"/>
    <n v="2.8628030277004818E-3"/>
    <n v="360"/>
    <n v="71.325518400000021"/>
    <s v=""/>
    <n v="125750.88"/>
  </r>
  <r>
    <n v="19"/>
    <x v="0"/>
    <x v="1"/>
    <x v="1"/>
    <x v="0"/>
    <s v="Kg"/>
    <n v="21.01"/>
    <n v="19.978127591625324"/>
    <n v="4393973.4000000004"/>
    <n v="226949.19199999998"/>
    <s v=""/>
    <n v="219939.20000000001"/>
  </r>
  <r>
    <n v="20"/>
    <x v="0"/>
    <x v="1"/>
    <x v="1"/>
    <x v="3"/>
    <s v="Kg"/>
    <n v="0.48299999999999998"/>
    <n v="0.45363173095109915"/>
    <n v="99771.4"/>
    <n v="6459.2336000000096"/>
    <s v=""/>
    <n v="219939.20000000001"/>
  </r>
  <r>
    <n v="21"/>
    <x v="0"/>
    <x v="1"/>
    <x v="1"/>
    <x v="5"/>
    <s v="Kg"/>
    <n v="0.54"/>
    <n v="0.51431213717245483"/>
    <n v="113117.4"/>
    <n v="5649.768000000031"/>
    <s v=""/>
    <n v="219939.20000000001"/>
  </r>
  <r>
    <n v="22"/>
    <x v="0"/>
    <x v="1"/>
    <x v="1"/>
    <x v="7"/>
    <s v="Cái"/>
    <n v="0.627"/>
    <n v="0.62528644279873702"/>
    <n v="137525"/>
    <n v="376.8784000000195"/>
    <s v=""/>
    <n v="219939.20000000001"/>
  </r>
  <r>
    <n v="23"/>
    <x v="0"/>
    <x v="1"/>
    <x v="1"/>
    <x v="8"/>
    <s v="Kg"/>
    <n v="2.5000000000000001E-2"/>
    <n v="2.4961443889947765E-2"/>
    <n v="5490"/>
    <n v="8.4800000000009153"/>
    <s v=""/>
    <n v="219939.20000000001"/>
  </r>
  <r>
    <n v="24"/>
    <x v="0"/>
    <x v="1"/>
    <x v="1"/>
    <x v="9"/>
    <s v="Kg"/>
    <n v="1.09E-2"/>
    <n v="1.2276119945875951E-2"/>
    <n v="2700"/>
    <s v=""/>
    <n v="302.66271999999992"/>
    <n v="219939.20000000001"/>
  </r>
  <r>
    <n v="25"/>
    <x v="0"/>
    <x v="1"/>
    <x v="1"/>
    <x v="13"/>
    <s v="Kg"/>
    <n v="1.79"/>
    <n v="1.6634779066214662"/>
    <n v="365864"/>
    <n v="27827.168000000027"/>
    <s v=""/>
    <n v="219939.20000000001"/>
  </r>
  <r>
    <n v="26"/>
    <x v="0"/>
    <x v="1"/>
    <x v="1"/>
    <x v="14"/>
    <s v="Cái"/>
    <n v="8.2000000000000007E-3"/>
    <n v="8.0022115202746935E-3"/>
    <n v="1760"/>
    <n v="43.501440000000279"/>
    <s v=""/>
    <n v="219939.20000000001"/>
  </r>
  <r>
    <n v="27"/>
    <x v="0"/>
    <x v="1"/>
    <x v="1"/>
    <x v="15"/>
    <s v="Cái"/>
    <n v="6.4000000000000001E-2"/>
    <n v="6.0334856178434766E-2"/>
    <n v="13270"/>
    <n v="806.10880000000066"/>
    <s v=""/>
    <n v="219939.20000000001"/>
  </r>
  <r>
    <n v="28"/>
    <x v="0"/>
    <x v="1"/>
    <x v="1"/>
    <x v="16"/>
    <s v="Kg"/>
    <n v="1.5900000000000001E-2"/>
    <n v="1.5881661841090629E-2"/>
    <n v="3493"/>
    <s v=""/>
    <s v=""/>
    <n v="219939.20000000001"/>
  </r>
  <r>
    <n v="29"/>
    <x v="0"/>
    <x v="1"/>
    <x v="1"/>
    <x v="10"/>
    <s v="Kg"/>
    <n v="4.8000000000000001E-2"/>
    <n v="1.2327270445650433"/>
    <n v="271125"/>
    <s v=""/>
    <n v="260567.9184"/>
    <n v="219939.20000000001"/>
  </r>
  <r>
    <n v="30"/>
    <x v="0"/>
    <x v="1"/>
    <x v="1"/>
    <x v="12"/>
    <s v="Kg"/>
    <n v="2.7000000000000001E-3"/>
    <n v="0"/>
    <n v="0"/>
    <m/>
    <s v=""/>
    <n v="219939.20000000001"/>
  </r>
  <r>
    <n v="31"/>
    <x v="1"/>
    <x v="0"/>
    <x v="0"/>
    <x v="0"/>
    <s v="Kg"/>
    <n v="18.760000000000002"/>
    <n v="18.7093679286398"/>
    <n v="6291700"/>
    <n v="17026.860800002447"/>
    <s v=""/>
    <n v="336286.08000000007"/>
  </r>
  <r>
    <n v="32"/>
    <x v="1"/>
    <x v="0"/>
    <x v="0"/>
    <x v="1"/>
    <s v="Kg"/>
    <n v="0.47699999999999998"/>
    <n v="0.46110145266791885"/>
    <n v="155062"/>
    <n v="5346.4601600000215"/>
    <s v=""/>
    <n v="336286.08000000007"/>
  </r>
  <r>
    <n v="33"/>
    <x v="1"/>
    <x v="0"/>
    <x v="0"/>
    <x v="2"/>
    <s v="Kg"/>
    <n v="0.38300000000000001"/>
    <n v="0"/>
    <m/>
    <n v="0"/>
    <n v="0"/>
    <n v="0"/>
  </r>
  <r>
    <n v="34"/>
    <x v="1"/>
    <x v="0"/>
    <x v="0"/>
    <x v="3"/>
    <s v="Kg"/>
    <n v="0.53800000000000003"/>
    <n v="0"/>
    <m/>
    <n v="0"/>
    <n v="0"/>
    <n v="0"/>
  </r>
  <r>
    <n v="35"/>
    <x v="1"/>
    <x v="0"/>
    <x v="0"/>
    <x v="4"/>
    <s v="Kg"/>
    <n v="0.55100000000000005"/>
    <n v="0.53402150930541037"/>
    <n v="179584"/>
    <n v="5709.6300800000408"/>
    <s v=""/>
    <n v="336286.08000000007"/>
  </r>
  <r>
    <n v="36"/>
    <x v="1"/>
    <x v="0"/>
    <x v="0"/>
    <x v="5"/>
    <s v="Kg"/>
    <n v="0.624"/>
    <n v="0"/>
    <m/>
    <n v="0"/>
    <n v="0"/>
    <n v="0"/>
  </r>
  <r>
    <n v="37"/>
    <x v="1"/>
    <x v="0"/>
    <x v="0"/>
    <x v="6"/>
    <s v="Kg"/>
    <n v="0.434"/>
    <n v="0"/>
    <m/>
    <n v="0"/>
    <n v="0"/>
    <n v="0"/>
  </r>
  <r>
    <n v="38"/>
    <x v="1"/>
    <x v="0"/>
    <x v="0"/>
    <x v="7"/>
    <s v="Cái"/>
    <n v="0.69699999999999995"/>
    <n v="0.69677281914255851"/>
    <n v="234315"/>
    <n v="76.397760000022274"/>
    <s v=""/>
    <n v="336286.08000000007"/>
  </r>
  <r>
    <n v="39"/>
    <x v="1"/>
    <x v="0"/>
    <x v="0"/>
    <x v="8"/>
    <s v="Kg"/>
    <n v="3.7100000000000001E-2"/>
    <n v="3.7096391263057922E-2"/>
    <n v="12475"/>
    <n v="1.2135680000029248"/>
    <s v=""/>
    <n v="336286.08000000007"/>
  </r>
  <r>
    <n v="40"/>
    <x v="1"/>
    <x v="0"/>
    <x v="0"/>
    <x v="9"/>
    <s v="Kg"/>
    <n v="8.2000000000000007E-3"/>
    <n v="8.3262441311873492E-3"/>
    <n v="2800"/>
    <s v=""/>
    <n v="42.454143999999182"/>
    <n v="336286.08000000007"/>
  </r>
  <r>
    <n v="41"/>
    <x v="1"/>
    <x v="0"/>
    <x v="0"/>
    <x v="10"/>
    <s v="Kg"/>
    <n v="4.2700000000000002E-2"/>
    <n v="4.7578537892499141E-2"/>
    <n v="16000"/>
    <s v=""/>
    <n v="1640.5843839999973"/>
    <n v="336286.08000000007"/>
  </r>
  <r>
    <n v="42"/>
    <x v="1"/>
    <x v="0"/>
    <x v="0"/>
    <x v="11"/>
    <s v="Kg"/>
    <n v="3.0000000000000001E-3"/>
    <n v="0"/>
    <n v="0"/>
    <m/>
    <s v=""/>
    <n v="336286.08000000007"/>
  </r>
  <r>
    <n v="43"/>
    <x v="1"/>
    <x v="0"/>
    <x v="0"/>
    <x v="12"/>
    <s v="Kg"/>
    <m/>
    <n v="0"/>
    <m/>
    <n v="0"/>
    <n v="0"/>
    <n v="336286.08000000007"/>
  </r>
  <r>
    <n v="44"/>
    <x v="1"/>
    <x v="0"/>
    <x v="0"/>
    <x v="13"/>
    <s v="Kg"/>
    <n v="1.6259999999999999"/>
    <n v="1.6438185904096891"/>
    <n v="552793.31000000006"/>
    <s v=""/>
    <n v="5992.1439199999932"/>
    <n v="336286.08000000007"/>
  </r>
  <r>
    <n v="45"/>
    <x v="1"/>
    <x v="0"/>
    <x v="0"/>
    <x v="14"/>
    <s v="Cái"/>
    <n v="6.4000000000000003E-3"/>
    <n v="6.4231026154873833E-3"/>
    <n v="2160"/>
    <s v=""/>
    <n v="7.7690879999993046"/>
    <n v="336286.08000000007"/>
  </r>
  <r>
    <n v="46"/>
    <x v="1"/>
    <x v="0"/>
    <x v="0"/>
    <x v="15"/>
    <s v="Cái"/>
    <n v="4.7239999999999997E-2"/>
    <n v="4.5496976859702304E-2"/>
    <n v="15300"/>
    <n v="586.15441920000148"/>
    <s v=""/>
    <n v="336286.08000000007"/>
  </r>
  <r>
    <n v="47"/>
    <x v="1"/>
    <x v="0"/>
    <x v="0"/>
    <x v="16"/>
    <s v="Kg"/>
    <n v="1.1809999999999999E-2"/>
    <n v="0"/>
    <m/>
    <s v=""/>
    <s v=""/>
    <n v="336286.08000000007"/>
  </r>
  <r>
    <n v="48"/>
    <x v="1"/>
    <x v="0"/>
    <x v="0"/>
    <x v="17"/>
    <s v="Kg"/>
    <n v="3.4299999999999999E-3"/>
    <n v="3.2115513077436916E-3"/>
    <n v="1080"/>
    <n v="73.461254400000271"/>
    <s v=""/>
    <n v="336286.08000000007"/>
  </r>
  <r>
    <n v="49"/>
    <x v="1"/>
    <x v="1"/>
    <x v="2"/>
    <x v="0"/>
    <s v="Kg"/>
    <n v="21.26"/>
    <n v="20.426395390371592"/>
    <n v="8492038.9800000004"/>
    <n v="346561.53000000044"/>
    <s v=""/>
    <n v="415738.5"/>
  </r>
  <r>
    <n v="50"/>
    <x v="1"/>
    <x v="1"/>
    <x v="2"/>
    <x v="18"/>
    <s v="Kg"/>
    <n v="0.28000000000000003"/>
    <n v="0.25406523571908785"/>
    <n v="105624.7"/>
    <n v="10782.080000000009"/>
    <s v=""/>
    <n v="415738.5"/>
  </r>
  <r>
    <n v="51"/>
    <x v="1"/>
    <x v="1"/>
    <x v="2"/>
    <x v="19"/>
    <s v="Kg"/>
    <n v="9.8000000000000004E-2"/>
    <n v="9.2790059135730754E-2"/>
    <n v="38576.400000000001"/>
    <n v="2165.9730000000013"/>
    <s v=""/>
    <n v="415738.5"/>
  </r>
  <r>
    <n v="52"/>
    <x v="1"/>
    <x v="1"/>
    <x v="2"/>
    <x v="20"/>
    <s v="Kg"/>
    <n v="0.11899999999999999"/>
    <n v="0.1145992011805498"/>
    <n v="47643.3"/>
    <n v="1829.5814999999968"/>
    <s v=""/>
    <n v="415738.5"/>
  </r>
  <r>
    <n v="53"/>
    <x v="1"/>
    <x v="1"/>
    <x v="2"/>
    <x v="7"/>
    <s v="Cái"/>
    <n v="0.66900000000000004"/>
    <n v="0.66844903707498826"/>
    <n v="277900"/>
    <n v="229.0565000000089"/>
    <s v=""/>
    <n v="415738.5"/>
  </r>
  <r>
    <n v="54"/>
    <x v="1"/>
    <x v="1"/>
    <x v="2"/>
    <x v="8"/>
    <s v="Kg"/>
    <n v="0.02"/>
    <n v="1.9495428015447212E-2"/>
    <n v="8105"/>
    <n v="209.76999999999958"/>
    <s v=""/>
    <n v="415738.5"/>
  </r>
  <r>
    <n v="55"/>
    <x v="1"/>
    <x v="1"/>
    <x v="2"/>
    <x v="9"/>
    <s v="Kg"/>
    <n v="1.9599999999999999E-2"/>
    <n v="1.2988934149711898E-2"/>
    <n v="5400"/>
    <n v="2748.4746"/>
    <s v=""/>
    <n v="415738.5"/>
  </r>
  <r>
    <n v="56"/>
    <x v="1"/>
    <x v="1"/>
    <x v="2"/>
    <x v="10"/>
    <s v="Kg"/>
    <n v="0.06"/>
    <n v="5.5142836181878756E-2"/>
    <n v="22925"/>
    <n v="2019.3099999999979"/>
    <s v=""/>
    <n v="415738.5"/>
  </r>
  <r>
    <n v="57"/>
    <x v="1"/>
    <x v="1"/>
    <x v="2"/>
    <x v="11"/>
    <s v="Kg"/>
    <n v="2.0999999999999999E-3"/>
    <n v="0"/>
    <m/>
    <n v="873.05084999999997"/>
    <s v=""/>
    <n v="415738.5"/>
  </r>
  <r>
    <n v="58"/>
    <x v="1"/>
    <x v="1"/>
    <x v="2"/>
    <x v="13"/>
    <s v="Kg"/>
    <n v="1.84"/>
    <n v="1.8780651779904916"/>
    <n v="780784"/>
    <s v=""/>
    <n v="15825.15999999994"/>
    <n v="415738.5"/>
  </r>
  <r>
    <n v="59"/>
    <x v="1"/>
    <x v="1"/>
    <x v="2"/>
    <x v="14"/>
    <s v="Cái"/>
    <n v="7.6E-3"/>
    <n v="5.9652882761639832E-3"/>
    <n v="2480"/>
    <n v="679.61259999999982"/>
    <s v=""/>
    <n v="415738.5"/>
  </r>
  <r>
    <n v="60"/>
    <x v="1"/>
    <x v="1"/>
    <x v="2"/>
    <x v="16"/>
    <s v="Kg"/>
    <n v="1.0699999999999999E-2"/>
    <n v="1.0463308065045696E-2"/>
    <n v="4350"/>
    <s v=""/>
    <s v=""/>
    <n v="415738.5"/>
  </r>
  <r>
    <n v="61"/>
    <x v="1"/>
    <x v="1"/>
    <x v="2"/>
    <x v="15"/>
    <s v="Cái"/>
    <n v="4.2999999999999997E-2"/>
    <n v="3.8485730813961179E-2"/>
    <n v="16000"/>
    <n v="1876.7554999999991"/>
    <s v=""/>
    <n v="415738.5"/>
  </r>
  <r>
    <n v="62"/>
    <x v="2"/>
    <x v="1"/>
    <x v="2"/>
    <x v="0"/>
    <s v="Kg"/>
    <n v="21.26"/>
    <n v="21.36349033703333"/>
    <n v="4448808"/>
    <s v=""/>
    <n v="21551.189999999886"/>
    <n v="208243.5"/>
  </r>
  <r>
    <n v="63"/>
    <x v="2"/>
    <x v="1"/>
    <x v="2"/>
    <x v="21"/>
    <s v="Kg"/>
    <n v="0.28000000000000003"/>
    <n v="0.24935227269998822"/>
    <n v="51925.99"/>
    <n v="6382.1900000000087"/>
    <s v=""/>
    <n v="208243.5"/>
  </r>
  <r>
    <n v="64"/>
    <x v="2"/>
    <x v="1"/>
    <x v="2"/>
    <x v="19"/>
    <s v="Kg"/>
    <n v="9.8000000000000004E-2"/>
    <n v="9.3882017926129741E-2"/>
    <n v="19550.32"/>
    <n v="857.54300000000217"/>
    <s v=""/>
    <n v="208243.5"/>
  </r>
  <r>
    <n v="65"/>
    <x v="2"/>
    <x v="1"/>
    <x v="2"/>
    <x v="20"/>
    <s v="Kg"/>
    <n v="0.11899999999999999"/>
    <n v="0.11818280042354262"/>
    <n v="24610.799999999999"/>
    <n v="170.17650000000086"/>
    <s v=""/>
    <n v="208243.5"/>
  </r>
  <r>
    <n v="66"/>
    <x v="2"/>
    <x v="1"/>
    <x v="2"/>
    <x v="7"/>
    <s v="Cái"/>
    <n v="0.66900000000000004"/>
    <n v="0.66863071356368864"/>
    <n v="139238"/>
    <n v="76.901500000013058"/>
    <s v=""/>
    <n v="208243.5"/>
  </r>
  <r>
    <n v="67"/>
    <x v="2"/>
    <x v="1"/>
    <x v="2"/>
    <x v="8"/>
    <s v="Kg"/>
    <n v="0.02"/>
    <n v="1.4286160192274909E-2"/>
    <n v="2975"/>
    <n v="1189.8700000000001"/>
    <s v=""/>
    <n v="208243.5"/>
  </r>
  <r>
    <n v="68"/>
    <x v="2"/>
    <x v="1"/>
    <x v="2"/>
    <x v="9"/>
    <s v="Kg"/>
    <n v="1.9599999999999999E-2"/>
    <n v="1.2360529860475837E-2"/>
    <n v="2574"/>
    <n v="1507.5726"/>
    <s v=""/>
    <n v="208243.5"/>
  </r>
  <r>
    <n v="69"/>
    <x v="2"/>
    <x v="1"/>
    <x v="2"/>
    <x v="10"/>
    <s v="Kg"/>
    <n v="0.06"/>
    <n v="4.1177755848321798E-2"/>
    <n v="8575"/>
    <n v="3919.6099999999992"/>
    <s v=""/>
    <n v="208243.5"/>
  </r>
  <r>
    <n v="70"/>
    <x v="2"/>
    <x v="1"/>
    <x v="2"/>
    <x v="11"/>
    <s v="Kg"/>
    <n v="1.2999999999999999E-3"/>
    <n v="1.2005176632163789E-3"/>
    <n v="250"/>
    <n v="20.716549999999998"/>
    <s v=""/>
    <n v="208243.5"/>
  </r>
  <r>
    <n v="71"/>
    <x v="2"/>
    <x v="1"/>
    <x v="2"/>
    <x v="13"/>
    <s v="Kg"/>
    <n v="1.84"/>
    <n v="1.7761802889405911"/>
    <n v="369878"/>
    <n v="13290.040000000034"/>
    <s v=""/>
    <n v="208243.5"/>
  </r>
  <r>
    <n v="72"/>
    <x v="2"/>
    <x v="1"/>
    <x v="2"/>
    <x v="14"/>
    <s v="Cái"/>
    <n v="7.6E-3"/>
    <n v="7.4912302184702044E-3"/>
    <n v="1560"/>
    <n v="22.650599999999994"/>
    <s v=""/>
    <n v="208243.5"/>
  </r>
  <r>
    <n v="73"/>
    <x v="2"/>
    <x v="1"/>
    <x v="2"/>
    <x v="16"/>
    <s v="Kg"/>
    <n v="1.0699999999999999E-2"/>
    <n v="1.1188824621176652E-2"/>
    <n v="2330"/>
    <s v=""/>
    <s v=""/>
    <n v="208243.5"/>
  </r>
  <r>
    <n v="74"/>
    <x v="2"/>
    <x v="1"/>
    <x v="2"/>
    <x v="15"/>
    <s v="Cái"/>
    <n v="4.2999999999999997E-2"/>
    <n v="4.1778014679929983E-2"/>
    <n v="8700"/>
    <n v="254.47049999999996"/>
    <s v=""/>
    <n v="208243.5"/>
  </r>
  <r>
    <n v="75"/>
    <x v="2"/>
    <x v="1"/>
    <x v="1"/>
    <x v="0"/>
    <s v="Kg"/>
    <n v="21.01"/>
    <n v="20.175008365430482"/>
    <n v="4534018.4000000004"/>
    <n v="187651.34400000016"/>
    <s v=""/>
    <n v="224734.4"/>
  </r>
  <r>
    <n v="76"/>
    <x v="2"/>
    <x v="1"/>
    <x v="1"/>
    <x v="3"/>
    <s v="Kg"/>
    <n v="0.48299999999999998"/>
    <n v="0.45274421717369484"/>
    <n v="101747.2"/>
    <n v="6799.5151999999907"/>
    <s v=""/>
    <n v="224734.4"/>
  </r>
  <r>
    <n v="77"/>
    <x v="2"/>
    <x v="1"/>
    <x v="1"/>
    <x v="5"/>
    <s v="Kg"/>
    <n v="0.54"/>
    <n v="0.49637038210438633"/>
    <n v="111551.5"/>
    <n v="9805.0760000000082"/>
    <s v=""/>
    <n v="224734.4"/>
  </r>
  <r>
    <n v="78"/>
    <x v="2"/>
    <x v="1"/>
    <x v="1"/>
    <x v="7"/>
    <s v="Cái"/>
    <n v="0.627"/>
    <n v="0.62718480125873033"/>
    <n v="140950"/>
    <s v=""/>
    <n v="41.531200000004837"/>
    <n v="224734.4"/>
  </r>
  <r>
    <n v="79"/>
    <x v="2"/>
    <x v="1"/>
    <x v="1"/>
    <x v="8"/>
    <s v="Kg"/>
    <n v="2.5000000000000001E-2"/>
    <n v="2.4540079311400481E-2"/>
    <n v="5515"/>
    <n v="103.36000000000001"/>
    <s v=""/>
    <n v="224734.4"/>
  </r>
  <r>
    <n v="80"/>
    <x v="2"/>
    <x v="1"/>
    <x v="1"/>
    <x v="9"/>
    <s v="Kg"/>
    <n v="1.09E-2"/>
    <n v="1.0652574772709474E-2"/>
    <n v="2394"/>
    <n v="55.60495999999992"/>
    <s v=""/>
    <n v="224734.4"/>
  </r>
  <r>
    <n v="81"/>
    <x v="2"/>
    <x v="1"/>
    <x v="1"/>
    <x v="13"/>
    <s v="Kg"/>
    <n v="1.79"/>
    <n v="1.768187246812237"/>
    <n v="397372.5"/>
    <n v="4902.0760000000028"/>
    <s v=""/>
    <n v="224734.4"/>
  </r>
  <r>
    <n v="82"/>
    <x v="2"/>
    <x v="1"/>
    <x v="1"/>
    <x v="14"/>
    <s v="Cái"/>
    <n v="8.2000000000000007E-3"/>
    <n v="8.0094547163229134E-3"/>
    <n v="1800"/>
    <n v="42.822080000000014"/>
    <s v=""/>
    <n v="224734.4"/>
  </r>
  <r>
    <n v="83"/>
    <x v="2"/>
    <x v="1"/>
    <x v="1"/>
    <x v="15"/>
    <s v="Cái"/>
    <n v="6.4000000000000001E-2"/>
    <n v="6.3630668024120915E-2"/>
    <n v="14300"/>
    <n v="83.001600000000948"/>
    <s v=""/>
    <n v="224734.4"/>
  </r>
  <r>
    <n v="84"/>
    <x v="2"/>
    <x v="1"/>
    <x v="1"/>
    <x v="16"/>
    <s v="Kg"/>
    <n v="1.5900000000000001E-2"/>
    <n v="1.6908848845570593E-2"/>
    <n v="3800"/>
    <s v=""/>
    <s v=""/>
    <n v="224734.4"/>
  </r>
  <r>
    <n v="85"/>
    <x v="2"/>
    <x v="1"/>
    <x v="1"/>
    <x v="10"/>
    <s v="Kg"/>
    <n v="4.8000000000000001E-2"/>
    <n v="5.8958486106265889E-2"/>
    <n v="13250"/>
    <s v=""/>
    <n v="2462.7488000000008"/>
    <n v="224734.4"/>
  </r>
  <r>
    <n v="86"/>
    <x v="2"/>
    <x v="1"/>
    <x v="1"/>
    <x v="12"/>
    <s v="Kg"/>
    <n v="2.7000000000000001E-3"/>
    <n v="2.4473333855431121E-3"/>
    <n v="550"/>
    <n v="56.782880000000063"/>
    <s v=""/>
    <n v="224734.4"/>
  </r>
  <r>
    <n v="87"/>
    <x v="2"/>
    <x v="0"/>
    <x v="0"/>
    <x v="0"/>
    <s v="Kg"/>
    <n v="19.04"/>
    <n v="18.837525357034046"/>
    <n v="9032075"/>
    <n v="97081.019200000039"/>
    <s v=""/>
    <n v="479472.48000000004"/>
  </r>
  <r>
    <n v="88"/>
    <x v="2"/>
    <x v="0"/>
    <x v="0"/>
    <x v="1"/>
    <s v="Kg"/>
    <n v="0.45600000000000002"/>
    <n v="0.42140687615689637"/>
    <n v="202053"/>
    <n v="16586.450880000037"/>
    <s v=""/>
    <n v="479472.48000000004"/>
  </r>
  <r>
    <n v="89"/>
    <x v="2"/>
    <x v="0"/>
    <x v="0"/>
    <x v="2"/>
    <s v="Kg"/>
    <n v="0.38300000000000001"/>
    <n v="0"/>
    <m/>
    <n v="0"/>
    <n v="0"/>
    <n v="0"/>
  </r>
  <r>
    <n v="90"/>
    <x v="2"/>
    <x v="0"/>
    <x v="0"/>
    <x v="3"/>
    <s v="Kg"/>
    <n v="0.52"/>
    <n v="0"/>
    <m/>
    <n v="0"/>
    <n v="0"/>
    <n v="0"/>
  </r>
  <r>
    <n v="91"/>
    <x v="2"/>
    <x v="0"/>
    <x v="0"/>
    <x v="4"/>
    <s v="Kg"/>
    <n v="0.434"/>
    <n v="0.4126034511928609"/>
    <n v="197832"/>
    <n v="10259.056320000023"/>
    <s v=""/>
    <n v="479472.48000000004"/>
  </r>
  <r>
    <n v="92"/>
    <x v="2"/>
    <x v="0"/>
    <x v="0"/>
    <x v="5"/>
    <s v="Kg"/>
    <n v="0.52"/>
    <n v="0"/>
    <m/>
    <n v="0"/>
    <n v="0"/>
    <n v="0"/>
  </r>
  <r>
    <n v="93"/>
    <x v="2"/>
    <x v="0"/>
    <x v="0"/>
    <x v="6"/>
    <s v="Kg"/>
    <n v="0.434"/>
    <n v="0"/>
    <m/>
    <n v="0"/>
    <n v="0"/>
    <n v="0"/>
  </r>
  <r>
    <n v="94"/>
    <x v="2"/>
    <x v="0"/>
    <x v="0"/>
    <x v="7"/>
    <s v="Cái"/>
    <n v="0.69699999999999995"/>
    <n v="0.69659889551950926"/>
    <n v="334000"/>
    <n v="192.31855999998194"/>
    <s v=""/>
    <n v="479472.48000000004"/>
  </r>
  <r>
    <n v="95"/>
    <x v="2"/>
    <x v="0"/>
    <x v="0"/>
    <x v="8"/>
    <s v="Kg"/>
    <n v="3.7100000000000001E-2"/>
    <n v="3.7124132755231326E-2"/>
    <n v="17800"/>
    <s v=""/>
    <n v="11.570991999996382"/>
    <n v="479472.48000000004"/>
  </r>
  <r>
    <n v="96"/>
    <x v="2"/>
    <x v="0"/>
    <x v="0"/>
    <x v="9"/>
    <s v="Kg"/>
    <n v="8.2000000000000007E-3"/>
    <n v="8.332073615570177E-3"/>
    <n v="3995"/>
    <s v=""/>
    <n v="63.325663999999072"/>
    <n v="479472.48000000004"/>
  </r>
  <r>
    <n v="97"/>
    <x v="2"/>
    <x v="0"/>
    <x v="0"/>
    <x v="10"/>
    <s v="Kg"/>
    <n v="4.3299999999999998E-2"/>
    <n v="4.1191102354821277E-2"/>
    <n v="19750"/>
    <n v="1011.1583840000017"/>
    <s v=""/>
    <n v="479472.48000000004"/>
  </r>
  <r>
    <n v="98"/>
    <x v="2"/>
    <x v="0"/>
    <x v="0"/>
    <x v="11"/>
    <s v="Kg"/>
    <n v="2E-3"/>
    <n v="2.5027505228245842E-3"/>
    <n v="1200"/>
    <s v=""/>
    <n v="241.05503999999999"/>
    <n v="479472.48000000004"/>
  </r>
  <r>
    <n v="99"/>
    <x v="2"/>
    <x v="0"/>
    <x v="0"/>
    <x v="12"/>
    <s v="Kg"/>
    <n v="2.7699999999999999E-3"/>
    <n v="0"/>
    <m/>
    <n v="1328.1387696000002"/>
    <s v=""/>
    <n v="479472.48000000004"/>
  </r>
  <r>
    <n v="100"/>
    <x v="2"/>
    <x v="0"/>
    <x v="0"/>
    <x v="13"/>
    <s v="Kg"/>
    <n v="1.65"/>
    <n v="1.5723348293107458"/>
    <n v="753891.28"/>
    <n v="37238.312000000005"/>
    <s v=""/>
    <n v="479472.48000000004"/>
  </r>
  <r>
    <n v="101"/>
    <x v="2"/>
    <x v="0"/>
    <x v="0"/>
    <x v="14"/>
    <s v="Cái"/>
    <n v="6.4000000000000003E-3"/>
    <n v="6.4237263419164321E-3"/>
    <n v="3080"/>
    <s v=""/>
    <n v="11.376127999999488"/>
    <n v="479472.48000000004"/>
  </r>
  <r>
    <n v="102"/>
    <x v="2"/>
    <x v="0"/>
    <x v="0"/>
    <x v="15"/>
    <s v="Cái"/>
    <n v="4.7239999999999997E-2"/>
    <n v="4.3798134149430221E-2"/>
    <n v="21000"/>
    <n v="1650.2799552000004"/>
    <s v=""/>
    <n v="479472.48000000004"/>
  </r>
  <r>
    <n v="103"/>
    <x v="2"/>
    <x v="0"/>
    <x v="0"/>
    <x v="16"/>
    <s v="Kg"/>
    <n v="1.1809999999999999E-2"/>
    <n v="1.1512652404993086E-2"/>
    <n v="5520"/>
    <s v=""/>
    <s v=""/>
    <n v="479472.48000000004"/>
  </r>
  <r>
    <n v="104"/>
    <x v="2"/>
    <x v="0"/>
    <x v="0"/>
    <x v="17"/>
    <s v="Kg"/>
    <n v="3.4299999999999999E-3"/>
    <n v="2.9407318643188862E-3"/>
    <n v="1410"/>
    <n v="234.59060640000007"/>
    <s v=""/>
    <n v="479472.48000000004"/>
  </r>
  <r>
    <n v="105"/>
    <x v="3"/>
    <x v="0"/>
    <x v="0"/>
    <x v="0"/>
    <s v="Kg"/>
    <n v="19.04"/>
    <n v="18.702004104183828"/>
    <n v="9163207"/>
    <n v="165603.98240000114"/>
    <s v=""/>
    <n v="489958.56000000011"/>
  </r>
  <r>
    <n v="106"/>
    <x v="3"/>
    <x v="0"/>
    <x v="0"/>
    <x v="1"/>
    <s v="Kg"/>
    <n v="0.45600000000000002"/>
    <n v="0.43648269068521572"/>
    <n v="198580"/>
    <n v="8879.4982400000627"/>
    <s v=""/>
    <n v="454955.0400000001"/>
  </r>
  <r>
    <n v="107"/>
    <x v="3"/>
    <x v="0"/>
    <x v="0"/>
    <x v="2"/>
    <s v="Kg"/>
    <n v="0.38300000000000001"/>
    <n v="0"/>
    <n v="0"/>
    <s v="-"/>
    <s v=""/>
    <n v="35003.520000000004"/>
  </r>
  <r>
    <n v="108"/>
    <x v="3"/>
    <x v="0"/>
    <x v="0"/>
    <x v="3"/>
    <s v="Kg"/>
    <n v="0.52"/>
    <n v="0"/>
    <m/>
    <n v="0"/>
    <n v="0"/>
    <n v="0"/>
  </r>
  <r>
    <n v="109"/>
    <x v="3"/>
    <x v="0"/>
    <x v="0"/>
    <x v="4"/>
    <s v="Kg"/>
    <n v="0.434"/>
    <n v="0.40871071567863049"/>
    <n v="185945"/>
    <n v="11505.487360000041"/>
    <s v=""/>
    <n v="454955.0400000001"/>
  </r>
  <r>
    <n v="110"/>
    <x v="3"/>
    <x v="0"/>
    <x v="0"/>
    <x v="5"/>
    <s v="Kg"/>
    <n v="0.52"/>
    <n v="0"/>
    <m/>
    <n v="0"/>
    <n v="0"/>
    <n v="0"/>
  </r>
  <r>
    <n v="111"/>
    <x v="3"/>
    <x v="0"/>
    <x v="0"/>
    <x v="6"/>
    <s v="Kg"/>
    <n v="0.434"/>
    <n v="0.41467258150037478"/>
    <n v="14515"/>
    <n v="676.52768000000128"/>
    <s v=""/>
    <n v="35003.520000000004"/>
  </r>
  <r>
    <n v="112"/>
    <x v="3"/>
    <x v="0"/>
    <x v="0"/>
    <x v="7"/>
    <s v="Cái"/>
    <n v="0.69699999999999995"/>
    <n v="0.69655890898201656"/>
    <n v="341285"/>
    <n v="216.11632000007941"/>
    <s v=""/>
    <n v="489958.56000000011"/>
  </r>
  <r>
    <n v="113"/>
    <x v="3"/>
    <x v="0"/>
    <x v="0"/>
    <x v="8"/>
    <s v="Kg"/>
    <n v="3.7100000000000001E-2"/>
    <n v="3.3757956999465419E-2"/>
    <n v="16540"/>
    <n v="1637.4625760000035"/>
    <s v=""/>
    <n v="489958.56000000011"/>
  </r>
  <r>
    <n v="114"/>
    <x v="3"/>
    <x v="0"/>
    <x v="0"/>
    <x v="9"/>
    <s v="Kg"/>
    <n v="8.2000000000000007E-3"/>
    <n v="8.1639557435224715E-3"/>
    <n v="4000"/>
    <n v="17.660192000000858"/>
    <s v=""/>
    <n v="489958.56000000011"/>
  </r>
  <r>
    <n v="115"/>
    <x v="3"/>
    <x v="0"/>
    <x v="0"/>
    <x v="10"/>
    <s v="Kg"/>
    <n v="4.3299999999999998E-2"/>
    <n v="4.0309531483642198E-2"/>
    <n v="19750"/>
    <n v="1465.2056480000044"/>
    <s v=""/>
    <n v="489958.56000000011"/>
  </r>
  <r>
    <n v="116"/>
    <x v="3"/>
    <x v="0"/>
    <x v="0"/>
    <x v="11"/>
    <s v="Kg"/>
    <n v="2E-3"/>
    <n v="2.7349251740800278E-3"/>
    <n v="1340"/>
    <s v=""/>
    <n v="360.08287999999982"/>
    <n v="489958.56000000011"/>
  </r>
  <r>
    <n v="117"/>
    <x v="3"/>
    <x v="0"/>
    <x v="0"/>
    <x v="12"/>
    <s v="Kg"/>
    <n v="2.7699999999999999E-3"/>
    <n v="0"/>
    <m/>
    <s v="-"/>
    <s v=""/>
    <n v="489958.56000000011"/>
  </r>
  <r>
    <n v="118"/>
    <x v="3"/>
    <x v="0"/>
    <x v="0"/>
    <x v="13"/>
    <s v="Kg"/>
    <n v="1.65"/>
    <n v="1.4911220246871486"/>
    <n v="730588"/>
    <n v="77843.6240000002"/>
    <s v=""/>
    <n v="489958.56000000011"/>
  </r>
  <r>
    <n v="119"/>
    <x v="3"/>
    <x v="0"/>
    <x v="0"/>
    <x v="14"/>
    <s v="Cái"/>
    <n v="6.4000000000000003E-3"/>
    <n v="6.4495250373827516E-3"/>
    <n v="3160"/>
    <s v=""/>
    <n v="24.265215999999015"/>
    <n v="489958.56000000011"/>
  </r>
  <r>
    <n v="120"/>
    <x v="3"/>
    <x v="0"/>
    <x v="0"/>
    <x v="15"/>
    <s v="Cái"/>
    <n v="4.7239999999999997E-2"/>
    <n v="4.4289459908609406E-2"/>
    <n v="21700"/>
    <n v="1445.6423744000026"/>
    <s v=""/>
    <n v="489958.56000000011"/>
  </r>
  <r>
    <n v="121"/>
    <x v="3"/>
    <x v="0"/>
    <x v="0"/>
    <x v="16"/>
    <s v="Kg"/>
    <n v="1.1809999999999999E-2"/>
    <n v="1.0858061138884887E-2"/>
    <n v="5320"/>
    <s v=""/>
    <s v=""/>
    <n v="489958.56000000011"/>
  </r>
  <r>
    <n v="122"/>
    <x v="3"/>
    <x v="0"/>
    <x v="0"/>
    <x v="17"/>
    <s v="Kg"/>
    <n v="3.4299999999999999E-3"/>
    <n v="2.2042680507510671E-3"/>
    <n v="1080"/>
    <n v="600.5578608000003"/>
    <s v=""/>
    <n v="489958.56000000011"/>
  </r>
  <r>
    <n v="123"/>
    <x v="3"/>
    <x v="1"/>
    <x v="1"/>
    <x v="0"/>
    <s v="Kg"/>
    <n v="21.01"/>
    <n v="20.802382413897512"/>
    <n v="9563504.2300000004"/>
    <n v="95448.282000001069"/>
    <s v=""/>
    <n v="459731.20000000001"/>
  </r>
  <r>
    <n v="124"/>
    <x v="3"/>
    <x v="1"/>
    <x v="1"/>
    <x v="3"/>
    <s v="Kg"/>
    <n v="0.50700000000000001"/>
    <n v="0.44663298901619031"/>
    <n v="205331.12"/>
    <n v="27752.598400000013"/>
    <s v=""/>
    <n v="459731.20000000001"/>
  </r>
  <r>
    <n v="125"/>
    <x v="3"/>
    <x v="1"/>
    <x v="1"/>
    <x v="5"/>
    <s v="Kg"/>
    <n v="0.47799999999999998"/>
    <n v="0.44897235602021357"/>
    <n v="206406.6"/>
    <n v="13344.913599999983"/>
    <s v=""/>
    <n v="459731.20000000001"/>
  </r>
  <r>
    <n v="126"/>
    <x v="3"/>
    <x v="1"/>
    <x v="1"/>
    <x v="7"/>
    <s v="Cái"/>
    <n v="0.627"/>
    <n v="0.61650155569167375"/>
    <n v="283425"/>
    <n v="4826.4623999999967"/>
    <s v=""/>
    <n v="459731.20000000001"/>
  </r>
  <r>
    <n v="127"/>
    <x v="3"/>
    <x v="1"/>
    <x v="1"/>
    <x v="8"/>
    <s v="Kg"/>
    <n v="2.5000000000000001E-2"/>
    <n v="2.3328849553826234E-2"/>
    <n v="10725"/>
    <n v="768.28000000000168"/>
    <s v=""/>
    <n v="459731.20000000001"/>
  </r>
  <r>
    <n v="128"/>
    <x v="3"/>
    <x v="1"/>
    <x v="1"/>
    <x v="9"/>
    <s v="Kg"/>
    <n v="1.09E-2"/>
    <n v="1.0865044617376415E-2"/>
    <n v="4995"/>
    <n v="16.070080000000019"/>
    <s v=""/>
    <n v="459731.20000000001"/>
  </r>
  <r>
    <n v="129"/>
    <x v="3"/>
    <x v="1"/>
    <x v="1"/>
    <x v="13"/>
    <s v="Kg"/>
    <n v="1.79"/>
    <n v="1.684218952292122"/>
    <n v="774288"/>
    <n v="48630.847999999998"/>
    <s v=""/>
    <n v="459731.20000000001"/>
  </r>
  <r>
    <n v="130"/>
    <x v="3"/>
    <x v="1"/>
    <x v="1"/>
    <x v="14"/>
    <s v="Cái"/>
    <n v="8.2000000000000007E-3"/>
    <n v="8.1786922445115755E-3"/>
    <n v="3760"/>
    <n v="9.795840000000311"/>
    <s v=""/>
    <n v="459731.20000000001"/>
  </r>
  <r>
    <n v="131"/>
    <x v="3"/>
    <x v="1"/>
    <x v="1"/>
    <x v="15"/>
    <s v="Cái"/>
    <n v="6.4000000000000001E-2"/>
    <n v="6.30803391199031E-2"/>
    <n v="29000"/>
    <n v="422.79680000000434"/>
    <s v=""/>
    <n v="459731.20000000001"/>
  </r>
  <r>
    <n v="132"/>
    <x v="3"/>
    <x v="1"/>
    <x v="1"/>
    <x v="16"/>
    <s v="Kg"/>
    <n v="1.5900000000000001E-2"/>
    <n v="0"/>
    <m/>
    <s v=""/>
    <s v=""/>
    <n v="459731.20000000001"/>
  </r>
  <r>
    <n v="133"/>
    <x v="3"/>
    <x v="1"/>
    <x v="1"/>
    <x v="10"/>
    <s v="Kg"/>
    <n v="4.3999999999999997E-2"/>
    <n v="4.7854050366823046E-2"/>
    <n v="22000"/>
    <s v=""/>
    <n v="1771.8272000000004"/>
    <n v="459731.20000000001"/>
  </r>
  <r>
    <n v="134"/>
    <x v="3"/>
    <x v="1"/>
    <x v="1"/>
    <x v="12"/>
    <s v="Kg"/>
    <n v="2.5999999999999999E-3"/>
    <n v="2.5232135647961242E-3"/>
    <n v="1160"/>
    <n v="35.301120000000004"/>
    <s v=""/>
    <n v="459731.20000000001"/>
  </r>
  <r>
    <n v="135"/>
    <x v="4"/>
    <x v="0"/>
    <x v="0"/>
    <x v="0"/>
    <s v="Kg"/>
    <n v="19.04"/>
    <n v="18.751401841823768"/>
    <n v="8975471"/>
    <n v="138139.24000000235"/>
    <s v=""/>
    <n v="478656.00000000012"/>
  </r>
  <r>
    <n v="136"/>
    <x v="4"/>
    <x v="0"/>
    <x v="0"/>
    <x v="1"/>
    <s v="Kg"/>
    <n v="0.45600000000000002"/>
    <n v="0.40256135000786308"/>
    <n v="169560"/>
    <n v="22508.513280000061"/>
    <s v=""/>
    <n v="421202.88000000012"/>
  </r>
  <r>
    <n v="137"/>
    <x v="4"/>
    <x v="0"/>
    <x v="0"/>
    <x v="2"/>
    <s v="Kg"/>
    <n v="0.38300000000000001"/>
    <n v="0.38306013668187211"/>
    <n v="22008"/>
    <s v=""/>
    <n v="3.4550399999997441"/>
    <n v="57453.120000000003"/>
  </r>
  <r>
    <n v="138"/>
    <x v="4"/>
    <x v="0"/>
    <x v="0"/>
    <x v="3"/>
    <s v="Kg"/>
    <n v="0.52"/>
    <n v="0"/>
    <m/>
    <n v="0"/>
    <n v="0"/>
    <n v="0"/>
  </r>
  <r>
    <n v="139"/>
    <x v="4"/>
    <x v="0"/>
    <x v="0"/>
    <x v="4"/>
    <s v="Kg"/>
    <n v="0.434"/>
    <n v="0.40249012542364371"/>
    <n v="169530"/>
    <n v="13272.049920000052"/>
    <s v=""/>
    <n v="421202.88000000012"/>
  </r>
  <r>
    <n v="140"/>
    <x v="4"/>
    <x v="0"/>
    <x v="0"/>
    <x v="5"/>
    <s v="Kg"/>
    <n v="0.52"/>
    <n v="0"/>
    <m/>
    <n v="0"/>
    <n v="0"/>
    <n v="0"/>
  </r>
  <r>
    <n v="141"/>
    <x v="4"/>
    <x v="0"/>
    <x v="0"/>
    <x v="6"/>
    <s v="Kg"/>
    <n v="0.434"/>
    <n v="0.37740335076667725"/>
    <n v="21683"/>
    <n v="3251.6540800000002"/>
    <s v=""/>
    <n v="57453.120000000003"/>
  </r>
  <r>
    <n v="142"/>
    <x v="4"/>
    <x v="0"/>
    <x v="0"/>
    <x v="7"/>
    <s v="Cái"/>
    <n v="0.69699999999999995"/>
    <n v="0.69662764072736982"/>
    <n v="333445"/>
    <n v="178.23200000004729"/>
    <s v=""/>
    <n v="478656.00000000012"/>
  </r>
  <r>
    <n v="143"/>
    <x v="4"/>
    <x v="0"/>
    <x v="0"/>
    <x v="8"/>
    <s v="Kg"/>
    <n v="3.7100000000000001E-2"/>
    <n v="3.5390760796897971E-2"/>
    <n v="16940"/>
    <n v="818.13760000000525"/>
    <s v=""/>
    <n v="478656.00000000012"/>
  </r>
  <r>
    <n v="144"/>
    <x v="4"/>
    <x v="0"/>
    <x v="0"/>
    <x v="9"/>
    <s v="Kg"/>
    <n v="8.2000000000000007E-3"/>
    <n v="8.3567321834469837E-3"/>
    <n v="4000"/>
    <s v=""/>
    <n v="75.020799999999113"/>
    <n v="478656.00000000012"/>
  </r>
  <r>
    <n v="145"/>
    <x v="4"/>
    <x v="0"/>
    <x v="0"/>
    <x v="10"/>
    <s v="Kg"/>
    <n v="4.3299999999999998E-2"/>
    <n v="3.9955625752105886E-2"/>
    <n v="19125"/>
    <n v="1600.8048000000044"/>
    <s v=""/>
    <n v="478656.00000000012"/>
  </r>
  <r>
    <n v="146"/>
    <x v="4"/>
    <x v="0"/>
    <x v="0"/>
    <x v="11"/>
    <s v="Kg"/>
    <n v="2E-3"/>
    <n v="0"/>
    <m/>
    <m/>
    <s v=""/>
    <n v="478656.00000000012"/>
  </r>
  <r>
    <n v="147"/>
    <x v="4"/>
    <x v="0"/>
    <x v="0"/>
    <x v="12"/>
    <s v="Kg"/>
    <n v="2.7699999999999999E-3"/>
    <n v="0"/>
    <m/>
    <m/>
    <s v=""/>
    <n v="478656.00000000012"/>
  </r>
  <r>
    <n v="148"/>
    <x v="4"/>
    <x v="0"/>
    <x v="0"/>
    <x v="13"/>
    <s v="Kg"/>
    <n v="1.65"/>
    <n v="1.3913541248830055"/>
    <n v="665980"/>
    <n v="123802.40000000013"/>
    <s v=""/>
    <n v="478656.00000000012"/>
  </r>
  <r>
    <n v="149"/>
    <x v="4"/>
    <x v="0"/>
    <x v="0"/>
    <x v="14"/>
    <s v="Cái"/>
    <n v="6.4000000000000003E-3"/>
    <n v="6.4346837812541769E-3"/>
    <n v="3080"/>
    <s v=""/>
    <n v="16.601599999999141"/>
    <n v="478656.00000000012"/>
  </r>
  <r>
    <n v="150"/>
    <x v="4"/>
    <x v="0"/>
    <x v="0"/>
    <x v="15"/>
    <s v="Cái"/>
    <n v="4.7239999999999997E-2"/>
    <n v="4.387284396309666E-2"/>
    <n v="21000"/>
    <n v="1611.7094400000044"/>
    <s v=""/>
    <n v="478656.00000000012"/>
  </r>
  <r>
    <n v="151"/>
    <x v="4"/>
    <x v="0"/>
    <x v="0"/>
    <x v="16"/>
    <s v="Kg"/>
    <n v="1.1809999999999999E-2"/>
    <n v="0"/>
    <m/>
    <s v=""/>
    <s v=""/>
    <n v="478656.00000000012"/>
  </r>
  <r>
    <n v="152"/>
    <x v="4"/>
    <x v="0"/>
    <x v="0"/>
    <x v="17"/>
    <s v="Kg"/>
    <n v="3.4299999999999999E-3"/>
    <n v="2.8203971119133567E-3"/>
    <n v="1350"/>
    <n v="291.79008000000033"/>
    <s v=""/>
    <n v="478656.00000000012"/>
  </r>
  <r>
    <n v="153"/>
    <x v="4"/>
    <x v="1"/>
    <x v="1"/>
    <x v="0"/>
    <s v="Kg"/>
    <n v="21.01"/>
    <n v="20.654386888448197"/>
    <n v="8898703"/>
    <n v="153211.78400000086"/>
    <s v=""/>
    <n v="430838.4"/>
  </r>
  <r>
    <n v="154"/>
    <x v="4"/>
    <x v="1"/>
    <x v="1"/>
    <x v="3"/>
    <s v="Kg"/>
    <n v="0.50700000000000001"/>
    <n v="0.33457735622154605"/>
    <n v="118408.8"/>
    <n v="61021.339200000017"/>
    <s v=""/>
    <n v="353905.60000000003"/>
  </r>
  <r>
    <n v="155"/>
    <x v="4"/>
    <x v="1"/>
    <x v="1"/>
    <x v="5"/>
    <s v="Kg"/>
    <n v="0.47799999999999998"/>
    <n v="0.46248039025095949"/>
    <n v="163674.4"/>
    <n v="5492.4768000000231"/>
    <s v=""/>
    <n v="353905.60000000003"/>
  </r>
  <r>
    <n v="156"/>
    <x v="4"/>
    <x v="1"/>
    <x v="1"/>
    <x v="2"/>
    <s v="Kg"/>
    <n v="0.35399999999999998"/>
    <n v="0.90278268826820307"/>
    <n v="69453.600000000006"/>
    <s v=""/>
    <n v="42219.388800000008"/>
    <n v="76932.799999999988"/>
  </r>
  <r>
    <n v="157"/>
    <x v="4"/>
    <x v="1"/>
    <x v="1"/>
    <x v="6"/>
    <s v="Kg"/>
    <n v="0.33200000000000002"/>
    <n v="0.31629032090343784"/>
    <n v="24333.1"/>
    <n v="1208.5895999999987"/>
    <s v=""/>
    <n v="76932.799999999988"/>
  </r>
  <r>
    <n v="158"/>
    <x v="4"/>
    <x v="1"/>
    <x v="1"/>
    <x v="7"/>
    <s v="Cái"/>
    <n v="0.627"/>
    <n v="0.62243523325683126"/>
    <n v="268169"/>
    <n v="1966.6768000000338"/>
    <s v=""/>
    <n v="430838.4"/>
  </r>
  <r>
    <n v="159"/>
    <x v="4"/>
    <x v="1"/>
    <x v="1"/>
    <x v="8"/>
    <s v="Kg"/>
    <n v="2.5000000000000001E-2"/>
    <n v="2.1075187355630322E-2"/>
    <n v="9080"/>
    <n v="1690.9600000000016"/>
    <s v=""/>
    <n v="430838.4"/>
  </r>
  <r>
    <n v="160"/>
    <x v="4"/>
    <x v="1"/>
    <x v="1"/>
    <x v="9"/>
    <s v="Kg"/>
    <n v="1.09E-2"/>
    <n v="1.0862541500479066E-2"/>
    <n v="4680"/>
    <n v="16.138559999999941"/>
    <s v=""/>
    <n v="430838.4"/>
  </r>
  <r>
    <n v="161"/>
    <x v="4"/>
    <x v="1"/>
    <x v="1"/>
    <x v="13"/>
    <s v="Kg"/>
    <n v="1.79"/>
    <n v="1.5325561045626388"/>
    <n v="660284.02"/>
    <n v="110916.71600000001"/>
    <s v=""/>
    <n v="430838.4"/>
  </r>
  <r>
    <n v="162"/>
    <x v="4"/>
    <x v="1"/>
    <x v="1"/>
    <x v="14"/>
    <s v="Cái"/>
    <n v="8.2000000000000007E-3"/>
    <n v="8.123695566597592E-3"/>
    <n v="3500"/>
    <n v="32.874880000000324"/>
    <s v=""/>
    <n v="430838.4"/>
  </r>
  <r>
    <n v="163"/>
    <x v="4"/>
    <x v="1"/>
    <x v="1"/>
    <x v="15"/>
    <s v="Cái"/>
    <n v="6.4000000000000001E-2"/>
    <n v="5.7747870199128019E-2"/>
    <n v="24880"/>
    <n v="2693.6576000000036"/>
    <s v=""/>
    <n v="430838.4"/>
  </r>
  <r>
    <n v="164"/>
    <x v="4"/>
    <x v="1"/>
    <x v="1"/>
    <x v="16"/>
    <s v="Kg"/>
    <n v="1.5900000000000001E-2"/>
    <n v="1.6398259765146282E-2"/>
    <n v="7065"/>
    <s v=""/>
    <s v=""/>
    <n v="430838.4"/>
  </r>
  <r>
    <n v="165"/>
    <x v="4"/>
    <x v="1"/>
    <x v="1"/>
    <x v="10"/>
    <s v="Kg"/>
    <n v="4.3999999999999997E-2"/>
    <n v="3.771715798777453E-2"/>
    <n v="16250"/>
    <n v="2706.8896000000009"/>
    <s v=""/>
    <n v="430838.4"/>
  </r>
  <r>
    <n v="166"/>
    <x v="4"/>
    <x v="1"/>
    <x v="1"/>
    <x v="12"/>
    <s v="Kg"/>
    <n v="2.5999999999999999E-3"/>
    <n v="0"/>
    <m/>
    <m/>
    <s v=""/>
    <n v="430838.4"/>
  </r>
  <r>
    <n v="167"/>
    <x v="4"/>
    <x v="1"/>
    <x v="2"/>
    <x v="0"/>
    <s v="Kg"/>
    <n v="21.26"/>
    <n v="33.609523809523807"/>
    <n v="190566"/>
    <s v=""/>
    <n v="70021.799999999974"/>
    <n v="5670"/>
  </r>
  <r>
    <n v="168"/>
    <x v="4"/>
    <x v="1"/>
    <x v="2"/>
    <x v="21"/>
    <s v="Kg"/>
    <n v="0.28000000000000003"/>
    <n v="0.3322927689594356"/>
    <n v="1884.1"/>
    <s v=""/>
    <n v="296.49999999999972"/>
    <n v="5670"/>
  </r>
  <r>
    <n v="169"/>
    <x v="4"/>
    <x v="1"/>
    <x v="2"/>
    <x v="22"/>
    <s v="Kg"/>
    <n v="0.39"/>
    <n v="0"/>
    <n v="0"/>
    <n v="0"/>
    <n v="0"/>
    <n v="0"/>
  </r>
  <r>
    <n v="170"/>
    <x v="4"/>
    <x v="1"/>
    <x v="2"/>
    <x v="19"/>
    <s v="Kg"/>
    <n v="9.8000000000000004E-2"/>
    <n v="0.14786596119929452"/>
    <n v="838.4"/>
    <s v=""/>
    <n v="282.7399999999999"/>
    <n v="5670"/>
  </r>
  <r>
    <n v="171"/>
    <x v="4"/>
    <x v="1"/>
    <x v="2"/>
    <x v="23"/>
    <s v="Kg"/>
    <n v="0.39"/>
    <n v="0"/>
    <n v="0"/>
    <n v="0"/>
    <n v="0"/>
    <n v="0"/>
  </r>
  <r>
    <n v="172"/>
    <x v="4"/>
    <x v="1"/>
    <x v="2"/>
    <x v="20"/>
    <s v="Kg"/>
    <n v="0.11899999999999999"/>
    <n v="0.12927689594356262"/>
    <n v="733"/>
    <s v=""/>
    <n v="58.270000000000081"/>
    <n v="5670"/>
  </r>
  <r>
    <n v="173"/>
    <x v="4"/>
    <x v="1"/>
    <x v="2"/>
    <x v="7"/>
    <s v="Cái"/>
    <n v="0.66900000000000004"/>
    <n v="0.67019400352733682"/>
    <n v="3800"/>
    <s v=""/>
    <n v="6.7699999999995679"/>
    <n v="5670"/>
  </r>
  <r>
    <n v="174"/>
    <x v="4"/>
    <x v="1"/>
    <x v="2"/>
    <x v="8"/>
    <s v="Kg"/>
    <n v="0.02"/>
    <n v="1.5873015873015872E-2"/>
    <n v="90"/>
    <n v="23.400000000000006"/>
    <s v=""/>
    <n v="5670"/>
  </r>
  <r>
    <n v="175"/>
    <x v="4"/>
    <x v="1"/>
    <x v="2"/>
    <x v="9"/>
    <s v="Kg"/>
    <n v="2.01E-2"/>
    <n v="1.5873015873015872E-2"/>
    <n v="90"/>
    <n v="23.967000000000002"/>
    <s v=""/>
    <n v="5670"/>
  </r>
  <r>
    <n v="176"/>
    <x v="4"/>
    <x v="1"/>
    <x v="2"/>
    <x v="13"/>
    <s v="Kg"/>
    <n v="1.84"/>
    <n v="2.4938271604938271"/>
    <n v="14140"/>
    <s v=""/>
    <n v="3707.1999999999994"/>
    <n v="5670"/>
  </r>
  <r>
    <n v="177"/>
    <x v="4"/>
    <x v="1"/>
    <x v="2"/>
    <x v="14"/>
    <s v="Cái"/>
    <n v="7.6E-3"/>
    <n v="7.0546737213403876E-3"/>
    <n v="40"/>
    <n v="3.0920000000000023"/>
    <s v=""/>
    <n v="5670"/>
  </r>
  <r>
    <n v="178"/>
    <x v="4"/>
    <x v="1"/>
    <x v="2"/>
    <x v="15"/>
    <s v="Cái"/>
    <n v="4.2999999999999997E-2"/>
    <n v="4.0564373897707229E-2"/>
    <n v="230"/>
    <n v="13.809999999999993"/>
    <s v=""/>
    <n v="5670"/>
  </r>
  <r>
    <n v="179"/>
    <x v="4"/>
    <x v="1"/>
    <x v="2"/>
    <x v="16"/>
    <s v="Kg"/>
    <m/>
    <n v="1.146384479717813E-2"/>
    <n v="65"/>
    <s v=""/>
    <s v=""/>
    <n v="5670"/>
  </r>
  <r>
    <n v="180"/>
    <x v="4"/>
    <x v="1"/>
    <x v="2"/>
    <x v="10"/>
    <s v="Kg"/>
    <n v="0.06"/>
    <n v="0.86419753086419748"/>
    <n v="4900"/>
    <s v=""/>
    <n v="4559.8"/>
    <n v="5670"/>
  </r>
  <r>
    <n v="181"/>
    <x v="5"/>
    <x v="0"/>
    <x v="0"/>
    <x v="0"/>
    <s v="Kg"/>
    <n v="19.04"/>
    <n v="18.451109079805757"/>
    <n v="9141509"/>
    <n v="291763.03839999932"/>
    <s v=""/>
    <n v="495444.96"/>
  </r>
  <r>
    <n v="182"/>
    <x v="5"/>
    <x v="0"/>
    <x v="0"/>
    <x v="1"/>
    <s v="Kg"/>
    <n v="0.45600000000000002"/>
    <n v="0.4134101999947683"/>
    <n v="204822"/>
    <n v="21100.901760000026"/>
    <s v=""/>
    <n v="495444.96"/>
  </r>
  <r>
    <n v="183"/>
    <x v="5"/>
    <x v="0"/>
    <x v="0"/>
    <x v="2"/>
    <s v="Kg"/>
    <n v="0.38300000000000001"/>
    <n v="0"/>
    <m/>
    <n v="0"/>
    <n v="0"/>
    <n v="0"/>
  </r>
  <r>
    <n v="259"/>
    <x v="5"/>
    <x v="0"/>
    <x v="0"/>
    <x v="3"/>
    <s v="Kg"/>
    <n v="0.52"/>
    <n v="0"/>
    <m/>
    <n v="0"/>
    <n v="0"/>
    <n v="0"/>
  </r>
  <r>
    <n v="185"/>
    <x v="5"/>
    <x v="0"/>
    <x v="0"/>
    <x v="4"/>
    <s v="Kg"/>
    <n v="0.434"/>
    <n v="0.40504600147713682"/>
    <n v="200678"/>
    <n v="14345.112640000007"/>
    <s v=""/>
    <n v="495444.96"/>
  </r>
  <r>
    <n v="186"/>
    <x v="5"/>
    <x v="0"/>
    <x v="0"/>
    <x v="5"/>
    <s v="Kg"/>
    <n v="0.52"/>
    <n v="0"/>
    <m/>
    <n v="0"/>
    <n v="0"/>
    <n v="0"/>
  </r>
  <r>
    <n v="187"/>
    <x v="5"/>
    <x v="0"/>
    <x v="0"/>
    <x v="6"/>
    <s v="Kg"/>
    <n v="0.434"/>
    <n v="0"/>
    <m/>
    <n v="0"/>
    <n v="0"/>
    <n v="0"/>
  </r>
  <r>
    <n v="188"/>
    <x v="5"/>
    <x v="0"/>
    <x v="0"/>
    <x v="7"/>
    <s v="Cái"/>
    <n v="0.69699999999999995"/>
    <n v="0.69656576988894991"/>
    <n v="345110"/>
    <n v="215.13711999998162"/>
    <s v=""/>
    <n v="495444.96"/>
  </r>
  <r>
    <n v="189"/>
    <x v="5"/>
    <x v="0"/>
    <x v="0"/>
    <x v="8"/>
    <s v="Kg"/>
    <n v="3.7100000000000001E-2"/>
    <n v="3.1143721797069042E-2"/>
    <n v="15430"/>
    <n v="2951.0080160000011"/>
    <s v=""/>
    <n v="495444.96"/>
  </r>
  <r>
    <n v="190"/>
    <x v="5"/>
    <x v="0"/>
    <x v="0"/>
    <x v="9"/>
    <s v="Kg"/>
    <n v="8.2000000000000007E-3"/>
    <n v="8.3763088436705456E-3"/>
    <n v="4150"/>
    <s v=""/>
    <n v="87.35132799999937"/>
    <n v="495444.96"/>
  </r>
  <r>
    <n v="191"/>
    <x v="5"/>
    <x v="0"/>
    <x v="0"/>
    <x v="10"/>
    <s v="Kg"/>
    <n v="4.3299999999999998E-2"/>
    <n v="3.3252936915535478E-2"/>
    <n v="16475"/>
    <n v="4977.7667680000013"/>
    <s v=""/>
    <n v="495444.96"/>
  </r>
  <r>
    <n v="259"/>
    <x v="5"/>
    <x v="0"/>
    <x v="0"/>
    <x v="11"/>
    <s v="Kg"/>
    <n v="2E-3"/>
    <n v="0"/>
    <m/>
    <n v="990.88992000000007"/>
    <s v=""/>
    <n v="495444.96"/>
  </r>
  <r>
    <n v="193"/>
    <x v="5"/>
    <x v="0"/>
    <x v="0"/>
    <x v="12"/>
    <s v="Kg"/>
    <n v="2.7699999999999999E-3"/>
    <n v="0"/>
    <m/>
    <n v="1372.3825392000001"/>
    <s v=""/>
    <n v="495444.96"/>
  </r>
  <r>
    <n v="194"/>
    <x v="5"/>
    <x v="0"/>
    <x v="0"/>
    <x v="13"/>
    <s v="Kg"/>
    <n v="1.65"/>
    <n v="1.4864214180319848"/>
    <n v="736440"/>
    <n v="81044.183999999979"/>
    <s v=""/>
    <n v="495444.96"/>
  </r>
  <r>
    <n v="195"/>
    <x v="5"/>
    <x v="0"/>
    <x v="0"/>
    <x v="14"/>
    <s v="Cái"/>
    <n v="6.4000000000000003E-3"/>
    <n v="6.4184728006921295E-3"/>
    <n v="3180"/>
    <s v=""/>
    <n v="9.1522559999999231"/>
    <n v="495444.96"/>
  </r>
  <r>
    <n v="196"/>
    <x v="5"/>
    <x v="0"/>
    <x v="0"/>
    <x v="15"/>
    <s v="Cái"/>
    <n v="4.7239999999999997E-2"/>
    <n v="4.3799012507867677E-2"/>
    <n v="21700"/>
    <n v="1704.819910399998"/>
    <s v=""/>
    <n v="495444.96"/>
  </r>
  <r>
    <n v="197"/>
    <x v="5"/>
    <x v="0"/>
    <x v="0"/>
    <x v="16"/>
    <s v="Kg"/>
    <n v="1.1809999999999999E-2"/>
    <n v="0"/>
    <m/>
    <s v=""/>
    <s v=""/>
    <n v="495444.96"/>
  </r>
  <r>
    <n v="198"/>
    <x v="5"/>
    <x v="0"/>
    <x v="0"/>
    <x v="17"/>
    <s v="Kg"/>
    <n v="3.4299999999999999E-3"/>
    <n v="1.0293777133185489E-3"/>
    <n v="510"/>
    <n v="1189.3762128000001"/>
    <s v=""/>
    <n v="495444.96"/>
  </r>
  <r>
    <n v="199"/>
    <x v="5"/>
    <x v="1"/>
    <x v="2"/>
    <x v="0"/>
    <s v="Kg"/>
    <n v="21.26"/>
    <n v="20.737885118357134"/>
    <n v="9090566"/>
    <n v="228871.92999999993"/>
    <s v=""/>
    <n v="438355.5"/>
  </r>
  <r>
    <n v="200"/>
    <x v="5"/>
    <x v="1"/>
    <x v="2"/>
    <x v="21"/>
    <s v="Kg"/>
    <n v="0.28000000000000003"/>
    <n v="0.26522176685349341"/>
    <n v="116195.38"/>
    <n v="6474.44"/>
    <s v=""/>
    <n v="438106.5"/>
  </r>
  <r>
    <n v="201"/>
    <x v="5"/>
    <x v="1"/>
    <x v="2"/>
    <x v="22"/>
    <s v="Kg"/>
    <n v="0.39"/>
    <n v="0.27991967871485945"/>
    <n v="69.7"/>
    <n v="27.41"/>
    <s v=""/>
    <n v="249"/>
  </r>
  <r>
    <n v="202"/>
    <x v="5"/>
    <x v="1"/>
    <x v="2"/>
    <x v="19"/>
    <s v="Kg"/>
    <n v="9.8000000000000004E-2"/>
    <n v="8.9495134173996516E-2"/>
    <n v="39208.400000000001"/>
    <n v="3726.0369999999971"/>
    <s v=""/>
    <n v="438106.5"/>
  </r>
  <r>
    <n v="203"/>
    <x v="5"/>
    <x v="1"/>
    <x v="2"/>
    <x v="23"/>
    <s v="Kg"/>
    <n v="0.39"/>
    <n v="0.40160642570281124"/>
    <n v="100"/>
    <s v=""/>
    <n v="2.8899999999999961"/>
    <n v="249"/>
  </r>
  <r>
    <n v="204"/>
    <x v="5"/>
    <x v="1"/>
    <x v="2"/>
    <x v="20"/>
    <s v="Kg"/>
    <n v="0.11899999999999999"/>
    <n v="0.11906009155308127"/>
    <n v="52161"/>
    <s v=""/>
    <n v="26.326500000000927"/>
    <n v="438106.5"/>
  </r>
  <r>
    <n v="259"/>
    <x v="5"/>
    <x v="1"/>
    <x v="2"/>
    <x v="7"/>
    <s v="Cái"/>
    <n v="0.66900000000000004"/>
    <n v="0.66868785723003366"/>
    <n v="293123"/>
    <n v="136.82949999999911"/>
    <s v=""/>
    <n v="438355.5"/>
  </r>
  <r>
    <n v="206"/>
    <x v="5"/>
    <x v="1"/>
    <x v="2"/>
    <x v="8"/>
    <s v="Kg"/>
    <n v="0.02"/>
    <n v="1.9367841854385309E-2"/>
    <n v="8490"/>
    <n v="277.11000000000075"/>
    <s v=""/>
    <n v="438355.5"/>
  </r>
  <r>
    <n v="207"/>
    <x v="5"/>
    <x v="1"/>
    <x v="2"/>
    <x v="9"/>
    <s v="Kg"/>
    <n v="2.01E-2"/>
    <n v="1.1887611767161585E-2"/>
    <n v="5211"/>
    <n v="3599.9455499999995"/>
    <s v=""/>
    <n v="438355.5"/>
  </r>
  <r>
    <n v="208"/>
    <x v="5"/>
    <x v="1"/>
    <x v="2"/>
    <x v="13"/>
    <s v="Kg"/>
    <n v="1.84"/>
    <n v="1.670644032069861"/>
    <n v="732336"/>
    <n v="74238.120000000083"/>
    <s v=""/>
    <n v="438355.5"/>
  </r>
  <r>
    <n v="209"/>
    <x v="5"/>
    <x v="1"/>
    <x v="2"/>
    <x v="14"/>
    <s v="Cái"/>
    <n v="7.6E-3"/>
    <n v="7.5737614789822419E-3"/>
    <n v="3320"/>
    <n v="11.501799999999843"/>
    <s v=""/>
    <n v="438355.5"/>
  </r>
  <r>
    <n v="210"/>
    <x v="5"/>
    <x v="1"/>
    <x v="2"/>
    <x v="15"/>
    <s v="Cái"/>
    <n v="4.2999999999999997E-2"/>
    <n v="4.1746938272703323E-2"/>
    <n v="18300"/>
    <n v="549.2864999999972"/>
    <s v=""/>
    <n v="438355.5"/>
  </r>
  <r>
    <n v="211"/>
    <x v="5"/>
    <x v="1"/>
    <x v="2"/>
    <x v="16"/>
    <s v="Kg"/>
    <m/>
    <n v="0"/>
    <m/>
    <s v=""/>
    <s v=""/>
    <n v="438355.5"/>
  </r>
  <r>
    <n v="212"/>
    <x v="5"/>
    <x v="1"/>
    <x v="2"/>
    <x v="10"/>
    <s v="Kg"/>
    <n v="0.06"/>
    <n v="4.7278977907200891E-2"/>
    <n v="20725"/>
    <n v="5576.329999999999"/>
    <s v=""/>
    <n v="438355.5"/>
  </r>
  <r>
    <n v="213"/>
    <x v="6"/>
    <x v="0"/>
    <x v="0"/>
    <x v="0"/>
    <s v="Kg"/>
    <n v="19.04"/>
    <n v="18.440370542010818"/>
    <n v="8938679"/>
    <n v="290660.92959999753"/>
    <s v=""/>
    <n v="484734.23999999993"/>
  </r>
  <r>
    <n v="214"/>
    <x v="6"/>
    <x v="0"/>
    <x v="0"/>
    <x v="1"/>
    <s v="Kg"/>
    <n v="0.45600000000000002"/>
    <n v="0.40906745106349413"/>
    <n v="198289"/>
    <n v="22749.813439999987"/>
    <s v=""/>
    <n v="484734.23999999993"/>
  </r>
  <r>
    <n v="215"/>
    <x v="6"/>
    <x v="0"/>
    <x v="0"/>
    <x v="2"/>
    <s v="Kg"/>
    <n v="0.38300000000000001"/>
    <n v="0"/>
    <m/>
    <n v="0"/>
    <n v="0"/>
    <n v="0"/>
  </r>
  <r>
    <n v="216"/>
    <x v="6"/>
    <x v="0"/>
    <x v="0"/>
    <x v="3"/>
    <s v="Kg"/>
    <n v="0.52"/>
    <n v="0"/>
    <m/>
    <n v="0"/>
    <n v="0"/>
    <n v="0"/>
  </r>
  <r>
    <n v="217"/>
    <x v="6"/>
    <x v="0"/>
    <x v="0"/>
    <x v="4"/>
    <s v="Kg"/>
    <n v="0.434"/>
    <n v="0.40840729551104132"/>
    <n v="197969"/>
    <n v="12405.660159999969"/>
    <s v=""/>
    <n v="484734.23999999993"/>
  </r>
  <r>
    <n v="218"/>
    <x v="6"/>
    <x v="0"/>
    <x v="0"/>
    <x v="5"/>
    <s v="Kg"/>
    <n v="0.52"/>
    <n v="0"/>
    <m/>
    <n v="0"/>
    <n v="0"/>
    <n v="0"/>
  </r>
  <r>
    <n v="259"/>
    <x v="6"/>
    <x v="0"/>
    <x v="0"/>
    <x v="6"/>
    <s v="Kg"/>
    <n v="0.434"/>
    <n v="0"/>
    <m/>
    <n v="0"/>
    <n v="0"/>
    <n v="0"/>
  </r>
  <r>
    <n v="220"/>
    <x v="6"/>
    <x v="0"/>
    <x v="0"/>
    <x v="7"/>
    <s v="Cái"/>
    <n v="0.69699999999999995"/>
    <n v="0"/>
    <m/>
    <n v="337859.76527999993"/>
    <s v=""/>
    <n v="484734.23999999993"/>
  </r>
  <r>
    <n v="221"/>
    <x v="6"/>
    <x v="0"/>
    <x v="0"/>
    <x v="8"/>
    <s v="Kg"/>
    <n v="3.7100000000000001E-2"/>
    <n v="0"/>
    <m/>
    <n v="17983.640303999997"/>
    <s v=""/>
    <n v="484734.23999999993"/>
  </r>
  <r>
    <n v="222"/>
    <x v="6"/>
    <x v="0"/>
    <x v="0"/>
    <x v="9"/>
    <s v="Kg"/>
    <n v="8.2000000000000007E-3"/>
    <n v="0"/>
    <m/>
    <n v="3974.8207679999996"/>
    <s v=""/>
    <n v="484734.23999999993"/>
  </r>
  <r>
    <n v="223"/>
    <x v="6"/>
    <x v="0"/>
    <x v="0"/>
    <x v="10"/>
    <s v="Kg"/>
    <n v="4.3299999999999998E-2"/>
    <n v="3.1976284571933689E-2"/>
    <n v="15500"/>
    <n v="5488.9925919999969"/>
    <s v=""/>
    <n v="484734.23999999993"/>
  </r>
  <r>
    <n v="224"/>
    <x v="6"/>
    <x v="0"/>
    <x v="0"/>
    <x v="11"/>
    <s v="Kg"/>
    <n v="2E-3"/>
    <n v="3.0944791521226151E-3"/>
    <n v="1500"/>
    <s v=""/>
    <n v="530.53152000000011"/>
    <n v="484734.23999999993"/>
  </r>
  <r>
    <n v="225"/>
    <x v="6"/>
    <x v="0"/>
    <x v="0"/>
    <x v="12"/>
    <s v="Kg"/>
    <n v="2.7699999999999999E-3"/>
    <n v="0"/>
    <n v="0"/>
    <m/>
    <s v=""/>
    <n v="484734.23999999993"/>
  </r>
  <r>
    <n v="226"/>
    <x v="6"/>
    <x v="0"/>
    <x v="0"/>
    <x v="13"/>
    <s v="Kg"/>
    <n v="1.65"/>
    <n v="1.446462705007181"/>
    <n v="701150"/>
    <n v="98661.495999999868"/>
    <s v=""/>
    <n v="484734.23999999993"/>
  </r>
  <r>
    <n v="227"/>
    <x v="6"/>
    <x v="0"/>
    <x v="0"/>
    <x v="14"/>
    <s v="Cái"/>
    <n v="6.4000000000000003E-3"/>
    <n v="6.4777763584433412E-3"/>
    <n v="3140"/>
    <s v=""/>
    <n v="37.700864000000415"/>
    <n v="484734.23999999993"/>
  </r>
  <r>
    <n v="228"/>
    <x v="6"/>
    <x v="0"/>
    <x v="0"/>
    <x v="15"/>
    <s v="Cái"/>
    <n v="4.7239999999999997E-2"/>
    <n v="4.4766798400707165E-2"/>
    <n v="21700"/>
    <n v="1198.8454975999953"/>
    <s v=""/>
    <n v="484734.23999999993"/>
  </r>
  <r>
    <n v="229"/>
    <x v="6"/>
    <x v="0"/>
    <x v="0"/>
    <x v="16"/>
    <s v="Kg"/>
    <n v="1.1809999999999999E-2"/>
    <n v="1.2264452372912632E-2"/>
    <n v="5945"/>
    <s v=""/>
    <s v=""/>
    <n v="484734.23999999993"/>
  </r>
  <r>
    <n v="230"/>
    <x v="6"/>
    <x v="0"/>
    <x v="0"/>
    <x v="17"/>
    <s v="Kg"/>
    <n v="3.4299999999999999E-3"/>
    <n v="3.1563687351650674E-3"/>
    <n v="1530"/>
    <n v="132.63844319999973"/>
    <s v=""/>
    <n v="484734.23999999993"/>
  </r>
  <r>
    <n v="231"/>
    <x v="6"/>
    <x v="1"/>
    <x v="2"/>
    <x v="0"/>
    <s v="Kg"/>
    <n v="21.26"/>
    <n v="21.245928170517544"/>
    <n v="3702018"/>
    <n v="2451.9600000002602"/>
    <s v=""/>
    <n v="174246"/>
  </r>
  <r>
    <n v="232"/>
    <x v="6"/>
    <x v="1"/>
    <x v="2"/>
    <x v="21"/>
    <s v="Kg"/>
    <n v="0.28000000000000003"/>
    <n v="0.27283698154339214"/>
    <n v="16770.88"/>
    <n v="440.30000000000172"/>
    <s v=""/>
    <n v="61468.5"/>
  </r>
  <r>
    <n v="233"/>
    <x v="6"/>
    <x v="1"/>
    <x v="2"/>
    <x v="22"/>
    <s v="Kg"/>
    <n v="0.39"/>
    <n v="0.36439892709095345"/>
    <n v="41096"/>
    <n v="2887.2249999999985"/>
    <s v=""/>
    <n v="112777.5"/>
  </r>
  <r>
    <n v="234"/>
    <x v="6"/>
    <x v="1"/>
    <x v="2"/>
    <x v="19"/>
    <s v="Kg"/>
    <n v="9.8000000000000004E-2"/>
    <n v="8.3766482019245636E-2"/>
    <n v="5149"/>
    <n v="874.9129999999999"/>
    <s v=""/>
    <n v="61468.5"/>
  </r>
  <r>
    <n v="235"/>
    <x v="6"/>
    <x v="1"/>
    <x v="2"/>
    <x v="23"/>
    <s v="Kg"/>
    <n v="0.39"/>
    <n v="0.38748863913457915"/>
    <n v="43700"/>
    <n v="283.2250000000015"/>
    <s v=""/>
    <n v="112777.5"/>
  </r>
  <r>
    <n v="236"/>
    <x v="6"/>
    <x v="1"/>
    <x v="2"/>
    <x v="20"/>
    <s v="Kg"/>
    <n v="0.11899999999999999"/>
    <n v="0.13496343655693566"/>
    <n v="8296"/>
    <s v=""/>
    <n v="981.24849999999969"/>
    <n v="61468.5"/>
  </r>
  <r>
    <n v="237"/>
    <x v="6"/>
    <x v="1"/>
    <x v="2"/>
    <x v="7"/>
    <s v="Cái"/>
    <n v="0.66900000000000004"/>
    <n v="0.66844002157868765"/>
    <n v="116473"/>
    <n v="97.573999999998776"/>
    <s v=""/>
    <n v="174246"/>
  </r>
  <r>
    <n v="238"/>
    <x v="6"/>
    <x v="1"/>
    <x v="2"/>
    <x v="8"/>
    <s v="Kg"/>
    <n v="0.02"/>
    <n v="1.7245733044087094E-2"/>
    <n v="3005"/>
    <n v="479.92000000000024"/>
    <s v=""/>
    <n v="174246"/>
  </r>
  <r>
    <n v="239"/>
    <x v="6"/>
    <x v="1"/>
    <x v="2"/>
    <x v="9"/>
    <s v="Kg"/>
    <n v="2.01E-2"/>
    <n v="1.0330222788471472E-2"/>
    <n v="1800"/>
    <n v="1702.3445999999999"/>
    <s v=""/>
    <n v="174246"/>
  </r>
  <r>
    <n v="240"/>
    <x v="6"/>
    <x v="1"/>
    <x v="2"/>
    <x v="13"/>
    <s v="Kg"/>
    <n v="1.84"/>
    <n v="1.6918838882958576"/>
    <n v="294804"/>
    <n v="25808.640000000018"/>
    <s v=""/>
    <n v="174246"/>
  </r>
  <r>
    <n v="241"/>
    <x v="6"/>
    <x v="1"/>
    <x v="2"/>
    <x v="14"/>
    <s v="Cái"/>
    <n v="7.6E-3"/>
    <n v="7.4607164583405071E-3"/>
    <n v="1300"/>
    <n v="24.269600000000001"/>
    <s v=""/>
    <n v="174246"/>
  </r>
  <r>
    <n v="259"/>
    <x v="6"/>
    <x v="1"/>
    <x v="2"/>
    <x v="15"/>
    <s v="Cái"/>
    <n v="4.2999999999999997E-2"/>
    <n v="4.0173088621833497E-2"/>
    <n v="7000"/>
    <n v="492.57799999999986"/>
    <s v=""/>
    <n v="174246"/>
  </r>
  <r>
    <n v="243"/>
    <x v="6"/>
    <x v="1"/>
    <x v="2"/>
    <x v="16"/>
    <s v="Kg"/>
    <m/>
    <n v="1.0904124054497664E-2"/>
    <n v="1900"/>
    <s v=""/>
    <s v=""/>
    <n v="174246"/>
  </r>
  <r>
    <n v="259"/>
    <x v="6"/>
    <x v="1"/>
    <x v="2"/>
    <x v="10"/>
    <s v="Kg"/>
    <n v="0.06"/>
    <n v="2.5825556971178679E-2"/>
    <n v="4500"/>
    <n v="5954.7599999999993"/>
    <s v=""/>
    <n v="174246"/>
  </r>
  <r>
    <n v="245"/>
    <x v="6"/>
    <x v="1"/>
    <x v="2"/>
    <x v="12"/>
    <s v="Kg"/>
    <n v="2.0999999999999999E-3"/>
    <n v="2.0086544310916749E-3"/>
    <n v="350"/>
    <n v="15.916600000000001"/>
    <s v=""/>
    <n v="174246"/>
  </r>
  <r>
    <n v="246"/>
    <x v="6"/>
    <x v="1"/>
    <x v="1"/>
    <x v="0"/>
    <s v="Kg"/>
    <n v="21.01"/>
    <n v="21.033651712650954"/>
    <n v="5687735"/>
    <s v=""/>
    <n v="6395.6879999992634"/>
    <n v="270411.2"/>
  </r>
  <r>
    <n v="247"/>
    <x v="6"/>
    <x v="1"/>
    <x v="1"/>
    <x v="3"/>
    <s v="Kg"/>
    <n v="0.50700000000000001"/>
    <n v="0.44694746371452071"/>
    <n v="120859.6"/>
    <n v="16238.8784"/>
    <s v=""/>
    <n v="270411.2"/>
  </r>
  <r>
    <n v="248"/>
    <x v="6"/>
    <x v="1"/>
    <x v="1"/>
    <x v="5"/>
    <s v="Kg"/>
    <n v="0.47799999999999998"/>
    <n v="0.41384121663599732"/>
    <n v="111907.3"/>
    <n v="17349.253599999996"/>
    <s v=""/>
    <n v="270411.2"/>
  </r>
  <r>
    <n v="249"/>
    <x v="6"/>
    <x v="1"/>
    <x v="1"/>
    <x v="2"/>
    <s v="Kg"/>
    <n v="0.35399999999999998"/>
    <n v="0"/>
    <m/>
    <n v="0"/>
    <n v="0"/>
    <n v="0"/>
  </r>
  <r>
    <n v="250"/>
    <x v="6"/>
    <x v="1"/>
    <x v="1"/>
    <x v="6"/>
    <s v="Kg"/>
    <n v="0.33200000000000002"/>
    <n v="0"/>
    <m/>
    <n v="0"/>
    <n v="0"/>
    <n v="0"/>
  </r>
  <r>
    <n v="251"/>
    <x v="6"/>
    <x v="1"/>
    <x v="1"/>
    <x v="7"/>
    <s v="Cái"/>
    <n v="0.627"/>
    <n v="0.62698956256249738"/>
    <n v="169545"/>
    <n v="2.8224000000083409"/>
    <s v=""/>
    <n v="270411.2"/>
  </r>
  <r>
    <n v="252"/>
    <x v="6"/>
    <x v="1"/>
    <x v="1"/>
    <x v="8"/>
    <s v="Kg"/>
    <n v="2.5000000000000001E-2"/>
    <n v="2.4980474181542776E-2"/>
    <n v="6755"/>
    <n v="5.2800000000003635"/>
    <s v=""/>
    <n v="270411.2"/>
  </r>
  <r>
    <n v="253"/>
    <x v="6"/>
    <x v="1"/>
    <x v="1"/>
    <x v="9"/>
    <s v="Kg"/>
    <n v="1.09E-2"/>
    <n v="1.081685965670061E-2"/>
    <n v="2925"/>
    <n v="22.48207999999989"/>
    <s v=""/>
    <n v="270411.2"/>
  </r>
  <r>
    <n v="254"/>
    <x v="6"/>
    <x v="1"/>
    <x v="1"/>
    <x v="13"/>
    <s v="Kg"/>
    <n v="1.79"/>
    <n v="1.6498798866319146"/>
    <n v="446146"/>
    <n v="37890.04800000001"/>
    <s v=""/>
    <n v="270411.2"/>
  </r>
  <r>
    <n v="255"/>
    <x v="6"/>
    <x v="1"/>
    <x v="1"/>
    <x v="14"/>
    <s v="Cái"/>
    <n v="8.2000000000000007E-3"/>
    <n v="8.1357576905098598E-3"/>
    <n v="2200"/>
    <n v="17.371840000000397"/>
    <s v=""/>
    <n v="270411.2"/>
  </r>
  <r>
    <n v="256"/>
    <x v="6"/>
    <x v="1"/>
    <x v="1"/>
    <x v="15"/>
    <s v="Cái"/>
    <n v="6.4000000000000001E-2"/>
    <n v="6.3606832853077083E-2"/>
    <n v="17200"/>
    <n v="106.3168000000026"/>
    <s v=""/>
    <n v="270411.2"/>
  </r>
  <r>
    <n v="257"/>
    <x v="6"/>
    <x v="1"/>
    <x v="1"/>
    <x v="16"/>
    <s v="Kg"/>
    <n v="1.5900000000000001E-2"/>
    <n v="1.627151538101972E-2"/>
    <n v="4400"/>
    <s v=""/>
    <s v=""/>
    <n v="270411.2"/>
  </r>
  <r>
    <n v="258"/>
    <x v="6"/>
    <x v="1"/>
    <x v="1"/>
    <x v="10"/>
    <s v="Kg"/>
    <n v="4.3999999999999997E-2"/>
    <n v="4.5486281633305127E-2"/>
    <n v="12300"/>
    <s v=""/>
    <n v="401.90720000000005"/>
    <n v="270411.2"/>
  </r>
  <r>
    <n v="259"/>
    <x v="6"/>
    <x v="1"/>
    <x v="1"/>
    <x v="12"/>
    <s v="Kg"/>
    <n v="2.5999999999999999E-3"/>
    <n v="4.2527824291301542E-3"/>
    <n v="1150"/>
    <s v=""/>
    <n v="446.93088"/>
    <n v="270411.2"/>
  </r>
  <r>
    <s v=""/>
    <x v="7"/>
    <x v="2"/>
    <x v="3"/>
    <x v="24"/>
    <s v=""/>
    <m/>
    <n v="0"/>
    <m/>
    <n v="0"/>
    <n v="0"/>
    <n v="0"/>
  </r>
  <r>
    <s v=""/>
    <x v="7"/>
    <x v="2"/>
    <x v="3"/>
    <x v="24"/>
    <s v=""/>
    <m/>
    <n v="0"/>
    <m/>
    <n v="0"/>
    <n v="0"/>
    <n v="0"/>
  </r>
  <r>
    <s v=""/>
    <x v="7"/>
    <x v="2"/>
    <x v="3"/>
    <x v="24"/>
    <s v=""/>
    <m/>
    <n v="0"/>
    <m/>
    <n v="0"/>
    <n v="0"/>
    <n v="0"/>
  </r>
  <r>
    <s v=""/>
    <x v="7"/>
    <x v="2"/>
    <x v="3"/>
    <x v="24"/>
    <s v=""/>
    <m/>
    <n v="0"/>
    <m/>
    <n v="0"/>
    <n v="0"/>
    <n v="0"/>
  </r>
  <r>
    <s v=""/>
    <x v="7"/>
    <x v="2"/>
    <x v="3"/>
    <x v="24"/>
    <s v=""/>
    <m/>
    <n v="0"/>
    <m/>
    <n v="0"/>
    <n v="0"/>
    <n v="0"/>
  </r>
  <r>
    <s v=""/>
    <x v="7"/>
    <x v="2"/>
    <x v="3"/>
    <x v="24"/>
    <s v=""/>
    <m/>
    <n v="0"/>
    <m/>
    <n v="0"/>
    <n v="0"/>
    <n v="0"/>
  </r>
  <r>
    <s v=""/>
    <x v="7"/>
    <x v="2"/>
    <x v="3"/>
    <x v="24"/>
    <s v=""/>
    <m/>
    <n v="0"/>
    <m/>
    <n v="0"/>
    <n v="0"/>
    <n v="0"/>
  </r>
  <r>
    <s v=""/>
    <x v="7"/>
    <x v="2"/>
    <x v="3"/>
    <x v="24"/>
    <s v=""/>
    <m/>
    <n v="0"/>
    <m/>
    <n v="0"/>
    <n v="0"/>
    <n v="0"/>
  </r>
  <r>
    <s v=""/>
    <x v="7"/>
    <x v="2"/>
    <x v="3"/>
    <x v="24"/>
    <s v=""/>
    <m/>
    <n v="0"/>
    <m/>
    <n v="0"/>
    <n v="0"/>
    <n v="0"/>
  </r>
  <r>
    <s v=""/>
    <x v="7"/>
    <x v="2"/>
    <x v="3"/>
    <x v="24"/>
    <s v=""/>
    <m/>
    <n v="0"/>
    <m/>
    <n v="0"/>
    <n v="0"/>
    <n v="0"/>
  </r>
  <r>
    <s v=""/>
    <x v="7"/>
    <x v="2"/>
    <x v="3"/>
    <x v="24"/>
    <s v=""/>
    <m/>
    <n v="0"/>
    <m/>
    <n v="0"/>
    <n v="0"/>
    <n v="0"/>
  </r>
  <r>
    <s v=""/>
    <x v="7"/>
    <x v="2"/>
    <x v="3"/>
    <x v="24"/>
    <s v=""/>
    <m/>
    <n v="0"/>
    <m/>
    <n v="0"/>
    <n v="0"/>
    <n v="0"/>
  </r>
  <r>
    <s v=""/>
    <x v="7"/>
    <x v="2"/>
    <x v="3"/>
    <x v="24"/>
    <s v=""/>
    <m/>
    <n v="0"/>
    <m/>
    <n v="0"/>
    <n v="0"/>
    <n v="0"/>
  </r>
  <r>
    <s v=""/>
    <x v="7"/>
    <x v="2"/>
    <x v="3"/>
    <x v="24"/>
    <s v=""/>
    <m/>
    <n v="0"/>
    <m/>
    <n v="0"/>
    <n v="0"/>
    <n v="0"/>
  </r>
  <r>
    <s v=""/>
    <x v="7"/>
    <x v="2"/>
    <x v="3"/>
    <x v="24"/>
    <s v=""/>
    <m/>
    <n v="0"/>
    <m/>
    <n v="0"/>
    <n v="0"/>
    <n v="0"/>
  </r>
  <r>
    <s v=""/>
    <x v="7"/>
    <x v="2"/>
    <x v="3"/>
    <x v="24"/>
    <s v=""/>
    <m/>
    <n v="0"/>
    <m/>
    <n v="0"/>
    <n v="0"/>
    <n v="0"/>
  </r>
  <r>
    <s v=""/>
    <x v="7"/>
    <x v="2"/>
    <x v="3"/>
    <x v="24"/>
    <s v=""/>
    <m/>
    <n v="0"/>
    <m/>
    <n v="0"/>
    <n v="0"/>
    <n v="0"/>
  </r>
  <r>
    <s v=""/>
    <x v="7"/>
    <x v="2"/>
    <x v="3"/>
    <x v="24"/>
    <s v=""/>
    <m/>
    <n v="0"/>
    <m/>
    <n v="0"/>
    <n v="0"/>
    <n v="0"/>
  </r>
  <r>
    <s v=""/>
    <x v="7"/>
    <x v="2"/>
    <x v="3"/>
    <x v="24"/>
    <s v=""/>
    <m/>
    <n v="0"/>
    <m/>
    <n v="0"/>
    <n v="0"/>
    <n v="0"/>
  </r>
  <r>
    <s v=""/>
    <x v="7"/>
    <x v="2"/>
    <x v="3"/>
    <x v="24"/>
    <s v=""/>
    <m/>
    <n v="0"/>
    <m/>
    <n v="0"/>
    <n v="0"/>
    <n v="0"/>
  </r>
  <r>
    <s v=""/>
    <x v="7"/>
    <x v="2"/>
    <x v="3"/>
    <x v="24"/>
    <s v=""/>
    <m/>
    <n v="0"/>
    <m/>
    <n v="0"/>
    <n v="0"/>
    <n v="0"/>
  </r>
  <r>
    <s v=""/>
    <x v="7"/>
    <x v="2"/>
    <x v="3"/>
    <x v="24"/>
    <s v=""/>
    <m/>
    <n v="0"/>
    <m/>
    <n v="0"/>
    <n v="0"/>
    <n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3">
  <r>
    <n v="1"/>
    <x v="0"/>
    <x v="0"/>
    <x v="0"/>
    <x v="0"/>
    <x v="0"/>
    <n v="125795.91836734694"/>
    <n v="109719.2"/>
    <n v="6164"/>
    <n v="7396.8"/>
    <n v="123280"/>
    <n v="8"/>
    <n v="15410"/>
    <s v=""/>
    <s v=""/>
    <s v=""/>
    <n v="40"/>
    <n v="320"/>
  </r>
  <r>
    <n v="2"/>
    <x v="0"/>
    <x v="0"/>
    <x v="0"/>
    <x v="0"/>
    <x v="1"/>
    <s v=""/>
    <n v="89"/>
    <n v="5"/>
    <n v="6"/>
    <n v="100"/>
    <s v=""/>
    <s v=""/>
    <n v="98"/>
    <n v="2"/>
    <s v=""/>
    <s v=""/>
    <s v=""/>
  </r>
  <r>
    <n v="3"/>
    <x v="0"/>
    <x v="0"/>
    <x v="0"/>
    <x v="1"/>
    <x v="0"/>
    <n v="127438"/>
    <n v="111679.2"/>
    <n v="3332.16"/>
    <n v="10739.52"/>
    <n v="125750.88"/>
    <n v="8"/>
    <n v="15718.86"/>
    <n v="0"/>
    <n v="540"/>
    <n v="367.2"/>
    <n v="45"/>
    <n v="360"/>
  </r>
  <r>
    <n v="4"/>
    <x v="0"/>
    <x v="0"/>
    <x v="0"/>
    <x v="1"/>
    <x v="1"/>
    <s v=""/>
    <n v="88.809875525324358"/>
    <n v="2.6498104824395661"/>
    <n v="8.5403139922360793"/>
    <n v="100"/>
    <s v=""/>
    <s v=""/>
    <n v="98.676124860716584"/>
    <n v="1.323875139283416"/>
    <s v=""/>
    <s v=""/>
    <s v=""/>
  </r>
  <r>
    <n v="5"/>
    <x v="0"/>
    <x v="1"/>
    <x v="1"/>
    <x v="0"/>
    <x v="0"/>
    <n v="229821.42857142858"/>
    <n v="202702.5"/>
    <n v="15765.75"/>
    <n v="6756.75"/>
    <n v="225225"/>
    <n v="15"/>
    <n v="15015"/>
    <s v=""/>
    <s v=""/>
    <s v=""/>
    <n v="40"/>
    <n v="600"/>
  </r>
  <r>
    <n v="6"/>
    <x v="0"/>
    <x v="1"/>
    <x v="1"/>
    <x v="0"/>
    <x v="1"/>
    <s v=""/>
    <n v="90"/>
    <n v="7"/>
    <n v="3"/>
    <n v="100"/>
    <s v=""/>
    <s v=""/>
    <n v="98"/>
    <n v="2"/>
    <s v=""/>
    <s v=""/>
    <s v=""/>
  </r>
  <r>
    <n v="7"/>
    <x v="0"/>
    <x v="1"/>
    <x v="1"/>
    <x v="1"/>
    <x v="0"/>
    <n v="220975"/>
    <n v="209372.79999999999"/>
    <n v="0"/>
    <n v="10566.4"/>
    <n v="219939.19999999998"/>
    <n v="15"/>
    <n v="14662.613333333333"/>
    <n v="0"/>
    <n v="704"/>
    <n v="962.6"/>
    <n v="46"/>
    <n v="690"/>
  </r>
  <r>
    <n v="8"/>
    <x v="0"/>
    <x v="1"/>
    <x v="1"/>
    <x v="1"/>
    <x v="1"/>
    <s v=""/>
    <n v="95.195763192736905"/>
    <n v="0"/>
    <n v="4.8042368072630985"/>
    <n v="100"/>
    <s v=""/>
    <s v=""/>
    <n v="99.531259192216311"/>
    <n v="0.46874080778368921"/>
    <s v=""/>
    <s v=""/>
    <s v=""/>
  </r>
  <r>
    <n v="9"/>
    <x v="1"/>
    <x v="0"/>
    <x v="0"/>
    <x v="0"/>
    <x v="0"/>
    <n v="314495.91836734692"/>
    <n v="274303.34000000003"/>
    <n v="15410.3"/>
    <n v="18492.36"/>
    <n v="308206"/>
    <n v="20"/>
    <n v="15410.3"/>
    <s v=""/>
    <s v=""/>
    <s v=""/>
    <n v="40"/>
    <n v="800"/>
  </r>
  <r>
    <n v="10"/>
    <x v="1"/>
    <x v="0"/>
    <x v="0"/>
    <x v="0"/>
    <x v="1"/>
    <s v=""/>
    <n v="89"/>
    <n v="5"/>
    <n v="6"/>
    <n v="100"/>
    <s v=""/>
    <s v=""/>
    <n v="98"/>
    <n v="2"/>
    <s v=""/>
    <s v=""/>
    <s v=""/>
  </r>
  <r>
    <n v="11"/>
    <x v="1"/>
    <x v="0"/>
    <x v="0"/>
    <x v="1"/>
    <x v="0"/>
    <n v="344193"/>
    <n v="318974.40000000002"/>
    <n v="7528.32"/>
    <n v="9783.36"/>
    <n v="336286.08"/>
    <n v="21.5"/>
    <n v="15641.213023255814"/>
    <n v="0"/>
    <n v="1425.6"/>
    <n v="1261.44"/>
    <n v="39"/>
    <n v="838.5"/>
  </r>
  <r>
    <n v="12"/>
    <x v="1"/>
    <x v="0"/>
    <x v="0"/>
    <x v="1"/>
    <x v="1"/>
    <s v=""/>
    <n v="94.852097357107382"/>
    <n v="2.2386653649178698"/>
    <n v="2.9092372779747531"/>
    <n v="100"/>
    <s v=""/>
    <s v=""/>
    <n v="97.702765599532825"/>
    <n v="2.2972344004671754"/>
    <s v=""/>
    <s v=""/>
    <s v=""/>
  </r>
  <r>
    <n v="13"/>
    <x v="1"/>
    <x v="1"/>
    <x v="2"/>
    <x v="0"/>
    <x v="0"/>
    <n v="379901.02040816325"/>
    <n v="349964.82"/>
    <n v="11169.09"/>
    <n v="11169.09"/>
    <n v="372303"/>
    <n v="27"/>
    <n v="13789"/>
    <s v=""/>
    <s v=""/>
    <s v=""/>
    <n v="100"/>
    <n v="2700"/>
  </r>
  <r>
    <n v="14"/>
    <x v="1"/>
    <x v="1"/>
    <x v="2"/>
    <x v="0"/>
    <x v="1"/>
    <s v=""/>
    <n v="94"/>
    <n v="3"/>
    <n v="3"/>
    <n v="100"/>
    <s v=""/>
    <s v=""/>
    <n v="98"/>
    <n v="2"/>
    <s v=""/>
    <s v=""/>
    <s v=""/>
  </r>
  <r>
    <n v="15"/>
    <x v="1"/>
    <x v="1"/>
    <x v="2"/>
    <x v="1"/>
    <x v="0"/>
    <n v="421167"/>
    <n v="413132"/>
    <n v="0"/>
    <n v="2607"/>
    <n v="415739"/>
    <n v="28"/>
    <n v="14847.821428571429"/>
    <n v="0"/>
    <n v="380"/>
    <n v="377"/>
    <n v="80.040000000000006"/>
    <n v="2241.1200000000003"/>
  </r>
  <r>
    <n v="16"/>
    <x v="1"/>
    <x v="1"/>
    <x v="2"/>
    <x v="1"/>
    <x v="1"/>
    <s v=""/>
    <n v="99.372923877721362"/>
    <n v="0"/>
    <n v="0.62707612227864118"/>
    <n v="100"/>
    <s v=""/>
    <s v=""/>
    <n v="98.71120007028091"/>
    <n v="1.2887999297190902"/>
    <s v=""/>
    <s v=""/>
    <s v=""/>
  </r>
  <r>
    <n v="17"/>
    <x v="2"/>
    <x v="0"/>
    <x v="0"/>
    <x v="0"/>
    <x v="0"/>
    <n v="471744"/>
    <n v="416078.20799999998"/>
    <n v="32361.6384"/>
    <n v="13869.273599999999"/>
    <n v="462309.12"/>
    <n v="30"/>
    <n v="15410.304"/>
    <s v=""/>
    <s v=""/>
    <s v=""/>
    <n v="40"/>
    <n v="1200"/>
  </r>
  <r>
    <n v="18"/>
    <x v="2"/>
    <x v="0"/>
    <x v="0"/>
    <x v="0"/>
    <x v="1"/>
    <s v=""/>
    <n v="90"/>
    <n v="7"/>
    <n v="3"/>
    <n v="100"/>
    <s v=""/>
    <s v=""/>
    <n v="98"/>
    <n v="2"/>
    <s v=""/>
    <s v=""/>
    <s v=""/>
  </r>
  <r>
    <n v="19"/>
    <x v="2"/>
    <x v="0"/>
    <x v="0"/>
    <x v="1"/>
    <x v="0"/>
    <n v="484224"/>
    <n v="452432.16"/>
    <n v="8308.7999999999993"/>
    <n v="18731.52"/>
    <n v="479472.48"/>
    <n v="30"/>
    <n v="15982.415999999999"/>
    <n v="0"/>
    <n v="1634.4"/>
    <n v="1121.76"/>
    <n v="20"/>
    <n v="600"/>
  </r>
  <r>
    <n v="20"/>
    <x v="2"/>
    <x v="0"/>
    <x v="0"/>
    <x v="1"/>
    <x v="1"/>
    <s v=""/>
    <n v="94.360402081887997"/>
    <n v="1.7329044620037419"/>
    <n v="3.9066934561082629"/>
    <n v="100"/>
    <s v=""/>
    <s v=""/>
    <n v="99.01873513084854"/>
    <n v="0.98126486915145961"/>
    <s v=""/>
    <s v=""/>
    <s v=""/>
  </r>
  <r>
    <n v="21"/>
    <x v="2"/>
    <x v="1"/>
    <x v="2"/>
    <x v="0"/>
    <x v="0"/>
    <n v="196980"/>
    <n v="181457.97599999997"/>
    <n v="5791.2119999999995"/>
    <n v="5791.2119999999995"/>
    <n v="193040.4"/>
    <n v="14"/>
    <n v="13788.6"/>
    <s v=""/>
    <s v=""/>
    <s v=""/>
    <n v="100"/>
    <n v="1400"/>
  </r>
  <r>
    <n v="22"/>
    <x v="2"/>
    <x v="1"/>
    <x v="2"/>
    <x v="0"/>
    <x v="1"/>
    <s v=""/>
    <n v="94"/>
    <n v="3"/>
    <n v="3"/>
    <n v="100"/>
    <s v=""/>
    <s v=""/>
    <n v="98"/>
    <n v="2"/>
    <s v=""/>
    <s v=""/>
    <s v=""/>
  </r>
  <r>
    <n v="23"/>
    <x v="2"/>
    <x v="1"/>
    <x v="2"/>
    <x v="1"/>
    <x v="0"/>
    <n v="209653"/>
    <n v="207028.5"/>
    <n v="0"/>
    <n v="1215"/>
    <n v="208243.5"/>
    <n v="14"/>
    <n v="14874.535714285714"/>
    <n v="0"/>
    <n v="729"/>
    <n v="603"/>
    <n v="75"/>
    <n v="1050"/>
  </r>
  <r>
    <n v="24"/>
    <x v="2"/>
    <x v="1"/>
    <x v="2"/>
    <x v="1"/>
    <x v="1"/>
    <s v=""/>
    <n v="99.416548415676843"/>
    <n v="0"/>
    <n v="0.58345158432316013"/>
    <n v="100"/>
    <s v=""/>
    <s v=""/>
    <n v="99.327698625824581"/>
    <n v="0.67230137417541869"/>
    <s v=""/>
    <s v=""/>
    <s v=""/>
  </r>
  <r>
    <n v="25"/>
    <x v="2"/>
    <x v="1"/>
    <x v="1"/>
    <x v="0"/>
    <x v="0"/>
    <n v="219744"/>
    <n v="193814.20800000001"/>
    <n v="15074.438399999999"/>
    <n v="6460.4736000000003"/>
    <n v="215349.12"/>
    <n v="15"/>
    <n v="14356.608"/>
    <s v=""/>
    <s v=""/>
    <s v=""/>
    <n v="40"/>
    <n v="600"/>
  </r>
  <r>
    <n v="26"/>
    <x v="2"/>
    <x v="1"/>
    <x v="1"/>
    <x v="0"/>
    <x v="1"/>
    <s v=""/>
    <n v="90"/>
    <n v="7"/>
    <n v="3"/>
    <n v="100"/>
    <s v=""/>
    <s v=""/>
    <n v="98"/>
    <n v="2"/>
    <s v=""/>
    <s v=""/>
    <s v=""/>
  </r>
  <r>
    <n v="27"/>
    <x v="2"/>
    <x v="1"/>
    <x v="1"/>
    <x v="1"/>
    <x v="0"/>
    <n v="231114"/>
    <n v="206842"/>
    <n v="0"/>
    <n v="17892.8"/>
    <n v="224734.8"/>
    <n v="15.5"/>
    <n v="14499.019354838709"/>
    <n v="0"/>
    <n v="1277"/>
    <n v="2254"/>
    <n v="42"/>
    <n v="651"/>
  </r>
  <r>
    <n v="28"/>
    <x v="2"/>
    <x v="1"/>
    <x v="1"/>
    <x v="1"/>
    <x v="1"/>
    <s v=""/>
    <n v="92.038260207141931"/>
    <n v="0"/>
    <n v="7.9617397928580704"/>
    <n v="100"/>
    <s v=""/>
    <s v=""/>
    <n v="97.239803733222558"/>
    <n v="2.7601962667774416"/>
    <s v=""/>
    <s v=""/>
    <s v=""/>
  </r>
  <r>
    <n v="29"/>
    <x v="3"/>
    <x v="0"/>
    <x v="0"/>
    <x v="0"/>
    <x v="0"/>
    <n v="479606.4"/>
    <n v="423012.84479999996"/>
    <n v="32900.999040000002"/>
    <n v="14100.428160000001"/>
    <n v="470014.272"/>
    <n v="30.5"/>
    <n v="15410.304"/>
    <s v=""/>
    <s v=""/>
    <s v=""/>
    <n v="40"/>
    <n v="1220"/>
  </r>
  <r>
    <n v="30"/>
    <x v="3"/>
    <x v="0"/>
    <x v="0"/>
    <x v="0"/>
    <x v="1"/>
    <s v=""/>
    <n v="90"/>
    <n v="7"/>
    <n v="3"/>
    <n v="100"/>
    <s v=""/>
    <s v=""/>
    <n v="98"/>
    <n v="2"/>
    <s v=""/>
    <s v=""/>
    <s v=""/>
  </r>
  <r>
    <n v="31"/>
    <x v="3"/>
    <x v="0"/>
    <x v="0"/>
    <x v="1"/>
    <x v="0"/>
    <n v="496261"/>
    <n v="456658.56"/>
    <n v="13129.92"/>
    <n v="20170.080000000002"/>
    <n v="489958.56"/>
    <n v="30.5"/>
    <n v="16064.215081967213"/>
    <n v="0"/>
    <n v="1683.36"/>
    <n v="1319.04"/>
    <n v="25"/>
    <n v="762.5"/>
  </r>
  <r>
    <n v="32"/>
    <x v="3"/>
    <x v="0"/>
    <x v="0"/>
    <x v="1"/>
    <x v="1"/>
    <s v=""/>
    <n v="93.20350684351753"/>
    <n v="2.6798021448997646"/>
    <n v="4.1166910115826942"/>
    <n v="99.999999999999986"/>
    <s v=""/>
    <s v=""/>
    <n v="98.730015052563076"/>
    <n v="1.2699849474369245"/>
    <s v=""/>
    <s v=""/>
    <s v=""/>
  </r>
  <r>
    <n v="33"/>
    <x v="3"/>
    <x v="1"/>
    <x v="1"/>
    <x v="0"/>
    <x v="0"/>
    <n v="454137.59999999998"/>
    <n v="400549.36320000002"/>
    <n v="31153.839359999998"/>
    <n v="13351.64544"/>
    <n v="445054.848"/>
    <n v="31"/>
    <n v="14356.608"/>
    <s v=""/>
    <s v=""/>
    <s v=""/>
    <n v="40"/>
    <n v="1240"/>
  </r>
  <r>
    <n v="34"/>
    <x v="3"/>
    <x v="1"/>
    <x v="1"/>
    <x v="0"/>
    <x v="1"/>
    <s v=""/>
    <n v="90"/>
    <n v="7"/>
    <n v="3"/>
    <n v="100"/>
    <s v=""/>
    <s v=""/>
    <n v="98"/>
    <n v="2"/>
    <s v=""/>
    <s v=""/>
    <s v=""/>
  </r>
  <r>
    <n v="35"/>
    <x v="3"/>
    <x v="1"/>
    <x v="1"/>
    <x v="1"/>
    <x v="0"/>
    <n v="466139"/>
    <n v="434859.2"/>
    <n v="0"/>
    <n v="24872"/>
    <n v="459731.20000000001"/>
    <n v="31"/>
    <n v="14830.038709677419"/>
    <n v="0"/>
    <n v="1907.2"/>
    <n v="2030.4"/>
    <n v="25"/>
    <n v="775"/>
  </r>
  <r>
    <n v="36"/>
    <x v="3"/>
    <x v="1"/>
    <x v="1"/>
    <x v="1"/>
    <x v="1"/>
    <s v=""/>
    <n v="94.589882087619898"/>
    <n v="0"/>
    <n v="5.4101179123801035"/>
    <n v="100"/>
    <s v=""/>
    <s v=""/>
    <n v="98.625345658698365"/>
    <n v="1.3746543413016354"/>
    <s v=""/>
    <s v=""/>
    <s v=""/>
  </r>
  <r>
    <n v="37"/>
    <x v="4"/>
    <x v="0"/>
    <x v="0"/>
    <x v="0"/>
    <x v="0"/>
    <n v="471744"/>
    <n v="416078.20799999998"/>
    <n v="32361.6384"/>
    <n v="13869.273599999999"/>
    <n v="462309.12"/>
    <n v="30"/>
    <n v="15410.304"/>
    <s v=""/>
    <s v=""/>
    <s v=""/>
    <n v="40"/>
    <n v="1200"/>
  </r>
  <r>
    <n v="38"/>
    <x v="4"/>
    <x v="0"/>
    <x v="0"/>
    <x v="0"/>
    <x v="1"/>
    <s v=""/>
    <n v="90"/>
    <n v="7"/>
    <n v="3"/>
    <n v="100"/>
    <s v=""/>
    <s v=""/>
    <n v="98"/>
    <n v="2"/>
    <s v=""/>
    <s v=""/>
    <s v=""/>
  </r>
  <r>
    <n v="39"/>
    <x v="4"/>
    <x v="0"/>
    <x v="0"/>
    <x v="1"/>
    <x v="0"/>
    <n v="483481"/>
    <n v="449686.08"/>
    <n v="9264.9599999999991"/>
    <n v="19704.96"/>
    <n v="478656.00000000006"/>
    <n v="30"/>
    <n v="15955.200000000003"/>
    <n v="0"/>
    <n v="1261.44"/>
    <n v="1406.88"/>
    <n v="20"/>
    <n v="600"/>
  </r>
  <r>
    <n v="40"/>
    <x v="4"/>
    <x v="0"/>
    <x v="0"/>
    <x v="1"/>
    <x v="1"/>
    <s v=""/>
    <n v="93.94765342960288"/>
    <n v="1.9356197352587239"/>
    <n v="4.1167268351383868"/>
    <n v="100"/>
    <s v=""/>
    <s v=""/>
    <n v="99.002029035267171"/>
    <n v="0.9979709647328292"/>
    <s v=""/>
    <s v=""/>
    <s v=""/>
  </r>
  <r>
    <n v="41"/>
    <x v="4"/>
    <x v="1"/>
    <x v="1"/>
    <x v="0"/>
    <x v="0"/>
    <n v="424838.39999999997"/>
    <n v="374707.46879999997"/>
    <n v="29143.914239999998"/>
    <n v="12490.248959999999"/>
    <n v="416341.63199999998"/>
    <n v="29"/>
    <n v="14356.608"/>
    <s v=""/>
    <s v=""/>
    <s v=""/>
    <n v="40"/>
    <n v="1160"/>
  </r>
  <r>
    <n v="42"/>
    <x v="4"/>
    <x v="1"/>
    <x v="1"/>
    <x v="0"/>
    <x v="1"/>
    <s v=""/>
    <n v="90"/>
    <n v="7"/>
    <n v="3"/>
    <n v="100"/>
    <s v=""/>
    <s v=""/>
    <n v="98"/>
    <n v="2"/>
    <s v=""/>
    <s v=""/>
    <s v=""/>
  </r>
  <r>
    <n v="43"/>
    <x v="4"/>
    <x v="1"/>
    <x v="1"/>
    <x v="1"/>
    <x v="0"/>
    <n v="435135"/>
    <n v="408598.4"/>
    <n v="0"/>
    <n v="22238.400000000001"/>
    <n v="430836.80000000005"/>
    <n v="29"/>
    <n v="14856.441379310347"/>
    <n v="0"/>
    <n v="1907"/>
    <n v="2030"/>
    <n v="25"/>
    <n v="725"/>
  </r>
  <r>
    <n v="44"/>
    <x v="4"/>
    <x v="1"/>
    <x v="1"/>
    <x v="1"/>
    <x v="1"/>
    <s v=""/>
    <n v="94.838323931474747"/>
    <n v="0"/>
    <n v="5.1616760685252512"/>
    <n v="100"/>
    <s v=""/>
    <s v=""/>
    <n v="99.012214600066656"/>
    <n v="0.98778539993334391"/>
    <s v=""/>
    <s v=""/>
    <s v=""/>
  </r>
  <r>
    <n v="45"/>
    <x v="4"/>
    <x v="1"/>
    <x v="2"/>
    <x v="0"/>
    <x v="0"/>
    <n v="7035"/>
    <n v="6480.6420000000007"/>
    <n v="206.82900000000001"/>
    <n v="206.82900000000001"/>
    <n v="6894.3"/>
    <n v="0.5"/>
    <n v="13788.6"/>
    <s v=""/>
    <s v=""/>
    <s v=""/>
    <n v="100"/>
    <n v="50"/>
  </r>
  <r>
    <n v="46"/>
    <x v="4"/>
    <x v="1"/>
    <x v="2"/>
    <x v="0"/>
    <x v="1"/>
    <s v=""/>
    <n v="94"/>
    <n v="3"/>
    <n v="3"/>
    <n v="100"/>
    <s v=""/>
    <s v=""/>
    <n v="98"/>
    <n v="2"/>
    <s v=""/>
    <s v=""/>
    <s v=""/>
  </r>
  <r>
    <n v="47"/>
    <x v="4"/>
    <x v="1"/>
    <x v="2"/>
    <x v="1"/>
    <x v="0"/>
    <n v="7270"/>
    <n v="5471"/>
    <n v="0"/>
    <n v="199.5"/>
    <n v="5670.5"/>
    <n v="0.5"/>
    <n v="11341"/>
    <n v="0"/>
    <n v="26"/>
    <n v="45"/>
    <n v="48"/>
    <n v="24"/>
  </r>
  <r>
    <n v="72"/>
    <x v="4"/>
    <x v="1"/>
    <x v="2"/>
    <x v="1"/>
    <x v="1"/>
    <s v=""/>
    <n v="96.48179172912441"/>
    <n v="0"/>
    <n v="3.5182082708755842"/>
    <n v="100"/>
    <s v=""/>
    <s v=""/>
    <n v="77.998624484181562"/>
    <n v="22.001375515818438"/>
    <s v=""/>
    <s v=""/>
    <s v=""/>
  </r>
  <r>
    <n v="49"/>
    <x v="5"/>
    <x v="0"/>
    <x v="0"/>
    <x v="0"/>
    <x v="0"/>
    <n v="487468.79999999999"/>
    <n v="429947.48159999994"/>
    <n v="33440.359680000001"/>
    <n v="14331.582719999999"/>
    <n v="477719.424"/>
    <n v="31"/>
    <n v="15410.304"/>
    <s v=""/>
    <s v=""/>
    <s v=""/>
    <n v="40"/>
    <n v="1240"/>
  </r>
  <r>
    <n v="50"/>
    <x v="5"/>
    <x v="0"/>
    <x v="0"/>
    <x v="0"/>
    <x v="1"/>
    <s v=""/>
    <n v="90"/>
    <n v="7"/>
    <n v="3"/>
    <n v="100"/>
    <s v=""/>
    <s v=""/>
    <n v="98"/>
    <n v="2"/>
    <s v=""/>
    <s v=""/>
    <s v=""/>
  </r>
  <r>
    <n v="51"/>
    <x v="5"/>
    <x v="0"/>
    <x v="0"/>
    <x v="1"/>
    <x v="0"/>
    <n v="501371"/>
    <n v="459164.15999999997"/>
    <n v="17278.560000000001"/>
    <n v="19002.240000000002"/>
    <n v="495444.95999999996"/>
    <n v="31"/>
    <n v="15982.095483870966"/>
    <n v="0"/>
    <n v="1637.28"/>
    <n v="1198.08"/>
    <n v="25"/>
    <n v="775"/>
  </r>
  <r>
    <n v="52"/>
    <x v="5"/>
    <x v="0"/>
    <x v="0"/>
    <x v="1"/>
    <x v="1"/>
    <s v=""/>
    <n v="92.677128050712227"/>
    <n v="3.4874832514190888"/>
    <n v="3.8353886978686802"/>
    <n v="100"/>
    <s v=""/>
    <s v=""/>
    <n v="98.818032953641108"/>
    <n v="1.181967046358892"/>
    <s v=""/>
    <s v=""/>
    <s v=""/>
  </r>
  <r>
    <n v="53"/>
    <x v="5"/>
    <x v="1"/>
    <x v="2"/>
    <x v="0"/>
    <x v="0"/>
    <n v="436170"/>
    <n v="401799.80400000006"/>
    <n v="12823.398000000001"/>
    <n v="12823.398000000001"/>
    <n v="427446.60000000003"/>
    <n v="31"/>
    <n v="13788.6"/>
    <s v=""/>
    <s v=""/>
    <s v=""/>
    <n v="100"/>
    <n v="3100"/>
  </r>
  <r>
    <n v="54"/>
    <x v="5"/>
    <x v="1"/>
    <x v="2"/>
    <x v="0"/>
    <x v="1"/>
    <s v=""/>
    <n v="94"/>
    <n v="3"/>
    <n v="3"/>
    <n v="100"/>
    <s v=""/>
    <s v=""/>
    <n v="98"/>
    <n v="2"/>
    <s v=""/>
    <s v=""/>
    <s v=""/>
  </r>
  <r>
    <n v="55"/>
    <x v="5"/>
    <x v="1"/>
    <x v="2"/>
    <x v="1"/>
    <x v="0"/>
    <n v="442530"/>
    <n v="434299.5"/>
    <n v="0"/>
    <n v="4056"/>
    <n v="438355.5"/>
    <n v="31"/>
    <n v="14140.5"/>
    <n v="0"/>
    <n v="2746.3"/>
    <n v="3217.9"/>
    <n v="105"/>
    <n v="3255"/>
  </r>
  <r>
    <n v="56"/>
    <x v="5"/>
    <x v="1"/>
    <x v="2"/>
    <x v="1"/>
    <x v="1"/>
    <s v=""/>
    <n v="99.074723597627951"/>
    <n v="0"/>
    <n v="0.92527640237204734"/>
    <n v="100"/>
    <s v=""/>
    <s v=""/>
    <n v="99.056674123788213"/>
    <n v="0.94332587621178732"/>
    <s v=""/>
    <s v=""/>
    <s v=""/>
  </r>
  <r>
    <n v="72"/>
    <x v="6"/>
    <x v="0"/>
    <x v="0"/>
    <x v="0"/>
    <x v="0"/>
    <n v="471744"/>
    <n v="416078.20799999998"/>
    <n v="32361.6384"/>
    <n v="13869.273599999999"/>
    <n v="462309.12"/>
    <n v="30"/>
    <n v="15410.304"/>
    <s v=""/>
    <s v=""/>
    <s v=""/>
    <n v="40"/>
    <n v="1200"/>
  </r>
  <r>
    <n v="58"/>
    <x v="6"/>
    <x v="0"/>
    <x v="0"/>
    <x v="0"/>
    <x v="1"/>
    <s v=""/>
    <n v="90"/>
    <n v="7"/>
    <n v="3"/>
    <n v="100"/>
    <s v=""/>
    <s v=""/>
    <n v="98"/>
    <n v="2"/>
    <s v=""/>
    <s v=""/>
    <s v=""/>
  </r>
  <r>
    <n v="59"/>
    <x v="6"/>
    <x v="0"/>
    <x v="0"/>
    <x v="1"/>
    <x v="0"/>
    <n v="492505"/>
    <n v="454746.24"/>
    <n v="12810.24"/>
    <n v="17177.759999999998"/>
    <n v="484734.24"/>
    <n v="30"/>
    <n v="16157.807999999999"/>
    <n v="0"/>
    <n v="1645.92"/>
    <n v="1193.76"/>
    <n v="16"/>
    <n v="480"/>
  </r>
  <r>
    <n v="60"/>
    <x v="6"/>
    <x v="0"/>
    <x v="0"/>
    <x v="1"/>
    <x v="1"/>
    <s v=""/>
    <n v="93.813517279076464"/>
    <n v="2.6427347075791467"/>
    <n v="3.5437480133443842"/>
    <n v="100"/>
    <s v=""/>
    <s v=""/>
    <n v="98.422196728967208"/>
    <n v="1.5778032710327921"/>
    <s v=""/>
    <s v=""/>
    <s v=""/>
  </r>
  <r>
    <n v="61"/>
    <x v="6"/>
    <x v="1"/>
    <x v="2"/>
    <x v="0"/>
    <x v="0"/>
    <n v="56280"/>
    <n v="51845.136000000006"/>
    <n v="0"/>
    <n v="3309.2640000000001"/>
    <n v="55154.400000000001"/>
    <n v="4"/>
    <n v="13788.6"/>
    <s v=""/>
    <s v=""/>
    <s v=""/>
    <n v="100"/>
    <n v="400"/>
  </r>
  <r>
    <n v="62"/>
    <x v="6"/>
    <x v="1"/>
    <x v="2"/>
    <x v="0"/>
    <x v="1"/>
    <s v=""/>
    <n v="94"/>
    <n v="0"/>
    <n v="6"/>
    <n v="100"/>
    <s v=""/>
    <s v=""/>
    <n v="98"/>
    <n v="2"/>
    <s v=""/>
    <s v=""/>
    <s v=""/>
  </r>
  <r>
    <n v="63"/>
    <x v="6"/>
    <x v="1"/>
    <x v="2"/>
    <x v="1"/>
    <x v="0"/>
    <n v="61899"/>
    <n v="60264"/>
    <n v="0"/>
    <n v="1204.5"/>
    <n v="61468.5"/>
    <n v="4"/>
    <n v="15367.125"/>
    <n v="0"/>
    <n v="252"/>
    <n v="175.5"/>
    <n v="100"/>
    <n v="400"/>
  </r>
  <r>
    <n v="72"/>
    <x v="6"/>
    <x v="1"/>
    <x v="2"/>
    <x v="1"/>
    <x v="1"/>
    <s v=""/>
    <n v="98.040459747675641"/>
    <n v="0"/>
    <n v="1.9595402523243612"/>
    <n v="100"/>
    <s v=""/>
    <s v=""/>
    <n v="99.304512189211465"/>
    <n v="0.69548781078853494"/>
    <s v=""/>
    <s v=""/>
    <s v=""/>
  </r>
  <r>
    <n v="65"/>
    <x v="6"/>
    <x v="1"/>
    <x v="2"/>
    <x v="0"/>
    <x v="0"/>
    <n v="113137.23076923077"/>
    <n v="98174.832000000009"/>
    <n v="0"/>
    <n v="12133.968000000001"/>
    <n v="110308.8"/>
    <n v="8"/>
    <n v="13788.6"/>
    <s v=""/>
    <s v=""/>
    <s v=""/>
    <n v="100"/>
    <n v="800"/>
  </r>
  <r>
    <n v="66"/>
    <x v="6"/>
    <x v="1"/>
    <x v="2"/>
    <x v="0"/>
    <x v="1"/>
    <s v=""/>
    <n v="89"/>
    <n v="0"/>
    <n v="11"/>
    <n v="100"/>
    <s v=""/>
    <s v=""/>
    <n v="97.5"/>
    <n v="2.5"/>
    <s v=""/>
    <s v=""/>
    <s v=""/>
  </r>
  <r>
    <n v="67"/>
    <x v="6"/>
    <x v="1"/>
    <x v="2"/>
    <x v="1"/>
    <x v="0"/>
    <n v="114599"/>
    <n v="107879"/>
    <n v="0"/>
    <n v="4899"/>
    <n v="112778"/>
    <n v="8"/>
    <n v="14097.25"/>
    <n v="0"/>
    <n v="553.5"/>
    <n v="1239"/>
    <n v="48"/>
    <n v="384"/>
  </r>
  <r>
    <n v="68"/>
    <x v="6"/>
    <x v="1"/>
    <x v="2"/>
    <x v="1"/>
    <x v="1"/>
    <s v=""/>
    <n v="95.656067672773062"/>
    <n v="0"/>
    <n v="4.3439323272269421"/>
    <n v="100"/>
    <s v=""/>
    <s v=""/>
    <n v="98.410980898611683"/>
    <n v="1.5890191013883168"/>
    <s v=""/>
    <s v=""/>
    <s v=""/>
  </r>
  <r>
    <n v="72"/>
    <x v="6"/>
    <x v="1"/>
    <x v="1"/>
    <x v="0"/>
    <x v="0"/>
    <n v="263692.80000000005"/>
    <n v="232577.0496"/>
    <n v="0"/>
    <n v="25841.894400000005"/>
    <n v="258418.94400000002"/>
    <n v="18"/>
    <n v="14356.608"/>
    <s v=""/>
    <s v=""/>
    <s v=""/>
    <n v="40"/>
    <n v="720"/>
  </r>
  <r>
    <n v="70"/>
    <x v="6"/>
    <x v="1"/>
    <x v="1"/>
    <x v="0"/>
    <x v="1"/>
    <s v=""/>
    <n v="90"/>
    <n v="0"/>
    <n v="10"/>
    <n v="100"/>
    <s v=""/>
    <s v=""/>
    <n v="98"/>
    <n v="2"/>
    <s v=""/>
    <s v=""/>
    <s v=""/>
  </r>
  <r>
    <n v="71"/>
    <x v="6"/>
    <x v="1"/>
    <x v="1"/>
    <x v="1"/>
    <x v="0"/>
    <n v="276924"/>
    <n v="252729.60000000001"/>
    <n v="0"/>
    <n v="17681.599999999999"/>
    <n v="270411.2"/>
    <n v="18"/>
    <n v="15022.844444444445"/>
    <n v="0"/>
    <n v="1203.8"/>
    <n v="1643.8"/>
    <n v="13"/>
    <n v="234"/>
  </r>
  <r>
    <n v="72"/>
    <x v="6"/>
    <x v="1"/>
    <x v="1"/>
    <x v="1"/>
    <x v="1"/>
    <s v=""/>
    <n v="93.461217582703668"/>
    <n v="0"/>
    <n v="6.538782417296324"/>
    <n v="99.999999999999986"/>
    <s v=""/>
    <s v=""/>
    <n v="97.648163395010911"/>
    <n v="2.3518366049890886"/>
    <s v=""/>
    <s v=""/>
    <s v=""/>
  </r>
  <r>
    <s v=""/>
    <x v="7"/>
    <x v="2"/>
    <x v="3"/>
    <x v="2"/>
    <x v="2"/>
    <s v=""/>
    <m/>
    <m/>
    <m/>
    <n v="0"/>
    <m/>
    <m/>
    <m/>
    <m/>
    <m/>
    <m/>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14C7A5-2C10-4D81-912F-B903FAA21989}" name="PivotTable15" cacheId="7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N5:AQ7" firstHeaderRow="0" firstDataRow="1" firstDataCol="1"/>
  <pivotFields count="23">
    <pivotField showAll="0"/>
    <pivotField axis="axisRow" showAll="0">
      <items count="14">
        <item h="1" x="0"/>
        <item h="1" m="1" x="8"/>
        <item h="1" x="1"/>
        <item h="1" x="2"/>
        <item h="1" x="3"/>
        <item h="1" x="4"/>
        <item h="1" x="5"/>
        <item x="6"/>
        <item h="1" m="1" x="9"/>
        <item h="1" x="7"/>
        <item h="1" m="1" x="10"/>
        <item h="1" m="1" x="11"/>
        <item h="1" m="1" x="12"/>
        <item t="default"/>
      </items>
    </pivotField>
    <pivotField showAll="0">
      <items count="4">
        <item x="0"/>
        <item x="1"/>
        <item x="2"/>
        <item t="default"/>
      </items>
    </pivotField>
    <pivotField showAll="0">
      <items count="6">
        <item x="0"/>
        <item x="1"/>
        <item x="2"/>
        <item m="1" x="4"/>
        <item x="3"/>
        <item t="default"/>
      </items>
    </pivotField>
    <pivotField showAll="0">
      <items count="6">
        <item m="1" x="3"/>
        <item x="1"/>
        <item x="0"/>
        <item m="1" x="4"/>
        <item x="2"/>
        <item t="default"/>
      </items>
    </pivotField>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dataField="1" dragToRow="0" dragToCol="0" dragToPage="0" showAll="0" defaultSubtotal="0"/>
    <pivotField dataField="1" dragToRow="0" dragToCol="0" dragToPage="0" showAll="0" defaultSubtotal="0"/>
    <pivotField dataField="1" dragToRow="0" dragToCol="0" dragToPage="0" showAll="0" defaultSubtotal="0"/>
  </pivotFields>
  <rowFields count="1">
    <field x="1"/>
  </rowFields>
  <rowItems count="2">
    <i>
      <x v="7"/>
    </i>
    <i t="grand">
      <x/>
    </i>
  </rowItems>
  <colFields count="1">
    <field x="-2"/>
  </colFields>
  <colItems count="3">
    <i>
      <x/>
    </i>
    <i i="1">
      <x v="1"/>
    </i>
    <i i="2">
      <x v="2"/>
    </i>
  </colItems>
  <dataFields count="3">
    <dataField name="Tiêu hao (Kg/m2)" fld="20" baseField="0" baseItem="0" numFmtId="164"/>
    <dataField name="Tiêu hao (có cám - % cám)" fld="21" baseField="1" baseItem="0" numFmtId="164"/>
    <dataField name="Tiêu hao (cục+cám+lĩnh bù - Kg)" fld="22" baseField="1" baseItem="0" numFmtId="164"/>
  </dataFields>
  <formats count="1">
    <format dxfId="214">
      <pivotArea outline="0" collapsedLevelsAreSubtotals="1" fieldPosition="0"/>
    </format>
  </formats>
  <chartFormats count="13">
    <chartFormat chart="8" format="5"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1"/>
          </reference>
        </references>
      </pivotArea>
    </chartFormat>
    <chartFormat chart="8" format="7" series="1">
      <pivotArea type="data" outline="0" fieldPosition="0">
        <references count="1">
          <reference field="4294967294" count="1" selected="0">
            <x v="2"/>
          </reference>
        </references>
      </pivotArea>
    </chartFormat>
    <chartFormat chart="8" format="8">
      <pivotArea type="data" outline="0" fieldPosition="0">
        <references count="2">
          <reference field="4294967294" count="1" selected="0">
            <x v="2"/>
          </reference>
          <reference field="1" count="1" selected="0">
            <x v="6"/>
          </reference>
        </references>
      </pivotArea>
    </chartFormat>
    <chartFormat chart="8" format="9">
      <pivotArea type="data" outline="0" fieldPosition="0">
        <references count="2">
          <reference field="4294967294" count="1" selected="0">
            <x v="1"/>
          </reference>
          <reference field="1" count="1" selected="0">
            <x v="6"/>
          </reference>
        </references>
      </pivotArea>
    </chartFormat>
    <chartFormat chart="8" format="10">
      <pivotArea type="data" outline="0" fieldPosition="0">
        <references count="2">
          <reference field="4294967294" count="1" selected="0">
            <x v="0"/>
          </reference>
          <reference field="1" count="1" selected="0">
            <x v="6"/>
          </reference>
        </references>
      </pivotArea>
    </chartFormat>
    <chartFormat chart="8" format="11">
      <pivotArea type="data" outline="0" fieldPosition="0">
        <references count="2">
          <reference field="4294967294" count="1" selected="0">
            <x v="2"/>
          </reference>
          <reference field="1" count="1" selected="0">
            <x v="5"/>
          </reference>
        </references>
      </pivotArea>
    </chartFormat>
    <chartFormat chart="8" format="12">
      <pivotArea type="data" outline="0" fieldPosition="0">
        <references count="2">
          <reference field="4294967294" count="1" selected="0">
            <x v="2"/>
          </reference>
          <reference field="1" count="1" selected="0">
            <x v="4"/>
          </reference>
        </references>
      </pivotArea>
    </chartFormat>
    <chartFormat chart="8" format="13">
      <pivotArea type="data" outline="0" fieldPosition="0">
        <references count="2">
          <reference field="4294967294" count="1" selected="0">
            <x v="2"/>
          </reference>
          <reference field="1" count="1" selected="0">
            <x v="3"/>
          </reference>
        </references>
      </pivotArea>
    </chartFormat>
    <chartFormat chart="8" format="14">
      <pivotArea type="data" outline="0" fieldPosition="0">
        <references count="2">
          <reference field="4294967294" count="1" selected="0">
            <x v="2"/>
          </reference>
          <reference field="1" count="1" selected="0">
            <x v="2"/>
          </reference>
        </references>
      </pivotArea>
    </chartFormat>
    <chartFormat chart="8" format="15">
      <pivotArea type="data" outline="0" fieldPosition="0">
        <references count="2">
          <reference field="4294967294" count="1" selected="0">
            <x v="2"/>
          </reference>
          <reference field="1" count="1" selected="0">
            <x v="1"/>
          </reference>
        </references>
      </pivotArea>
    </chartFormat>
    <chartFormat chart="8" format="16">
      <pivotArea type="data" outline="0" fieldPosition="0">
        <references count="2">
          <reference field="4294967294" count="1" selected="0">
            <x v="2"/>
          </reference>
          <reference field="1" count="1" selected="0">
            <x v="0"/>
          </reference>
        </references>
      </pivotArea>
    </chartFormat>
    <chartFormat chart="8" format="17">
      <pivotArea type="data" outline="0" fieldPosition="0">
        <references count="2">
          <reference field="4294967294" count="1" selected="0">
            <x v="2"/>
          </reference>
          <reference field="1"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9C8E421-61BE-435A-BB9E-1A318121DAB5}" name="PivotTable20" cacheId="7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W9:AW10" firstHeaderRow="1" firstDataRow="1" firstDataCol="0"/>
  <pivotFields count="23">
    <pivotField showAll="0"/>
    <pivotField showAll="0">
      <items count="14">
        <item h="1" x="0"/>
        <item h="1" m="1" x="8"/>
        <item h="1" x="1"/>
        <item h="1" x="2"/>
        <item h="1" x="3"/>
        <item h="1" x="4"/>
        <item h="1" x="5"/>
        <item x="6"/>
        <item h="1" m="1" x="9"/>
        <item h="1" m="1" x="10"/>
        <item h="1" m="1" x="11"/>
        <item h="1" m="1" x="12"/>
        <item h="1" x="7"/>
        <item t="default"/>
      </items>
    </pivotField>
    <pivotField showAll="0">
      <items count="4">
        <item x="0"/>
        <item x="1"/>
        <item x="2"/>
        <item t="default"/>
      </items>
    </pivotField>
    <pivotField showAll="0">
      <items count="6">
        <item x="0"/>
        <item x="1"/>
        <item x="2"/>
        <item m="1" x="4"/>
        <item x="3"/>
        <item t="default"/>
      </items>
    </pivotField>
    <pivotField showAll="0">
      <items count="6">
        <item m="1" x="3"/>
        <item x="1"/>
        <item x="0"/>
        <item m="1" x="4"/>
        <item x="2"/>
        <item t="default"/>
      </items>
    </pivotField>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ataField="1" dragToRow="0" dragToCol="0" dragToPage="0" showAll="0" defaultSubtotal="0"/>
  </pivotFields>
  <rowItems count="1">
    <i/>
  </rowItems>
  <colItems count="1">
    <i/>
  </colItems>
  <dataFields count="1">
    <dataField name="Cục + Cám + Lĩnh bù" fld="22" baseField="0" baseItem="0" numFmtId="164"/>
  </dataFields>
  <formats count="3">
    <format dxfId="217">
      <pivotArea type="all" dataOnly="0" outline="0" fieldPosition="0"/>
    </format>
    <format dxfId="216">
      <pivotArea dataOnly="0" labelOnly="1" outline="0" axis="axisValues" fieldPosition="0"/>
    </format>
    <format dxfId="2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4F92332-CDE1-4BFB-B43F-9CB01CE09B4E}" name="Cơ cấu chất lượng" cacheId="96" dataOnRows="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6">
  <location ref="G7:H10" firstHeaderRow="1" firstDataRow="1" firstDataCol="1" rowPageCount="2" colPageCount="1"/>
  <pivotFields count="23">
    <pivotField showAll="0"/>
    <pivotField showAll="0">
      <items count="14">
        <item h="1" x="0"/>
        <item h="1" m="1" x="8"/>
        <item h="1" x="1"/>
        <item h="1" x="2"/>
        <item h="1" x="3"/>
        <item h="1" x="4"/>
        <item h="1" x="5"/>
        <item x="6"/>
        <item h="1" m="1" x="9"/>
        <item h="1" m="1" x="10"/>
        <item h="1" m="1" x="11"/>
        <item h="1" m="1" x="12"/>
        <item h="1" x="7"/>
        <item t="default"/>
      </items>
    </pivotField>
    <pivotField showAll="0">
      <items count="4">
        <item h="1" x="0"/>
        <item x="1"/>
        <item h="1" x="2"/>
        <item t="default"/>
      </items>
    </pivotField>
    <pivotField showAll="0">
      <items count="6">
        <item h="1" x="0"/>
        <item h="1" x="1"/>
        <item x="2"/>
        <item h="1" m="1" x="4"/>
        <item h="1" x="3"/>
        <item t="default"/>
      </items>
    </pivotField>
    <pivotField axis="axisPage" multipleItemSelectionAllowed="1" showAll="0">
      <items count="4">
        <item h="1" x="0"/>
        <item x="1"/>
        <item h="1" x="2"/>
        <item t="default"/>
      </items>
    </pivotField>
    <pivotField axis="axisPage" multipleItemSelectionAllowed="1" showAll="0">
      <items count="4">
        <item h="1" x="1"/>
        <item x="0"/>
        <item h="1" x="2"/>
        <item t="default"/>
      </items>
    </pivotField>
    <pivotField showAll="0"/>
    <pivotField dataField="1" showAll="0"/>
    <pivotField dataField="1" showAll="0"/>
    <pivotField dataField="1" showAll="0"/>
    <pivotField numFmtId="43"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
  </rowFields>
  <rowItems count="3">
    <i>
      <x/>
    </i>
    <i i="1">
      <x v="1"/>
    </i>
    <i i="2">
      <x v="2"/>
    </i>
  </rowItems>
  <colItems count="1">
    <i/>
  </colItems>
  <pageFields count="2">
    <pageField fld="4" hier="-1"/>
    <pageField fld="5" hier="-1"/>
  </pageFields>
  <dataFields count="3">
    <dataField name="Sum of A1" fld="7" baseField="0" baseItem="1"/>
    <dataField name="Sum of A" fld="8" baseField="0" baseItem="1"/>
    <dataField name="Sum of B" fld="9" baseField="0" baseItem="1"/>
  </dataFields>
  <formats count="1">
    <format dxfId="218">
      <pivotArea outline="0" collapsedLevelsAreSubtotals="1" fieldPosition="0"/>
    </format>
  </formats>
  <chartFormats count="4">
    <chartFormat chart="5" format="7" series="1">
      <pivotArea type="data" outline="0" fieldPosition="0">
        <references count="1">
          <reference field="4294967294" count="1" selected="0">
            <x v="0"/>
          </reference>
        </references>
      </pivotArea>
    </chartFormat>
    <chartFormat chart="5" format="8">
      <pivotArea type="data" outline="0" fieldPosition="0">
        <references count="1">
          <reference field="4294967294" count="1" selected="0">
            <x v="0"/>
          </reference>
        </references>
      </pivotArea>
    </chartFormat>
    <chartFormat chart="5" format="9">
      <pivotArea type="data" outline="0" fieldPosition="0">
        <references count="1">
          <reference field="4294967294" count="1" selected="0">
            <x v="1"/>
          </reference>
        </references>
      </pivotArea>
    </chartFormat>
    <chartFormat chart="5" format="10">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7722E4-2ECE-4CA2-BAF3-D73EEBB5CAAB}" name="PivotTable13" cacheId="96"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D34:F35" firstHeaderRow="0" firstDataRow="1" firstDataCol="0" rowPageCount="2" colPageCount="1"/>
  <pivotFields count="23">
    <pivotField showAll="0"/>
    <pivotField showAll="0">
      <items count="14">
        <item h="1" x="0"/>
        <item h="1" m="1" x="8"/>
        <item h="1" x="1"/>
        <item h="1" x="2"/>
        <item h="1" x="3"/>
        <item h="1" x="4"/>
        <item h="1" x="5"/>
        <item x="6"/>
        <item h="1" m="1" x="9"/>
        <item h="1" m="1" x="10"/>
        <item h="1" m="1" x="11"/>
        <item h="1" m="1" x="12"/>
        <item h="1" x="7"/>
        <item t="default"/>
      </items>
    </pivotField>
    <pivotField showAll="0">
      <items count="4">
        <item h="1" x="0"/>
        <item x="1"/>
        <item h="1" x="2"/>
        <item t="default"/>
      </items>
    </pivotField>
    <pivotField showAll="0">
      <items count="6">
        <item h="1" x="0"/>
        <item h="1" x="1"/>
        <item x="2"/>
        <item h="1" m="1" x="4"/>
        <item h="1" x="3"/>
        <item t="default"/>
      </items>
    </pivotField>
    <pivotField axis="axisPage" multipleItemSelectionAllowed="1" showAll="0">
      <items count="4">
        <item x="0"/>
        <item h="1" x="1"/>
        <item h="1" x="2"/>
        <item t="default"/>
      </items>
    </pivotField>
    <pivotField axis="axisPage" multipleItemSelectionAllowed="1" showAll="0">
      <items count="4">
        <item h="1" x="1"/>
        <item x="0"/>
        <item h="1" x="2"/>
        <item t="default"/>
      </items>
    </pivotField>
    <pivotField showAll="0"/>
    <pivotField dataField="1" showAll="0"/>
    <pivotField dataField="1" showAll="0"/>
    <pivotField dataField="1" showAll="0"/>
    <pivotField numFmtId="43"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Fields count="1">
    <field x="-2"/>
  </colFields>
  <colItems count="3">
    <i>
      <x/>
    </i>
    <i i="1">
      <x v="1"/>
    </i>
    <i i="2">
      <x v="2"/>
    </i>
  </colItems>
  <pageFields count="2">
    <pageField fld="4" hier="-1"/>
    <pageField fld="5" hier="-1"/>
  </pageFields>
  <dataFields count="3">
    <dataField name="Sum of A1" fld="7" baseField="0" baseItem="1"/>
    <dataField name="Sum of A" fld="8" baseField="0" baseItem="1"/>
    <dataField name="Sum of B" fld="9" baseField="0" baseItem="1"/>
  </dataFields>
  <formats count="1">
    <format dxfId="2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4AD926F-B8C6-4740-B84E-C8300E691842}" name="PivotTable6" cacheId="96"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A34:C35" firstHeaderRow="0" firstDataRow="1" firstDataCol="0" rowPageCount="2" colPageCount="1"/>
  <pivotFields count="23">
    <pivotField showAll="0"/>
    <pivotField showAll="0">
      <items count="14">
        <item h="1" x="0"/>
        <item h="1" m="1" x="8"/>
        <item h="1" x="1"/>
        <item h="1" x="2"/>
        <item h="1" x="3"/>
        <item h="1" x="4"/>
        <item h="1" x="5"/>
        <item x="6"/>
        <item h="1" m="1" x="9"/>
        <item h="1" m="1" x="10"/>
        <item h="1" m="1" x="11"/>
        <item h="1" m="1" x="12"/>
        <item h="1" x="7"/>
        <item t="default"/>
      </items>
    </pivotField>
    <pivotField showAll="0">
      <items count="4">
        <item h="1" x="0"/>
        <item x="1"/>
        <item h="1" x="2"/>
        <item t="default"/>
      </items>
    </pivotField>
    <pivotField showAll="0">
      <items count="6">
        <item h="1" x="0"/>
        <item h="1" x="1"/>
        <item x="2"/>
        <item h="1" m="1" x="4"/>
        <item h="1" x="3"/>
        <item t="default"/>
      </items>
    </pivotField>
    <pivotField axis="axisPage" multipleItemSelectionAllowed="1" showAll="0">
      <items count="4">
        <item h="1" x="0"/>
        <item x="1"/>
        <item h="1" x="2"/>
        <item t="default"/>
      </items>
    </pivotField>
    <pivotField axis="axisPage" multipleItemSelectionAllowed="1" showAll="0">
      <items count="4">
        <item h="1" x="1"/>
        <item x="0"/>
        <item h="1" x="2"/>
        <item t="default"/>
      </items>
    </pivotField>
    <pivotField showAll="0"/>
    <pivotField dataField="1" showAll="0"/>
    <pivotField dataField="1" showAll="0"/>
    <pivotField dataField="1" showAll="0"/>
    <pivotField numFmtId="43"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Fields count="1">
    <field x="-2"/>
  </colFields>
  <colItems count="3">
    <i>
      <x/>
    </i>
    <i i="1">
      <x v="1"/>
    </i>
    <i i="2">
      <x v="2"/>
    </i>
  </colItems>
  <pageFields count="2">
    <pageField fld="4" hier="-1"/>
    <pageField fld="5" hier="-1"/>
  </pageFields>
  <dataFields count="3">
    <dataField name="Sum of A1" fld="7" baseField="0" baseItem="1"/>
    <dataField name="Sum of A" fld="8" baseField="0" baseItem="1"/>
    <dataField name="Sum of B" fld="9" baseField="0" baseItem="1"/>
  </dataFields>
  <formats count="1">
    <format dxfId="22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DC607F4-91BF-4C05-AEB2-966D4CE2DA08}" name="PivotTable1" cacheId="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C5:AE7" firstHeaderRow="0" firstDataRow="1" firstDataCol="1"/>
  <pivotFields count="17">
    <pivotField showAll="0"/>
    <pivotField showAll="0">
      <items count="14">
        <item h="1" x="0"/>
        <item h="1" m="1" x="8"/>
        <item h="1" x="1"/>
        <item h="1" x="2"/>
        <item h="1" x="3"/>
        <item h="1" x="4"/>
        <item h="1" x="5"/>
        <item x="6"/>
        <item h="1" m="1" x="9"/>
        <item h="1" m="1" x="10"/>
        <item h="1" m="1" x="11"/>
        <item h="1" m="1" x="12"/>
        <item h="1" x="7"/>
        <item t="default"/>
      </items>
    </pivotField>
    <pivotField showAll="0">
      <items count="4">
        <item x="0"/>
        <item x="1"/>
        <item x="2"/>
        <item t="default"/>
      </items>
    </pivotField>
    <pivotField showAll="0">
      <items count="6">
        <item x="0"/>
        <item h="1" x="1"/>
        <item h="1" x="2"/>
        <item h="1" m="1" x="4"/>
        <item h="1" x="3"/>
        <item t="default"/>
      </items>
    </pivotField>
    <pivotField axis="axisRow" showAll="0" sortType="descending">
      <items count="27">
        <item h="1" x="7"/>
        <item h="1" x="11"/>
        <item h="1" x="12"/>
        <item h="1" x="10"/>
        <item h="1" m="1" x="25"/>
        <item h="1" x="9"/>
        <item h="1" x="14"/>
        <item h="1" x="8"/>
        <item h="1" x="17"/>
        <item h="1" x="22"/>
        <item h="1" x="18"/>
        <item h="1" x="21"/>
        <item h="1" x="1"/>
        <item h="1" x="2"/>
        <item h="1" x="3"/>
        <item h="1" x="23"/>
        <item h="1" x="19"/>
        <item h="1" x="4"/>
        <item h="1" x="6"/>
        <item h="1" x="5"/>
        <item h="1" x="20"/>
        <item h="1" x="15"/>
        <item x="0"/>
        <item h="1" x="16"/>
        <item h="1" x="13"/>
        <item h="1" x="24"/>
        <item t="default"/>
      </items>
      <autoSortScope>
        <pivotArea dataOnly="0" outline="0" fieldPosition="0">
          <references count="1">
            <reference field="4294967294" count="1" selected="0">
              <x v="0"/>
            </reference>
          </references>
        </pivotArea>
      </autoSortScope>
    </pivotField>
    <pivotField showAll="0"/>
    <pivotField dataField="1" showAll="0"/>
    <pivotField numFmtId="168" showAll="0"/>
    <pivotField showAll="0"/>
    <pivotField showAll="0"/>
    <pivotField showAll="0"/>
    <pivotField numFmtId="43" showAl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4"/>
  </rowFields>
  <rowItems count="2">
    <i>
      <x v="22"/>
    </i>
    <i t="grand">
      <x/>
    </i>
  </rowItems>
  <colFields count="1">
    <field x="-2"/>
  </colFields>
  <colItems count="2">
    <i>
      <x/>
    </i>
    <i i="1">
      <x v="1"/>
    </i>
  </colItems>
  <dataFields count="2">
    <dataField name="Average of Định mức tiêu hao" fld="6" subtotal="average" baseField="4" baseItem="22"/>
    <dataField name="Sum of Tiêu hao thực tế" fld="13" baseField="0" baseItem="0" numFmtId="43"/>
  </dataFields>
  <formats count="3">
    <format dxfId="223">
      <pivotArea collapsedLevelsAreSubtotals="1" fieldPosition="0">
        <references count="2">
          <reference field="4294967294" count="1" selected="0">
            <x v="0"/>
          </reference>
          <reference field="4" count="0"/>
        </references>
      </pivotArea>
    </format>
    <format dxfId="222">
      <pivotArea collapsedLevelsAreSubtotals="1" fieldPosition="0">
        <references count="2">
          <reference field="4294967294" count="1" selected="0">
            <x v="1"/>
          </reference>
          <reference field="4" count="0"/>
        </references>
      </pivotArea>
    </format>
    <format dxfId="221">
      <pivotArea field="4" grandRow="1" outline="0" collapsedLevelsAreSubtotals="1" axis="axisRow" fieldPosition="0">
        <references count="1">
          <reference field="4294967294" count="1" selected="0">
            <x v="1"/>
          </reference>
        </references>
      </pivotArea>
    </format>
  </formats>
  <chartFormats count="3">
    <chartFormat chart="13" format="4" series="1">
      <pivotArea type="data" outline="0" fieldPosition="0">
        <references count="1">
          <reference field="4294967294" count="1" selected="0">
            <x v="0"/>
          </reference>
        </references>
      </pivotArea>
    </chartFormat>
    <chartFormat chart="13" format="6">
      <pivotArea type="data" outline="0" fieldPosition="0">
        <references count="2">
          <reference field="4294967294" count="1" selected="0">
            <x v="0"/>
          </reference>
          <reference field="4" count="1" selected="0">
            <x v="24"/>
          </reference>
        </references>
      </pivotArea>
    </chartFormat>
    <chartFormat chart="13"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A38933F-971E-47FB-AF8A-9EC5D91B9EAE}" name="PivotTable14" cacheId="7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J5:AL13" firstHeaderRow="0" firstDataRow="1" firstDataCol="1"/>
  <pivotFields count="23">
    <pivotField showAll="0"/>
    <pivotField axis="axisRow" showAll="0">
      <items count="14">
        <item x="0"/>
        <item m="1" x="8"/>
        <item x="1"/>
        <item x="2"/>
        <item x="3"/>
        <item x="4"/>
        <item x="5"/>
        <item x="6"/>
        <item m="1" x="9"/>
        <item h="1" x="7"/>
        <item m="1" x="10"/>
        <item m="1" x="11"/>
        <item m="1" x="12"/>
        <item t="default"/>
      </items>
    </pivotField>
    <pivotField showAll="0">
      <items count="4">
        <item x="0"/>
        <item x="1"/>
        <item x="2"/>
        <item t="default"/>
      </items>
    </pivotField>
    <pivotField showAll="0">
      <items count="6">
        <item x="0"/>
        <item x="1"/>
        <item x="2"/>
        <item m="1" x="4"/>
        <item x="3"/>
        <item t="default"/>
      </items>
    </pivotField>
    <pivotField showAll="0">
      <items count="6">
        <item m="1" x="3"/>
        <item x="1"/>
        <item x="0"/>
        <item m="1" x="4"/>
        <item x="2"/>
        <item t="default"/>
      </items>
    </pivotField>
    <pivotField showAll="0"/>
    <pivotField showAll="0"/>
    <pivotField showAll="0"/>
    <pivotField showAll="0"/>
    <pivotField showAll="0"/>
    <pivotField showAll="0"/>
    <pivotField dataField="1" numFmtId="164" showAll="0"/>
    <pivotField dataField="1"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1"/>
  </rowFields>
  <rowItems count="8">
    <i>
      <x/>
    </i>
    <i>
      <x v="2"/>
    </i>
    <i>
      <x v="3"/>
    </i>
    <i>
      <x v="4"/>
    </i>
    <i>
      <x v="5"/>
    </i>
    <i>
      <x v="6"/>
    </i>
    <i>
      <x v="7"/>
    </i>
    <i t="grand">
      <x/>
    </i>
  </rowItems>
  <colFields count="1">
    <field x="-2"/>
  </colFields>
  <colItems count="2">
    <i>
      <x/>
    </i>
    <i i="1">
      <x v="1"/>
    </i>
  </colItems>
  <dataFields count="2">
    <dataField name="Sum of KL Lĩnh " fld="11" baseField="0" baseItem="0" numFmtId="164"/>
    <dataField name="Sum of Sản lượng" fld="12" baseField="0" baseItem="0"/>
  </dataFields>
  <formats count="2">
    <format dxfId="225">
      <pivotArea outline="0" collapsedLevelsAreSubtotals="1" fieldPosition="0"/>
    </format>
    <format dxfId="224">
      <pivotArea collapsedLevelsAreSubtotals="1" fieldPosition="0">
        <references count="2">
          <reference field="4294967294" count="1" selected="0">
            <x v="0"/>
          </reference>
          <reference field="1" count="0"/>
        </references>
      </pivotArea>
    </format>
  </formats>
  <chartFormats count="2">
    <chartFormat chart="3" format="3"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AFDB39B-B034-4D22-8D26-B0C99F5C4B0A}" name="PivotTable12" cacheId="96"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L39:M40" firstHeaderRow="0" firstDataRow="1" firstDataCol="0" rowPageCount="1" colPageCount="1"/>
  <pivotFields count="23">
    <pivotField showAll="0"/>
    <pivotField showAll="0">
      <items count="14">
        <item h="1" x="0"/>
        <item h="1" m="1" x="8"/>
        <item h="1" x="1"/>
        <item h="1" x="2"/>
        <item h="1" x="3"/>
        <item h="1" x="4"/>
        <item h="1" x="5"/>
        <item x="6"/>
        <item h="1" m="1" x="9"/>
        <item h="1" m="1" x="10"/>
        <item h="1" m="1" x="11"/>
        <item h="1" m="1" x="12"/>
        <item h="1" x="7"/>
        <item t="default"/>
      </items>
    </pivotField>
    <pivotField showAll="0">
      <items count="4">
        <item h="1" x="0"/>
        <item x="1"/>
        <item h="1" x="2"/>
        <item t="default"/>
      </items>
    </pivotField>
    <pivotField showAll="0">
      <items count="6">
        <item h="1" x="0"/>
        <item h="1" x="1"/>
        <item x="2"/>
        <item h="1" m="1" x="4"/>
        <item h="1" x="3"/>
        <item t="default"/>
      </items>
    </pivotField>
    <pivotField axis="axisPage" multipleItemSelectionAllowed="1" showAll="0">
      <items count="4">
        <item x="0"/>
        <item h="1" x="1"/>
        <item h="1" x="2"/>
        <item t="default"/>
      </items>
    </pivotField>
    <pivotField multipleItemSelectionAllowed="1" showAll="0"/>
    <pivotField showAll="0"/>
    <pivotField showAll="0"/>
    <pivotField showAll="0"/>
    <pivotField showAll="0"/>
    <pivotField numFmtId="43" showAll="0"/>
    <pivotField dataField="1" showAll="0"/>
    <pivotField showAll="0"/>
    <pivotField showAll="0"/>
    <pivotField showAll="0"/>
    <pivotField showAll="0"/>
    <pivotField showAll="0"/>
    <pivotField dataField="1"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Fields count="1">
    <field x="-2"/>
  </colFields>
  <colItems count="2">
    <i>
      <x/>
    </i>
    <i i="1">
      <x v="1"/>
    </i>
  </colItems>
  <pageFields count="1">
    <pageField fld="4" hier="-1"/>
  </pageFields>
  <dataFields count="2">
    <dataField name="Sum of T/g dừng tổng" fld="17" baseField="0" baseItem="1"/>
    <dataField name="Sum of Số ngày SX" fld="11" baseField="0" baseItem="1"/>
  </dataFields>
  <formats count="1">
    <format dxfId="2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A20A6B4-6575-4349-9D76-0D3107D57F10}" name="PivotTable11" cacheId="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Y5:AA7" firstHeaderRow="0" firstDataRow="1" firstDataCol="1"/>
  <pivotFields count="17">
    <pivotField showAll="0"/>
    <pivotField showAll="0">
      <items count="14">
        <item h="1" x="0"/>
        <item h="1" m="1" x="8"/>
        <item h="1" x="1"/>
        <item h="1" x="2"/>
        <item h="1" x="3"/>
        <item h="1" x="4"/>
        <item h="1" x="5"/>
        <item x="6"/>
        <item h="1" m="1" x="9"/>
        <item h="1" m="1" x="10"/>
        <item h="1" m="1" x="11"/>
        <item h="1" m="1" x="12"/>
        <item h="1" x="7"/>
        <item t="default"/>
      </items>
    </pivotField>
    <pivotField showAll="0">
      <items count="4">
        <item x="0"/>
        <item x="1"/>
        <item x="2"/>
        <item t="default"/>
      </items>
    </pivotField>
    <pivotField showAll="0">
      <items count="6">
        <item x="0"/>
        <item h="1" x="1"/>
        <item h="1" x="2"/>
        <item h="1" m="1" x="4"/>
        <item h="1" x="3"/>
        <item t="default"/>
      </items>
    </pivotField>
    <pivotField axis="axisRow" showAll="0" sortType="descending">
      <items count="27">
        <item h="1" x="7"/>
        <item h="1" x="11"/>
        <item h="1" x="12"/>
        <item h="1" x="10"/>
        <item h="1" m="1" x="25"/>
        <item h="1" x="9"/>
        <item h="1" x="14"/>
        <item h="1" x="8"/>
        <item h="1" x="17"/>
        <item h="1" x="22"/>
        <item h="1" x="18"/>
        <item h="1" x="21"/>
        <item h="1" x="1"/>
        <item h="1" x="2"/>
        <item h="1" x="3"/>
        <item h="1" x="23"/>
        <item h="1" x="19"/>
        <item h="1" x="4"/>
        <item h="1" x="6"/>
        <item h="1" x="5"/>
        <item h="1" x="20"/>
        <item h="1" x="15"/>
        <item x="0"/>
        <item h="1" x="16"/>
        <item h="1" x="13"/>
        <item h="1" x="24"/>
        <item t="default"/>
      </items>
      <autoSortScope>
        <pivotArea dataOnly="0" outline="0" fieldPosition="0">
          <references count="1">
            <reference field="4294967294" count="1" selected="0">
              <x v="0"/>
            </reference>
          </references>
        </pivotArea>
      </autoSortScope>
    </pivotField>
    <pivotField showAll="0"/>
    <pivotField showAll="0"/>
    <pivotField numFmtId="168" showAll="0"/>
    <pivotField showAll="0"/>
    <pivotField dataField="1" showAll="0"/>
    <pivotField dataField="1" showAll="0"/>
    <pivotField numFmtId="43"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4"/>
  </rowFields>
  <rowItems count="2">
    <i>
      <x v="22"/>
    </i>
    <i t="grand">
      <x/>
    </i>
  </rowItems>
  <colFields count="1">
    <field x="-2"/>
  </colFields>
  <colItems count="2">
    <i>
      <x/>
    </i>
    <i i="1">
      <x v="1"/>
    </i>
  </colItems>
  <dataFields count="2">
    <dataField name="Sum of Giảm ĐM" fld="9" baseField="4" baseItem="22"/>
    <dataField name="Sum of Vượt ĐM" fld="10" baseField="4" baseItem="22"/>
  </dataFields>
  <formats count="2">
    <format dxfId="228">
      <pivotArea collapsedLevelsAreSubtotals="1" fieldPosition="0">
        <references count="1">
          <reference field="4" count="0"/>
        </references>
      </pivotArea>
    </format>
    <format dxfId="227">
      <pivotArea grandRow="1" outline="0" collapsedLevelsAreSubtotals="1" fieldPosition="0"/>
    </format>
  </formats>
  <chartFormats count="2">
    <chartFormat chart="5" format="9" series="1">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5D92098-1CC0-4D48-BF73-2BDD54DECBA6}" name="Tổng kế hoạch" cacheId="96"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D28:D29" firstHeaderRow="1" firstDataRow="1" firstDataCol="0" rowPageCount="2" colPageCount="1"/>
  <pivotFields count="23">
    <pivotField showAll="0"/>
    <pivotField showAll="0">
      <items count="14">
        <item h="1" x="0"/>
        <item h="1" m="1" x="8"/>
        <item h="1" x="1"/>
        <item h="1" x="2"/>
        <item h="1" x="3"/>
        <item h="1" x="4"/>
        <item h="1" x="5"/>
        <item x="6"/>
        <item h="1" m="1" x="9"/>
        <item h="1" m="1" x="10"/>
        <item h="1" m="1" x="11"/>
        <item h="1" m="1" x="12"/>
        <item h="1" x="7"/>
        <item t="default"/>
      </items>
    </pivotField>
    <pivotField showAll="0">
      <items count="4">
        <item h="1" x="0"/>
        <item x="1"/>
        <item h="1" x="2"/>
        <item t="default"/>
      </items>
    </pivotField>
    <pivotField showAll="0">
      <items count="6">
        <item h="1" x="0"/>
        <item h="1" x="1"/>
        <item x="2"/>
        <item h="1" m="1" x="4"/>
        <item h="1" x="3"/>
        <item t="default"/>
      </items>
    </pivotField>
    <pivotField axis="axisPage" multipleItemSelectionAllowed="1" showAll="0">
      <items count="4">
        <item x="0"/>
        <item h="1" x="1"/>
        <item h="1" x="2"/>
        <item t="default"/>
      </items>
    </pivotField>
    <pivotField axis="axisPage" multipleItemSelectionAllowed="1" showAll="0">
      <items count="4">
        <item h="1" x="1"/>
        <item x="0"/>
        <item h="1" x="2"/>
        <item t="default"/>
      </items>
    </pivotField>
    <pivotField showAll="0"/>
    <pivotField showAll="0"/>
    <pivotField showAll="0"/>
    <pivotField showAll="0"/>
    <pivotField dataField="1" numFmtId="43"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pageFields count="2">
    <pageField fld="4" hier="-1"/>
    <pageField fld="5" hier="-1"/>
  </pageFields>
  <dataFields count="1">
    <dataField name="Sum of Tổng (A1+A+B)" fld="10" baseField="0" baseItem="0" numFmtId="164"/>
  </dataFields>
  <formats count="1">
    <format dxfId="2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5A3BD13-8B2B-4324-9B4E-8AB3EEDB7C3D}" name="PivotTable3" cacheId="96"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A44:B45" firstHeaderRow="0" firstDataRow="1" firstDataCol="0" rowPageCount="1" colPageCount="1"/>
  <pivotFields count="23">
    <pivotField showAll="0"/>
    <pivotField showAll="0">
      <items count="14">
        <item h="1" x="0"/>
        <item h="1" m="1" x="8"/>
        <item h="1" x="1"/>
        <item h="1" x="2"/>
        <item h="1" x="3"/>
        <item h="1" x="4"/>
        <item h="1" x="5"/>
        <item x="6"/>
        <item h="1" m="1" x="9"/>
        <item h="1" m="1" x="10"/>
        <item h="1" m="1" x="11"/>
        <item h="1" m="1" x="12"/>
        <item h="1" x="7"/>
        <item t="default"/>
      </items>
    </pivotField>
    <pivotField showAll="0">
      <items count="4">
        <item h="1" x="0"/>
        <item x="1"/>
        <item h="1" x="2"/>
        <item t="default"/>
      </items>
    </pivotField>
    <pivotField showAll="0">
      <items count="6">
        <item h="1" x="0"/>
        <item h="1" x="1"/>
        <item x="2"/>
        <item h="1" m="1" x="4"/>
        <item h="1" x="3"/>
        <item t="default"/>
      </items>
    </pivotField>
    <pivotField axis="axisPage" multipleItemSelectionAllowed="1" showAll="0">
      <items count="4">
        <item h="1" x="0"/>
        <item x="1"/>
        <item h="1" x="2"/>
        <item t="default"/>
      </items>
    </pivotField>
    <pivotField multipleItemSelectionAllowed="1" showAll="0"/>
    <pivotField showAll="0"/>
    <pivotField showAll="0"/>
    <pivotField showAll="0"/>
    <pivotField showAll="0"/>
    <pivotField numFmtId="43" showAll="0"/>
    <pivotField dataField="1" showAll="0"/>
    <pivotField showAll="0"/>
    <pivotField showAll="0"/>
    <pivotField showAll="0"/>
    <pivotField showAll="0"/>
    <pivotField showAll="0"/>
    <pivotField dataField="1"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Fields count="1">
    <field x="-2"/>
  </colFields>
  <colItems count="2">
    <i>
      <x/>
    </i>
    <i i="1">
      <x v="1"/>
    </i>
  </colItems>
  <pageFields count="1">
    <pageField fld="4" hier="-1"/>
  </pageFields>
  <dataFields count="2">
    <dataField name="Sum of T/g dừng tổng" fld="17" baseField="0" baseItem="1"/>
    <dataField name="Sum of Số ngày SX" fld="11" baseField="0" baseItem="1"/>
  </dataFields>
  <formats count="1">
    <format dxfId="23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11DBE0A-D5C6-46D1-8ED2-7B2C5E909CD1}" name="PivotTable7" cacheId="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G8:AG9" firstHeaderRow="1" firstDataRow="1" firstDataCol="0"/>
  <pivotFields count="17">
    <pivotField showAll="0"/>
    <pivotField showAll="0">
      <items count="14">
        <item h="1" x="0"/>
        <item h="1" m="1" x="8"/>
        <item h="1" x="1"/>
        <item h="1" x="2"/>
        <item h="1" x="3"/>
        <item h="1" x="4"/>
        <item h="1" x="5"/>
        <item x="6"/>
        <item h="1" m="1" x="9"/>
        <item h="1" m="1" x="10"/>
        <item h="1" m="1" x="11"/>
        <item h="1" m="1" x="12"/>
        <item h="1" x="7"/>
        <item t="default"/>
      </items>
    </pivotField>
    <pivotField showAll="0">
      <items count="4">
        <item x="0"/>
        <item x="1"/>
        <item x="2"/>
        <item t="default"/>
      </items>
    </pivotField>
    <pivotField showAll="0">
      <items count="6">
        <item x="0"/>
        <item h="1" x="1"/>
        <item h="1" x="2"/>
        <item h="1" m="1" x="4"/>
        <item h="1" x="3"/>
        <item t="default"/>
      </items>
    </pivotField>
    <pivotField showAll="0">
      <items count="27">
        <item h="1" x="7"/>
        <item h="1" x="11"/>
        <item h="1" x="12"/>
        <item h="1" x="10"/>
        <item h="1" m="1" x="25"/>
        <item h="1" x="9"/>
        <item h="1" x="14"/>
        <item h="1" x="8"/>
        <item h="1" x="17"/>
        <item h="1" x="22"/>
        <item h="1" x="18"/>
        <item h="1" x="21"/>
        <item h="1" x="1"/>
        <item h="1" x="2"/>
        <item h="1" x="3"/>
        <item h="1" x="23"/>
        <item h="1" x="19"/>
        <item h="1" x="4"/>
        <item h="1" x="6"/>
        <item h="1" x="5"/>
        <item h="1" x="20"/>
        <item h="1" x="15"/>
        <item x="0"/>
        <item h="1" x="16"/>
        <item h="1" x="13"/>
        <item h="1" x="24"/>
        <item t="default"/>
      </items>
    </pivotField>
    <pivotField showAll="0"/>
    <pivotField showAll="0"/>
    <pivotField numFmtId="168" showAll="0"/>
    <pivotField showAll="0"/>
    <pivotField showAll="0"/>
    <pivotField showAll="0"/>
    <pivotField numFmtId="43" showAl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Sum of Tiêu hao thực tế" fld="13" baseField="0" baseItem="0" numFmtId="168"/>
  </dataFields>
  <formats count="1">
    <format dxfId="23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4CD6852-0CB1-4929-9340-75BA300F4DD8}" name="PivotTable17" cacheId="7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U5:AU6" firstHeaderRow="1" firstDataRow="1" firstDataCol="0"/>
  <pivotFields count="23">
    <pivotField showAll="0"/>
    <pivotField showAll="0">
      <items count="14">
        <item h="1" x="0"/>
        <item h="1" m="1" x="8"/>
        <item h="1" x="1"/>
        <item h="1" x="2"/>
        <item h="1" x="3"/>
        <item h="1" x="4"/>
        <item h="1" x="5"/>
        <item x="6"/>
        <item h="1" m="1" x="9"/>
        <item h="1" m="1" x="10"/>
        <item h="1" m="1" x="11"/>
        <item h="1" m="1" x="12"/>
        <item h="1" x="7"/>
        <item t="default"/>
      </items>
    </pivotField>
    <pivotField showAll="0">
      <items count="4">
        <item x="0"/>
        <item x="1"/>
        <item x="2"/>
        <item t="default"/>
      </items>
    </pivotField>
    <pivotField showAll="0">
      <items count="6">
        <item x="0"/>
        <item x="1"/>
        <item x="2"/>
        <item m="1" x="4"/>
        <item x="3"/>
        <item t="default"/>
      </items>
    </pivotField>
    <pivotField showAll="0">
      <items count="6">
        <item m="1" x="3"/>
        <item x="1"/>
        <item x="0"/>
        <item m="1" x="4"/>
        <item x="2"/>
        <item t="default"/>
      </items>
    </pivotField>
    <pivotField showAll="0"/>
    <pivotField showAll="0"/>
    <pivotField showAll="0"/>
    <pivotField showAll="0"/>
    <pivotField showAll="0"/>
    <pivotField showAll="0"/>
    <pivotField numFmtId="164" showAll="0"/>
    <pivotField dataField="1"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Sum of Sản lượng" fld="12" baseField="0" baseItem="0"/>
  </dataFields>
  <formats count="3">
    <format dxfId="234">
      <pivotArea type="all" dataOnly="0" outline="0" fieldPosition="0"/>
    </format>
    <format dxfId="233">
      <pivotArea outline="0" collapsedLevelsAreSubtotals="1" fieldPosition="0"/>
    </format>
    <format dxfId="23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483E89F-B0DD-4E63-A747-89D2E0E51183}" name="PivotTable5" cacheId="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G5:AG6" firstHeaderRow="1" firstDataRow="1" firstDataCol="0"/>
  <pivotFields count="17">
    <pivotField showAll="0"/>
    <pivotField showAll="0">
      <items count="14">
        <item h="1" x="0"/>
        <item h="1" m="1" x="8"/>
        <item h="1" x="1"/>
        <item h="1" x="2"/>
        <item h="1" x="3"/>
        <item h="1" x="4"/>
        <item h="1" x="5"/>
        <item x="6"/>
        <item h="1" m="1" x="9"/>
        <item h="1" m="1" x="10"/>
        <item h="1" m="1" x="11"/>
        <item h="1" m="1" x="12"/>
        <item h="1" x="7"/>
        <item t="default"/>
      </items>
    </pivotField>
    <pivotField showAll="0">
      <items count="4">
        <item x="0"/>
        <item x="1"/>
        <item x="2"/>
        <item t="default"/>
      </items>
    </pivotField>
    <pivotField showAll="0">
      <items count="6">
        <item x="0"/>
        <item h="1" x="1"/>
        <item h="1" x="2"/>
        <item h="1" m="1" x="4"/>
        <item h="1" x="3"/>
        <item t="default"/>
      </items>
    </pivotField>
    <pivotField showAll="0">
      <items count="27">
        <item h="1" x="7"/>
        <item h="1" x="11"/>
        <item h="1" x="12"/>
        <item h="1" x="10"/>
        <item h="1" m="1" x="25"/>
        <item h="1" x="9"/>
        <item h="1" x="14"/>
        <item h="1" x="8"/>
        <item h="1" x="17"/>
        <item h="1" x="22"/>
        <item h="1" x="18"/>
        <item h="1" x="21"/>
        <item h="1" x="1"/>
        <item h="1" x="2"/>
        <item h="1" x="3"/>
        <item h="1" x="23"/>
        <item h="1" x="19"/>
        <item h="1" x="4"/>
        <item h="1" x="6"/>
        <item h="1" x="5"/>
        <item h="1" x="20"/>
        <item h="1" x="15"/>
        <item x="0"/>
        <item h="1" x="16"/>
        <item h="1" x="13"/>
        <item h="1" x="24"/>
        <item t="default"/>
      </items>
    </pivotField>
    <pivotField showAll="0"/>
    <pivotField dataField="1" showAll="0"/>
    <pivotField numFmtId="168" showAll="0"/>
    <pivotField showAll="0"/>
    <pivotField showAll="0"/>
    <pivotField showAll="0"/>
    <pivotField numFmtId="43"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Average of Định mức tiêu hao" fld="6" subtotal="average" baseField="0" baseItem="0" numFmtId="176"/>
  </dataFields>
  <formats count="1">
    <format dxfId="235">
      <pivotArea outline="0" collapsedLevelsAreSubtotals="1" fieldPosition="0"/>
    </format>
  </formats>
  <chartFormats count="1">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6F4602C-6FAE-4FE6-BB47-51DC30C1B7FD}" name="PivotTable10" cacheId="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V5:V6" firstHeaderRow="1" firstDataRow="1" firstDataCol="0"/>
  <pivotFields count="9">
    <pivotField showAll="0"/>
    <pivotField showAll="0">
      <items count="14">
        <item h="1" x="0"/>
        <item h="1" m="1" x="8"/>
        <item h="1" x="1"/>
        <item h="1" x="2"/>
        <item h="1" x="3"/>
        <item h="1" x="4"/>
        <item h="1" x="5"/>
        <item x="6"/>
        <item h="1" m="1" x="9"/>
        <item h="1" m="1" x="10"/>
        <item h="1" m="1" x="11"/>
        <item h="1" m="1" x="12"/>
        <item h="1" x="7"/>
        <item t="default"/>
      </items>
    </pivotField>
    <pivotField showAll="0">
      <items count="4">
        <item h="1" x="0"/>
        <item x="1"/>
        <item h="1" x="2"/>
        <item t="default"/>
      </items>
    </pivotField>
    <pivotField showAll="0">
      <items count="6">
        <item h="1" x="0"/>
        <item h="1" x="1"/>
        <item x="2"/>
        <item h="1" m="1" x="4"/>
        <item h="1" x="3"/>
        <item t="default"/>
      </items>
    </pivotField>
    <pivotField showAll="0">
      <items count="7">
        <item x="4"/>
        <item x="3"/>
        <item x="1"/>
        <item x="0"/>
        <item x="2"/>
        <item x="5"/>
        <item t="default"/>
      </items>
    </pivotField>
    <pivotField showAll="0">
      <items count="25">
        <item x="1"/>
        <item x="8"/>
        <item x="10"/>
        <item x="17"/>
        <item m="1" x="20"/>
        <item x="0"/>
        <item x="11"/>
        <item x="3"/>
        <item m="1" x="21"/>
        <item x="9"/>
        <item x="14"/>
        <item x="4"/>
        <item x="7"/>
        <item x="18"/>
        <item x="5"/>
        <item m="1" x="22"/>
        <item x="2"/>
        <item x="6"/>
        <item x="15"/>
        <item m="1" x="23"/>
        <item x="13"/>
        <item x="16"/>
        <item x="12"/>
        <item x="19"/>
        <item t="default"/>
      </items>
    </pivotField>
    <pivotField showAll="0"/>
    <pivotField dataField="1" showAll="0"/>
    <pivotField showAll="0"/>
  </pivotFields>
  <rowItems count="1">
    <i/>
  </rowItems>
  <colItems count="1">
    <i/>
  </colItems>
  <dataFields count="1">
    <dataField name="Sum of Sản lượng" fld="7" baseField="0" baseItem="0" numFmtId="164"/>
  </dataFields>
  <formats count="1">
    <format dxfId="236">
      <pivotArea outline="0" collapsedLevelsAreSubtotals="1" fieldPosition="0"/>
    </format>
  </formats>
  <chartFormats count="2">
    <chartFormat chart="4"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08E9D1C-E8D9-4FDA-8E06-993FA43188E6}" name="PivotTable22" cacheId="96"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D44:D45" firstHeaderRow="1" firstDataRow="1" firstDataCol="0" rowPageCount="1" colPageCount="1"/>
  <pivotFields count="23">
    <pivotField showAll="0"/>
    <pivotField showAll="0">
      <items count="14">
        <item h="1" x="0"/>
        <item h="1" m="1" x="8"/>
        <item h="1" x="1"/>
        <item h="1" x="2"/>
        <item h="1" x="3"/>
        <item h="1" x="4"/>
        <item h="1" x="5"/>
        <item x="6"/>
        <item h="1" m="1" x="9"/>
        <item h="1" m="1" x="10"/>
        <item h="1" m="1" x="11"/>
        <item h="1" m="1" x="12"/>
        <item h="1" x="7"/>
        <item t="default"/>
      </items>
    </pivotField>
    <pivotField showAll="0">
      <items count="4">
        <item h="1" x="0"/>
        <item x="1"/>
        <item h="1" x="2"/>
        <item t="default"/>
      </items>
    </pivotField>
    <pivotField showAll="0">
      <items count="6">
        <item h="1" x="0"/>
        <item h="1" x="1"/>
        <item x="2"/>
        <item h="1" m="1" x="4"/>
        <item h="1" x="3"/>
        <item t="default"/>
      </items>
    </pivotField>
    <pivotField axis="axisPage" multipleItemSelectionAllowed="1" showAll="0">
      <items count="4">
        <item h="1" x="0"/>
        <item x="1"/>
        <item h="1" x="2"/>
        <item t="default"/>
      </items>
    </pivotField>
    <pivotField multipleItemSelectionAllowed="1" showAll="0"/>
    <pivotField showAll="0"/>
    <pivotField showAll="0"/>
    <pivotField showAll="0"/>
    <pivotField showAll="0"/>
    <pivotField numFmtId="43" showAll="0"/>
    <pivotField showAll="0"/>
    <pivotField showAll="0"/>
    <pivotField showAll="0"/>
    <pivotField showAll="0"/>
    <pivotField showAll="0"/>
    <pivotField dataField="1"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pageFields count="1">
    <pageField fld="4" hier="-1"/>
  </pageFields>
  <dataFields count="1">
    <dataField name="Sum of T/g dừng 2MF" fld="16" baseField="0" baseItem="0"/>
  </dataFields>
  <formats count="1">
    <format dxfId="23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6259D49-806B-4877-A4D4-9D038659052A}" name="Tổng thực hiện" cacheId="96"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A28:A29" firstHeaderRow="1" firstDataRow="1" firstDataCol="0" rowPageCount="2" colPageCount="1"/>
  <pivotFields count="23">
    <pivotField showAll="0"/>
    <pivotField showAll="0">
      <items count="14">
        <item h="1" x="0"/>
        <item h="1" m="1" x="8"/>
        <item h="1" x="1"/>
        <item h="1" x="2"/>
        <item h="1" x="3"/>
        <item h="1" x="4"/>
        <item h="1" x="5"/>
        <item x="6"/>
        <item h="1" m="1" x="9"/>
        <item h="1" m="1" x="10"/>
        <item h="1" m="1" x="11"/>
        <item h="1" m="1" x="12"/>
        <item h="1" x="7"/>
        <item t="default"/>
      </items>
    </pivotField>
    <pivotField showAll="0">
      <items count="4">
        <item h="1" x="0"/>
        <item x="1"/>
        <item h="1" x="2"/>
        <item t="default"/>
      </items>
    </pivotField>
    <pivotField showAll="0">
      <items count="6">
        <item h="1" x="0"/>
        <item h="1" x="1"/>
        <item x="2"/>
        <item h="1" m="1" x="4"/>
        <item h="1" x="3"/>
        <item t="default"/>
      </items>
    </pivotField>
    <pivotField axis="axisPage" multipleItemSelectionAllowed="1" showAll="0">
      <items count="4">
        <item h="1" x="0"/>
        <item x="1"/>
        <item h="1" x="2"/>
        <item t="default"/>
      </items>
    </pivotField>
    <pivotField axis="axisPage" multipleItemSelectionAllowed="1" showAll="0">
      <items count="4">
        <item h="1" x="1"/>
        <item x="0"/>
        <item h="1" x="2"/>
        <item t="default"/>
      </items>
    </pivotField>
    <pivotField showAll="0"/>
    <pivotField showAll="0"/>
    <pivotField showAll="0"/>
    <pivotField showAll="0"/>
    <pivotField dataField="1" numFmtId="43"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pageFields count="2">
    <pageField fld="4" hier="-1"/>
    <pageField fld="5" hier="-1"/>
  </pageFields>
  <dataFields count="1">
    <dataField name="Sum of Tổng (A1+A+B)" fld="10" baseField="0" baseItem="0" numFmtId="164"/>
  </dataFields>
  <formats count="1">
    <format dxfId="23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3ACB5339-9E52-4E0D-B538-5793203E8D89}" name="PivotTable9" cacheId="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R5:S9" firstHeaderRow="1" firstDataRow="1" firstDataCol="1"/>
  <pivotFields count="9">
    <pivotField showAll="0"/>
    <pivotField showAll="0">
      <items count="14">
        <item h="1" x="0"/>
        <item h="1" m="1" x="8"/>
        <item h="1" x="1"/>
        <item h="1" x="2"/>
        <item h="1" x="3"/>
        <item h="1" x="4"/>
        <item h="1" x="5"/>
        <item x="6"/>
        <item h="1" m="1" x="9"/>
        <item h="1" m="1" x="10"/>
        <item h="1" m="1" x="11"/>
        <item h="1" m="1" x="12"/>
        <item h="1" x="7"/>
        <item t="default"/>
      </items>
    </pivotField>
    <pivotField showAll="0">
      <items count="4">
        <item h="1" x="0"/>
        <item x="1"/>
        <item h="1" x="2"/>
        <item t="default"/>
      </items>
    </pivotField>
    <pivotField showAll="0">
      <items count="6">
        <item h="1" x="0"/>
        <item h="1" x="1"/>
        <item x="2"/>
        <item h="1" m="1" x="4"/>
        <item h="1" x="3"/>
        <item t="default"/>
      </items>
    </pivotField>
    <pivotField showAll="0">
      <items count="7">
        <item x="4"/>
        <item x="3"/>
        <item x="1"/>
        <item x="0"/>
        <item x="2"/>
        <item x="5"/>
        <item t="default"/>
      </items>
    </pivotField>
    <pivotField showAll="0">
      <items count="25">
        <item x="1"/>
        <item x="8"/>
        <item x="10"/>
        <item x="17"/>
        <item m="1" x="20"/>
        <item x="0"/>
        <item x="11"/>
        <item x="3"/>
        <item m="1" x="21"/>
        <item x="9"/>
        <item x="14"/>
        <item x="4"/>
        <item x="7"/>
        <item x="18"/>
        <item x="5"/>
        <item m="1" x="22"/>
        <item x="2"/>
        <item x="6"/>
        <item x="15"/>
        <item m="1" x="23"/>
        <item x="13"/>
        <item x="16"/>
        <item x="12"/>
        <item x="19"/>
        <item t="default"/>
      </items>
    </pivotField>
    <pivotField axis="axisRow" showAll="0">
      <items count="5">
        <item x="1"/>
        <item x="0"/>
        <item x="2"/>
        <item h="1" x="3"/>
        <item t="default"/>
      </items>
    </pivotField>
    <pivotField dataField="1" showAll="0"/>
    <pivotField showAll="0"/>
  </pivotFields>
  <rowFields count="1">
    <field x="6"/>
  </rowFields>
  <rowItems count="4">
    <i>
      <x/>
    </i>
    <i>
      <x v="1"/>
    </i>
    <i>
      <x v="2"/>
    </i>
    <i t="grand">
      <x/>
    </i>
  </rowItems>
  <colItems count="1">
    <i/>
  </colItems>
  <dataFields count="1">
    <dataField name="Sum of Sản lượng" fld="7" baseField="6" baseItem="0"/>
  </dataFields>
  <chartFormats count="5">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6" count="1" selected="0">
            <x v="0"/>
          </reference>
        </references>
      </pivotArea>
    </chartFormat>
    <chartFormat chart="7" format="7">
      <pivotArea type="data" outline="0" fieldPosition="0">
        <references count="2">
          <reference field="4294967294" count="1" selected="0">
            <x v="0"/>
          </reference>
          <reference field="6" count="1" selected="0">
            <x v="1"/>
          </reference>
        </references>
      </pivotArea>
    </chartFormat>
    <chartFormat chart="7" format="8">
      <pivotArea type="data" outline="0" fieldPosition="0">
        <references count="2">
          <reference field="4294967294" count="1" selected="0">
            <x v="0"/>
          </reference>
          <reference field="6" count="1" selected="0">
            <x v="2"/>
          </reference>
        </references>
      </pivotArea>
    </chartFormat>
    <chartFormat chart="7" format="9">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540C021F-3962-4248-9992-2ABB38BDB03C}" name="PivotTable18" cacheId="7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U9:AU10" firstHeaderRow="1" firstDataRow="1" firstDataCol="0"/>
  <pivotFields count="23">
    <pivotField showAll="0"/>
    <pivotField showAll="0">
      <items count="14">
        <item h="1" x="0"/>
        <item h="1" m="1" x="8"/>
        <item h="1" x="1"/>
        <item h="1" x="2"/>
        <item h="1" x="3"/>
        <item h="1" x="4"/>
        <item h="1" x="5"/>
        <item x="6"/>
        <item h="1" m="1" x="9"/>
        <item h="1" m="1" x="10"/>
        <item h="1" m="1" x="11"/>
        <item h="1" m="1" x="12"/>
        <item h="1" x="7"/>
        <item t="default"/>
      </items>
    </pivotField>
    <pivotField showAll="0">
      <items count="4">
        <item x="0"/>
        <item x="1"/>
        <item x="2"/>
        <item t="default"/>
      </items>
    </pivotField>
    <pivotField showAll="0">
      <items count="6">
        <item x="0"/>
        <item x="1"/>
        <item x="2"/>
        <item m="1" x="4"/>
        <item x="3"/>
        <item t="default"/>
      </items>
    </pivotField>
    <pivotField showAll="0">
      <items count="6">
        <item m="1" x="3"/>
        <item x="1"/>
        <item x="0"/>
        <item m="1" x="4"/>
        <item x="2"/>
        <item t="default"/>
      </items>
    </pivotField>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dragToRow="0" dragToCol="0" dragToPage="0" showAll="0" defaultSubtotal="0"/>
    <pivotField dataField="1" dragToRow="0" dragToCol="0" dragToPage="0" showAll="0" defaultSubtotal="0"/>
    <pivotField dragToRow="0" dragToCol="0" dragToPage="0" showAll="0" defaultSubtotal="0"/>
  </pivotFields>
  <rowItems count="1">
    <i/>
  </rowItems>
  <colItems count="1">
    <i/>
  </colItems>
  <dataFields count="1">
    <dataField name="Cục + Cám" fld="21" baseField="0" baseItem="0" numFmtId="43"/>
  </dataFields>
  <formats count="3">
    <format dxfId="241">
      <pivotArea type="all" dataOnly="0" outline="0" fieldPosition="0"/>
    </format>
    <format dxfId="240">
      <pivotArea dataOnly="0" labelOnly="1" outline="0" axis="axisValues" fieldPosition="0"/>
    </format>
    <format dxfId="23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7718EF8A-4D62-4027-8D0A-0474C34D3238}" name="PivotTable21" cacheId="96"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H39:H40" firstHeaderRow="1" firstDataRow="1" firstDataCol="0" rowPageCount="1" colPageCount="1"/>
  <pivotFields count="23">
    <pivotField showAll="0"/>
    <pivotField showAll="0">
      <items count="14">
        <item h="1" x="0"/>
        <item h="1" m="1" x="8"/>
        <item h="1" x="1"/>
        <item h="1" x="2"/>
        <item h="1" x="3"/>
        <item h="1" x="4"/>
        <item h="1" x="5"/>
        <item x="6"/>
        <item h="1" m="1" x="9"/>
        <item h="1" m="1" x="10"/>
        <item h="1" m="1" x="11"/>
        <item h="1" m="1" x="12"/>
        <item h="1" x="7"/>
        <item t="default"/>
      </items>
    </pivotField>
    <pivotField showAll="0">
      <items count="4">
        <item h="1" x="0"/>
        <item x="1"/>
        <item h="1" x="2"/>
        <item t="default"/>
      </items>
    </pivotField>
    <pivotField showAll="0">
      <items count="6">
        <item h="1" x="0"/>
        <item h="1" x="1"/>
        <item x="2"/>
        <item h="1" m="1" x="4"/>
        <item h="1" x="3"/>
        <item t="default"/>
      </items>
    </pivotField>
    <pivotField axis="axisPage" multipleItemSelectionAllowed="1" showAll="0">
      <items count="4">
        <item x="0"/>
        <item h="1" x="1"/>
        <item h="1" x="2"/>
        <item t="default"/>
      </items>
    </pivotField>
    <pivotField multipleItemSelectionAllowed="1" showAll="0"/>
    <pivotField showAll="0"/>
    <pivotField showAll="0"/>
    <pivotField showAll="0"/>
    <pivotField showAll="0"/>
    <pivotField numFmtId="43" showAll="0"/>
    <pivotField dataField="1"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pageFields count="1">
    <pageField fld="4" hier="-1"/>
  </pageFields>
  <dataFields count="1">
    <dataField name="Sum of Số ngày SX" fld="11" baseField="0" baseItem="0" numFmtId="43"/>
  </dataFields>
  <formats count="1">
    <format dxfId="24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7EB8A7B0-7583-40C9-9309-CF0D7D037002}" name="PivotTable2" cacheId="96" dataOnRows="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1">
  <location ref="J7:K10" firstHeaderRow="1" firstDataRow="1" firstDataCol="1" rowPageCount="2" colPageCount="1"/>
  <pivotFields count="23">
    <pivotField showAll="0"/>
    <pivotField showAll="0">
      <items count="14">
        <item h="1" x="0"/>
        <item h="1" m="1" x="8"/>
        <item h="1" x="1"/>
        <item h="1" x="2"/>
        <item h="1" x="3"/>
        <item h="1" x="4"/>
        <item h="1" x="5"/>
        <item x="6"/>
        <item h="1" m="1" x="9"/>
        <item h="1" m="1" x="10"/>
        <item h="1" m="1" x="11"/>
        <item h="1" m="1" x="12"/>
        <item h="1" x="7"/>
        <item t="default"/>
      </items>
    </pivotField>
    <pivotField showAll="0">
      <items count="4">
        <item h="1" x="0"/>
        <item x="1"/>
        <item h="1" x="2"/>
        <item t="default"/>
      </items>
    </pivotField>
    <pivotField showAll="0">
      <items count="6">
        <item h="1" x="0"/>
        <item h="1" x="1"/>
        <item x="2"/>
        <item h="1" m="1" x="4"/>
        <item h="1" x="3"/>
        <item t="default"/>
      </items>
    </pivotField>
    <pivotField axis="axisPage" multipleItemSelectionAllowed="1" showAll="0">
      <items count="4">
        <item x="0"/>
        <item h="1" x="1"/>
        <item h="1" x="2"/>
        <item t="default"/>
      </items>
    </pivotField>
    <pivotField axis="axisPage" multipleItemSelectionAllowed="1" showAll="0">
      <items count="4">
        <item h="1" x="1"/>
        <item x="0"/>
        <item h="1" x="2"/>
        <item t="default"/>
      </items>
    </pivotField>
    <pivotField showAll="0"/>
    <pivotField dataField="1" showAll="0"/>
    <pivotField dataField="1" showAll="0"/>
    <pivotField dataField="1" showAll="0"/>
    <pivotField numFmtId="43"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
  </rowFields>
  <rowItems count="3">
    <i>
      <x/>
    </i>
    <i i="1">
      <x v="1"/>
    </i>
    <i i="2">
      <x v="2"/>
    </i>
  </rowItems>
  <colItems count="1">
    <i/>
  </colItems>
  <pageFields count="2">
    <pageField fld="4" hier="-1"/>
    <pageField fld="5" hier="-1"/>
  </pageFields>
  <dataFields count="3">
    <dataField name="Sum of A1" fld="7" baseField="0" baseItem="1"/>
    <dataField name="Sum of A" fld="8" baseField="0" baseItem="1"/>
    <dataField name="Sum of B" fld="9" baseField="0" baseItem="1"/>
  </dataFields>
  <formats count="1">
    <format dxfId="243">
      <pivotArea outline="0" collapsedLevelsAreSubtotals="1" fieldPosition="0"/>
    </format>
  </formats>
  <chartFormats count="12">
    <chartFormat chart="5" format="7" series="1">
      <pivotArea type="data" outline="0" fieldPosition="0">
        <references count="1">
          <reference field="4294967294" count="1" selected="0">
            <x v="0"/>
          </reference>
        </references>
      </pivotArea>
    </chartFormat>
    <chartFormat chart="5" format="8">
      <pivotArea type="data" outline="0" fieldPosition="0">
        <references count="1">
          <reference field="4294967294" count="1" selected="0">
            <x v="0"/>
          </reference>
        </references>
      </pivotArea>
    </chartFormat>
    <chartFormat chart="5" format="9">
      <pivotArea type="data" outline="0" fieldPosition="0">
        <references count="1">
          <reference field="4294967294" count="1" selected="0">
            <x v="1"/>
          </reference>
        </references>
      </pivotArea>
    </chartFormat>
    <chartFormat chart="5" format="10">
      <pivotArea type="data" outline="0" fieldPosition="0">
        <references count="1">
          <reference field="4294967294" count="1" selected="0">
            <x v="2"/>
          </reference>
        </references>
      </pivotArea>
    </chartFormat>
    <chartFormat chart="8" format="15" series="1">
      <pivotArea type="data" outline="0" fieldPosition="0">
        <references count="1">
          <reference field="4294967294" count="1" selected="0">
            <x v="0"/>
          </reference>
        </references>
      </pivotArea>
    </chartFormat>
    <chartFormat chart="8" format="16">
      <pivotArea type="data" outline="0" fieldPosition="0">
        <references count="1">
          <reference field="4294967294" count="1" selected="0">
            <x v="0"/>
          </reference>
        </references>
      </pivotArea>
    </chartFormat>
    <chartFormat chart="8" format="17">
      <pivotArea type="data" outline="0" fieldPosition="0">
        <references count="1">
          <reference field="4294967294" count="1" selected="0">
            <x v="1"/>
          </reference>
        </references>
      </pivotArea>
    </chartFormat>
    <chartFormat chart="8" format="18">
      <pivotArea type="data" outline="0" fieldPosition="0">
        <references count="1">
          <reference field="4294967294" count="1" selected="0">
            <x v="2"/>
          </reference>
        </references>
      </pivotArea>
    </chartFormat>
    <chartFormat chart="15" format="5" series="1">
      <pivotArea type="data" outline="0" fieldPosition="0">
        <references count="1">
          <reference field="4294967294" count="1" selected="0">
            <x v="0"/>
          </reference>
        </references>
      </pivotArea>
    </chartFormat>
    <chartFormat chart="15" format="6">
      <pivotArea type="data" outline="0" fieldPosition="0">
        <references count="1">
          <reference field="4294967294" count="1" selected="0">
            <x v="0"/>
          </reference>
        </references>
      </pivotArea>
    </chartFormat>
    <chartFormat chart="15" format="7">
      <pivotArea type="data" outline="0" fieldPosition="0">
        <references count="1">
          <reference field="4294967294" count="1" selected="0">
            <x v="1"/>
          </reference>
        </references>
      </pivotArea>
    </chartFormat>
    <chartFormat chart="15" format="8">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6CEBB73E-1722-4FC4-B4E0-32A7BAF146D9}" name="PivotTable16" cacheId="7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S5:AS6" firstHeaderRow="1" firstDataRow="1" firstDataCol="0"/>
  <pivotFields count="23">
    <pivotField showAll="0"/>
    <pivotField showAll="0">
      <items count="14">
        <item h="1" x="0"/>
        <item h="1" m="1" x="8"/>
        <item h="1" x="1"/>
        <item h="1" x="2"/>
        <item h="1" x="3"/>
        <item h="1" x="4"/>
        <item h="1" x="5"/>
        <item x="6"/>
        <item h="1" m="1" x="9"/>
        <item h="1" m="1" x="10"/>
        <item h="1" m="1" x="11"/>
        <item h="1" m="1" x="12"/>
        <item h="1" x="7"/>
        <item t="default"/>
      </items>
    </pivotField>
    <pivotField showAll="0">
      <items count="4">
        <item x="0"/>
        <item x="1"/>
        <item x="2"/>
        <item t="default"/>
      </items>
    </pivotField>
    <pivotField showAll="0">
      <items count="6">
        <item x="0"/>
        <item x="1"/>
        <item x="2"/>
        <item m="1" x="4"/>
        <item x="3"/>
        <item t="default"/>
      </items>
    </pivotField>
    <pivotField showAll="0">
      <items count="6">
        <item m="1" x="3"/>
        <item x="1"/>
        <item x="0"/>
        <item m="1" x="4"/>
        <item x="2"/>
        <item t="default"/>
      </items>
    </pivotField>
    <pivotField showAll="0"/>
    <pivotField showAll="0"/>
    <pivotField showAll="0"/>
    <pivotField showAll="0"/>
    <pivotField showAll="0"/>
    <pivotField showAll="0"/>
    <pivotField dataField="1" numFmtId="164"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Sum of KL Lĩnh " fld="11" baseField="0" baseItem="0" numFmtId="164"/>
  </dataFields>
  <formats count="1">
    <format dxfId="24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84EAC5F5-D697-48C7-A8B3-35527BBAF809}" name="Tổng sản lượng thu hồi " cacheId="96"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0">
  <location ref="A7:C14" firstHeaderRow="1" firstDataRow="2" firstDataCol="1" rowPageCount="1" colPageCount="1"/>
  <pivotFields count="23">
    <pivotField showAll="0"/>
    <pivotField axis="axisRow" showAll="0">
      <items count="14">
        <item x="0"/>
        <item m="1" x="8"/>
        <item x="1"/>
        <item x="2"/>
        <item x="3"/>
        <item x="4"/>
        <item x="5"/>
        <item x="6"/>
        <item m="1" x="9"/>
        <item m="1" x="10"/>
        <item m="1" x="11"/>
        <item m="1" x="12"/>
        <item x="7"/>
        <item t="default"/>
      </items>
    </pivotField>
    <pivotField showAll="0">
      <items count="4">
        <item h="1" x="0"/>
        <item x="1"/>
        <item h="1" x="2"/>
        <item t="default"/>
      </items>
    </pivotField>
    <pivotField showAll="0">
      <items count="6">
        <item h="1" x="0"/>
        <item h="1" x="1"/>
        <item x="2"/>
        <item h="1" m="1" x="4"/>
        <item h="1" x="3"/>
        <item t="default"/>
      </items>
    </pivotField>
    <pivotField axis="axisCol" showAll="0">
      <items count="4">
        <item x="0"/>
        <item x="1"/>
        <item x="2"/>
        <item t="default"/>
      </items>
    </pivotField>
    <pivotField axis="axisPage" multipleItemSelectionAllowed="1" showAll="0">
      <items count="4">
        <item h="1" x="1"/>
        <item x="0"/>
        <item h="1" x="2"/>
        <item t="default"/>
      </items>
    </pivotField>
    <pivotField showAll="0"/>
    <pivotField showAll="0"/>
    <pivotField showAll="0"/>
    <pivotField showAll="0"/>
    <pivotField dataField="1" numFmtId="43"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
  </rowFields>
  <rowItems count="6">
    <i>
      <x v="2"/>
    </i>
    <i>
      <x v="3"/>
    </i>
    <i>
      <x v="5"/>
    </i>
    <i>
      <x v="6"/>
    </i>
    <i>
      <x v="7"/>
    </i>
    <i t="grand">
      <x/>
    </i>
  </rowItems>
  <colFields count="1">
    <field x="4"/>
  </colFields>
  <colItems count="2">
    <i>
      <x/>
    </i>
    <i>
      <x v="1"/>
    </i>
  </colItems>
  <pageFields count="1">
    <pageField fld="5" hier="-1"/>
  </pageFields>
  <dataFields count="1">
    <dataField name="Sum of Tổng (A1+A+B)" fld="10" baseField="0" baseItem="0" numFmtId="43"/>
  </dataFields>
  <chartFormats count="2">
    <chartFormat chart="3" format="4" series="1">
      <pivotArea type="data" outline="0" fieldPosition="0">
        <references count="2">
          <reference field="4294967294" count="1" selected="0">
            <x v="0"/>
          </reference>
          <reference field="4" count="1" selected="0">
            <x v="0"/>
          </reference>
        </references>
      </pivotArea>
    </chartFormat>
    <chartFormat chart="3" format="5"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8B3B8096-A64B-4186-8A72-3C8344695F73}" name="PivotTable4" cacheId="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O5:P11" firstHeaderRow="1" firstDataRow="1" firstDataCol="1"/>
  <pivotFields count="9">
    <pivotField showAll="0"/>
    <pivotField showAll="0">
      <items count="14">
        <item h="1" x="0"/>
        <item h="1" m="1" x="8"/>
        <item h="1" x="1"/>
        <item h="1" x="2"/>
        <item h="1" x="3"/>
        <item h="1" x="4"/>
        <item h="1" x="5"/>
        <item x="6"/>
        <item h="1" m="1" x="9"/>
        <item h="1" m="1" x="10"/>
        <item h="1" m="1" x="11"/>
        <item h="1" m="1" x="12"/>
        <item h="1" x="7"/>
        <item t="default"/>
      </items>
    </pivotField>
    <pivotField showAll="0">
      <items count="4">
        <item h="1" x="0"/>
        <item x="1"/>
        <item h="1" x="2"/>
        <item t="default"/>
      </items>
    </pivotField>
    <pivotField showAll="0">
      <items count="6">
        <item h="1" x="0"/>
        <item h="1" x="1"/>
        <item x="2"/>
        <item h="1" m="1" x="4"/>
        <item h="1" x="3"/>
        <item t="default"/>
      </items>
    </pivotField>
    <pivotField showAll="0">
      <items count="7">
        <item x="4"/>
        <item x="3"/>
        <item x="1"/>
        <item x="0"/>
        <item x="2"/>
        <item x="5"/>
        <item t="default"/>
      </items>
    </pivotField>
    <pivotField axis="axisRow" showAll="0" sortType="descending">
      <items count="25">
        <item x="12"/>
        <item m="1" x="23"/>
        <item x="6"/>
        <item x="2"/>
        <item m="1" x="22"/>
        <item x="5"/>
        <item x="7"/>
        <item x="4"/>
        <item x="9"/>
        <item m="1" x="21"/>
        <item x="3"/>
        <item x="11"/>
        <item x="0"/>
        <item m="1" x="20"/>
        <item x="10"/>
        <item x="8"/>
        <item h="1" x="19"/>
        <item x="1"/>
        <item h="1" x="13"/>
        <item h="1" x="14"/>
        <item h="1" x="15"/>
        <item h="1" x="16"/>
        <item h="1" x="17"/>
        <item h="1" x="18"/>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s>
  <rowFields count="1">
    <field x="5"/>
  </rowFields>
  <rowItems count="6">
    <i>
      <x v="6"/>
    </i>
    <i>
      <x/>
    </i>
    <i>
      <x v="8"/>
    </i>
    <i>
      <x v="10"/>
    </i>
    <i>
      <x v="17"/>
    </i>
    <i t="grand">
      <x/>
    </i>
  </rowItems>
  <colItems count="1">
    <i/>
  </colItems>
  <dataFields count="1">
    <dataField name="Sum of Sản lượng" fld="7" baseField="5" baseItem="6" numFmtId="164"/>
  </dataFields>
  <formats count="1">
    <format dxfId="245">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397442D2-417E-4CD6-85FB-4DDE5D74E075}" name="PivotTable8" cacheId="96"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A39:A40" firstHeaderRow="1" firstDataRow="1" firstDataCol="0" rowPageCount="1" colPageCount="1"/>
  <pivotFields count="23">
    <pivotField showAll="0"/>
    <pivotField showAll="0">
      <items count="14">
        <item h="1" x="0"/>
        <item h="1" m="1" x="8"/>
        <item h="1" x="1"/>
        <item h="1" x="2"/>
        <item h="1" x="3"/>
        <item h="1" x="4"/>
        <item h="1" x="5"/>
        <item x="6"/>
        <item h="1" m="1" x="9"/>
        <item h="1" m="1" x="10"/>
        <item h="1" m="1" x="11"/>
        <item h="1" m="1" x="12"/>
        <item h="1" x="7"/>
        <item t="default"/>
      </items>
    </pivotField>
    <pivotField showAll="0">
      <items count="4">
        <item h="1" x="0"/>
        <item x="1"/>
        <item h="1" x="2"/>
        <item t="default"/>
      </items>
    </pivotField>
    <pivotField showAll="0">
      <items count="6">
        <item h="1" x="0"/>
        <item h="1" x="1"/>
        <item x="2"/>
        <item h="1" m="1" x="4"/>
        <item h="1" x="3"/>
        <item t="default"/>
      </items>
    </pivotField>
    <pivotField axis="axisPage" multipleItemSelectionAllowed="1" showAll="0">
      <items count="4">
        <item h="1" x="0"/>
        <item x="1"/>
        <item h="1" x="2"/>
        <item t="default"/>
      </items>
    </pivotField>
    <pivotField multipleItemSelectionAllowed="1" showAll="0"/>
    <pivotField showAll="0"/>
    <pivotField showAll="0"/>
    <pivotField showAll="0"/>
    <pivotField showAll="0"/>
    <pivotField numFmtId="43" showAll="0"/>
    <pivotField dataField="1"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pageFields count="1">
    <pageField fld="4" hier="-1"/>
  </pageFields>
  <dataFields count="1">
    <dataField name="Sum of Số ngày SX" fld="11" baseField="0" baseItem="0" numFmtId="43"/>
  </dataFields>
  <formats count="1">
    <format dxfId="24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áng" xr10:uid="{D620558F-F5D2-48FE-9271-0FB187DFF94B}" sourceName="Tháng">
  <pivotTables>
    <pivotTable tabId="33" name="Cơ cấu chất lượng"/>
    <pivotTable tabId="33" name="Tổng kế hoạch"/>
    <pivotTable tabId="33" name="Tổng thực hiện"/>
    <pivotTable tabId="33" name="PivotTable2"/>
    <pivotTable tabId="33" name="PivotTable8"/>
    <pivotTable tabId="33" name="PivotTable3"/>
    <pivotTable tabId="33" name="PivotTable12"/>
    <pivotTable tabId="33" name="PivotTable21"/>
    <pivotTable tabId="33" name="PivotTable6"/>
    <pivotTable tabId="33" name="PivotTable13"/>
    <pivotTable tabId="33" name="PivotTable22"/>
  </pivotTables>
  <data>
    <tabular pivotCacheId="1822451164">
      <items count="13">
        <i x="1"/>
        <i x="2"/>
        <i x="4"/>
        <i x="5"/>
        <i x="6" s="1"/>
        <i x="0" nd="1"/>
        <i x="8" nd="1"/>
        <i x="3" nd="1"/>
        <i x="9" nd="1"/>
        <i x="10" nd="1"/>
        <i x="11" nd="1"/>
        <i x="12" nd="1"/>
        <i x="7"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ây_chuyền" xr10:uid="{1E30A35B-EF03-43B6-9FC4-00E8A59C1273}" sourceName="Dây chuyền">
  <pivotTables>
    <pivotTable tabId="33" name="Tổng sản lượng thu hồi "/>
    <pivotTable tabId="33" name="Cơ cấu chất lượng"/>
    <pivotTable tabId="33" name="Tổng kế hoạch"/>
    <pivotTable tabId="33" name="Tổng thực hiện"/>
    <pivotTable tabId="33" name="PivotTable2"/>
    <pivotTable tabId="33" name="PivotTable8"/>
    <pivotTable tabId="33" name="PivotTable3"/>
    <pivotTable tabId="33" name="PivotTable12"/>
    <pivotTable tabId="33" name="PivotTable21"/>
    <pivotTable tabId="33" name="PivotTable6"/>
    <pivotTable tabId="33" name="PivotTable13"/>
    <pivotTable tabId="33" name="PivotTable22"/>
  </pivotTables>
  <data>
    <tabular pivotCacheId="1822451164">
      <items count="3">
        <i x="1" s="1"/>
        <i x="0" nd="1"/>
        <i x="2"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ích_thước" xr10:uid="{3EFF8341-1F40-486D-B8FA-6B7E268E5620}" sourceName="Kích thước">
  <pivotTables>
    <pivotTable tabId="33" name="Tổng sản lượng thu hồi "/>
    <pivotTable tabId="33" name="Cơ cấu chất lượng"/>
    <pivotTable tabId="33" name="PivotTable2"/>
    <pivotTable tabId="33" name="Tổng kế hoạch"/>
    <pivotTable tabId="33" name="Tổng thực hiện"/>
    <pivotTable tabId="33" name="PivotTable8"/>
    <pivotTable tabId="33" name="PivotTable3"/>
    <pivotTable tabId="33" name="PivotTable12"/>
    <pivotTable tabId="33" name="PivotTable21"/>
    <pivotTable tabId="33" name="PivotTable6"/>
    <pivotTable tabId="33" name="PivotTable13"/>
    <pivotTable tabId="33" name="PivotTable22"/>
  </pivotTables>
  <data>
    <tabular pivotCacheId="1822451164">
      <items count="5">
        <i x="1"/>
        <i x="2" s="1"/>
        <i x="0" nd="1"/>
        <i x="4" nd="1"/>
        <i x="3"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ích_thước1" xr10:uid="{0EF96125-CB14-4E4A-8B37-13742551107D}" sourceName="Kích thước">
  <pivotTables>
    <pivotTable tabId="33" name="PivotTable4"/>
    <pivotTable tabId="33" name="PivotTable10"/>
    <pivotTable tabId="33" name="PivotTable9"/>
  </pivotTables>
  <data>
    <tabular pivotCacheId="893767876">
      <items count="5">
        <i x="1"/>
        <i x="2" s="1"/>
        <i x="0" nd="1"/>
        <i x="4" nd="1"/>
        <i x="3"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n" xr10:uid="{0CC42893-72CF-4846-A48E-B74DEE7CA5AD}" sourceName="Men">
  <pivotTables>
    <pivotTable tabId="33" name="PivotTable4"/>
    <pivotTable tabId="33" name="PivotTable10"/>
    <pivotTable tabId="33" name="PivotTable9"/>
  </pivotTables>
  <data>
    <tabular pivotCacheId="893767876">
      <items count="6">
        <i x="4" s="1"/>
        <i x="2" s="1"/>
        <i x="3" s="1" nd="1"/>
        <i x="1" s="1" nd="1"/>
        <i x="0" s="1" nd="1"/>
        <i x="5"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áng1" xr10:uid="{389DC46C-05FB-4DDD-BC20-847750D8C3E2}" sourceName="Tháng">
  <pivotTables>
    <pivotTable tabId="33" name="PivotTable4"/>
    <pivotTable tabId="33" name="PivotTable10"/>
    <pivotTable tabId="33" name="PivotTable9"/>
  </pivotTables>
  <data>
    <tabular pivotCacheId="893767876">
      <items count="13">
        <i x="1"/>
        <i x="2"/>
        <i x="4"/>
        <i x="5"/>
        <i x="6" s="1"/>
        <i x="0" nd="1"/>
        <i x="8" nd="1"/>
        <i x="3" nd="1"/>
        <i x="9" nd="1"/>
        <i x="10" nd="1"/>
        <i x="11" nd="1"/>
        <i x="12" nd="1"/>
        <i x="7"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ây_chuyền1" xr10:uid="{95F804C8-49A0-4163-B31D-C6B12E6571B9}" sourceName="Dây chuyền">
  <pivotTables>
    <pivotTable tabId="33" name="PivotTable4"/>
    <pivotTable tabId="33" name="PivotTable10"/>
    <pivotTable tabId="33" name="PivotTable9"/>
  </pivotTables>
  <data>
    <tabular pivotCacheId="893767876">
      <items count="3">
        <i x="1" s="1"/>
        <i x="0" nd="1"/>
        <i x="2"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ương_hiệu" xr10:uid="{B4A4BEC1-426C-474E-96A1-4C47956E131A}" sourceName="Thương hiệu">
  <pivotTables>
    <pivotTable tabId="33" name="PivotTable10"/>
    <pivotTable tabId="33" name="PivotTable9"/>
  </pivotTables>
  <data>
    <tabular pivotCacheId="893767876">
      <items count="24">
        <i x="1" s="1"/>
        <i x="3" s="1"/>
        <i x="9" s="1"/>
        <i x="7" s="1"/>
        <i x="12" s="1"/>
        <i x="8" s="1" nd="1"/>
        <i x="10" s="1" nd="1"/>
        <i x="17" s="1" nd="1"/>
        <i x="20" s="1" nd="1"/>
        <i x="0" s="1" nd="1"/>
        <i x="11" s="1" nd="1"/>
        <i x="21" s="1" nd="1"/>
        <i x="14" s="1" nd="1"/>
        <i x="4" s="1" nd="1"/>
        <i x="18" s="1" nd="1"/>
        <i x="5" s="1" nd="1"/>
        <i x="22" s="1" nd="1"/>
        <i x="2" s="1" nd="1"/>
        <i x="6" s="1" nd="1"/>
        <i x="15" s="1" nd="1"/>
        <i x="23" s="1" nd="1"/>
        <i x="13" s="1" nd="1"/>
        <i x="16" s="1" nd="1"/>
        <i x="19" s="1"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áng2" xr10:uid="{C62C68CC-2A62-4D4F-8E1B-ACDB1F65A2C5}" sourceName="Tháng">
  <pivotTables>
    <pivotTable tabId="33" name="PivotTable11"/>
    <pivotTable tabId="33" name="PivotTable1"/>
    <pivotTable tabId="33" name="PivotTable5"/>
    <pivotTable tabId="33" name="PivotTable7"/>
  </pivotTables>
  <data>
    <tabular pivotCacheId="1650882196">
      <items count="13">
        <i x="0"/>
        <i x="1"/>
        <i x="2"/>
        <i x="3"/>
        <i x="4"/>
        <i x="5"/>
        <i x="6" s="1"/>
        <i x="8" nd="1"/>
        <i x="9" nd="1"/>
        <i x="10" nd="1"/>
        <i x="11" nd="1"/>
        <i x="12" nd="1"/>
        <i x="7" nd="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C" xr10:uid="{697FE155-279A-48C8-8BC9-D2B51E20323B}" sourceName="DC">
  <pivotTables>
    <pivotTable tabId="33" name="PivotTable11"/>
    <pivotTable tabId="33" name="PivotTable1"/>
    <pivotTable tabId="33" name="PivotTable5"/>
    <pivotTable tabId="33" name="PivotTable7"/>
  </pivotTables>
  <data>
    <tabular pivotCacheId="1650882196">
      <items count="3">
        <i x="0" s="1"/>
        <i x="1" s="1" nd="1"/>
        <i x="2" s="1" nd="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guyên_liệu__vật_tư" xr10:uid="{C86F3B94-ED77-45D6-AB26-D24A832E4BB0}" sourceName="Nguyên liệu, vật tư">
  <pivotTables>
    <pivotTable tabId="33" name="PivotTable11"/>
    <pivotTable tabId="33" name="PivotTable1"/>
    <pivotTable tabId="33" name="PivotTable5"/>
    <pivotTable tabId="33" name="PivotTable7"/>
  </pivotTables>
  <data>
    <tabular pivotCacheId="1650882196">
      <items count="26">
        <i x="7"/>
        <i x="11"/>
        <i x="12"/>
        <i x="10"/>
        <i x="9"/>
        <i x="14"/>
        <i x="8"/>
        <i x="17"/>
        <i x="1"/>
        <i x="2"/>
        <i x="3"/>
        <i x="4"/>
        <i x="6"/>
        <i x="5"/>
        <i x="15"/>
        <i x="0" s="1"/>
        <i x="16"/>
        <i x="13"/>
        <i x="25" nd="1"/>
        <i x="22" nd="1"/>
        <i x="18" nd="1"/>
        <i x="21" nd="1"/>
        <i x="23" nd="1"/>
        <i x="19" nd="1"/>
        <i x="20" nd="1"/>
        <i x="24" nd="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ích_thước2" xr10:uid="{4170ABAF-E04F-4114-BB69-85D8B3B31B97}" sourceName="Kích thước">
  <pivotTables>
    <pivotTable tabId="33" name="PivotTable11"/>
    <pivotTable tabId="33" name="PivotTable1"/>
    <pivotTable tabId="33" name="PivotTable5"/>
    <pivotTable tabId="33" name="PivotTable7"/>
  </pivotTables>
  <data>
    <tabular pivotCacheId="1650882196">
      <items count="5">
        <i x="0" s="1"/>
        <i x="1"/>
        <i x="2"/>
        <i x="4" nd="1"/>
        <i x="3" nd="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áng3" xr10:uid="{59F2E97E-4B15-42F8-932A-FA7E2E65D2F0}" sourceName="Tháng">
  <pivotTables>
    <pivotTable tabId="33" name="PivotTable16"/>
    <pivotTable tabId="33" name="PivotTable17"/>
    <pivotTable tabId="33" name="PivotTable15"/>
    <pivotTable tabId="33" name="PivotTable18"/>
    <pivotTable tabId="33" name="PivotTable20"/>
  </pivotTables>
  <data>
    <tabular pivotCacheId="222347203">
      <items count="13">
        <i x="0"/>
        <i x="1"/>
        <i x="2"/>
        <i x="3"/>
        <i x="4"/>
        <i x="5"/>
        <i x="6" s="1"/>
        <i x="7"/>
        <i x="8" nd="1"/>
        <i x="9" nd="1"/>
        <i x="10" nd="1"/>
        <i x="11" nd="1"/>
        <i x="12" nd="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C1" xr10:uid="{E0132641-1A4B-4468-AA1B-49182E7DED6B}" sourceName="DC">
  <pivotTables>
    <pivotTable tabId="33" name="PivotTable14"/>
    <pivotTable tabId="33" name="PivotTable15"/>
    <pivotTable tabId="33" name="PivotTable16"/>
    <pivotTable tabId="33" name="PivotTable17"/>
    <pivotTable tabId="33" name="PivotTable18"/>
    <pivotTable tabId="33" name="PivotTable20"/>
  </pivotTables>
  <data>
    <tabular pivotCacheId="222347203">
      <items count="3">
        <i x="0" s="1"/>
        <i x="1" s="1"/>
        <i x="2" s="1" nd="1"/>
      </items>
    </tabular>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ích_thước3" xr10:uid="{829A1A09-E96A-41B8-A8F8-C02A417D3DA3}" sourceName="Kích thước">
  <pivotTables>
    <pivotTable tabId="33" name="PivotTable14"/>
    <pivotTable tabId="33" name="PivotTable15"/>
    <pivotTable tabId="33" name="PivotTable16"/>
    <pivotTable tabId="33" name="PivotTable17"/>
    <pivotTable tabId="33" name="PivotTable18"/>
    <pivotTable tabId="33" name="PivotTable20"/>
  </pivotTables>
  <data>
    <tabular pivotCacheId="222347203">
      <items count="5">
        <i x="0" s="1"/>
        <i x="1" s="1"/>
        <i x="2" s="1"/>
        <i x="4" s="1" nd="1"/>
        <i x="3" s="1" nd="1"/>
      </items>
    </tabular>
  </data>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ên_than" xr10:uid="{14C5D283-3C9C-47BC-83C5-16BD7838832A}" sourceName="Tên than">
  <pivotTables>
    <pivotTable tabId="33" name="PivotTable15"/>
    <pivotTable tabId="33" name="PivotTable14"/>
    <pivotTable tabId="33" name="PivotTable16"/>
    <pivotTable tabId="33" name="PivotTable17"/>
    <pivotTable tabId="33" name="PivotTable18"/>
    <pivotTable tabId="33" name="PivotTable20"/>
  </pivotTables>
  <data>
    <tabular pivotCacheId="222347203">
      <items count="5">
        <i x="1" s="1"/>
        <i x="0" s="1"/>
        <i x="3" s="1" nd="1"/>
        <i x="4" s="1" nd="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háng" xr10:uid="{7D11DC38-8616-4AD3-B733-5122D8D3A373}" cache="Slicer_Tháng" caption="Tháng" columnCount="4" style="Slicer Style 1 2" rowHeight="262466"/>
  <slicer name="Tháng 4" xr10:uid="{855769D9-0433-5542-A127-B6D69DD9EF5B}" cache="Slicer_Tháng" caption="Tháng" columnCount="4" style="Slicer Style 1 2" rowHeight="262466"/>
  <slicer name="Tháng 5" xr10:uid="{2EF4848E-A82A-F44B-94FD-4A853EE43213}" cache="Slicer_Tháng" caption="Tháng" columnCount="4" style="Slicer Style 1 2" rowHeight="262466"/>
  <slicer name="Tháng 6" xr10:uid="{718FB931-637E-A94B-8143-2156D777F57E}" cache="Slicer_Tháng" caption="Tháng" columnCount="4" style="Slicer Style 1 2" rowHeight="262466"/>
  <slicer name="Tháng 7" xr10:uid="{E7B99255-A1CA-6748-BA89-777090E76482}" cache="Slicer_Tháng" caption="Tháng" columnCount="4" style="Slicer Style 1 2" rowHeight="262466"/>
  <slicer name="Dây chuyền" xr10:uid="{BBDD07D4-3435-49ED-9BED-B6EBB4820B5D}" cache="Slicer_Dây_chuyền" caption="Dây chuyền" columnCount="2" style="Slicer Style 1 2" rowHeight="262466"/>
  <slicer name="Kích thước" xr10:uid="{F3442D5C-ACA3-4CE5-8DAF-3B6A8F3EBC5E}" cache="Slicer_Kích_thước" caption="Kích thước" columnCount="2" style="Slicer Style 1 2" rowHeight="262466"/>
  <slicer name="Kích thước 1" xr10:uid="{A93BA43B-6625-4DD2-822C-ABC9E2B6F360}" cache="Slicer_Kích_thước1" caption="Kích thước" columnCount="2" style="Slicer Style 1 2" rowHeight="262466"/>
  <slicer name="Men" xr10:uid="{73C6756E-7D23-4E68-B506-E3F85E2A2221}" cache="Slicer_Men" caption="Men" style="Slicer Style 1 2" rowHeight="262466"/>
  <slicer name="Tháng 1" xr10:uid="{E838E4AF-977B-43FE-823A-85C4BF47B23C}" cache="Slicer_Tháng1" caption="Tháng" columnCount="3" style="Slicer Style 1 2" rowHeight="262466"/>
  <slicer name="Dây chuyền 1" xr10:uid="{07B040A2-1F99-4E6E-9891-62B9EF99926C}" cache="Slicer_Dây_chuyền1" caption="Dây chuyền" style="Slicer Style 1 2" rowHeight="262466"/>
  <slicer name="Thương hiệu" xr10:uid="{1E211FDD-3808-4714-9FC7-4375EDE27FA1}" cache="Slicer_Thương_hiệu" caption="Thương hiệu" style="Slicer Style 1 2" rowHeight="262466"/>
  <slicer name="Tháng 2" xr10:uid="{9DECD3BC-5FA1-449C-9DA8-4CF765842C11}" cache="Slicer_Tháng2" caption="Tháng" columnCount="2" style="Slicer Style 1 2" rowHeight="262466"/>
  <slicer name="DC" xr10:uid="{8ED2FDAC-95E2-45EE-A535-C478CD0CC8D3}" cache="Slicer_DC" caption="DC" style="Slicer Style 1 2" rowHeight="262466"/>
  <slicer name="Nguyên liệu, vật tư" xr10:uid="{ECC89462-ACDE-40D1-B77D-6897EB50AF6D}" cache="Slicer_Nguyên_liệu__vật_tư" caption="Nguyên liệu, vật tư" columnCount="2" style="Slicer Style 1 2" rowHeight="262466"/>
  <slicer name="Kích thước 2" xr10:uid="{8888D233-D7DF-444A-9F16-44B387B6B59C}" cache="Slicer_Kích_thước2" caption="Kích thước" columnCount="2" style="Slicer Style 1 2" rowHeight="262466"/>
  <slicer name="Tháng 3" xr10:uid="{AF2E7C0C-CCF5-4284-991E-3B60959ACAF9}" cache="Slicer_Tháng3" caption="Tháng" columnCount="2" style="Slicer Style 1 2" rowHeight="262466"/>
  <slicer name="DC 1" xr10:uid="{930BED2E-BB1A-45C7-8638-8B58BE89B4BA}" cache="Slicer_DC1" caption="DC" style="Slicer Style 1 2" rowHeight="262466"/>
  <slicer name="Kích thước 3" xr10:uid="{CE789CFF-0787-4713-A1C6-0F19CB3B6277}" cache="Slicer_Kích_thước3" caption="Kích thước" columnCount="2" style="Slicer Style 1 2" rowHeight="262466"/>
  <slicer name="Tên than" xr10:uid="{77273FB0-E8DA-4104-B7BC-A6E551678E09}" cache="Slicer_Tên_than" caption="Tên than" style="Slicer Style 1 2"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E5A24F7-2744-40B7-9028-916C045CDAFD}" name="Table1" displayName="Table1" ref="A2:R75" totalsRowShown="0" headerRowDxfId="337" dataDxfId="335" headerRowBorderDxfId="336" tableBorderDxfId="334" totalsRowBorderDxfId="333" dataCellStyle="Comma">
  <tableColumns count="18">
    <tableColumn id="1" xr3:uid="{CBAE3E23-3C6D-40C3-A2E1-439F12E4BB78}" name="STT" dataDxfId="332">
      <calculatedColumnFormula>IF(B3="","",COUNTA($B$3:B3))</calculatedColumnFormula>
    </tableColumn>
    <tableColumn id="2" xr3:uid="{FEEF8143-8A85-444B-A312-FFAB24332F12}" name="Tháng" dataDxfId="331"/>
    <tableColumn id="3" xr3:uid="{0679CEC4-E63C-458F-9BC8-E496E333C25E}" name="Dây chuyền" dataDxfId="330"/>
    <tableColumn id="4" xr3:uid="{4545DDBF-7CA8-4179-9945-D277CC5C875D}" name="Kích thước" dataDxfId="329"/>
    <tableColumn id="5" xr3:uid="{D4C19762-7C7C-4EBE-A624-9732D2DE9A0C}" name="Loại số liệu" dataDxfId="328"/>
    <tableColumn id="17" xr3:uid="{525F1583-EFEF-465A-8102-9DB796D6E9BD}" name="Đơn vị" dataDxfId="327"/>
    <tableColumn id="6" xr3:uid="{FEDC8ADA-D739-450F-9BAB-611FD2C44417}" name="Tổng sản lượng ép" dataDxfId="326" dataCellStyle="Comma">
      <calculatedColumnFormula>IFERROR(IF(AND(Table1[[#This Row],[Loại số liệu]]="Kế hoạch",Table1[[#This Row],[Đơn vị]]="m2"),
   Table1[[#This Row],[Tổng (A1+A+B)]]*100/N4,
   IF(AND(Table1[[#This Row],[Loại số liệu]]="Thực hiện",Table1[[#This Row],[Đơn vị]]="m2"),
      T3,
      ""
   )
),0)</calculatedColumnFormula>
    </tableColumn>
    <tableColumn id="7" xr3:uid="{613BF71E-EBF9-4EF3-81F3-C86C8C7C93F8}" name="A1" dataDxfId="325" dataCellStyle="Comma"/>
    <tableColumn id="8" xr3:uid="{3BAE7E34-3B81-4B59-8490-B98C51E85757}" name="A" dataDxfId="324" dataCellStyle="Comma"/>
    <tableColumn id="9" xr3:uid="{744FBAED-2DAE-4FC4-A234-944B24962EB6}" name="B" dataDxfId="323" dataCellStyle="Comma"/>
    <tableColumn id="10" xr3:uid="{686300E1-7D81-4EC4-B04E-F1D6D1820931}" name="Tổng (A1+A+B)" dataDxfId="322" dataCellStyle="Comma">
      <calculatedColumnFormula>Table1[[#This Row],[A1]]+Table1[[#This Row],[A]]+Table1[[#This Row],[B]]</calculatedColumnFormula>
    </tableColumn>
    <tableColumn id="11" xr3:uid="{10BF5CD9-6C93-4F15-B822-BEAA26D27325}" name="Số ngày SX" dataDxfId="321" dataCellStyle="Comma"/>
    <tableColumn id="12" xr3:uid="{62C12F9C-4015-4C63-8383-17FFC2CAD160}" name="TB/ ngày " dataDxfId="320" dataCellStyle="Comma"/>
    <tableColumn id="13" xr3:uid="{5D67D516-EEB0-4E71-B95E-07CFBC04AE89}" name="A/ép" dataDxfId="319" dataCellStyle="Comma"/>
    <tableColumn id="14" xr3:uid="{757978C1-896E-4BD0-A589-ABD3D6FF0410}" name="C/ép" dataDxfId="318" dataCellStyle="Comma"/>
    <tableColumn id="15" xr3:uid="{8909C008-30D4-4BFA-8B78-8B2D84CE3724}" name="Huỷ/ép" dataDxfId="317" dataCellStyle="Comma"/>
    <tableColumn id="16" xr3:uid="{7765FEF6-8788-4DEB-AAE2-39DCC35B4F3A}" name="T/g dừng 2MF" dataDxfId="316" dataCellStyle="Comma"/>
    <tableColumn id="18" xr3:uid="{4742FCDD-85E2-41F8-9FB6-0105068EDDFA}" name="T/g dừng tổng" dataDxfId="315" dataCellStyle="Comma">
      <calculatedColumnFormula>IFERROR(Table1[[#This Row],[T/g dừng 2MF]]*Table1[[#This Row],[Số ngày SX]],"")</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82E304C-EF33-4E8C-AB50-FC92077296FE}" name="Table6" displayName="Table6" ref="T2:AC75" totalsRowShown="0" headerRowDxfId="314" headerRowBorderDxfId="313" tableBorderDxfId="312" totalsRowBorderDxfId="311" dataCellStyle="Comma">
  <autoFilter ref="T2:AC75" xr:uid="{182E304C-EF33-4E8C-AB50-FC92077296FE}"/>
  <tableColumns count="10">
    <tableColumn id="1" xr3:uid="{90894FD5-BD1B-4678-9075-43304A712964}" name="Tổng sản lượng ép" dataDxfId="310" dataCellStyle="Comma"/>
    <tableColumn id="2" xr3:uid="{A20BF997-98F4-47B2-83FF-FAD944A96535}" name="A1" dataDxfId="309" dataCellStyle="Comma"/>
    <tableColumn id="3" xr3:uid="{1EBF29B7-09C3-4B75-90A7-8A2740C29694}" name="A" dataDxfId="308" dataCellStyle="Comma"/>
    <tableColumn id="4" xr3:uid="{24C56A7D-EBB9-430A-A9F6-9014F3D1B289}" name="B" dataDxfId="307" dataCellStyle="Comma"/>
    <tableColumn id="5" xr3:uid="{57096607-26F9-4FFB-BE54-0FA33C694FB6}" name="Số ngày SX" dataDxfId="306" dataCellStyle="Comma"/>
    <tableColumn id="6" xr3:uid="{39988690-77BF-41F9-AF3D-228DC96B9998}" name="TB/ ngày " dataDxfId="305" dataCellStyle="Comma"/>
    <tableColumn id="7" xr3:uid="{194C0A7B-C6E2-4F0F-BBD1-5BA3CB4DA49E}" name="A/ép" dataDxfId="304" dataCellStyle="Comma"/>
    <tableColumn id="8" xr3:uid="{B76AA413-F5BF-4316-9CA5-F38D43A6B452}" name="C/ép" dataDxfId="303" dataCellStyle="Comma"/>
    <tableColumn id="9" xr3:uid="{3C01AF56-F697-4E22-BDB5-93F88B47DD69}" name="Huỷ/ép" dataDxfId="302" dataCellStyle="Comma"/>
    <tableColumn id="10" xr3:uid="{0AC8D356-74D6-4C37-9E50-27B0ED9CA625}" name="T/g dừng 2MF" dataDxfId="301" dataCellStyle="Comma"/>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A88886F-2802-49CF-B11D-6F0E8E351953}" name="Table2" displayName="Table2" ref="A2:I973" totalsRowShown="0" headerRowDxfId="300" headerRowBorderDxfId="299" tableBorderDxfId="298" totalsRowBorderDxfId="297">
  <autoFilter ref="A2:I973" xr:uid="{9A88886F-2802-49CF-B11D-6F0E8E351953}"/>
  <tableColumns count="9">
    <tableColumn id="1" xr3:uid="{7E0788CA-E4A3-431E-8B88-29F2F5E2A993}" name="STT" dataDxfId="296">
      <calculatedColumnFormula>IF(B3="","",COUNTA($B$3:B3))</calculatedColumnFormula>
    </tableColumn>
    <tableColumn id="2" xr3:uid="{70F72024-5A60-453A-B772-28A0943D9D02}" name="Tháng" dataDxfId="295"/>
    <tableColumn id="3" xr3:uid="{E672CAF8-933E-4DFC-B918-EF6C7F2F5B5B}" name="Dây chuyền" dataDxfId="294"/>
    <tableColumn id="4" xr3:uid="{52FC2021-3921-4891-811C-C0FEAFA133E9}" name="Kích thước" dataDxfId="293"/>
    <tableColumn id="5" xr3:uid="{A4E8369F-7837-439A-93FF-639B091AE79F}" name="Men" dataDxfId="292"/>
    <tableColumn id="6" xr3:uid="{AFEFF31D-756E-41F7-A5F6-198C15258E95}" name="Thương hiệu" dataDxfId="291" dataCellStyle="Comma"/>
    <tableColumn id="7" xr3:uid="{AA967B17-4ADD-4AB5-8A99-A29F835C5C5D}" name="Loại" dataDxfId="290" dataCellStyle="Comma"/>
    <tableColumn id="8" xr3:uid="{39F5F2A4-537D-49A4-86B5-6B1ED3676041}" name="Sản lượng" dataDxfId="289" dataCellStyle="Comma"/>
    <tableColumn id="9" xr3:uid="{9EBFF203-004C-D442-A7FE-66B921326914}" name="Column1" dataDxfId="20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03BBA50-CE61-45C3-9840-A317CE1BDA9F}" name="Table4" displayName="Table4" ref="A2:L283" totalsRowShown="0" headerRowDxfId="288" dataDxfId="286" headerRowBorderDxfId="287" tableBorderDxfId="285" totalsRowBorderDxfId="284" dataCellStyle="Comma">
  <autoFilter ref="A2:L283" xr:uid="{C03BBA50-CE61-45C3-9840-A317CE1BDA9F}"/>
  <tableColumns count="12">
    <tableColumn id="1" xr3:uid="{2D4A1320-F856-4596-9207-3A4A05548048}" name="STT" dataDxfId="283">
      <calculatedColumnFormula>IF(B3="","",COUNTA($B$3:B3))</calculatedColumnFormula>
    </tableColumn>
    <tableColumn id="2" xr3:uid="{9D5C628C-92C4-4F8F-BA04-9B04B25D7F26}" name="Tháng" dataDxfId="282"/>
    <tableColumn id="3" xr3:uid="{1D63BD20-C4CE-4330-A90E-2D7249C61F19}" name="DC" dataDxfId="281"/>
    <tableColumn id="4" xr3:uid="{62DD276D-2BC2-497B-94CA-3028F4469AA1}" name="Kích thước" dataDxfId="280"/>
    <tableColumn id="5" xr3:uid="{0EB98ACA-C654-4FEC-A0F4-FF441ABF9803}" name="Nguyên liệu, vật tư" dataDxfId="279"/>
    <tableColumn id="6" xr3:uid="{B51CC82E-F834-4068-80DD-13049A2B3AEF}" name="ĐVT" dataDxfId="278">
      <calculatedColumnFormula>IFERROR(VLOOKUP(Table4[[#This Row],[Nguyên liệu, vật tư]],TblMap[[Mới (quy định lại)]:[Đơn vị]],2,0),"")</calculatedColumnFormula>
    </tableColumn>
    <tableColumn id="7" xr3:uid="{A8E784BC-757A-4075-9299-59640C9755B0}" name="Định mức tiêu hao" dataDxfId="277" dataCellStyle="Comma"/>
    <tableColumn id="8" xr3:uid="{F3D84E1D-9C96-4904-A06E-4EFE9DF4B163}" name="Thực tế" dataDxfId="276" dataCellStyle="Comma">
      <calculatedColumnFormula>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calculatedColumnFormula>
    </tableColumn>
    <tableColumn id="9" xr3:uid="{43E7F5AC-A8A9-46FB-8397-512E3F26307C}" name="Lượng SD" dataDxfId="275" dataCellStyle="Comma"/>
    <tableColumn id="10" xr3:uid="{6C981283-E584-47E8-B4BA-3C76C50FCD6C}" name="Giảm ĐM" dataDxfId="274" dataCellStyle="Comma">
      <calculatedColumnFormula>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calculatedColumnFormula>
    </tableColumn>
    <tableColumn id="11" xr3:uid="{4B33AAE4-EACF-472F-B619-746A166DF9D4}" name="Vượt ĐM" dataDxfId="273" dataCellStyle="Comma">
      <calculatedColumnFormula>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calculatedColumnFormula>
    </tableColumn>
    <tableColumn id="12" xr3:uid="{B76C07E6-3135-499D-8F0D-4001BDDB661A}" name="Sản lượng thực tế" dataDxfId="272" dataCellStyle="Comma">
      <calculatedColumnFormula>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calculatedColumnFormula>
    </tableColumn>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48ADA1D-E122-43A3-AA62-64759825D5D4}" name="Table3" displayName="Table3" ref="A2:T80" totalsRowShown="0" headerRowDxfId="271" dataDxfId="269" headerRowBorderDxfId="270" tableBorderDxfId="268" totalsRowBorderDxfId="267">
  <autoFilter ref="A2:T80" xr:uid="{F48ADA1D-E122-43A3-AA62-64759825D5D4}">
    <filterColumn colId="1">
      <customFilters>
        <customFilter operator="notEqual" val=" "/>
      </customFilters>
    </filterColumn>
  </autoFilter>
  <tableColumns count="20">
    <tableColumn id="1" xr3:uid="{7D233A40-74D2-4212-ACD3-72BA1D5C2622}" name="STT" dataDxfId="266">
      <calculatedColumnFormula>IF(B3="","",COUNTA($B$3:B3))</calculatedColumnFormula>
    </tableColumn>
    <tableColumn id="2" xr3:uid="{786CB194-C653-4F49-95C6-C4C99DC9DCC8}" name="Tháng" dataDxfId="265"/>
    <tableColumn id="3" xr3:uid="{F4EAA97E-C571-4546-8B9F-249AC8A3EABE}" name="DC" dataDxfId="264"/>
    <tableColumn id="4" xr3:uid="{8A20C0D3-1C81-481E-8D78-2087DAA05DD4}" name="Kích thước" dataDxfId="263"/>
    <tableColumn id="5" xr3:uid="{FA586DF4-FB80-4910-8C1F-4FEDA82C48EF}" name="Tên than" dataDxfId="262"/>
    <tableColumn id="20" xr3:uid="{36638239-6CD2-480F-AE7E-BE6EE2B44CDF}" name="Kho" dataDxfId="261"/>
    <tableColumn id="19" xr3:uid="{57C0AF07-27E0-4E88-A2CE-3AB9E9E97F0C}" name="Ngày nhập" dataDxfId="260"/>
    <tableColumn id="6" xr3:uid="{FF6D0C0F-19C7-411C-950A-5927D1CDC95B}" name="Loại đốt lò" dataDxfId="259"/>
    <tableColumn id="7" xr3:uid="{F2517F2A-6F7B-4E58-8107-2D655106EA8C}" name="Nhiệt trị" dataDxfId="258" dataCellStyle="Comma"/>
    <tableColumn id="8" xr3:uid="{ADF2A2C0-353A-41F9-9B95-E8AD96419917}" name="Tỷ lệ cám" dataDxfId="257" dataCellStyle="Percent"/>
    <tableColumn id="9" xr3:uid="{0693F85E-2105-40B5-B759-8ED58F38C132}" name="Tỷ lệ xít đá" dataDxfId="256" dataCellStyle="Percent"/>
    <tableColumn id="10" xr3:uid="{E3A351A9-FF51-42EA-BD86-36F48D4D0B39}" name="KL Lĩnh " dataDxfId="255" dataCellStyle="Comma"/>
    <tableColumn id="11" xr3:uid="{0CEA4947-6B0C-40F4-A332-A05A30E455B6}" name="Sản lượng" dataDxfId="254" dataCellStyle="Comma"/>
    <tableColumn id="12" xr3:uid="{A4D4CEE6-F305-4D39-BBD9-5FE5E4AB3FCF}" name="Tiêu hao" dataDxfId="253">
      <calculatedColumnFormula>IFERROR(Table3[[#This Row],[KL Lĩnh ]]/Table3[[#This Row],[Sản lượng]],"")</calculatedColumnFormula>
    </tableColumn>
    <tableColumn id="13" xr3:uid="{1F10817E-FF6D-4E86-A40C-4E4F475B479F}" name="Xuất cám" dataDxfId="252" dataCellStyle="Comma"/>
    <tableColumn id="14" xr3:uid="{37B3A58D-9689-4AD4-9819-D5AA1C791DDE}" name="% Xuất cám" dataDxfId="251"/>
    <tableColumn id="15" xr3:uid="{B11DE99B-CD19-49CF-BB08-5F6E536E1505}" name="Tiêu hao (có cám)" dataDxfId="250">
      <calculatedColumnFormula>IFERROR((Table3[[#This Row],[Xuất cám]]+Table3[[#This Row],[KL Lĩnh ]])/Table3[[#This Row],[Sản lượng]],"")</calculatedColumnFormula>
    </tableColumn>
    <tableColumn id="16" xr3:uid="{5315E938-1821-447C-BCEC-34981F2B3FD1}" name="Lĩnh bù" dataDxfId="249" dataCellStyle="Comma [0]"/>
    <tableColumn id="17" xr3:uid="{6972E9D2-07D4-4E12-AB8A-5EFA9DDEB2A4}" name="Tiêu hao (cục+cám+lĩnh bù)" dataDxfId="248"/>
    <tableColumn id="18" xr3:uid="{886833B0-C226-452E-B331-580026C13FBA}" name="Ghi chú" dataDxfId="247"/>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149501E-BB3E-4A67-ACD9-AEF38ED38E7B}" name="TblMap" displayName="TblMap" ref="A2:E32" totalsRowShown="0" headerRowDxfId="213" dataDxfId="211" headerRowBorderDxfId="212" tableBorderDxfId="210">
  <autoFilter ref="A2:E32" xr:uid="{2149501E-BB3E-4A67-ACD9-AEF38ED38E7B}"/>
  <tableColumns count="5">
    <tableColumn id="1" xr3:uid="{9A7B87A5-A9A6-49D6-8A4B-CC4FE8BB9263}" name="LOẠI MEN" dataDxfId="209"/>
    <tableColumn id="2" xr3:uid="{14B46CB7-9AFB-40CB-9AC8-54607415DE34}" name="Cũ (theo báo cáo)" dataDxfId="208"/>
    <tableColumn id="3" xr3:uid="{9619B4FF-90AB-4C26-8504-7E0DFEC6954F}" name="Mới (quy định lại)" dataDxfId="207"/>
    <tableColumn id="4" xr3:uid="{535D9CC2-B764-40A7-B77D-4C19475B8AC3}" name="Đơn vị" dataDxfId="206"/>
    <tableColumn id="5" xr3:uid="{F2706DD2-88DE-41C4-96D0-B64C8C5EB230}" name="Ghi chú" dataDxfId="205"/>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2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5.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C4224-8CE7-8744-97E8-CAFD51B22C4E}">
  <sheetPr codeName="Sheet1"/>
  <dimension ref="A1:AO1105"/>
  <sheetViews>
    <sheetView topLeftCell="B238" zoomScale="130" zoomScaleNormal="130" workbookViewId="0">
      <selection activeCell="M13" sqref="M13"/>
    </sheetView>
  </sheetViews>
  <sheetFormatPr baseColWidth="10" defaultColWidth="14.5" defaultRowHeight="15" customHeight="1" x14ac:dyDescent="0.2"/>
  <cols>
    <col min="1" max="1" width="5" style="476" hidden="1" customWidth="1"/>
    <col min="2" max="2" width="12.6640625" style="476" customWidth="1"/>
    <col min="3" max="3" width="7.6640625" style="476" customWidth="1"/>
    <col min="4" max="4" width="11.83203125" style="476" customWidth="1"/>
    <col min="5" max="7" width="11.5" style="476" customWidth="1"/>
    <col min="8" max="8" width="12.1640625" style="476" customWidth="1"/>
    <col min="9" max="9" width="10" style="476" customWidth="1"/>
    <col min="10" max="10" width="10.5" style="476" customWidth="1"/>
    <col min="11" max="12" width="8" style="476" customWidth="1"/>
    <col min="13" max="13" width="8.1640625" style="476" customWidth="1"/>
    <col min="14" max="14" width="10" style="476" customWidth="1"/>
    <col min="15" max="15" width="4.5" style="476" customWidth="1"/>
    <col min="16" max="16" width="9" style="476" customWidth="1"/>
    <col min="17" max="18" width="12" style="2" customWidth="1"/>
    <col min="19" max="24" width="12" style="742" customWidth="1"/>
    <col min="25" max="27" width="12" style="95" customWidth="1"/>
    <col min="28" max="28" width="10.83203125" style="95" customWidth="1"/>
    <col min="29" max="29" width="7.1640625" style="95" customWidth="1"/>
    <col min="30" max="30" width="12" style="95" customWidth="1"/>
    <col min="31" max="33" width="12" style="484" customWidth="1"/>
    <col min="34" max="34" width="8.83203125" style="476" customWidth="1"/>
    <col min="35" max="35" width="11.33203125" style="476" customWidth="1"/>
    <col min="36" max="38" width="8.83203125" style="476" customWidth="1"/>
    <col min="39" max="16384" width="14.5" style="476"/>
  </cols>
  <sheetData>
    <row r="1" spans="1:41" ht="24" customHeight="1" x14ac:dyDescent="0.2">
      <c r="A1" s="1"/>
      <c r="B1" s="2523" t="s">
        <v>0</v>
      </c>
      <c r="C1" s="2524"/>
      <c r="D1" s="2524"/>
      <c r="E1" s="2524"/>
      <c r="F1" s="2524"/>
      <c r="G1" s="2524"/>
      <c r="H1" s="2524"/>
      <c r="I1" s="2524"/>
      <c r="J1" s="2524"/>
      <c r="K1" s="2524"/>
      <c r="L1" s="2524"/>
      <c r="M1" s="2524"/>
      <c r="N1" s="2525"/>
      <c r="O1" s="95"/>
      <c r="P1" s="95"/>
      <c r="Q1" s="95"/>
      <c r="R1" s="95"/>
      <c r="AE1" s="95"/>
      <c r="AF1" s="95"/>
      <c r="AG1" s="95"/>
      <c r="AH1" s="2"/>
      <c r="AI1" s="2"/>
      <c r="AJ1" s="2"/>
      <c r="AK1" s="2"/>
    </row>
    <row r="2" spans="1:41" ht="24" customHeight="1" x14ac:dyDescent="0.2">
      <c r="A2" s="1"/>
      <c r="B2" s="2526" t="s">
        <v>1</v>
      </c>
      <c r="C2" s="2476"/>
      <c r="D2" s="2476"/>
      <c r="E2" s="2476"/>
      <c r="F2" s="2476"/>
      <c r="G2" s="2476"/>
      <c r="H2" s="2476"/>
      <c r="I2" s="2476"/>
      <c r="J2" s="2476"/>
      <c r="K2" s="2476"/>
      <c r="L2" s="2476"/>
      <c r="M2" s="2476"/>
      <c r="N2" s="2527"/>
      <c r="O2" s="95"/>
      <c r="P2" s="95"/>
      <c r="Q2" s="95"/>
      <c r="R2" s="95"/>
      <c r="AE2" s="95"/>
      <c r="AF2" s="95"/>
      <c r="AG2" s="95"/>
      <c r="AH2" s="2"/>
      <c r="AI2" s="2"/>
      <c r="AJ2" s="2"/>
      <c r="AK2" s="2"/>
    </row>
    <row r="3" spans="1:41" ht="24" customHeight="1" x14ac:dyDescent="0.2">
      <c r="A3" s="1"/>
      <c r="B3" s="2528" t="s">
        <v>2</v>
      </c>
      <c r="C3" s="2529"/>
      <c r="D3" s="2529"/>
      <c r="E3" s="2529"/>
      <c r="F3" s="2529"/>
      <c r="G3" s="2529"/>
      <c r="H3" s="2529"/>
      <c r="I3" s="2529"/>
      <c r="J3" s="2529"/>
      <c r="K3" s="2529"/>
      <c r="L3" s="2529"/>
      <c r="M3" s="2529"/>
      <c r="N3" s="2530"/>
      <c r="O3" s="95"/>
      <c r="P3" s="95"/>
      <c r="Q3" s="95"/>
      <c r="R3" s="2770" t="s">
        <v>579</v>
      </c>
      <c r="S3" s="2770"/>
      <c r="T3" s="2770"/>
      <c r="U3" s="2770"/>
      <c r="V3" s="2770"/>
      <c r="W3" s="2770"/>
      <c r="X3" s="2770"/>
      <c r="Y3" s="2770"/>
      <c r="Z3" s="2770"/>
      <c r="AA3" s="2770"/>
      <c r="AB3" s="2770"/>
      <c r="AD3" s="2770" t="s">
        <v>579</v>
      </c>
      <c r="AE3" s="2770"/>
      <c r="AF3" s="2770"/>
      <c r="AG3" s="2770"/>
      <c r="AH3" s="2770"/>
      <c r="AI3" s="2770"/>
      <c r="AJ3" s="2770"/>
      <c r="AK3" s="2770"/>
      <c r="AL3" s="2770"/>
      <c r="AM3" s="960"/>
      <c r="AN3" s="960"/>
      <c r="AO3" s="960"/>
    </row>
    <row r="4" spans="1:41" ht="15.75" customHeight="1" x14ac:dyDescent="0.2">
      <c r="A4" s="1"/>
      <c r="B4" s="2"/>
      <c r="C4" s="1"/>
      <c r="D4" s="1"/>
      <c r="E4" s="48"/>
      <c r="F4" s="48"/>
      <c r="G4" s="2"/>
      <c r="H4" s="48"/>
      <c r="I4" s="2"/>
      <c r="J4" s="2"/>
      <c r="K4" s="2"/>
      <c r="L4" s="2"/>
      <c r="M4" s="2"/>
      <c r="N4" s="2"/>
      <c r="O4" s="95"/>
      <c r="P4" s="95"/>
      <c r="Q4" s="95"/>
      <c r="R4" s="95"/>
      <c r="AE4" s="95"/>
      <c r="AF4" s="95"/>
      <c r="AG4" s="95"/>
      <c r="AH4" s="2"/>
      <c r="AI4" s="2"/>
      <c r="AJ4" s="2"/>
      <c r="AK4" s="2"/>
    </row>
    <row r="5" spans="1:41" ht="37.5" customHeight="1" x14ac:dyDescent="0.2">
      <c r="A5" s="1"/>
      <c r="B5" s="2531" t="s">
        <v>302</v>
      </c>
      <c r="C5" s="2532"/>
      <c r="D5" s="2532"/>
      <c r="E5" s="2532"/>
      <c r="F5" s="2532"/>
      <c r="G5" s="2532"/>
      <c r="H5" s="2532"/>
      <c r="I5" s="2532"/>
      <c r="J5" s="2532"/>
      <c r="K5" s="2532"/>
      <c r="L5" s="2532"/>
      <c r="M5" s="2532"/>
      <c r="N5" s="2532"/>
      <c r="O5" s="96"/>
      <c r="Q5" s="456" t="s">
        <v>332</v>
      </c>
      <c r="R5" s="384" t="s">
        <v>304</v>
      </c>
      <c r="S5" s="743" t="s">
        <v>74</v>
      </c>
      <c r="T5" s="743" t="s">
        <v>18</v>
      </c>
      <c r="U5" s="743" t="s">
        <v>19</v>
      </c>
      <c r="V5" s="743" t="s">
        <v>20</v>
      </c>
      <c r="W5" s="744" t="s">
        <v>336</v>
      </c>
      <c r="X5" s="744" t="s">
        <v>10</v>
      </c>
      <c r="Y5" s="473" t="s">
        <v>331</v>
      </c>
      <c r="Z5" s="238" t="s">
        <v>81</v>
      </c>
      <c r="AA5" s="496" t="s">
        <v>360</v>
      </c>
      <c r="AB5" s="694" t="s">
        <v>393</v>
      </c>
      <c r="AC5" s="695"/>
      <c r="AD5" s="456" t="s">
        <v>394</v>
      </c>
      <c r="AE5" s="455" t="s">
        <v>361</v>
      </c>
      <c r="AF5" s="133" t="s">
        <v>18</v>
      </c>
      <c r="AG5" s="133" t="s">
        <v>19</v>
      </c>
      <c r="AH5" s="97" t="s">
        <v>20</v>
      </c>
      <c r="AI5" s="473" t="s">
        <v>336</v>
      </c>
      <c r="AJ5" s="473" t="s">
        <v>10</v>
      </c>
      <c r="AK5" s="473" t="s">
        <v>331</v>
      </c>
      <c r="AL5" s="98" t="s">
        <v>337</v>
      </c>
    </row>
    <row r="6" spans="1:41" ht="25.5" customHeight="1" x14ac:dyDescent="0.2">
      <c r="A6" s="1"/>
      <c r="B6" s="2475" t="s">
        <v>76</v>
      </c>
      <c r="C6" s="2476"/>
      <c r="D6" s="2476"/>
      <c r="E6" s="2476"/>
      <c r="F6" s="2476"/>
      <c r="G6" s="2476"/>
      <c r="H6" s="2476"/>
      <c r="I6" s="2476"/>
      <c r="J6" s="2476"/>
      <c r="K6" s="2476"/>
      <c r="L6" s="2476"/>
      <c r="M6" s="2476"/>
      <c r="N6" s="2476"/>
      <c r="O6" s="95"/>
      <c r="P6" s="95"/>
      <c r="Q6" s="211" t="s">
        <v>154</v>
      </c>
      <c r="R6" s="384" t="s">
        <v>305</v>
      </c>
      <c r="S6" s="743">
        <f>'T1.2025'!E10</f>
        <v>0</v>
      </c>
      <c r="T6" s="743">
        <f>'T1.2025'!F61</f>
        <v>0</v>
      </c>
      <c r="U6" s="743">
        <f>'T1.2025'!G61</f>
        <v>0</v>
      </c>
      <c r="V6" s="743">
        <f>'T1.2025'!H61</f>
        <v>0</v>
      </c>
      <c r="W6" s="745">
        <f t="shared" ref="W6:W41" si="0">SUM(T6:V6)</f>
        <v>0</v>
      </c>
      <c r="X6" s="745">
        <f>'T1.2025'!J10</f>
        <v>0</v>
      </c>
      <c r="Y6" s="373"/>
      <c r="Z6" s="113">
        <f>'T1.2025'!M10</f>
        <v>0</v>
      </c>
      <c r="AA6" s="690">
        <f>'T1.2025'!N10</f>
        <v>0</v>
      </c>
      <c r="AB6" s="211">
        <f>'T1.2025'!O10</f>
        <v>0</v>
      </c>
      <c r="AD6" s="211" t="s">
        <v>154</v>
      </c>
      <c r="AE6" s="693">
        <f>'T1.2025'!E8</f>
        <v>0</v>
      </c>
      <c r="AF6" s="372">
        <f>'T1.2025'!F8</f>
        <v>0</v>
      </c>
      <c r="AG6" s="372">
        <f>'T1.2025'!G8</f>
        <v>0</v>
      </c>
      <c r="AH6" s="372">
        <f>'T1.2025'!H8</f>
        <v>0</v>
      </c>
      <c r="AI6" s="97">
        <f>SUM(AF6:AH6)</f>
        <v>0</v>
      </c>
      <c r="AJ6" s="97">
        <f>'T1.2025'!J8</f>
        <v>0</v>
      </c>
      <c r="AK6" s="97">
        <f>'T1.2025'!K8</f>
        <v>0</v>
      </c>
      <c r="AL6" s="97">
        <f>'T1.2025'!O8</f>
        <v>0</v>
      </c>
    </row>
    <row r="7" spans="1:41" ht="24" customHeight="1" x14ac:dyDescent="0.2">
      <c r="A7" s="1"/>
      <c r="B7" s="2475" t="s">
        <v>77</v>
      </c>
      <c r="C7" s="2476"/>
      <c r="D7" s="2476"/>
      <c r="E7" s="2476"/>
      <c r="F7" s="2476"/>
      <c r="G7" s="2476"/>
      <c r="H7" s="2476"/>
      <c r="I7" s="2476"/>
      <c r="J7" s="2476"/>
      <c r="K7" s="2476"/>
      <c r="L7" s="2476"/>
      <c r="M7" s="2476"/>
      <c r="N7" s="2476"/>
      <c r="O7" s="95"/>
      <c r="P7" s="95"/>
      <c r="Q7" s="211"/>
      <c r="R7" s="384" t="s">
        <v>306</v>
      </c>
      <c r="S7" s="746"/>
      <c r="T7" s="743">
        <f>'T1.2025'!F51</f>
        <v>0</v>
      </c>
      <c r="U7" s="743">
        <f>'T1.2025'!G51</f>
        <v>0</v>
      </c>
      <c r="V7" s="743">
        <f>'T1.2025'!H51</f>
        <v>0</v>
      </c>
      <c r="W7" s="745">
        <f t="shared" si="0"/>
        <v>0</v>
      </c>
      <c r="X7" s="745"/>
      <c r="Y7" s="373"/>
      <c r="Z7" s="373"/>
      <c r="AA7" s="373"/>
      <c r="AB7" s="211"/>
      <c r="AD7" s="211"/>
      <c r="AE7" s="498"/>
      <c r="AF7" s="211"/>
      <c r="AG7" s="211"/>
      <c r="AH7" s="211"/>
      <c r="AI7" s="97"/>
      <c r="AJ7" s="373"/>
      <c r="AK7" s="373"/>
      <c r="AL7" s="97"/>
    </row>
    <row r="8" spans="1:41" ht="21.75" customHeight="1" x14ac:dyDescent="0.2">
      <c r="A8" s="1"/>
      <c r="B8" s="49"/>
      <c r="C8" s="42"/>
      <c r="D8" s="1"/>
      <c r="E8" s="48"/>
      <c r="F8" s="48"/>
      <c r="G8" s="2"/>
      <c r="H8" s="48"/>
      <c r="I8" s="2"/>
      <c r="J8" s="2"/>
      <c r="K8" s="99"/>
      <c r="L8" s="2"/>
      <c r="M8" s="2"/>
      <c r="N8" s="2"/>
      <c r="O8" s="95"/>
      <c r="P8" s="95"/>
      <c r="Q8" s="211"/>
      <c r="R8" s="372" t="s">
        <v>307</v>
      </c>
      <c r="S8" s="458"/>
      <c r="T8" s="732">
        <f>'T1.2025'!F71</f>
        <v>0</v>
      </c>
      <c r="U8" s="732">
        <f>'T1.2025'!G71</f>
        <v>0</v>
      </c>
      <c r="V8" s="732">
        <f>'T1.2025'!H71</f>
        <v>0</v>
      </c>
      <c r="W8" s="745">
        <f t="shared" si="0"/>
        <v>0</v>
      </c>
      <c r="X8" s="745"/>
      <c r="Y8" s="373"/>
      <c r="Z8" s="373"/>
      <c r="AA8" s="373"/>
      <c r="AB8" s="211"/>
      <c r="AD8" s="211"/>
      <c r="AE8" s="467"/>
      <c r="AF8" s="466"/>
      <c r="AG8" s="466"/>
      <c r="AH8" s="455"/>
      <c r="AI8" s="97"/>
      <c r="AJ8" s="373"/>
      <c r="AK8" s="373"/>
      <c r="AL8" s="97"/>
    </row>
    <row r="9" spans="1:41" ht="50" customHeight="1" x14ac:dyDescent="0.2">
      <c r="A9" s="1"/>
      <c r="B9" s="2552" t="s">
        <v>6</v>
      </c>
      <c r="C9" s="2482"/>
      <c r="D9" s="2479" t="s">
        <v>78</v>
      </c>
      <c r="E9" s="2552" t="s">
        <v>8</v>
      </c>
      <c r="F9" s="2481"/>
      <c r="G9" s="2482"/>
      <c r="H9" s="2553" t="s">
        <v>9</v>
      </c>
      <c r="I9" s="2479" t="s">
        <v>10</v>
      </c>
      <c r="J9" s="101" t="s">
        <v>79</v>
      </c>
      <c r="K9" s="2479" t="s">
        <v>80</v>
      </c>
      <c r="L9" s="102" t="s">
        <v>81</v>
      </c>
      <c r="M9" s="100" t="s">
        <v>82</v>
      </c>
      <c r="N9" s="101" t="s">
        <v>75</v>
      </c>
      <c r="O9" s="103"/>
      <c r="P9" s="103"/>
      <c r="Q9" s="211" t="s">
        <v>155</v>
      </c>
      <c r="R9" s="372" t="s">
        <v>305</v>
      </c>
      <c r="S9" s="747">
        <f>'T2.2025 '!E11</f>
        <v>107045</v>
      </c>
      <c r="T9" s="732">
        <f>'T2.2025 '!F57</f>
        <v>91149.119999999995</v>
      </c>
      <c r="U9" s="732">
        <f>'T2.2025 '!G57</f>
        <v>5847.84</v>
      </c>
      <c r="V9" s="732">
        <f>'T2.2025 '!H57</f>
        <v>5804.64</v>
      </c>
      <c r="W9" s="732">
        <f>'T2.2025 '!I57</f>
        <v>102801.59999999999</v>
      </c>
      <c r="X9" s="766">
        <f>'T2.2025 '!J11</f>
        <v>6.6</v>
      </c>
      <c r="Y9" s="732">
        <f>'T2.2025 '!K11</f>
        <v>15576</v>
      </c>
      <c r="Z9" s="768">
        <f>'T2.2025 '!M11</f>
        <v>649.44000000000005</v>
      </c>
      <c r="AA9" s="373">
        <f>'T2.2025 '!N11</f>
        <v>1362.1</v>
      </c>
      <c r="AB9" s="211">
        <f>'T2.2025 '!O11</f>
        <v>36</v>
      </c>
      <c r="AD9" s="211" t="s">
        <v>155</v>
      </c>
      <c r="AE9" s="211">
        <f>'T2.2025 '!E9</f>
        <v>94338.462</v>
      </c>
      <c r="AF9" s="211">
        <f>'T2.2025 '!F9</f>
        <v>81862.2</v>
      </c>
      <c r="AG9" s="211">
        <f>'T2.2025 '!G9</f>
        <v>5518.8</v>
      </c>
      <c r="AH9" s="211">
        <f>'T2.2025 '!H9</f>
        <v>4599</v>
      </c>
      <c r="AI9" s="384">
        <f t="shared" ref="AI9:AI41" si="1">SUM(AF9:AH9)</f>
        <v>91980</v>
      </c>
      <c r="AJ9" s="767">
        <f>'T2.2025 '!J9</f>
        <v>7</v>
      </c>
      <c r="AK9" s="373">
        <f>AI9/AJ9</f>
        <v>13140</v>
      </c>
      <c r="AL9" s="97">
        <f>'T2.2025 '!O9</f>
        <v>40</v>
      </c>
    </row>
    <row r="10" spans="1:41" ht="50" customHeight="1" x14ac:dyDescent="0.2">
      <c r="A10" s="1"/>
      <c r="B10" s="102" t="s">
        <v>16</v>
      </c>
      <c r="C10" s="102" t="s">
        <v>17</v>
      </c>
      <c r="D10" s="2478"/>
      <c r="E10" s="104" t="s">
        <v>18</v>
      </c>
      <c r="F10" s="104" t="s">
        <v>19</v>
      </c>
      <c r="G10" s="102" t="s">
        <v>20</v>
      </c>
      <c r="H10" s="2478"/>
      <c r="I10" s="2554"/>
      <c r="J10" s="102" t="s">
        <v>21</v>
      </c>
      <c r="K10" s="2478"/>
      <c r="L10" s="102" t="s">
        <v>13</v>
      </c>
      <c r="M10" s="100" t="s">
        <v>14</v>
      </c>
      <c r="N10" s="101" t="s">
        <v>23</v>
      </c>
      <c r="O10" s="103"/>
      <c r="P10" s="103"/>
      <c r="Q10" s="210"/>
      <c r="R10" s="372" t="s">
        <v>306</v>
      </c>
      <c r="S10" s="458"/>
      <c r="T10" s="732"/>
      <c r="U10" s="743"/>
      <c r="V10" s="743"/>
      <c r="W10" s="745">
        <f t="shared" si="0"/>
        <v>0</v>
      </c>
      <c r="X10" s="745"/>
      <c r="Y10" s="373"/>
      <c r="Z10" s="373"/>
      <c r="AA10" s="373"/>
      <c r="AB10" s="211"/>
      <c r="AD10" s="210"/>
      <c r="AE10" s="498"/>
      <c r="AF10" s="764"/>
      <c r="AG10" s="764"/>
      <c r="AH10" s="765"/>
      <c r="AI10" s="97">
        <f t="shared" si="1"/>
        <v>0</v>
      </c>
      <c r="AJ10" s="373"/>
      <c r="AK10" s="373"/>
      <c r="AL10" s="97"/>
    </row>
    <row r="11" spans="1:41" ht="50" customHeight="1" x14ac:dyDescent="0.2">
      <c r="A11" s="1"/>
      <c r="B11" s="2549" t="s">
        <v>348</v>
      </c>
      <c r="C11" s="105" t="s">
        <v>21</v>
      </c>
      <c r="D11" s="106">
        <f t="shared" ref="D11:J11" si="2">AE42</f>
        <v>1674275.7853908949</v>
      </c>
      <c r="E11" s="106">
        <f t="shared" si="2"/>
        <v>1198573.2350000001</v>
      </c>
      <c r="F11" s="106">
        <f t="shared" si="2"/>
        <v>80802.69</v>
      </c>
      <c r="G11" s="106">
        <f t="shared" si="2"/>
        <v>67335.574999999997</v>
      </c>
      <c r="H11" s="106">
        <f t="shared" si="2"/>
        <v>1346711.5</v>
      </c>
      <c r="I11" s="770">
        <f t="shared" si="2"/>
        <v>111.75</v>
      </c>
      <c r="J11" s="106">
        <f t="shared" si="2"/>
        <v>12051.1096196868</v>
      </c>
      <c r="K11" s="107"/>
      <c r="L11" s="108"/>
      <c r="M11" s="108"/>
      <c r="N11" s="963">
        <f>AL42</f>
        <v>40</v>
      </c>
      <c r="O11" s="95"/>
      <c r="P11" s="95"/>
      <c r="Q11" s="211"/>
      <c r="R11" s="372" t="s">
        <v>307</v>
      </c>
      <c r="S11" s="748"/>
      <c r="T11" s="732"/>
      <c r="U11" s="743"/>
      <c r="V11" s="743"/>
      <c r="W11" s="745">
        <f t="shared" si="0"/>
        <v>0</v>
      </c>
      <c r="X11" s="745"/>
      <c r="Y11" s="373"/>
      <c r="Z11" s="373"/>
      <c r="AA11" s="373"/>
      <c r="AB11" s="211"/>
      <c r="AD11" s="211"/>
      <c r="AE11" s="372"/>
      <c r="AF11" s="211"/>
      <c r="AG11" s="211"/>
      <c r="AH11" s="384"/>
      <c r="AI11" s="97">
        <f t="shared" si="1"/>
        <v>0</v>
      </c>
      <c r="AJ11" s="373"/>
      <c r="AK11" s="373"/>
      <c r="AL11" s="97"/>
    </row>
    <row r="12" spans="1:41" ht="50" customHeight="1" x14ac:dyDescent="0.2">
      <c r="A12" s="1"/>
      <c r="B12" s="2478"/>
      <c r="C12" s="105" t="s">
        <v>22</v>
      </c>
      <c r="D12" s="109"/>
      <c r="E12" s="110">
        <v>89</v>
      </c>
      <c r="F12" s="110">
        <v>6</v>
      </c>
      <c r="G12" s="110">
        <v>5</v>
      </c>
      <c r="H12" s="111">
        <v>100</v>
      </c>
      <c r="I12" s="112"/>
      <c r="J12" s="111"/>
      <c r="K12" s="958">
        <v>97.5</v>
      </c>
      <c r="L12" s="2555">
        <f>100-K12</f>
        <v>2.5</v>
      </c>
      <c r="M12" s="2556"/>
      <c r="N12" s="964"/>
      <c r="O12" s="95"/>
      <c r="P12" s="95"/>
      <c r="Q12" s="211" t="s">
        <v>156</v>
      </c>
      <c r="R12" s="372" t="s">
        <v>305</v>
      </c>
      <c r="S12" s="14">
        <f>'T3.2025 '!E10</f>
        <v>496651</v>
      </c>
      <c r="T12" s="895">
        <f>'T3.2025 '!F53</f>
        <v>222083.99999999997</v>
      </c>
      <c r="U12" s="895">
        <f>'T3.2025 '!G53</f>
        <v>7130.88</v>
      </c>
      <c r="V12" s="895">
        <f>'T3.2025 '!H53</f>
        <v>9993.6</v>
      </c>
      <c r="W12" s="849">
        <f>SUM(T12:V12)</f>
        <v>239208.47999999998</v>
      </c>
      <c r="X12" s="574">
        <f>'T3.2025 '!G80</f>
        <v>15.159073000516337</v>
      </c>
      <c r="Y12" s="575">
        <f>+W12/X12</f>
        <v>15779.888387096773</v>
      </c>
      <c r="Z12" s="73">
        <f>'T3.2025 '!M10</f>
        <v>1677.66</v>
      </c>
      <c r="AA12" s="73">
        <f>'T3.2025 '!N10</f>
        <v>2278.54</v>
      </c>
      <c r="AB12" s="211">
        <f>'T3.2025 '!O10</f>
        <v>25</v>
      </c>
      <c r="AD12" s="211" t="s">
        <v>156</v>
      </c>
      <c r="AE12" s="848">
        <f>'T3.2025 '!E8</f>
        <v>487415.38461538462</v>
      </c>
      <c r="AF12" s="848">
        <f>'T3.2025 '!F8</f>
        <v>422954.7</v>
      </c>
      <c r="AG12" s="848">
        <f>'T3.2025 '!G8</f>
        <v>28513.8</v>
      </c>
      <c r="AH12" s="848">
        <f>'T3.2025 '!H8</f>
        <v>23761.5</v>
      </c>
      <c r="AI12" s="97">
        <f t="shared" si="1"/>
        <v>475230</v>
      </c>
      <c r="AJ12" s="574">
        <f>'T3.2025 '!J8</f>
        <v>31</v>
      </c>
      <c r="AK12" s="373">
        <f>AI12/AJ12</f>
        <v>15330</v>
      </c>
      <c r="AL12" s="97">
        <f>'T3.2025 '!O9</f>
        <v>40</v>
      </c>
    </row>
    <row r="13" spans="1:41" ht="50" customHeight="1" x14ac:dyDescent="0.2">
      <c r="A13" s="1"/>
      <c r="B13" s="2549" t="s">
        <v>349</v>
      </c>
      <c r="C13" s="105" t="s">
        <v>21</v>
      </c>
      <c r="D13" s="106">
        <f>S42</f>
        <v>1733166</v>
      </c>
      <c r="E13" s="106">
        <f t="shared" ref="E13:J13" si="3">T42</f>
        <v>1562421.6</v>
      </c>
      <c r="F13" s="106">
        <f t="shared" si="3"/>
        <v>50064.479999999996</v>
      </c>
      <c r="G13" s="106">
        <f t="shared" si="3"/>
        <v>90155.51999999999</v>
      </c>
      <c r="H13" s="106">
        <f t="shared" si="3"/>
        <v>1702641.5999999999</v>
      </c>
      <c r="I13" s="770">
        <f t="shared" si="3"/>
        <v>111.95000633718044</v>
      </c>
      <c r="J13" s="106">
        <f t="shared" si="3"/>
        <v>15208.945990336444</v>
      </c>
      <c r="K13" s="113"/>
      <c r="L13" s="962">
        <f>Z42</f>
        <v>7357.02</v>
      </c>
      <c r="M13" s="962">
        <f>AA42</f>
        <v>7800.7999999999993</v>
      </c>
      <c r="N13" s="113">
        <f>AB42</f>
        <v>26</v>
      </c>
      <c r="O13" s="95"/>
      <c r="P13" s="95"/>
      <c r="Q13" s="211"/>
      <c r="R13" s="372" t="s">
        <v>306</v>
      </c>
      <c r="S13" s="747"/>
      <c r="T13" s="732">
        <f>'T3.2025 '!F63</f>
        <v>231760.8</v>
      </c>
      <c r="U13" s="743">
        <f>'T3.2025 '!G63</f>
        <v>2617.92</v>
      </c>
      <c r="V13" s="743">
        <f>'T3.2025 '!H63</f>
        <v>15589.44</v>
      </c>
      <c r="W13" s="745">
        <f t="shared" si="0"/>
        <v>249968.16</v>
      </c>
      <c r="X13" s="961">
        <f>'T3.2025 '!G81</f>
        <v>15.840933336664103</v>
      </c>
      <c r="Y13" s="575">
        <f t="shared" ref="Y13:Y21" si="4">+W13/X13</f>
        <v>15779.888387096773</v>
      </c>
      <c r="Z13" s="373"/>
      <c r="AA13" s="373"/>
      <c r="AB13" s="211"/>
      <c r="AD13" s="211"/>
      <c r="AE13" s="372"/>
      <c r="AF13" s="211"/>
      <c r="AG13" s="211"/>
      <c r="AH13" s="384"/>
      <c r="AI13" s="97">
        <f t="shared" si="1"/>
        <v>0</v>
      </c>
      <c r="AJ13" s="373"/>
      <c r="AK13" s="373"/>
      <c r="AL13" s="97"/>
    </row>
    <row r="14" spans="1:41" ht="50" customHeight="1" x14ac:dyDescent="0.2">
      <c r="A14" s="1"/>
      <c r="B14" s="2550"/>
      <c r="C14" s="114" t="s">
        <v>22</v>
      </c>
      <c r="D14" s="115"/>
      <c r="E14" s="116">
        <f>E13/H13*100</f>
        <v>91.764561608268011</v>
      </c>
      <c r="F14" s="116">
        <f>F13/H13*100</f>
        <v>2.9404003755106185</v>
      </c>
      <c r="G14" s="116">
        <f>G13/H13*100</f>
        <v>5.2950380162213815</v>
      </c>
      <c r="H14" s="1206">
        <f>SUM(E14:G14)</f>
        <v>100.00000000000001</v>
      </c>
      <c r="I14" s="116"/>
      <c r="J14" s="116"/>
      <c r="K14" s="117">
        <f>H13/D13*100</f>
        <v>98.238806900204594</v>
      </c>
      <c r="L14" s="2544">
        <f>100-K14</f>
        <v>1.7611930997954062</v>
      </c>
      <c r="M14" s="2545"/>
      <c r="N14" s="965"/>
      <c r="O14" s="103"/>
      <c r="P14" s="103"/>
      <c r="Q14" s="210"/>
      <c r="R14" s="372" t="s">
        <v>307</v>
      </c>
      <c r="S14" s="458"/>
      <c r="T14" s="732"/>
      <c r="U14" s="743"/>
      <c r="V14" s="743"/>
      <c r="W14" s="745">
        <f t="shared" si="0"/>
        <v>0</v>
      </c>
      <c r="X14" s="745"/>
      <c r="Y14" s="575"/>
      <c r="Z14" s="373"/>
      <c r="AA14" s="373"/>
      <c r="AB14" s="211"/>
      <c r="AD14" s="210"/>
      <c r="AE14" s="372"/>
      <c r="AF14" s="211"/>
      <c r="AG14" s="211"/>
      <c r="AH14" s="384"/>
      <c r="AI14" s="97">
        <f t="shared" si="1"/>
        <v>0</v>
      </c>
      <c r="AJ14" s="373"/>
      <c r="AK14" s="373"/>
      <c r="AL14" s="97"/>
    </row>
    <row r="15" spans="1:41" ht="50" customHeight="1" x14ac:dyDescent="0.2">
      <c r="A15" s="1"/>
      <c r="B15" s="2551" t="s">
        <v>83</v>
      </c>
      <c r="C15" s="12" t="s">
        <v>21</v>
      </c>
      <c r="D15" s="478">
        <f t="shared" ref="D15:H16" si="5">+D13-D11</f>
        <v>58890.21460910514</v>
      </c>
      <c r="E15" s="118">
        <f t="shared" si="5"/>
        <v>363848.36499999999</v>
      </c>
      <c r="F15" s="118">
        <f t="shared" si="5"/>
        <v>-30738.210000000006</v>
      </c>
      <c r="G15" s="118">
        <f t="shared" si="5"/>
        <v>22819.944999999992</v>
      </c>
      <c r="H15" s="118">
        <f t="shared" si="5"/>
        <v>355930.09999999986</v>
      </c>
      <c r="I15" s="74"/>
      <c r="J15" s="118"/>
      <c r="K15" s="74"/>
      <c r="L15" s="2771"/>
      <c r="M15" s="2772"/>
      <c r="N15" s="966">
        <f>N11-N13</f>
        <v>14</v>
      </c>
      <c r="O15" s="95"/>
      <c r="P15" s="95"/>
      <c r="Q15" s="211" t="s">
        <v>157</v>
      </c>
      <c r="R15" s="372" t="s">
        <v>305</v>
      </c>
      <c r="S15" s="747">
        <f>'T4.2025 '!E11</f>
        <v>446786</v>
      </c>
      <c r="T15" s="732">
        <f>'T4.2025 '!F62</f>
        <v>363058.56</v>
      </c>
      <c r="U15" s="743">
        <f>'T4.2025 '!G62</f>
        <v>11676.96</v>
      </c>
      <c r="V15" s="743">
        <f>'T4.2025 '!H62</f>
        <v>17922.240000000002</v>
      </c>
      <c r="W15" s="745">
        <f t="shared" si="0"/>
        <v>392657.76</v>
      </c>
      <c r="X15" s="961">
        <f>'T4.2025 '!G89</f>
        <v>26.706703144588381</v>
      </c>
      <c r="Y15" s="575">
        <f t="shared" si="4"/>
        <v>14702.592000000001</v>
      </c>
      <c r="Z15" s="373">
        <f>'T4.2025 '!M11</f>
        <v>1512</v>
      </c>
      <c r="AA15" s="373">
        <f>'T4.2025 '!N11</f>
        <v>1572.48</v>
      </c>
      <c r="AB15" s="211">
        <f>'T4.2025 '!O11</f>
        <v>24</v>
      </c>
      <c r="AD15" s="211" t="s">
        <v>157</v>
      </c>
      <c r="AE15" s="372">
        <f>'T4.2025 '!E9</f>
        <v>436836.73469387757</v>
      </c>
      <c r="AF15" s="211">
        <f>'T4.2025 '!F9</f>
        <v>381009</v>
      </c>
      <c r="AG15" s="211">
        <f>'T4.2025 '!G9</f>
        <v>25686</v>
      </c>
      <c r="AH15" s="384">
        <f>'T4.2025 '!H9</f>
        <v>21405</v>
      </c>
      <c r="AI15" s="97">
        <f t="shared" si="1"/>
        <v>428100</v>
      </c>
      <c r="AJ15" s="767">
        <f>'T4.2025 '!J9</f>
        <v>30</v>
      </c>
      <c r="AK15" s="373">
        <f>AI15/AJ15</f>
        <v>14270</v>
      </c>
      <c r="AL15" s="97">
        <v>40</v>
      </c>
    </row>
    <row r="16" spans="1:41" ht="50" customHeight="1" x14ac:dyDescent="0.2">
      <c r="A16" s="1"/>
      <c r="B16" s="2470"/>
      <c r="C16" s="12" t="s">
        <v>22</v>
      </c>
      <c r="D16" s="72">
        <f t="shared" si="5"/>
        <v>0</v>
      </c>
      <c r="E16" s="119">
        <f t="shared" si="5"/>
        <v>2.7645616082680107</v>
      </c>
      <c r="F16" s="119">
        <f t="shared" si="5"/>
        <v>-3.0595996244893815</v>
      </c>
      <c r="G16" s="119">
        <f t="shared" si="5"/>
        <v>0.29503801622138148</v>
      </c>
      <c r="H16" s="74"/>
      <c r="I16" s="74"/>
      <c r="J16" s="74"/>
      <c r="K16" s="28"/>
      <c r="L16" s="28"/>
      <c r="M16" s="28"/>
      <c r="N16" s="28"/>
      <c r="O16" s="95"/>
      <c r="P16" s="95"/>
      <c r="Q16" s="211"/>
      <c r="R16" s="372" t="s">
        <v>306</v>
      </c>
      <c r="S16" s="747"/>
      <c r="T16" s="732">
        <f>'T4.2025 '!F72</f>
        <v>44935.199999999997</v>
      </c>
      <c r="U16" s="743">
        <f>'T4.2025 '!G72</f>
        <v>853.92</v>
      </c>
      <c r="V16" s="743">
        <f>'T4.2025 '!H72</f>
        <v>2630.8799999999997</v>
      </c>
      <c r="W16" s="745">
        <f t="shared" si="0"/>
        <v>48419.999999999993</v>
      </c>
      <c r="X16" s="961">
        <f>'T4.2025 '!G90</f>
        <v>3.2932968554116164</v>
      </c>
      <c r="Y16" s="575">
        <f t="shared" si="4"/>
        <v>14702.592000000001</v>
      </c>
      <c r="Z16" s="373"/>
      <c r="AA16" s="373"/>
      <c r="AB16" s="211"/>
      <c r="AD16" s="211"/>
      <c r="AE16" s="372"/>
      <c r="AF16" s="211"/>
      <c r="AG16" s="211"/>
      <c r="AH16" s="384"/>
      <c r="AI16" s="97">
        <f t="shared" si="1"/>
        <v>0</v>
      </c>
      <c r="AJ16" s="373"/>
      <c r="AK16" s="373"/>
      <c r="AL16" s="97"/>
    </row>
    <row r="17" spans="1:38" ht="21.75" customHeight="1" x14ac:dyDescent="0.2">
      <c r="A17" s="1"/>
      <c r="B17" s="45"/>
      <c r="C17" s="2"/>
      <c r="D17" s="78"/>
      <c r="E17" s="99"/>
      <c r="F17" s="99"/>
      <c r="G17" s="99"/>
      <c r="H17" s="99"/>
      <c r="I17" s="99"/>
      <c r="J17" s="99"/>
      <c r="K17" s="48"/>
      <c r="L17" s="48"/>
      <c r="M17" s="48"/>
      <c r="N17" s="48"/>
      <c r="O17" s="95"/>
      <c r="P17" s="95"/>
      <c r="Q17" s="211"/>
      <c r="R17" s="372" t="s">
        <v>307</v>
      </c>
      <c r="S17" s="458"/>
      <c r="T17" s="732"/>
      <c r="U17" s="743"/>
      <c r="V17" s="743"/>
      <c r="W17" s="745">
        <f t="shared" si="0"/>
        <v>0</v>
      </c>
      <c r="X17" s="745"/>
      <c r="Y17" s="575"/>
      <c r="Z17" s="373"/>
      <c r="AA17" s="373"/>
      <c r="AB17" s="211"/>
      <c r="AD17" s="211"/>
      <c r="AE17" s="372"/>
      <c r="AF17" s="211"/>
      <c r="AG17" s="211"/>
      <c r="AH17" s="384"/>
      <c r="AI17" s="97">
        <f t="shared" si="1"/>
        <v>0</v>
      </c>
      <c r="AJ17" s="373"/>
      <c r="AK17" s="373"/>
      <c r="AL17" s="97"/>
    </row>
    <row r="18" spans="1:38" ht="21.75" customHeight="1" x14ac:dyDescent="0.2">
      <c r="A18" s="1"/>
      <c r="B18" s="45"/>
      <c r="C18" s="2"/>
      <c r="D18" s="78"/>
      <c r="E18" s="99"/>
      <c r="F18" s="99"/>
      <c r="G18" s="99"/>
      <c r="H18" s="99"/>
      <c r="I18" s="99"/>
      <c r="J18" s="99"/>
      <c r="K18" s="48"/>
      <c r="L18" s="48"/>
      <c r="M18" s="48"/>
      <c r="N18" s="48"/>
      <c r="O18" s="95"/>
      <c r="P18" s="95"/>
      <c r="Q18" s="211" t="s">
        <v>158</v>
      </c>
      <c r="R18" s="372" t="s">
        <v>305</v>
      </c>
      <c r="S18" s="747">
        <f>'T5.2025'!E11</f>
        <v>366803</v>
      </c>
      <c r="T18" s="732">
        <f>'T5.2025'!F68</f>
        <v>250378.56</v>
      </c>
      <c r="U18" s="743">
        <f>'T5.2025'!G68</f>
        <v>9181.4399999999987</v>
      </c>
      <c r="V18" s="743">
        <f>'T5.2025'!H68</f>
        <v>13044.96</v>
      </c>
      <c r="W18" s="745">
        <f t="shared" si="0"/>
        <v>272604.96000000002</v>
      </c>
      <c r="X18" s="961">
        <f>'T5.2025'!G95</f>
        <v>18.690230247280478</v>
      </c>
      <c r="Y18" s="575">
        <f t="shared" si="4"/>
        <v>14585.425454545451</v>
      </c>
      <c r="Z18" s="373">
        <f>'T5.2025'!M11</f>
        <v>1689.12</v>
      </c>
      <c r="AA18" s="373">
        <f>'T5.2025'!N11</f>
        <v>1297.4399999999998</v>
      </c>
      <c r="AB18" s="211">
        <f>'T5.2025'!O11</f>
        <v>26</v>
      </c>
      <c r="AD18" s="211" t="s">
        <v>158</v>
      </c>
      <c r="AE18" s="372">
        <f>'T5.2025'!E9</f>
        <v>358470.91836734692</v>
      </c>
      <c r="AF18" s="211">
        <f>'T5.2025'!F9</f>
        <v>312658.33500000002</v>
      </c>
      <c r="AG18" s="211">
        <f>'T5.2025'!G9</f>
        <v>21078.09</v>
      </c>
      <c r="AH18" s="384">
        <f>'T5.2025'!H9</f>
        <v>17565.075000000001</v>
      </c>
      <c r="AI18" s="97">
        <f t="shared" si="1"/>
        <v>351301.50000000006</v>
      </c>
      <c r="AJ18" s="768">
        <f>'T5.2025'!J9</f>
        <v>24.75</v>
      </c>
      <c r="AK18" s="373">
        <f>AI18/AJ18</f>
        <v>14194.000000000002</v>
      </c>
      <c r="AL18" s="97">
        <f>'T5.2025'!O9</f>
        <v>40</v>
      </c>
    </row>
    <row r="19" spans="1:38" ht="21.75" customHeight="1" x14ac:dyDescent="0.2">
      <c r="A19" s="1"/>
      <c r="B19" s="45"/>
      <c r="C19" s="2"/>
      <c r="D19" s="78"/>
      <c r="E19" s="99"/>
      <c r="F19" s="99"/>
      <c r="G19" s="99"/>
      <c r="H19" s="99"/>
      <c r="I19" s="99"/>
      <c r="J19" s="99"/>
      <c r="K19" s="48"/>
      <c r="L19" s="48"/>
      <c r="M19" s="48"/>
      <c r="N19" s="48"/>
      <c r="O19" s="95"/>
      <c r="P19" s="95"/>
      <c r="Q19" s="211"/>
      <c r="R19" s="372" t="s">
        <v>306</v>
      </c>
      <c r="S19" s="747"/>
      <c r="T19" s="732">
        <f>'T5.2025'!F78</f>
        <v>30405.599999999999</v>
      </c>
      <c r="U19" s="743">
        <f>'T5.2025'!G78</f>
        <v>172.8</v>
      </c>
      <c r="V19" s="743">
        <f>'T5.2025'!H78</f>
        <v>3666.24</v>
      </c>
      <c r="W19" s="745">
        <f t="shared" si="0"/>
        <v>34244.639999999999</v>
      </c>
      <c r="X19" s="961">
        <f>'T5.2025'!G96</f>
        <v>2.3478670613155055</v>
      </c>
      <c r="Y19" s="575">
        <f t="shared" si="4"/>
        <v>14585.425454545451</v>
      </c>
      <c r="Z19" s="373"/>
      <c r="AA19" s="373"/>
      <c r="AB19" s="211"/>
      <c r="AD19" s="211"/>
      <c r="AE19" s="372"/>
      <c r="AF19" s="211"/>
      <c r="AG19" s="211"/>
      <c r="AH19" s="384"/>
      <c r="AI19" s="97">
        <f t="shared" si="1"/>
        <v>0</v>
      </c>
      <c r="AJ19" s="373"/>
      <c r="AK19" s="373"/>
      <c r="AL19" s="97"/>
    </row>
    <row r="20" spans="1:38" ht="15" customHeight="1" x14ac:dyDescent="0.2">
      <c r="A20" s="1"/>
      <c r="B20" s="45"/>
      <c r="C20" s="2"/>
      <c r="D20" s="78"/>
      <c r="E20" s="99"/>
      <c r="F20" s="99"/>
      <c r="G20" s="99"/>
      <c r="H20" s="99"/>
      <c r="I20" s="99"/>
      <c r="J20" s="99"/>
      <c r="K20" s="48"/>
      <c r="L20" s="48"/>
      <c r="M20" s="48"/>
      <c r="N20" s="48"/>
      <c r="O20" s="95"/>
      <c r="P20" s="95"/>
      <c r="Q20" s="211"/>
      <c r="R20" s="372" t="s">
        <v>307</v>
      </c>
      <c r="S20" s="458"/>
      <c r="T20" s="732">
        <f>'T5.2025'!F88</f>
        <v>51896.159999999996</v>
      </c>
      <c r="U20" s="743">
        <f>'T5.2025'!G88</f>
        <v>158.4</v>
      </c>
      <c r="V20" s="743">
        <f>'T5.2025'!H88</f>
        <v>2085.12</v>
      </c>
      <c r="W20" s="745">
        <f t="shared" si="0"/>
        <v>54139.68</v>
      </c>
      <c r="X20" s="961">
        <f>'T5.2025'!G97</f>
        <v>3.7119026914040227</v>
      </c>
      <c r="Y20" s="575">
        <f t="shared" si="4"/>
        <v>14585.425454545451</v>
      </c>
      <c r="Z20" s="373"/>
      <c r="AA20" s="373"/>
      <c r="AB20" s="211"/>
      <c r="AD20" s="211"/>
      <c r="AE20" s="372"/>
      <c r="AF20" s="211"/>
      <c r="AG20" s="211"/>
      <c r="AH20" s="384"/>
      <c r="AI20" s="97">
        <f t="shared" si="1"/>
        <v>0</v>
      </c>
      <c r="AJ20" s="373"/>
      <c r="AK20" s="373"/>
      <c r="AL20" s="97"/>
    </row>
    <row r="21" spans="1:38" ht="21.75" customHeight="1" x14ac:dyDescent="0.2">
      <c r="A21" s="1"/>
      <c r="B21" s="5" t="s">
        <v>84</v>
      </c>
      <c r="O21" s="95"/>
      <c r="P21" s="95"/>
      <c r="Q21" s="211" t="s">
        <v>159</v>
      </c>
      <c r="R21" s="372" t="s">
        <v>305</v>
      </c>
      <c r="S21" s="747">
        <f>'T6.2025'!E11</f>
        <v>315881</v>
      </c>
      <c r="T21" s="732">
        <f>'T6.2025'!F11</f>
        <v>276753.59999999998</v>
      </c>
      <c r="U21" s="743">
        <f>'T6.2025'!G11</f>
        <v>12424.32</v>
      </c>
      <c r="V21" s="743">
        <f>'T6.2025'!H11</f>
        <v>19418.400000000001</v>
      </c>
      <c r="W21" s="745">
        <f t="shared" si="0"/>
        <v>308596.32</v>
      </c>
      <c r="X21" s="961">
        <f>'T6.2025'!G97</f>
        <v>19.600000000000001</v>
      </c>
      <c r="Y21" s="575">
        <f t="shared" si="4"/>
        <v>15744.710204081632</v>
      </c>
      <c r="Z21" s="373">
        <f>'T6.2025'!M11</f>
        <v>1828.8</v>
      </c>
      <c r="AA21" s="373">
        <f>'T6.2025'!N11</f>
        <v>1290.24</v>
      </c>
      <c r="AB21" s="211">
        <f>'T6.2025'!O11</f>
        <v>19</v>
      </c>
      <c r="AD21" s="211" t="s">
        <v>159</v>
      </c>
      <c r="AE21" s="372">
        <f>'T6.2025'!E9</f>
        <v>297214.28571428574</v>
      </c>
      <c r="AF21" s="211">
        <f>'T6.2025'!F9</f>
        <v>89</v>
      </c>
      <c r="AG21" s="211">
        <f>'T6.2025'!G9</f>
        <v>6</v>
      </c>
      <c r="AH21" s="384">
        <f>'T6.2025'!H9</f>
        <v>5</v>
      </c>
      <c r="AI21" s="97">
        <f t="shared" si="1"/>
        <v>100</v>
      </c>
      <c r="AJ21" s="768">
        <f>'T6.2025'!J9</f>
        <v>19</v>
      </c>
      <c r="AK21" s="373">
        <f>AI21/AJ21</f>
        <v>5.2631578947368425</v>
      </c>
      <c r="AL21" s="97">
        <v>40</v>
      </c>
    </row>
    <row r="22" spans="1:38" ht="15" customHeight="1" x14ac:dyDescent="0.2">
      <c r="A22" s="1"/>
      <c r="B22" s="49"/>
      <c r="C22" s="42"/>
      <c r="D22" s="1"/>
      <c r="E22" s="48"/>
      <c r="F22" s="48"/>
      <c r="G22" s="2"/>
      <c r="H22" s="48"/>
      <c r="I22" s="2"/>
      <c r="J22" s="2"/>
      <c r="K22" s="99"/>
      <c r="L22" s="2"/>
      <c r="M22" s="2"/>
      <c r="N22" s="2"/>
      <c r="O22" s="95"/>
      <c r="P22" s="95"/>
      <c r="Q22" s="211"/>
      <c r="R22" s="372" t="s">
        <v>306</v>
      </c>
      <c r="S22" s="458"/>
      <c r="T22" s="732"/>
      <c r="U22" s="743"/>
      <c r="V22" s="743"/>
      <c r="W22" s="745">
        <f t="shared" si="0"/>
        <v>0</v>
      </c>
      <c r="X22" s="745"/>
      <c r="Y22" s="373"/>
      <c r="Z22" s="373"/>
      <c r="AA22" s="373"/>
      <c r="AB22" s="211"/>
      <c r="AD22" s="211"/>
      <c r="AE22" s="372"/>
      <c r="AF22" s="211"/>
      <c r="AG22" s="211"/>
      <c r="AH22" s="384"/>
      <c r="AI22" s="97">
        <f t="shared" si="1"/>
        <v>0</v>
      </c>
      <c r="AJ22" s="373"/>
      <c r="AK22" s="373"/>
      <c r="AL22" s="97"/>
    </row>
    <row r="23" spans="1:38" s="1" customFormat="1" ht="41" customHeight="1" x14ac:dyDescent="0.2">
      <c r="B23" s="2480" t="s">
        <v>6</v>
      </c>
      <c r="C23" s="2546"/>
      <c r="D23" s="101" t="s">
        <v>85</v>
      </c>
      <c r="E23" s="2480" t="s">
        <v>8</v>
      </c>
      <c r="F23" s="2547"/>
      <c r="G23" s="2546"/>
      <c r="H23" s="101" t="s">
        <v>9</v>
      </c>
      <c r="I23" s="2479" t="s">
        <v>10</v>
      </c>
      <c r="J23" s="101" t="s">
        <v>86</v>
      </c>
      <c r="K23" s="2479" t="s">
        <v>80</v>
      </c>
      <c r="L23" s="101" t="s">
        <v>81</v>
      </c>
      <c r="M23" s="101" t="s">
        <v>87</v>
      </c>
      <c r="N23" s="101" t="s">
        <v>75</v>
      </c>
      <c r="O23" s="95"/>
      <c r="P23" s="95"/>
      <c r="Q23" s="211"/>
      <c r="R23" s="372" t="s">
        <v>307</v>
      </c>
      <c r="S23" s="747"/>
      <c r="T23" s="732"/>
      <c r="U23" s="743"/>
      <c r="V23" s="743"/>
      <c r="W23" s="745">
        <f t="shared" si="0"/>
        <v>0</v>
      </c>
      <c r="X23" s="745"/>
      <c r="Y23" s="373"/>
      <c r="Z23" s="373"/>
      <c r="AA23" s="373"/>
      <c r="AB23" s="211"/>
      <c r="AC23" s="95"/>
      <c r="AD23" s="211"/>
      <c r="AE23" s="372"/>
      <c r="AF23" s="211"/>
      <c r="AG23" s="211"/>
      <c r="AH23" s="384"/>
      <c r="AI23" s="97">
        <f t="shared" si="1"/>
        <v>0</v>
      </c>
      <c r="AJ23" s="373"/>
      <c r="AK23" s="373"/>
      <c r="AL23" s="97"/>
    </row>
    <row r="24" spans="1:38" ht="39" customHeight="1" x14ac:dyDescent="0.2">
      <c r="A24" s="1"/>
      <c r="B24" s="101" t="s">
        <v>16</v>
      </c>
      <c r="C24" s="101" t="s">
        <v>17</v>
      </c>
      <c r="D24" s="121"/>
      <c r="E24" s="101" t="s">
        <v>18</v>
      </c>
      <c r="F24" s="101" t="s">
        <v>19</v>
      </c>
      <c r="G24" s="101" t="s">
        <v>20</v>
      </c>
      <c r="H24" s="122"/>
      <c r="I24" s="2548"/>
      <c r="J24" s="101" t="s">
        <v>21</v>
      </c>
      <c r="K24" s="2548"/>
      <c r="L24" s="101" t="s">
        <v>13</v>
      </c>
      <c r="M24" s="101" t="s">
        <v>88</v>
      </c>
      <c r="N24" s="101" t="s">
        <v>23</v>
      </c>
      <c r="O24" s="95"/>
      <c r="P24" s="95"/>
      <c r="Q24" s="211" t="s">
        <v>160</v>
      </c>
      <c r="R24" s="372" t="s">
        <v>305</v>
      </c>
      <c r="S24" s="747"/>
      <c r="T24" s="732"/>
      <c r="U24" s="743"/>
      <c r="V24" s="743"/>
      <c r="W24" s="745">
        <f t="shared" si="0"/>
        <v>0</v>
      </c>
      <c r="X24" s="745"/>
      <c r="Y24" s="373"/>
      <c r="Z24" s="373"/>
      <c r="AA24" s="373"/>
      <c r="AB24" s="211"/>
      <c r="AD24" s="211" t="s">
        <v>160</v>
      </c>
      <c r="AE24" s="372"/>
      <c r="AF24" s="211"/>
      <c r="AG24" s="211"/>
      <c r="AH24" s="384"/>
      <c r="AI24" s="97">
        <f t="shared" si="1"/>
        <v>0</v>
      </c>
      <c r="AJ24" s="373"/>
      <c r="AK24" s="373"/>
      <c r="AL24" s="97"/>
    </row>
    <row r="25" spans="1:38" ht="39" customHeight="1" x14ac:dyDescent="0.2">
      <c r="A25" s="1"/>
      <c r="B25" s="2549" t="s">
        <v>338</v>
      </c>
      <c r="C25" s="105" t="s">
        <v>21</v>
      </c>
      <c r="D25" s="106">
        <f t="shared" ref="D25:J25" si="6">AE121</f>
        <v>1058326.5306122447</v>
      </c>
      <c r="E25" s="106">
        <f t="shared" si="6"/>
        <v>550429.4</v>
      </c>
      <c r="F25" s="106">
        <f t="shared" si="6"/>
        <v>49476.800000000003</v>
      </c>
      <c r="G25" s="106">
        <f t="shared" si="6"/>
        <v>18553.8</v>
      </c>
      <c r="H25" s="106">
        <f t="shared" si="6"/>
        <v>618460</v>
      </c>
      <c r="I25" s="109">
        <f t="shared" si="6"/>
        <v>74.599999999999994</v>
      </c>
      <c r="J25" s="106">
        <f t="shared" si="6"/>
        <v>8290.3485254691695</v>
      </c>
      <c r="K25" s="105"/>
      <c r="L25" s="123"/>
      <c r="M25" s="123"/>
      <c r="N25" s="1171">
        <f>AL121</f>
        <v>40</v>
      </c>
      <c r="O25" s="95"/>
      <c r="P25" s="95"/>
      <c r="Q25" s="211"/>
      <c r="R25" s="372" t="s">
        <v>306</v>
      </c>
      <c r="S25" s="458"/>
      <c r="T25" s="732"/>
      <c r="U25" s="743"/>
      <c r="V25" s="743"/>
      <c r="W25" s="745">
        <f t="shared" si="0"/>
        <v>0</v>
      </c>
      <c r="X25" s="745"/>
      <c r="Y25" s="373"/>
      <c r="Z25" s="373"/>
      <c r="AA25" s="373"/>
      <c r="AB25" s="211"/>
      <c r="AD25" s="211"/>
      <c r="AE25" s="372"/>
      <c r="AF25" s="211"/>
      <c r="AG25" s="211"/>
      <c r="AH25" s="384"/>
      <c r="AI25" s="97">
        <f t="shared" si="1"/>
        <v>0</v>
      </c>
      <c r="AJ25" s="373"/>
      <c r="AK25" s="373"/>
      <c r="AL25" s="97"/>
    </row>
    <row r="26" spans="1:38" ht="39" customHeight="1" x14ac:dyDescent="0.2">
      <c r="A26" s="1"/>
      <c r="B26" s="2565"/>
      <c r="C26" s="105" t="s">
        <v>22</v>
      </c>
      <c r="D26" s="109"/>
      <c r="E26" s="110">
        <v>89</v>
      </c>
      <c r="F26" s="110">
        <f>F25/H25*100</f>
        <v>8</v>
      </c>
      <c r="G26" s="110">
        <f>G25/H25*100</f>
        <v>3</v>
      </c>
      <c r="H26" s="111">
        <f>SUM(E26:G26)</f>
        <v>100</v>
      </c>
      <c r="I26" s="111"/>
      <c r="J26" s="111"/>
      <c r="K26" s="110">
        <v>98</v>
      </c>
      <c r="L26" s="2539">
        <f>100-K26</f>
        <v>2</v>
      </c>
      <c r="M26" s="2540"/>
      <c r="N26" s="1171"/>
      <c r="O26" s="95"/>
      <c r="P26" s="95"/>
      <c r="Q26" s="211"/>
      <c r="R26" s="372" t="s">
        <v>307</v>
      </c>
      <c r="S26" s="747"/>
      <c r="T26" s="732"/>
      <c r="U26" s="743"/>
      <c r="V26" s="743"/>
      <c r="W26" s="745">
        <f t="shared" si="0"/>
        <v>0</v>
      </c>
      <c r="X26" s="745"/>
      <c r="Y26" s="373"/>
      <c r="Z26" s="373"/>
      <c r="AA26" s="373"/>
      <c r="AB26" s="211"/>
      <c r="AD26" s="211"/>
      <c r="AE26" s="372"/>
      <c r="AF26" s="211"/>
      <c r="AG26" s="211"/>
      <c r="AH26" s="384"/>
      <c r="AI26" s="97">
        <f t="shared" si="1"/>
        <v>0</v>
      </c>
      <c r="AJ26" s="373"/>
      <c r="AK26" s="373"/>
      <c r="AL26" s="97"/>
    </row>
    <row r="27" spans="1:38" ht="39" customHeight="1" x14ac:dyDescent="0.2">
      <c r="A27" s="1"/>
      <c r="B27" s="2549" t="s">
        <v>339</v>
      </c>
      <c r="C27" s="124" t="s">
        <v>21</v>
      </c>
      <c r="D27" s="160">
        <f t="shared" ref="D27:J27" si="7">S121</f>
        <v>1085392</v>
      </c>
      <c r="E27" s="160">
        <f t="shared" si="7"/>
        <v>985953.91999999993</v>
      </c>
      <c r="F27" s="160">
        <f t="shared" si="7"/>
        <v>184.32</v>
      </c>
      <c r="G27" s="160">
        <f t="shared" si="7"/>
        <v>76234.880000000005</v>
      </c>
      <c r="H27" s="160">
        <f t="shared" si="7"/>
        <v>1062373.1199999999</v>
      </c>
      <c r="I27" s="125">
        <f t="shared" si="7"/>
        <v>74.95</v>
      </c>
      <c r="J27" s="160">
        <f t="shared" si="7"/>
        <v>14174.424549699797</v>
      </c>
      <c r="K27" s="124"/>
      <c r="L27" s="969">
        <f>Z121</f>
        <v>5328</v>
      </c>
      <c r="M27" s="969">
        <f>AA121</f>
        <v>7905.6</v>
      </c>
      <c r="N27" s="1172">
        <f>AB121</f>
        <v>22</v>
      </c>
      <c r="O27" s="95"/>
      <c r="P27" s="95"/>
      <c r="Q27" s="211" t="s">
        <v>161</v>
      </c>
      <c r="R27" s="372" t="s">
        <v>305</v>
      </c>
      <c r="S27" s="747"/>
      <c r="T27" s="732"/>
      <c r="U27" s="743"/>
      <c r="V27" s="743"/>
      <c r="W27" s="745">
        <f t="shared" si="0"/>
        <v>0</v>
      </c>
      <c r="X27" s="745"/>
      <c r="Y27" s="373"/>
      <c r="Z27" s="373"/>
      <c r="AA27" s="373"/>
      <c r="AB27" s="211"/>
      <c r="AD27" s="211" t="s">
        <v>161</v>
      </c>
      <c r="AE27" s="372"/>
      <c r="AF27" s="211"/>
      <c r="AG27" s="211"/>
      <c r="AH27" s="384"/>
      <c r="AI27" s="97">
        <f t="shared" si="1"/>
        <v>0</v>
      </c>
      <c r="AJ27" s="373"/>
      <c r="AK27" s="373"/>
      <c r="AL27" s="97"/>
    </row>
    <row r="28" spans="1:38" ht="39" customHeight="1" x14ac:dyDescent="0.2">
      <c r="A28" s="1"/>
      <c r="B28" s="2565"/>
      <c r="C28" s="124" t="s">
        <v>22</v>
      </c>
      <c r="D28" s="125"/>
      <c r="E28" s="126">
        <f>+E27/H27*100</f>
        <v>92.806745712843338</v>
      </c>
      <c r="F28" s="126">
        <f>+F27/H27*100</f>
        <v>1.7349836562129888E-2</v>
      </c>
      <c r="G28" s="126">
        <f>+G27/H27*100</f>
        <v>7.1759044505945351</v>
      </c>
      <c r="H28" s="127">
        <f>SUM(E28:G28)</f>
        <v>100</v>
      </c>
      <c r="I28" s="127"/>
      <c r="J28" s="126"/>
      <c r="K28" s="127">
        <f>H27/D27*100</f>
        <v>97.879210460368228</v>
      </c>
      <c r="L28" s="2541">
        <f>100-K28</f>
        <v>2.1207895396317724</v>
      </c>
      <c r="M28" s="2542"/>
      <c r="N28" s="1173"/>
      <c r="O28" s="95"/>
      <c r="P28" s="95"/>
      <c r="Q28" s="211"/>
      <c r="R28" s="372" t="s">
        <v>306</v>
      </c>
      <c r="S28" s="749"/>
      <c r="T28" s="743"/>
      <c r="U28" s="743"/>
      <c r="V28" s="743"/>
      <c r="W28" s="745">
        <f t="shared" si="0"/>
        <v>0</v>
      </c>
      <c r="X28" s="745"/>
      <c r="Y28" s="373"/>
      <c r="Z28" s="373"/>
      <c r="AA28" s="373"/>
      <c r="AB28" s="211"/>
      <c r="AD28" s="211"/>
      <c r="AE28" s="372"/>
      <c r="AF28" s="211"/>
      <c r="AG28" s="211"/>
      <c r="AH28" s="384"/>
      <c r="AI28" s="97">
        <f t="shared" si="1"/>
        <v>0</v>
      </c>
      <c r="AJ28" s="373"/>
      <c r="AK28" s="373"/>
      <c r="AL28" s="97"/>
    </row>
    <row r="29" spans="1:38" ht="39" customHeight="1" x14ac:dyDescent="0.2">
      <c r="A29" s="1"/>
      <c r="B29" s="2549" t="s">
        <v>342</v>
      </c>
      <c r="C29" s="129" t="s">
        <v>21</v>
      </c>
      <c r="D29" s="140">
        <f t="shared" ref="D29:J29" si="8">AE75</f>
        <v>488254.56410256412</v>
      </c>
      <c r="E29" s="140">
        <f t="shared" si="8"/>
        <v>446436.82239999995</v>
      </c>
      <c r="F29" s="140">
        <f t="shared" si="8"/>
        <v>17544.308400000002</v>
      </c>
      <c r="G29" s="140">
        <f t="shared" si="8"/>
        <v>12822.8292</v>
      </c>
      <c r="H29" s="140">
        <f t="shared" si="8"/>
        <v>476803.95999999996</v>
      </c>
      <c r="I29" s="130">
        <f t="shared" si="8"/>
        <v>38.15</v>
      </c>
      <c r="J29" s="140">
        <f t="shared" si="8"/>
        <v>37314.079999999994</v>
      </c>
      <c r="K29" s="131"/>
      <c r="L29" s="129"/>
      <c r="M29" s="129"/>
      <c r="N29" s="1174">
        <f>AL75</f>
        <v>100</v>
      </c>
      <c r="O29" s="95"/>
      <c r="P29" s="95"/>
      <c r="Q29" s="211"/>
      <c r="R29" s="372" t="s">
        <v>307</v>
      </c>
      <c r="S29" s="746"/>
      <c r="T29" s="746"/>
      <c r="U29" s="746"/>
      <c r="V29" s="746"/>
      <c r="W29" s="745">
        <f t="shared" si="0"/>
        <v>0</v>
      </c>
      <c r="X29" s="750"/>
      <c r="Y29" s="371"/>
      <c r="Z29" s="371"/>
      <c r="AA29" s="371"/>
      <c r="AB29" s="211"/>
      <c r="AD29" s="211"/>
      <c r="AE29" s="372"/>
      <c r="AF29" s="211"/>
      <c r="AG29" s="211"/>
      <c r="AH29" s="455"/>
      <c r="AI29" s="97">
        <f t="shared" si="1"/>
        <v>0</v>
      </c>
      <c r="AJ29" s="371"/>
      <c r="AK29" s="371"/>
      <c r="AL29" s="133"/>
    </row>
    <row r="30" spans="1:38" ht="39" customHeight="1" x14ac:dyDescent="0.2">
      <c r="A30" s="1"/>
      <c r="B30" s="2565"/>
      <c r="C30" s="129" t="s">
        <v>22</v>
      </c>
      <c r="D30" s="130"/>
      <c r="E30" s="134">
        <v>92</v>
      </c>
      <c r="F30" s="134">
        <v>5</v>
      </c>
      <c r="G30" s="134">
        <v>3</v>
      </c>
      <c r="H30" s="131">
        <f>SUM(E30:G30)</f>
        <v>100</v>
      </c>
      <c r="I30" s="131"/>
      <c r="J30" s="131"/>
      <c r="K30" s="134">
        <v>97.5</v>
      </c>
      <c r="L30" s="2543">
        <f>100-K30</f>
        <v>2.5</v>
      </c>
      <c r="M30" s="2482"/>
      <c r="N30" s="1175"/>
      <c r="O30" s="95"/>
      <c r="P30" s="95"/>
      <c r="Q30" s="211" t="s">
        <v>162</v>
      </c>
      <c r="R30" s="372" t="s">
        <v>305</v>
      </c>
      <c r="S30" s="747"/>
      <c r="T30" s="732"/>
      <c r="U30" s="743"/>
      <c r="V30" s="743"/>
      <c r="W30" s="745">
        <f t="shared" si="0"/>
        <v>0</v>
      </c>
      <c r="X30" s="745"/>
      <c r="Y30" s="373"/>
      <c r="Z30" s="373"/>
      <c r="AA30" s="373"/>
      <c r="AB30" s="211"/>
      <c r="AD30" s="211" t="s">
        <v>162</v>
      </c>
      <c r="AE30" s="372"/>
      <c r="AF30" s="211"/>
      <c r="AG30" s="211"/>
      <c r="AH30" s="384"/>
      <c r="AI30" s="97">
        <f t="shared" si="1"/>
        <v>0</v>
      </c>
      <c r="AJ30" s="373"/>
      <c r="AK30" s="373"/>
      <c r="AL30" s="97"/>
    </row>
    <row r="31" spans="1:38" ht="39" customHeight="1" x14ac:dyDescent="0.2">
      <c r="A31" s="1"/>
      <c r="B31" s="2549" t="s">
        <v>343</v>
      </c>
      <c r="C31" s="135" t="s">
        <v>21</v>
      </c>
      <c r="D31" s="160">
        <f t="shared" ref="D31:J31" si="9">S75</f>
        <v>497019</v>
      </c>
      <c r="E31" s="160">
        <f t="shared" si="9"/>
        <v>420913.5</v>
      </c>
      <c r="F31" s="160">
        <f t="shared" si="9"/>
        <v>0</v>
      </c>
      <c r="G31" s="160">
        <f t="shared" si="9"/>
        <v>5400</v>
      </c>
      <c r="H31" s="160">
        <f t="shared" si="9"/>
        <v>426313.5</v>
      </c>
      <c r="I31" s="125">
        <f t="shared" si="9"/>
        <v>33.214596838394172</v>
      </c>
      <c r="J31" s="160">
        <f t="shared" si="9"/>
        <v>38486.875</v>
      </c>
      <c r="K31" s="135"/>
      <c r="L31" s="480">
        <f>Z75</f>
        <v>1851</v>
      </c>
      <c r="M31" s="480">
        <f>AA75</f>
        <v>2887</v>
      </c>
      <c r="N31" s="1176">
        <f>AB75</f>
        <v>146</v>
      </c>
      <c r="O31" s="95"/>
      <c r="P31" s="95"/>
      <c r="Q31" s="211"/>
      <c r="R31" s="372" t="s">
        <v>306</v>
      </c>
      <c r="S31" s="749"/>
      <c r="T31" s="743"/>
      <c r="U31" s="743"/>
      <c r="V31" s="743"/>
      <c r="W31" s="745">
        <f t="shared" si="0"/>
        <v>0</v>
      </c>
      <c r="X31" s="745"/>
      <c r="Y31" s="373"/>
      <c r="Z31" s="373"/>
      <c r="AA31" s="373"/>
      <c r="AB31" s="211"/>
      <c r="AD31" s="211"/>
      <c r="AE31" s="372"/>
      <c r="AF31" s="211"/>
      <c r="AG31" s="211"/>
      <c r="AH31" s="384"/>
      <c r="AI31" s="97">
        <f t="shared" si="1"/>
        <v>0</v>
      </c>
      <c r="AJ31" s="373"/>
      <c r="AK31" s="373"/>
      <c r="AL31" s="97"/>
    </row>
    <row r="32" spans="1:38" ht="39" customHeight="1" x14ac:dyDescent="0.2">
      <c r="A32" s="1"/>
      <c r="B32" s="2565"/>
      <c r="C32" s="135" t="s">
        <v>22</v>
      </c>
      <c r="D32" s="137"/>
      <c r="E32" s="138">
        <f>E31/H31*100</f>
        <v>98.733326530827668</v>
      </c>
      <c r="F32" s="138">
        <f>+F31/H31*100</f>
        <v>0</v>
      </c>
      <c r="G32" s="138">
        <f>+G31/H31*100</f>
        <v>1.2666734691723345</v>
      </c>
      <c r="H32" s="136">
        <f>SUM(E32:G32)</f>
        <v>100</v>
      </c>
      <c r="I32" s="136"/>
      <c r="J32" s="136"/>
      <c r="K32" s="138">
        <f>H31/D31*100</f>
        <v>85.774085095338407</v>
      </c>
      <c r="L32" s="2537">
        <f>100-K32</f>
        <v>14.225914904661593</v>
      </c>
      <c r="M32" s="2538"/>
      <c r="N32" s="1176"/>
      <c r="O32" s="95"/>
      <c r="P32" s="95"/>
      <c r="Q32" s="211"/>
      <c r="R32" s="372" t="s">
        <v>307</v>
      </c>
      <c r="S32" s="746"/>
      <c r="T32" s="746"/>
      <c r="U32" s="746"/>
      <c r="V32" s="746"/>
      <c r="W32" s="745">
        <f t="shared" si="0"/>
        <v>0</v>
      </c>
      <c r="X32" s="750"/>
      <c r="Y32" s="371"/>
      <c r="Z32" s="371"/>
      <c r="AA32" s="371"/>
      <c r="AB32" s="211"/>
      <c r="AD32" s="211"/>
      <c r="AE32" s="372"/>
      <c r="AF32" s="211"/>
      <c r="AG32" s="211"/>
      <c r="AH32" s="455"/>
      <c r="AI32" s="97">
        <f t="shared" si="1"/>
        <v>0</v>
      </c>
      <c r="AJ32" s="371"/>
      <c r="AK32" s="371"/>
      <c r="AL32" s="133"/>
    </row>
    <row r="33" spans="1:38" ht="39" customHeight="1" x14ac:dyDescent="0.2">
      <c r="A33" s="1"/>
      <c r="B33" s="2549" t="s">
        <v>340</v>
      </c>
      <c r="C33" s="129" t="s">
        <v>21</v>
      </c>
      <c r="D33" s="140">
        <f>AE76</f>
        <v>23338.461538461539</v>
      </c>
      <c r="E33" s="140">
        <f t="shared" ref="E33:J33" si="10">AF76</f>
        <v>20934.599999999999</v>
      </c>
      <c r="F33" s="140">
        <f t="shared" si="10"/>
        <v>1137.75</v>
      </c>
      <c r="G33" s="140">
        <f t="shared" si="10"/>
        <v>682.65</v>
      </c>
      <c r="H33" s="140">
        <f t="shared" si="10"/>
        <v>22755</v>
      </c>
      <c r="I33" s="130">
        <f t="shared" si="10"/>
        <v>1.85</v>
      </c>
      <c r="J33" s="140">
        <f t="shared" si="10"/>
        <v>12300</v>
      </c>
      <c r="K33" s="131"/>
      <c r="L33" s="129"/>
      <c r="M33" s="129"/>
      <c r="N33" s="1175">
        <v>100</v>
      </c>
      <c r="O33" s="95"/>
      <c r="P33" s="95"/>
      <c r="Q33" s="211" t="s">
        <v>111</v>
      </c>
      <c r="R33" s="372" t="s">
        <v>305</v>
      </c>
      <c r="S33" s="747"/>
      <c r="T33" s="732"/>
      <c r="U33" s="743"/>
      <c r="V33" s="743"/>
      <c r="W33" s="745">
        <f t="shared" si="0"/>
        <v>0</v>
      </c>
      <c r="X33" s="745"/>
      <c r="Y33" s="373"/>
      <c r="Z33" s="373"/>
      <c r="AA33" s="373"/>
      <c r="AB33" s="211"/>
      <c r="AD33" s="211" t="s">
        <v>111</v>
      </c>
      <c r="AE33" s="372"/>
      <c r="AF33" s="211"/>
      <c r="AG33" s="211"/>
      <c r="AH33" s="384"/>
      <c r="AI33" s="97">
        <f t="shared" si="1"/>
        <v>0</v>
      </c>
      <c r="AJ33" s="373"/>
      <c r="AK33" s="373"/>
      <c r="AL33" s="97"/>
    </row>
    <row r="34" spans="1:38" ht="39" customHeight="1" x14ac:dyDescent="0.2">
      <c r="A34" s="1"/>
      <c r="B34" s="2565"/>
      <c r="C34" s="141" t="s">
        <v>22</v>
      </c>
      <c r="D34" s="142"/>
      <c r="E34" s="143">
        <v>92</v>
      </c>
      <c r="F34" s="143">
        <v>5</v>
      </c>
      <c r="G34" s="143">
        <v>3</v>
      </c>
      <c r="H34" s="230">
        <f>SUM(E34:G34)</f>
        <v>100</v>
      </c>
      <c r="I34" s="230"/>
      <c r="J34" s="482"/>
      <c r="K34" s="143">
        <v>97.5</v>
      </c>
      <c r="L34" s="2544">
        <f>100-K34</f>
        <v>2.5</v>
      </c>
      <c r="M34" s="2545"/>
      <c r="N34" s="1177"/>
      <c r="O34" s="95"/>
      <c r="P34" s="95"/>
      <c r="Q34" s="211"/>
      <c r="R34" s="372" t="s">
        <v>306</v>
      </c>
      <c r="S34" s="749"/>
      <c r="T34" s="743"/>
      <c r="U34" s="743"/>
      <c r="V34" s="743"/>
      <c r="W34" s="745">
        <f t="shared" si="0"/>
        <v>0</v>
      </c>
      <c r="X34" s="745"/>
      <c r="Y34" s="373"/>
      <c r="Z34" s="373"/>
      <c r="AA34" s="373"/>
      <c r="AB34" s="211"/>
      <c r="AD34" s="211"/>
      <c r="AE34" s="372"/>
      <c r="AF34" s="211"/>
      <c r="AG34" s="211"/>
      <c r="AH34" s="384"/>
      <c r="AI34" s="97">
        <f t="shared" si="1"/>
        <v>0</v>
      </c>
      <c r="AJ34" s="373"/>
      <c r="AK34" s="373"/>
      <c r="AL34" s="97"/>
    </row>
    <row r="35" spans="1:38" ht="39" customHeight="1" x14ac:dyDescent="0.2">
      <c r="A35" s="1"/>
      <c r="B35" s="2549" t="s">
        <v>341</v>
      </c>
      <c r="C35" s="144" t="s">
        <v>21</v>
      </c>
      <c r="D35" s="145">
        <f>S76</f>
        <v>23615</v>
      </c>
      <c r="E35" s="145">
        <f t="shared" ref="E35:J35" si="11">T76</f>
        <v>79593</v>
      </c>
      <c r="F35" s="145">
        <f t="shared" si="11"/>
        <v>0</v>
      </c>
      <c r="G35" s="145">
        <f t="shared" si="11"/>
        <v>8863.5</v>
      </c>
      <c r="H35" s="145">
        <f t="shared" si="11"/>
        <v>88456.5</v>
      </c>
      <c r="I35" s="772">
        <f t="shared" si="11"/>
        <v>6.7854031616058226</v>
      </c>
      <c r="J35" s="145">
        <f t="shared" si="11"/>
        <v>25817.5</v>
      </c>
      <c r="K35" s="144"/>
      <c r="L35" s="483">
        <f>Z76</f>
        <v>0</v>
      </c>
      <c r="M35" s="483">
        <f>AA76</f>
        <v>0</v>
      </c>
      <c r="N35" s="1178">
        <f>AB76</f>
        <v>146</v>
      </c>
      <c r="O35" s="95"/>
      <c r="P35" s="95"/>
      <c r="Q35" s="211"/>
      <c r="R35" s="372" t="s">
        <v>307</v>
      </c>
      <c r="S35" s="746"/>
      <c r="T35" s="746"/>
      <c r="U35" s="746"/>
      <c r="V35" s="746"/>
      <c r="W35" s="745">
        <f t="shared" si="0"/>
        <v>0</v>
      </c>
      <c r="X35" s="750"/>
      <c r="Y35" s="371"/>
      <c r="Z35" s="371"/>
      <c r="AA35" s="371"/>
      <c r="AB35" s="211"/>
      <c r="AD35" s="211"/>
      <c r="AE35" s="372"/>
      <c r="AF35" s="211"/>
      <c r="AG35" s="211"/>
      <c r="AH35" s="455"/>
      <c r="AI35" s="97">
        <f t="shared" si="1"/>
        <v>0</v>
      </c>
      <c r="AJ35" s="371"/>
      <c r="AK35" s="371"/>
      <c r="AL35" s="133"/>
    </row>
    <row r="36" spans="1:38" ht="39" customHeight="1" x14ac:dyDescent="0.2">
      <c r="A36" s="1"/>
      <c r="B36" s="2565"/>
      <c r="C36" s="144" t="s">
        <v>22</v>
      </c>
      <c r="D36" s="147"/>
      <c r="E36" s="148">
        <f>+E35/H35*100</f>
        <v>89.979820589781426</v>
      </c>
      <c r="F36" s="148">
        <f>+F35/H35*100</f>
        <v>0</v>
      </c>
      <c r="G36" s="148">
        <f>+G35/H35*100</f>
        <v>10.020179410218583</v>
      </c>
      <c r="H36" s="146">
        <f>SUM(E36:G36)</f>
        <v>100.00000000000001</v>
      </c>
      <c r="I36" s="146"/>
      <c r="J36" s="146"/>
      <c r="K36" s="148">
        <f>H35/D35*100</f>
        <v>374.57759898369682</v>
      </c>
      <c r="L36" s="2533">
        <f>100-K36</f>
        <v>-274.57759898369682</v>
      </c>
      <c r="M36" s="2534"/>
      <c r="N36" s="1178"/>
      <c r="O36" s="95"/>
      <c r="P36" s="95"/>
      <c r="Q36" s="211" t="s">
        <v>29</v>
      </c>
      <c r="R36" s="372" t="s">
        <v>305</v>
      </c>
      <c r="S36" s="747"/>
      <c r="T36" s="732"/>
      <c r="U36" s="743"/>
      <c r="V36" s="743"/>
      <c r="W36" s="745">
        <f t="shared" si="0"/>
        <v>0</v>
      </c>
      <c r="X36" s="745"/>
      <c r="Y36" s="373"/>
      <c r="Z36" s="373"/>
      <c r="AA36" s="373"/>
      <c r="AB36" s="211"/>
      <c r="AD36" s="211" t="s">
        <v>29</v>
      </c>
      <c r="AE36" s="372"/>
      <c r="AF36" s="211"/>
      <c r="AG36" s="211"/>
      <c r="AH36" s="384"/>
      <c r="AI36" s="97">
        <f t="shared" si="1"/>
        <v>0</v>
      </c>
      <c r="AJ36" s="373"/>
      <c r="AK36" s="373"/>
      <c r="AL36" s="97"/>
    </row>
    <row r="37" spans="1:38" ht="39" customHeight="1" x14ac:dyDescent="0.2">
      <c r="A37" s="1"/>
      <c r="B37" s="2566" t="s">
        <v>344</v>
      </c>
      <c r="C37" s="57" t="s">
        <v>21</v>
      </c>
      <c r="D37" s="149">
        <f t="shared" ref="D37:J37" si="12">AE105</f>
        <v>117312.82051282052</v>
      </c>
      <c r="E37" s="149">
        <f t="shared" si="12"/>
        <v>101798.2</v>
      </c>
      <c r="F37" s="149">
        <f t="shared" si="12"/>
        <v>5719</v>
      </c>
      <c r="G37" s="149">
        <f t="shared" si="12"/>
        <v>6862.8</v>
      </c>
      <c r="H37" s="149">
        <f t="shared" si="12"/>
        <v>114380</v>
      </c>
      <c r="I37" s="1185">
        <f t="shared" si="12"/>
        <v>9.5</v>
      </c>
      <c r="J37" s="149">
        <f t="shared" si="12"/>
        <v>12040</v>
      </c>
      <c r="K37" s="150"/>
      <c r="L37" s="57"/>
      <c r="M37" s="57"/>
      <c r="N37" s="1179">
        <v>100</v>
      </c>
      <c r="O37" s="95"/>
      <c r="P37" s="95"/>
      <c r="Q37" s="211"/>
      <c r="R37" s="372" t="s">
        <v>306</v>
      </c>
      <c r="S37" s="749"/>
      <c r="T37" s="743"/>
      <c r="U37" s="743"/>
      <c r="V37" s="743"/>
      <c r="W37" s="745">
        <f t="shared" si="0"/>
        <v>0</v>
      </c>
      <c r="X37" s="745"/>
      <c r="Y37" s="373"/>
      <c r="Z37" s="373"/>
      <c r="AA37" s="373"/>
      <c r="AB37" s="211"/>
      <c r="AD37" s="211"/>
      <c r="AE37" s="372"/>
      <c r="AF37" s="211"/>
      <c r="AG37" s="211"/>
      <c r="AH37" s="384"/>
      <c r="AI37" s="97">
        <f t="shared" si="1"/>
        <v>0</v>
      </c>
      <c r="AJ37" s="373"/>
      <c r="AK37" s="373"/>
      <c r="AL37" s="97"/>
    </row>
    <row r="38" spans="1:38" ht="39" customHeight="1" x14ac:dyDescent="0.2">
      <c r="A38" s="1"/>
      <c r="B38" s="2567"/>
      <c r="C38" s="57" t="s">
        <v>22</v>
      </c>
      <c r="D38" s="149"/>
      <c r="E38" s="152">
        <v>92</v>
      </c>
      <c r="F38" s="152">
        <v>5</v>
      </c>
      <c r="G38" s="152">
        <v>3</v>
      </c>
      <c r="H38" s="150">
        <f>SUM(E38:G38)</f>
        <v>100</v>
      </c>
      <c r="I38" s="151"/>
      <c r="J38" s="153"/>
      <c r="K38" s="152">
        <v>97.5</v>
      </c>
      <c r="L38" s="2535">
        <f>100-K38</f>
        <v>2.5</v>
      </c>
      <c r="M38" s="2535"/>
      <c r="N38" s="1179"/>
      <c r="O38" s="95"/>
      <c r="P38" s="95"/>
      <c r="Q38" s="211"/>
      <c r="R38" s="372" t="s">
        <v>307</v>
      </c>
      <c r="S38" s="746"/>
      <c r="T38" s="746"/>
      <c r="U38" s="746"/>
      <c r="V38" s="746"/>
      <c r="W38" s="745">
        <f t="shared" si="0"/>
        <v>0</v>
      </c>
      <c r="X38" s="750"/>
      <c r="Y38" s="371"/>
      <c r="Z38" s="371"/>
      <c r="AA38" s="371"/>
      <c r="AB38" s="211"/>
      <c r="AD38" s="211"/>
      <c r="AE38" s="372"/>
      <c r="AF38" s="211"/>
      <c r="AG38" s="211"/>
      <c r="AH38" s="455"/>
      <c r="AI38" s="97">
        <f t="shared" si="1"/>
        <v>0</v>
      </c>
      <c r="AJ38" s="371"/>
      <c r="AK38" s="371"/>
      <c r="AL38" s="133"/>
    </row>
    <row r="39" spans="1:38" ht="39" customHeight="1" x14ac:dyDescent="0.2">
      <c r="A39" s="1"/>
      <c r="B39" s="2536" t="s">
        <v>345</v>
      </c>
      <c r="C39" s="154" t="s">
        <v>21</v>
      </c>
      <c r="D39" s="155">
        <f t="shared" ref="D39:J39" si="13">S105</f>
        <v>119675</v>
      </c>
      <c r="E39" s="155">
        <f t="shared" si="13"/>
        <v>93891.6</v>
      </c>
      <c r="F39" s="155">
        <f t="shared" si="13"/>
        <v>0</v>
      </c>
      <c r="G39" s="155">
        <f t="shared" si="13"/>
        <v>5347.08</v>
      </c>
      <c r="H39" s="155">
        <f t="shared" si="13"/>
        <v>99238.680000000008</v>
      </c>
      <c r="I39" s="157">
        <f t="shared" si="13"/>
        <v>8.0883283144158753</v>
      </c>
      <c r="J39" s="156">
        <f t="shared" si="13"/>
        <v>12269.368421052632</v>
      </c>
      <c r="K39" s="154"/>
      <c r="L39" s="501">
        <f>Z105</f>
        <v>712.8</v>
      </c>
      <c r="M39" s="501">
        <f>AA105</f>
        <v>758.52</v>
      </c>
      <c r="N39" s="1180">
        <f>AB105</f>
        <v>230</v>
      </c>
      <c r="O39" s="158"/>
      <c r="P39" s="158"/>
      <c r="Q39" s="383" t="s">
        <v>31</v>
      </c>
      <c r="R39" s="372" t="s">
        <v>305</v>
      </c>
      <c r="S39" s="747"/>
      <c r="T39" s="732"/>
      <c r="U39" s="743"/>
      <c r="V39" s="743"/>
      <c r="W39" s="745">
        <f t="shared" si="0"/>
        <v>0</v>
      </c>
      <c r="X39" s="745"/>
      <c r="Y39" s="373"/>
      <c r="Z39" s="373"/>
      <c r="AA39" s="373"/>
      <c r="AB39" s="211"/>
      <c r="AD39" s="383" t="s">
        <v>31</v>
      </c>
      <c r="AE39" s="372"/>
      <c r="AF39" s="211"/>
      <c r="AG39" s="211"/>
      <c r="AH39" s="384"/>
      <c r="AI39" s="97">
        <f t="shared" si="1"/>
        <v>0</v>
      </c>
      <c r="AJ39" s="373"/>
      <c r="AK39" s="373"/>
      <c r="AL39" s="97"/>
    </row>
    <row r="40" spans="1:38" ht="39" customHeight="1" x14ac:dyDescent="0.2">
      <c r="A40" s="1"/>
      <c r="B40" s="2478"/>
      <c r="C40" s="135" t="s">
        <v>22</v>
      </c>
      <c r="D40" s="137"/>
      <c r="E40" s="138">
        <f>+E39/H39*100</f>
        <v>94.611899311840915</v>
      </c>
      <c r="F40" s="138">
        <f>+F39/H39*100</f>
        <v>0</v>
      </c>
      <c r="G40" s="138">
        <f>+G39/H39*100</f>
        <v>5.388100688159092</v>
      </c>
      <c r="H40" s="136">
        <f>SUM(E40:G40)</f>
        <v>100</v>
      </c>
      <c r="I40" s="136"/>
      <c r="J40" s="136"/>
      <c r="K40" s="138">
        <f>H39/D39*100</f>
        <v>82.923484437016924</v>
      </c>
      <c r="L40" s="2537">
        <f>100-K40</f>
        <v>17.076515562983076</v>
      </c>
      <c r="M40" s="2538"/>
      <c r="N40" s="1176"/>
      <c r="O40" s="158"/>
      <c r="P40" s="158"/>
      <c r="Q40" s="382"/>
      <c r="R40" s="372" t="s">
        <v>306</v>
      </c>
      <c r="S40" s="749"/>
      <c r="T40" s="743"/>
      <c r="U40" s="743"/>
      <c r="V40" s="743"/>
      <c r="W40" s="745">
        <f t="shared" si="0"/>
        <v>0</v>
      </c>
      <c r="X40" s="745"/>
      <c r="Y40" s="373"/>
      <c r="Z40" s="373"/>
      <c r="AA40" s="373"/>
      <c r="AB40" s="211"/>
      <c r="AD40" s="382"/>
      <c r="AE40" s="372"/>
      <c r="AF40" s="211"/>
      <c r="AG40" s="211"/>
      <c r="AH40" s="384"/>
      <c r="AI40" s="97">
        <f t="shared" si="1"/>
        <v>0</v>
      </c>
      <c r="AJ40" s="373"/>
      <c r="AK40" s="373"/>
      <c r="AL40" s="97"/>
    </row>
    <row r="41" spans="1:38" ht="39" customHeight="1" x14ac:dyDescent="0.2">
      <c r="A41" s="1"/>
      <c r="B41" s="2549" t="s">
        <v>346</v>
      </c>
      <c r="C41" s="129" t="s">
        <v>21</v>
      </c>
      <c r="D41" s="140">
        <f>AE83</f>
        <v>0</v>
      </c>
      <c r="E41" s="140">
        <f t="shared" ref="E41:J41" si="14">AF83</f>
        <v>0</v>
      </c>
      <c r="F41" s="140">
        <f t="shared" si="14"/>
        <v>0</v>
      </c>
      <c r="G41" s="140">
        <f t="shared" si="14"/>
        <v>0</v>
      </c>
      <c r="H41" s="140">
        <f t="shared" si="14"/>
        <v>0</v>
      </c>
      <c r="I41" s="140">
        <f t="shared" si="14"/>
        <v>0</v>
      </c>
      <c r="J41" s="140">
        <f t="shared" si="14"/>
        <v>0</v>
      </c>
      <c r="K41" s="131"/>
      <c r="L41" s="129"/>
      <c r="M41" s="129"/>
      <c r="N41" s="1175">
        <v>100</v>
      </c>
      <c r="O41" s="95"/>
      <c r="P41" s="95"/>
      <c r="Q41" s="466"/>
      <c r="R41" s="467" t="s">
        <v>307</v>
      </c>
      <c r="S41" s="746"/>
      <c r="T41" s="746"/>
      <c r="U41" s="746"/>
      <c r="V41" s="746"/>
      <c r="W41" s="745">
        <f t="shared" si="0"/>
        <v>0</v>
      </c>
      <c r="X41" s="750"/>
      <c r="Y41" s="371"/>
      <c r="Z41" s="371"/>
      <c r="AA41" s="371"/>
      <c r="AB41" s="211"/>
      <c r="AD41" s="466"/>
      <c r="AE41" s="467"/>
      <c r="AF41" s="211"/>
      <c r="AG41" s="211"/>
      <c r="AH41" s="455"/>
      <c r="AI41" s="97">
        <f t="shared" si="1"/>
        <v>0</v>
      </c>
      <c r="AJ41" s="371"/>
      <c r="AK41" s="371"/>
      <c r="AL41" s="133"/>
    </row>
    <row r="42" spans="1:38" ht="39" customHeight="1" x14ac:dyDescent="0.2">
      <c r="A42" s="1"/>
      <c r="B42" s="2478"/>
      <c r="C42" s="129" t="s">
        <v>22</v>
      </c>
      <c r="D42" s="140"/>
      <c r="E42" s="134">
        <v>89</v>
      </c>
      <c r="F42" s="134">
        <v>8</v>
      </c>
      <c r="G42" s="134">
        <v>3</v>
      </c>
      <c r="H42" s="131">
        <f>SUM(E42:G42)</f>
        <v>100</v>
      </c>
      <c r="I42" s="131"/>
      <c r="J42" s="159"/>
      <c r="K42" s="134">
        <v>97.5</v>
      </c>
      <c r="L42" s="2568">
        <f>100-K42</f>
        <v>2.5</v>
      </c>
      <c r="M42" s="2482"/>
      <c r="N42" s="1175"/>
      <c r="O42" s="95"/>
      <c r="P42" s="95"/>
      <c r="Q42" s="2466" t="s">
        <v>89</v>
      </c>
      <c r="R42" s="2466"/>
      <c r="S42" s="751">
        <f t="shared" ref="S42:X42" si="15">SUM(S6:S41)</f>
        <v>1733166</v>
      </c>
      <c r="T42" s="752">
        <f t="shared" si="15"/>
        <v>1562421.6</v>
      </c>
      <c r="U42" s="752">
        <f t="shared" si="15"/>
        <v>50064.479999999996</v>
      </c>
      <c r="V42" s="752">
        <f t="shared" si="15"/>
        <v>90155.51999999999</v>
      </c>
      <c r="W42" s="753">
        <f t="shared" si="15"/>
        <v>1702641.5999999999</v>
      </c>
      <c r="X42" s="769">
        <f t="shared" si="15"/>
        <v>111.95000633718044</v>
      </c>
      <c r="Y42" s="474">
        <f>W42/X42</f>
        <v>15208.945990336444</v>
      </c>
      <c r="Z42" s="474">
        <f>SUM(Z6:Z41)</f>
        <v>7357.02</v>
      </c>
      <c r="AA42" s="474">
        <f>SUM(AA6:AA41)</f>
        <v>7800.7999999999993</v>
      </c>
      <c r="AB42" s="774">
        <f>SUM(AB6:AB41)/5</f>
        <v>26</v>
      </c>
      <c r="AC42" s="103"/>
      <c r="AD42" s="468" t="s">
        <v>89</v>
      </c>
      <c r="AE42" s="468">
        <f t="shared" ref="AE42:AJ42" si="16">SUM(AE6:AE41)</f>
        <v>1674275.7853908949</v>
      </c>
      <c r="AF42" s="468">
        <f t="shared" si="16"/>
        <v>1198573.2350000001</v>
      </c>
      <c r="AG42" s="468">
        <f t="shared" si="16"/>
        <v>80802.69</v>
      </c>
      <c r="AH42" s="468">
        <f t="shared" si="16"/>
        <v>67335.574999999997</v>
      </c>
      <c r="AI42" s="474">
        <f t="shared" si="16"/>
        <v>1346711.5</v>
      </c>
      <c r="AJ42" s="704">
        <f t="shared" si="16"/>
        <v>111.75</v>
      </c>
      <c r="AK42" s="474">
        <f>AI42/AJ42</f>
        <v>12051.1096196868</v>
      </c>
      <c r="AL42" s="774">
        <v>40</v>
      </c>
    </row>
    <row r="43" spans="1:38" ht="39" customHeight="1" x14ac:dyDescent="0.2">
      <c r="A43" s="1"/>
      <c r="B43" s="2549" t="s">
        <v>347</v>
      </c>
      <c r="C43" s="135" t="s">
        <v>21</v>
      </c>
      <c r="D43" s="160">
        <f>S106</f>
        <v>0</v>
      </c>
      <c r="E43" s="160">
        <f t="shared" ref="E43:J43" si="17">T106</f>
        <v>16918.2</v>
      </c>
      <c r="F43" s="160">
        <f t="shared" si="17"/>
        <v>0</v>
      </c>
      <c r="G43" s="160">
        <f t="shared" si="17"/>
        <v>402.12</v>
      </c>
      <c r="H43" s="160">
        <f t="shared" si="17"/>
        <v>17320.32</v>
      </c>
      <c r="I43" s="125">
        <f t="shared" si="17"/>
        <v>1.4116716855841247</v>
      </c>
      <c r="J43" s="160">
        <f t="shared" si="17"/>
        <v>12269.368421052632</v>
      </c>
      <c r="K43" s="135"/>
      <c r="L43" s="480">
        <f>Z106</f>
        <v>0</v>
      </c>
      <c r="M43" s="480">
        <f>AA106</f>
        <v>0</v>
      </c>
      <c r="N43" s="1176">
        <f>AB106</f>
        <v>0</v>
      </c>
      <c r="O43" s="95"/>
      <c r="P43" s="95"/>
      <c r="Q43" s="2466" t="s">
        <v>308</v>
      </c>
      <c r="R43" s="2466"/>
      <c r="S43" s="754"/>
      <c r="T43" s="755">
        <f>T6+T9+T12+T15+T18+T21+T24+T27+T30+T33+T36+T39</f>
        <v>1203423.8399999999</v>
      </c>
      <c r="U43" s="755">
        <f t="shared" ref="U43:AA43" si="18">U6+U9+U12+U15+U18+U21+U24+U27+U30+U33+U36+U39</f>
        <v>46261.439999999995</v>
      </c>
      <c r="V43" s="755">
        <f t="shared" si="18"/>
        <v>66183.839999999997</v>
      </c>
      <c r="W43" s="756">
        <f t="shared" si="18"/>
        <v>1315869.1200000001</v>
      </c>
      <c r="X43" s="1209">
        <f t="shared" si="18"/>
        <v>86.756006392385189</v>
      </c>
      <c r="Y43" s="474">
        <f>W43/X43</f>
        <v>15167.469950708768</v>
      </c>
      <c r="Z43" s="756">
        <f t="shared" si="18"/>
        <v>7357.02</v>
      </c>
      <c r="AA43" s="756">
        <f t="shared" si="18"/>
        <v>7800.7999999999993</v>
      </c>
      <c r="AB43" s="472"/>
      <c r="AD43" s="472" t="s">
        <v>308</v>
      </c>
      <c r="AE43" s="697"/>
      <c r="AF43" s="468"/>
      <c r="AG43" s="468"/>
      <c r="AH43" s="497">
        <f t="shared" ref="AH43:AI45" si="19">AH6+AH9+AH12+AH15+AH18+AH21+AH24+AH27+AH30+AH33+AH36+AH39</f>
        <v>67335.574999999997</v>
      </c>
      <c r="AI43" s="470">
        <f t="shared" si="19"/>
        <v>1346711.5</v>
      </c>
      <c r="AJ43" s="472"/>
      <c r="AK43" s="472"/>
      <c r="AL43" s="472"/>
    </row>
    <row r="44" spans="1:38" ht="39" customHeight="1" x14ac:dyDescent="0.2">
      <c r="A44" s="1"/>
      <c r="B44" s="2478"/>
      <c r="C44" s="135" t="s">
        <v>22</v>
      </c>
      <c r="D44" s="137"/>
      <c r="E44" s="138">
        <f>+E43/H43*100</f>
        <v>97.678333887595613</v>
      </c>
      <c r="F44" s="138">
        <f>+F43/H43*100</f>
        <v>0</v>
      </c>
      <c r="G44" s="138">
        <f>+G43/H43*100</f>
        <v>2.3216661124043898</v>
      </c>
      <c r="H44" s="136">
        <f>SUM(E44:G44)</f>
        <v>100</v>
      </c>
      <c r="I44" s="136"/>
      <c r="J44" s="136"/>
      <c r="K44" s="138" t="e">
        <f>H43/D43*100</f>
        <v>#DIV/0!</v>
      </c>
      <c r="L44" s="2558" t="e">
        <f>100-K44</f>
        <v>#DIV/0!</v>
      </c>
      <c r="M44" s="2559"/>
      <c r="N44" s="1176"/>
      <c r="O44" s="95"/>
      <c r="P44" s="95"/>
      <c r="Q44" s="2466" t="s">
        <v>309</v>
      </c>
      <c r="R44" s="2466"/>
      <c r="S44" s="758"/>
      <c r="T44" s="755">
        <f>T7+T10+T13+T16+T19+T22+T25+T28+T31+T34+T37+T40</f>
        <v>307101.59999999998</v>
      </c>
      <c r="U44" s="755">
        <f t="shared" ref="U44:AA44" si="20">U7+U10+U13+U16+U19+U22+U25+U28+U31+U34+U37+U40</f>
        <v>3644.6400000000003</v>
      </c>
      <c r="V44" s="755">
        <f t="shared" si="20"/>
        <v>21886.559999999998</v>
      </c>
      <c r="W44" s="756">
        <f t="shared" si="20"/>
        <v>332632.8</v>
      </c>
      <c r="X44" s="1209">
        <f t="shared" si="20"/>
        <v>21.482097253391224</v>
      </c>
      <c r="Y44" s="474">
        <f>W44/X44</f>
        <v>15484.186486842649</v>
      </c>
      <c r="Z44" s="756">
        <f t="shared" si="20"/>
        <v>0</v>
      </c>
      <c r="AA44" s="756">
        <f t="shared" si="20"/>
        <v>0</v>
      </c>
      <c r="AB44" s="472"/>
      <c r="AD44" s="472" t="s">
        <v>309</v>
      </c>
      <c r="AE44" s="697"/>
      <c r="AF44" s="468"/>
      <c r="AG44" s="468"/>
      <c r="AH44" s="497">
        <f t="shared" si="19"/>
        <v>0</v>
      </c>
      <c r="AI44" s="470">
        <f t="shared" si="19"/>
        <v>0</v>
      </c>
      <c r="AJ44" s="472"/>
      <c r="AK44" s="472"/>
      <c r="AL44" s="472"/>
    </row>
    <row r="45" spans="1:38" ht="39" customHeight="1" x14ac:dyDescent="0.2">
      <c r="A45" s="1"/>
      <c r="B45" s="2560" t="s">
        <v>93</v>
      </c>
      <c r="C45" s="161" t="s">
        <v>21</v>
      </c>
      <c r="D45" s="162">
        <f t="shared" ref="D45:I45" si="21">D25+D29+D33+D37+D41</f>
        <v>1687232.3767660907</v>
      </c>
      <c r="E45" s="162">
        <f t="shared" si="21"/>
        <v>1119599.0223999999</v>
      </c>
      <c r="F45" s="162">
        <f t="shared" si="21"/>
        <v>73877.858399999997</v>
      </c>
      <c r="G45" s="162">
        <f t="shared" si="21"/>
        <v>38922.0792</v>
      </c>
      <c r="H45" s="162">
        <f t="shared" si="21"/>
        <v>1232398.96</v>
      </c>
      <c r="I45" s="163">
        <f t="shared" si="21"/>
        <v>124.1</v>
      </c>
      <c r="J45" s="164">
        <f>H45/I45</f>
        <v>9930.692667203868</v>
      </c>
      <c r="K45" s="495"/>
      <c r="L45" s="504"/>
      <c r="M45" s="631"/>
      <c r="N45" s="1181">
        <v>100</v>
      </c>
      <c r="O45" s="165"/>
      <c r="P45" s="165"/>
      <c r="Q45" s="2466" t="s">
        <v>310</v>
      </c>
      <c r="R45" s="2466"/>
      <c r="S45" s="759"/>
      <c r="T45" s="755">
        <f>T8+T11+T14+T17+T20+T23+T26+T29+T32+T35+T38+T41</f>
        <v>51896.159999999996</v>
      </c>
      <c r="U45" s="755">
        <f t="shared" ref="U45:AA45" si="22">U8+U11+U14+U17+U20+U23+U26+U29+U32+U35+U38+U41</f>
        <v>158.4</v>
      </c>
      <c r="V45" s="755">
        <f t="shared" si="22"/>
        <v>2085.12</v>
      </c>
      <c r="W45" s="756">
        <f t="shared" si="22"/>
        <v>54139.68</v>
      </c>
      <c r="X45" s="1209">
        <f t="shared" si="22"/>
        <v>3.7119026914040227</v>
      </c>
      <c r="Y45" s="474">
        <f>W45/X45</f>
        <v>14585.425454545451</v>
      </c>
      <c r="Z45" s="756">
        <f t="shared" si="22"/>
        <v>0</v>
      </c>
      <c r="AA45" s="756">
        <f t="shared" si="22"/>
        <v>0</v>
      </c>
      <c r="AB45" s="472"/>
      <c r="AD45" s="472" t="s">
        <v>310</v>
      </c>
      <c r="AE45" s="697"/>
      <c r="AF45" s="468"/>
      <c r="AG45" s="468"/>
      <c r="AH45" s="497">
        <f t="shared" si="19"/>
        <v>0</v>
      </c>
      <c r="AI45" s="470">
        <f t="shared" si="19"/>
        <v>0</v>
      </c>
      <c r="AJ45" s="472"/>
      <c r="AK45" s="471"/>
      <c r="AL45" s="471"/>
    </row>
    <row r="46" spans="1:38" ht="39" customHeight="1" x14ac:dyDescent="0.2">
      <c r="A46" s="1"/>
      <c r="B46" s="2478"/>
      <c r="C46" s="161" t="s">
        <v>22</v>
      </c>
      <c r="D46" s="166"/>
      <c r="E46" s="167">
        <f>E45/$H$45*100</f>
        <v>90.847124895334204</v>
      </c>
      <c r="F46" s="167">
        <f>F45/$H$45*100</f>
        <v>5.9946381649007554</v>
      </c>
      <c r="G46" s="167">
        <f>G45/$H$45*100</f>
        <v>3.1582369397650254</v>
      </c>
      <c r="H46" s="168">
        <f>H45/$H$45*100</f>
        <v>100</v>
      </c>
      <c r="I46" s="168"/>
      <c r="J46" s="168"/>
      <c r="K46" s="167">
        <v>97.5</v>
      </c>
      <c r="L46" s="2561">
        <f>100-K46</f>
        <v>2.5</v>
      </c>
      <c r="M46" s="2562"/>
      <c r="N46" s="1182"/>
      <c r="O46" s="165"/>
      <c r="P46" s="165"/>
      <c r="AE46" s="95"/>
      <c r="AF46" s="95"/>
      <c r="AG46" s="95"/>
    </row>
    <row r="47" spans="1:38" ht="39" customHeight="1" x14ac:dyDescent="0.2">
      <c r="A47" s="1"/>
      <c r="B47" s="2560" t="s">
        <v>94</v>
      </c>
      <c r="C47" s="161" t="s">
        <v>21</v>
      </c>
      <c r="D47" s="162">
        <f t="shared" ref="D47:I47" si="23">D27+D31+D35+D39+D43</f>
        <v>1725701</v>
      </c>
      <c r="E47" s="162">
        <f t="shared" si="23"/>
        <v>1597270.22</v>
      </c>
      <c r="F47" s="502">
        <f t="shared" si="23"/>
        <v>184.32</v>
      </c>
      <c r="G47" s="162">
        <f t="shared" si="23"/>
        <v>96247.58</v>
      </c>
      <c r="H47" s="162">
        <f>H27+H31+H35+H39+H43</f>
        <v>1693702.1199999999</v>
      </c>
      <c r="I47" s="163">
        <f t="shared" si="23"/>
        <v>124.45</v>
      </c>
      <c r="J47" s="162">
        <f>H47/I47</f>
        <v>13609.498754519886</v>
      </c>
      <c r="K47" s="495"/>
      <c r="L47" s="506">
        <f>L27+L31+L35+L39+L43</f>
        <v>7891.8</v>
      </c>
      <c r="M47" s="506">
        <f>M27+M31+M35+M39+M43</f>
        <v>11551.12</v>
      </c>
      <c r="N47" s="1201">
        <f>(N27+N31+N35+N39+N43)/5</f>
        <v>108.8</v>
      </c>
      <c r="O47" s="165"/>
      <c r="P47" s="165"/>
      <c r="Q47" s="456" t="s">
        <v>333</v>
      </c>
      <c r="R47" s="384" t="s">
        <v>304</v>
      </c>
      <c r="S47" s="743" t="s">
        <v>74</v>
      </c>
      <c r="T47" s="743" t="s">
        <v>18</v>
      </c>
      <c r="U47" s="743" t="s">
        <v>19</v>
      </c>
      <c r="V47" s="743" t="s">
        <v>20</v>
      </c>
      <c r="W47" s="760" t="s">
        <v>336</v>
      </c>
      <c r="X47" s="760" t="s">
        <v>10</v>
      </c>
      <c r="Y47" s="632" t="s">
        <v>331</v>
      </c>
      <c r="Z47" s="238" t="s">
        <v>81</v>
      </c>
      <c r="AA47" s="496" t="s">
        <v>360</v>
      </c>
      <c r="AB47" s="382" t="s">
        <v>337</v>
      </c>
      <c r="AC47" s="158"/>
      <c r="AD47" s="456" t="s">
        <v>395</v>
      </c>
      <c r="AE47" s="455" t="s">
        <v>361</v>
      </c>
      <c r="AF47" s="133" t="s">
        <v>18</v>
      </c>
      <c r="AG47" s="133" t="s">
        <v>19</v>
      </c>
      <c r="AH47" s="97" t="s">
        <v>20</v>
      </c>
      <c r="AI47" s="632" t="s">
        <v>336</v>
      </c>
      <c r="AJ47" s="632" t="s">
        <v>10</v>
      </c>
      <c r="AK47" s="632" t="s">
        <v>331</v>
      </c>
      <c r="AL47" s="202" t="s">
        <v>337</v>
      </c>
    </row>
    <row r="48" spans="1:38" ht="39" customHeight="1" x14ac:dyDescent="0.2">
      <c r="A48" s="1"/>
      <c r="B48" s="2550"/>
      <c r="C48" s="169" t="s">
        <v>22</v>
      </c>
      <c r="D48" s="170"/>
      <c r="E48" s="171">
        <f>+E47/H47*100</f>
        <v>94.306442740946679</v>
      </c>
      <c r="F48" s="171">
        <f>+F47/H47*100</f>
        <v>1.0882669261818011E-2</v>
      </c>
      <c r="G48" s="171">
        <f>+G47/H47*100</f>
        <v>5.6826745897915041</v>
      </c>
      <c r="H48" s="172">
        <f>SUM(E48:G48)</f>
        <v>100</v>
      </c>
      <c r="I48" s="173"/>
      <c r="J48" s="174"/>
      <c r="K48" s="507">
        <f>H47/D47*100</f>
        <v>98.145745989600741</v>
      </c>
      <c r="L48" s="2563">
        <f>100-K48</f>
        <v>1.8542540103992593</v>
      </c>
      <c r="M48" s="2564"/>
      <c r="N48" s="1183"/>
      <c r="O48" s="165"/>
      <c r="P48" s="165"/>
      <c r="Q48" s="12" t="s">
        <v>157</v>
      </c>
      <c r="R48" s="384" t="s">
        <v>316</v>
      </c>
      <c r="S48" s="743"/>
      <c r="T48" s="743"/>
      <c r="U48" s="743"/>
      <c r="V48" s="743"/>
      <c r="W48" s="743">
        <f>SUM(T48:V48)</f>
        <v>0</v>
      </c>
      <c r="X48" s="743"/>
      <c r="Y48" s="97"/>
      <c r="Z48" s="97"/>
      <c r="AA48" s="373"/>
      <c r="AB48" s="211"/>
      <c r="AD48" s="12" t="s">
        <v>157</v>
      </c>
      <c r="AE48" s="455"/>
      <c r="AF48" s="455"/>
      <c r="AG48" s="455"/>
      <c r="AH48" s="97"/>
      <c r="AI48" s="97">
        <f>SUM(AH48:AH48)</f>
        <v>0</v>
      </c>
      <c r="AJ48" s="97"/>
      <c r="AK48" s="97"/>
      <c r="AL48" s="97"/>
    </row>
    <row r="49" spans="1:38" ht="39" customHeight="1" x14ac:dyDescent="0.2">
      <c r="A49" s="1"/>
      <c r="B49" s="2557" t="s">
        <v>83</v>
      </c>
      <c r="C49" s="175" t="s">
        <v>21</v>
      </c>
      <c r="D49" s="176">
        <f>+D48-D46</f>
        <v>0</v>
      </c>
      <c r="E49" s="177">
        <f>+E48-E46</f>
        <v>3.4593178456124747</v>
      </c>
      <c r="F49" s="177">
        <f>+F48-F46</f>
        <v>-5.9837554956389374</v>
      </c>
      <c r="G49" s="177">
        <f>+G48-G46</f>
        <v>2.5244376500264787</v>
      </c>
      <c r="H49" s="177">
        <f>+H48-H46</f>
        <v>0</v>
      </c>
      <c r="I49" s="177"/>
      <c r="J49" s="177"/>
      <c r="K49" s="503"/>
      <c r="L49" s="505"/>
      <c r="M49" s="631"/>
      <c r="N49" s="1184"/>
      <c r="O49" s="165"/>
      <c r="P49" s="165"/>
      <c r="Q49" s="454" t="s">
        <v>158</v>
      </c>
      <c r="R49" s="455" t="s">
        <v>316</v>
      </c>
      <c r="S49" s="743"/>
      <c r="T49" s="743"/>
      <c r="U49" s="743"/>
      <c r="V49" s="743"/>
      <c r="W49" s="743">
        <f>SUM(T49:V49)</f>
        <v>0</v>
      </c>
      <c r="X49" s="743"/>
      <c r="Y49" s="97"/>
      <c r="Z49" s="97"/>
      <c r="AA49" s="373"/>
      <c r="AB49" s="211"/>
      <c r="AD49" s="383" t="s">
        <v>158</v>
      </c>
      <c r="AE49" s="693"/>
      <c r="AF49" s="211"/>
      <c r="AG49" s="211"/>
      <c r="AH49" s="384"/>
      <c r="AI49" s="97">
        <f>SUM(AH49:AH49)</f>
        <v>0</v>
      </c>
      <c r="AJ49" s="97"/>
      <c r="AK49" s="97"/>
      <c r="AL49" s="97"/>
    </row>
    <row r="50" spans="1:38" ht="39" customHeight="1" x14ac:dyDescent="0.2">
      <c r="A50" s="1"/>
      <c r="B50" s="2470"/>
      <c r="C50" s="175" t="s">
        <v>22</v>
      </c>
      <c r="D50" s="1200">
        <f>D47-D45</f>
        <v>38468.623233909253</v>
      </c>
      <c r="E50" s="1199">
        <f>E47-E45</f>
        <v>477671.19760000007</v>
      </c>
      <c r="F50" s="1199">
        <f>F47-F45</f>
        <v>-73693.53839999999</v>
      </c>
      <c r="G50" s="1199">
        <f>G47-G45</f>
        <v>57325.500800000002</v>
      </c>
      <c r="H50" s="177"/>
      <c r="I50" s="177"/>
      <c r="J50" s="177"/>
      <c r="K50" s="503"/>
      <c r="L50" s="505"/>
      <c r="M50" s="631"/>
      <c r="N50" s="1184"/>
      <c r="O50" s="165"/>
      <c r="P50" s="165"/>
      <c r="Q50" s="2522" t="s">
        <v>89</v>
      </c>
      <c r="R50" s="2522"/>
      <c r="S50" s="761">
        <f t="shared" ref="S50:AB50" si="24">SUM(S48:S49)</f>
        <v>0</v>
      </c>
      <c r="T50" s="762">
        <f t="shared" si="24"/>
        <v>0</v>
      </c>
      <c r="U50" s="762">
        <f t="shared" si="24"/>
        <v>0</v>
      </c>
      <c r="V50" s="762">
        <f t="shared" si="24"/>
        <v>0</v>
      </c>
      <c r="W50" s="762">
        <f t="shared" si="24"/>
        <v>0</v>
      </c>
      <c r="X50" s="762">
        <f t="shared" si="24"/>
        <v>0</v>
      </c>
      <c r="Y50" s="139">
        <f t="shared" si="24"/>
        <v>0</v>
      </c>
      <c r="Z50" s="139"/>
      <c r="AA50" s="696"/>
      <c r="AB50" s="210">
        <f t="shared" si="24"/>
        <v>0</v>
      </c>
      <c r="AC50" s="103"/>
      <c r="AD50" s="210"/>
      <c r="AE50" s="698"/>
      <c r="AF50" s="382"/>
      <c r="AG50" s="382"/>
      <c r="AH50" s="386">
        <f>SUM(AH48:AH49)</f>
        <v>0</v>
      </c>
      <c r="AI50" s="139">
        <f>SUM(AI48:AI49)</f>
        <v>0</v>
      </c>
      <c r="AJ50" s="139">
        <f>SUM(AJ48:AJ49)</f>
        <v>0</v>
      </c>
      <c r="AK50" s="139">
        <f>SUM(AK48:AK49)</f>
        <v>0</v>
      </c>
      <c r="AL50" s="139">
        <f>SUM(AL48:AL49)</f>
        <v>0</v>
      </c>
    </row>
    <row r="51" spans="1:38" ht="33" customHeight="1" x14ac:dyDescent="0.2">
      <c r="A51" s="1"/>
      <c r="B51" s="2512"/>
      <c r="C51" s="2512"/>
      <c r="D51" s="2512"/>
      <c r="E51" s="2512"/>
      <c r="F51" s="2512"/>
      <c r="G51" s="2512"/>
      <c r="H51" s="2512"/>
      <c r="I51" s="2512"/>
      <c r="J51" s="2512"/>
      <c r="K51" s="2512"/>
      <c r="L51" s="2512"/>
      <c r="M51" s="2512"/>
      <c r="N51" s="2512"/>
      <c r="O51" s="165"/>
      <c r="P51" s="165"/>
      <c r="Q51" s="165"/>
      <c r="R51" s="95"/>
      <c r="W51" s="763"/>
      <c r="X51" s="763"/>
      <c r="Y51" s="103"/>
      <c r="Z51" s="103"/>
      <c r="AA51" s="103"/>
      <c r="AE51" s="95"/>
      <c r="AF51" s="95"/>
      <c r="AG51" s="95"/>
      <c r="AH51" s="95"/>
      <c r="AI51" s="103"/>
      <c r="AJ51" s="103"/>
      <c r="AK51" s="103"/>
      <c r="AL51" s="95"/>
    </row>
    <row r="52" spans="1:38" ht="33" customHeight="1" x14ac:dyDescent="0.2">
      <c r="A52" s="1"/>
      <c r="B52" s="2469" t="s">
        <v>95</v>
      </c>
      <c r="C52" s="178" t="s">
        <v>21</v>
      </c>
      <c r="D52" s="179">
        <f t="shared" ref="D52:I52" si="25">D11+D45</f>
        <v>3361508.1621569856</v>
      </c>
      <c r="E52" s="180">
        <f t="shared" si="25"/>
        <v>2318172.2574</v>
      </c>
      <c r="F52" s="180">
        <f t="shared" si="25"/>
        <v>154680.5484</v>
      </c>
      <c r="G52" s="180">
        <f t="shared" si="25"/>
        <v>106257.65419999999</v>
      </c>
      <c r="H52" s="180">
        <f t="shared" si="25"/>
        <v>2579110.46</v>
      </c>
      <c r="I52" s="181">
        <f t="shared" si="25"/>
        <v>235.85</v>
      </c>
      <c r="J52" s="182"/>
      <c r="K52" s="181"/>
      <c r="L52" s="2471"/>
      <c r="M52" s="2472"/>
      <c r="N52" s="178"/>
      <c r="O52" s="165"/>
      <c r="P52" s="165"/>
      <c r="Q52" s="456" t="s">
        <v>350</v>
      </c>
      <c r="R52" s="211" t="s">
        <v>304</v>
      </c>
      <c r="S52" s="458" t="s">
        <v>74</v>
      </c>
      <c r="T52" s="458" t="s">
        <v>18</v>
      </c>
      <c r="U52" s="458" t="s">
        <v>19</v>
      </c>
      <c r="V52" s="458" t="s">
        <v>20</v>
      </c>
      <c r="W52" s="760" t="s">
        <v>336</v>
      </c>
      <c r="X52" s="760" t="s">
        <v>10</v>
      </c>
      <c r="Y52" s="632" t="s">
        <v>331</v>
      </c>
      <c r="Z52" s="238" t="s">
        <v>81</v>
      </c>
      <c r="AA52" s="496" t="s">
        <v>360</v>
      </c>
      <c r="AB52" s="382" t="s">
        <v>337</v>
      </c>
      <c r="AC52" s="158"/>
      <c r="AD52" s="456" t="s">
        <v>397</v>
      </c>
      <c r="AE52" s="455" t="s">
        <v>361</v>
      </c>
      <c r="AF52" s="133" t="s">
        <v>18</v>
      </c>
      <c r="AG52" s="133" t="s">
        <v>19</v>
      </c>
      <c r="AH52" s="97" t="s">
        <v>20</v>
      </c>
      <c r="AI52" s="632" t="s">
        <v>336</v>
      </c>
      <c r="AJ52" s="632" t="s">
        <v>10</v>
      </c>
      <c r="AK52" s="632" t="s">
        <v>331</v>
      </c>
      <c r="AL52" s="202" t="s">
        <v>337</v>
      </c>
    </row>
    <row r="53" spans="1:38" ht="33" customHeight="1" x14ac:dyDescent="0.2">
      <c r="A53" s="1"/>
      <c r="B53" s="2470"/>
      <c r="C53" s="178" t="s">
        <v>22</v>
      </c>
      <c r="D53" s="183"/>
      <c r="E53" s="184">
        <f>E52/$H$52*100</f>
        <v>89.882627880932247</v>
      </c>
      <c r="F53" s="184">
        <f>F52/$H$52*100</f>
        <v>5.9974379073318174</v>
      </c>
      <c r="G53" s="184">
        <f>G52/$H$52*100</f>
        <v>4.1199342117359334</v>
      </c>
      <c r="H53" s="185">
        <f>H52/$H$52*100</f>
        <v>100</v>
      </c>
      <c r="I53" s="186"/>
      <c r="J53" s="186"/>
      <c r="K53" s="184">
        <v>97.5</v>
      </c>
      <c r="L53" s="2473">
        <f>100-K53</f>
        <v>2.5</v>
      </c>
      <c r="M53" s="2474"/>
      <c r="N53" s="178"/>
      <c r="O53" s="165"/>
      <c r="P53" s="165"/>
      <c r="Q53" s="383" t="s">
        <v>154</v>
      </c>
      <c r="R53" s="211" t="s">
        <v>317</v>
      </c>
      <c r="S53" s="458">
        <f>'T1.2025'!E16</f>
        <v>92105</v>
      </c>
      <c r="T53" s="458">
        <f>'T1.2025'!F16</f>
        <v>91914</v>
      </c>
      <c r="U53" s="458">
        <f>'T1.2025'!G16</f>
        <v>0</v>
      </c>
      <c r="V53" s="458">
        <f>'T1.2025'!H16</f>
        <v>606</v>
      </c>
      <c r="W53" s="458">
        <f>SUM(T53:V53)</f>
        <v>92520</v>
      </c>
      <c r="X53" s="734">
        <f>'T1.2025'!J14</f>
        <v>7.15</v>
      </c>
      <c r="Y53" s="458">
        <f>'T1.2025'!K16</f>
        <v>12940</v>
      </c>
      <c r="Z53" s="211"/>
      <c r="AA53" s="699"/>
      <c r="AB53" s="211">
        <f>'T1.2025'!O16</f>
        <v>147</v>
      </c>
      <c r="AD53" s="383" t="s">
        <v>154</v>
      </c>
      <c r="AE53" s="693">
        <f>'T1.2025'!E14</f>
        <v>90200</v>
      </c>
      <c r="AF53" s="693">
        <f>'T1.2025'!F14</f>
        <v>80909.399999999994</v>
      </c>
      <c r="AG53" s="693">
        <f>'T1.2025'!G14</f>
        <v>4397.25</v>
      </c>
      <c r="AH53" s="693">
        <f>'T1.2025'!H14</f>
        <v>2638.35</v>
      </c>
      <c r="AI53" s="693">
        <f>'T1.2025'!I14</f>
        <v>87945</v>
      </c>
      <c r="AJ53" s="475">
        <f>'T1.2025'!J14</f>
        <v>7.15</v>
      </c>
      <c r="AK53" s="211">
        <f>'T1.2025'!K14</f>
        <v>12300</v>
      </c>
      <c r="AL53" s="211">
        <f>'T1.2025'!O14</f>
        <v>100</v>
      </c>
    </row>
    <row r="54" spans="1:38" ht="33" customHeight="1" x14ac:dyDescent="0.2">
      <c r="A54" s="1"/>
      <c r="B54" s="2469" t="s">
        <v>96</v>
      </c>
      <c r="C54" s="178" t="s">
        <v>21</v>
      </c>
      <c r="D54" s="179">
        <f t="shared" ref="D54:I54" si="26">D13+D47</f>
        <v>3458867</v>
      </c>
      <c r="E54" s="180">
        <f t="shared" si="26"/>
        <v>3159691.8200000003</v>
      </c>
      <c r="F54" s="180">
        <f t="shared" si="26"/>
        <v>50248.799999999996</v>
      </c>
      <c r="G54" s="180">
        <f t="shared" si="26"/>
        <v>186403.09999999998</v>
      </c>
      <c r="H54" s="180">
        <f t="shared" si="26"/>
        <v>3396343.7199999997</v>
      </c>
      <c r="I54" s="181">
        <f t="shared" si="26"/>
        <v>236.40000633718046</v>
      </c>
      <c r="J54" s="182"/>
      <c r="K54" s="181"/>
      <c r="L54" s="2471"/>
      <c r="M54" s="2472"/>
      <c r="N54" s="178"/>
      <c r="O54" s="165"/>
      <c r="P54" s="165"/>
      <c r="Q54" s="12"/>
      <c r="R54" s="12" t="s">
        <v>20</v>
      </c>
      <c r="S54" s="458">
        <f>'T1.2025'!E22</f>
        <v>23615</v>
      </c>
      <c r="T54" s="458">
        <f>'T1.2025'!F22</f>
        <v>21199.5</v>
      </c>
      <c r="U54" s="458">
        <f>'T1.2025'!G22</f>
        <v>0</v>
      </c>
      <c r="V54" s="458">
        <f>'T1.2025'!H22</f>
        <v>2161.5</v>
      </c>
      <c r="W54" s="458">
        <f>'T1.2025'!I22</f>
        <v>23361</v>
      </c>
      <c r="X54" s="734">
        <f>'T1.2025'!J22</f>
        <v>1.85</v>
      </c>
      <c r="Y54" s="211">
        <f>'T1.2025'!K22</f>
        <v>12628</v>
      </c>
      <c r="Z54" s="211">
        <f>'T1.2025'!M22</f>
        <v>0</v>
      </c>
      <c r="AA54" s="699">
        <f>'T1.2025'!N22</f>
        <v>0</v>
      </c>
      <c r="AB54" s="211">
        <f>'T1.2025'!O22</f>
        <v>171</v>
      </c>
      <c r="AC54" s="741"/>
      <c r="AD54" s="12"/>
      <c r="AE54" s="693">
        <f>'T1.2025'!E20</f>
        <v>23338.461538461539</v>
      </c>
      <c r="AF54" s="211">
        <f>'T1.2025'!F20</f>
        <v>20934.599999999999</v>
      </c>
      <c r="AG54" s="211">
        <f>'T1.2025'!G20</f>
        <v>1137.75</v>
      </c>
      <c r="AH54" s="211">
        <f>'T1.2025'!H20</f>
        <v>682.65</v>
      </c>
      <c r="AI54" s="211">
        <f>'T1.2025'!I20</f>
        <v>22755</v>
      </c>
      <c r="AJ54" s="740">
        <f>'T1.2025'!J20</f>
        <v>1.85</v>
      </c>
      <c r="AK54" s="385">
        <f>'T1.2025'!K20</f>
        <v>12300</v>
      </c>
      <c r="AL54" s="385">
        <f>'T1.2025'!O20</f>
        <v>100</v>
      </c>
    </row>
    <row r="55" spans="1:38" ht="33" customHeight="1" x14ac:dyDescent="0.2">
      <c r="A55" s="1"/>
      <c r="B55" s="2470"/>
      <c r="C55" s="178" t="s">
        <v>22</v>
      </c>
      <c r="D55" s="187"/>
      <c r="E55" s="184">
        <f>E54/$H$54*100</f>
        <v>93.032156945528484</v>
      </c>
      <c r="F55" s="184">
        <f>F54/$H$54*100</f>
        <v>1.4794968985059027</v>
      </c>
      <c r="G55" s="184">
        <f>G54/$H$54*100</f>
        <v>5.488346155965627</v>
      </c>
      <c r="H55" s="185">
        <f>H54/$H$54*100</f>
        <v>100</v>
      </c>
      <c r="I55" s="188"/>
      <c r="J55" s="189"/>
      <c r="K55" s="184">
        <f>H54/D54*100</f>
        <v>98.192376867916565</v>
      </c>
      <c r="L55" s="2473" cm="1">
        <f t="array" ref="L55">100-K55:K55</f>
        <v>1.8076231320834353</v>
      </c>
      <c r="M55" s="2474"/>
      <c r="N55" s="188"/>
      <c r="O55" s="165"/>
      <c r="P55" s="165"/>
      <c r="Q55" s="383" t="s">
        <v>156</v>
      </c>
      <c r="R55" s="211" t="s">
        <v>317</v>
      </c>
      <c r="S55" s="458"/>
      <c r="T55" s="458"/>
      <c r="U55" s="458"/>
      <c r="V55" s="458"/>
      <c r="W55" s="458">
        <f t="shared" ref="W55:W74" si="27">SUM(T55:V55)</f>
        <v>0</v>
      </c>
      <c r="X55" s="458"/>
      <c r="Y55" s="211"/>
      <c r="Z55" s="211"/>
      <c r="AA55" s="699"/>
      <c r="AB55" s="211"/>
      <c r="AD55" s="383" t="s">
        <v>156</v>
      </c>
      <c r="AE55" s="693"/>
      <c r="AF55" s="211"/>
      <c r="AG55" s="211"/>
      <c r="AH55" s="211"/>
      <c r="AI55" s="211">
        <f t="shared" ref="AI55:AI74" si="28">SUM(AH55:AH55)</f>
        <v>0</v>
      </c>
      <c r="AJ55" s="211"/>
      <c r="AK55" s="211"/>
      <c r="AL55" s="211"/>
    </row>
    <row r="56" spans="1:38" ht="18" customHeight="1" x14ac:dyDescent="0.2">
      <c r="A56" s="1"/>
      <c r="O56" s="165"/>
      <c r="P56" s="165"/>
      <c r="Q56" s="12"/>
      <c r="R56" s="12" t="s">
        <v>20</v>
      </c>
      <c r="S56" s="458"/>
      <c r="T56" s="458"/>
      <c r="U56" s="458"/>
      <c r="V56" s="458"/>
      <c r="W56" s="458">
        <f t="shared" si="27"/>
        <v>0</v>
      </c>
      <c r="X56" s="458"/>
      <c r="Y56" s="211"/>
      <c r="Z56" s="211"/>
      <c r="AA56" s="699"/>
      <c r="AB56" s="211"/>
      <c r="AD56" s="12"/>
      <c r="AE56" s="693"/>
      <c r="AF56" s="211"/>
      <c r="AG56" s="211"/>
      <c r="AH56" s="385"/>
      <c r="AI56" s="211">
        <f t="shared" si="28"/>
        <v>0</v>
      </c>
      <c r="AJ56" s="385"/>
      <c r="AK56" s="385"/>
      <c r="AL56" s="385"/>
    </row>
    <row r="57" spans="1:38" ht="25.5" customHeight="1" x14ac:dyDescent="0.2">
      <c r="A57" s="1"/>
      <c r="B57" s="2475" t="s">
        <v>97</v>
      </c>
      <c r="C57" s="2476"/>
      <c r="D57" s="2476"/>
      <c r="E57" s="2476"/>
      <c r="F57" s="2476"/>
      <c r="G57" s="2476"/>
      <c r="H57" s="2476"/>
      <c r="I57" s="2476"/>
      <c r="J57" s="2476"/>
      <c r="K57" s="2476"/>
      <c r="L57" s="2476"/>
      <c r="M57" s="2476"/>
      <c r="N57" s="2476"/>
      <c r="O57" s="165"/>
      <c r="P57" s="165"/>
      <c r="Q57" s="383" t="s">
        <v>157</v>
      </c>
      <c r="R57" s="211" t="s">
        <v>317</v>
      </c>
      <c r="S57" s="458">
        <f>'T4.2025 '!E23</f>
        <v>152023</v>
      </c>
      <c r="T57" s="458">
        <f>'T4.2025 '!F23</f>
        <v>145629</v>
      </c>
      <c r="U57" s="458">
        <f>'T4.2025 '!G23</f>
        <v>0</v>
      </c>
      <c r="V57" s="458">
        <f>'T4.2025 '!H23</f>
        <v>2659.5</v>
      </c>
      <c r="W57" s="458">
        <f t="shared" si="27"/>
        <v>148288.5</v>
      </c>
      <c r="X57" s="734">
        <f>'T4.2025 '!J23</f>
        <v>12</v>
      </c>
      <c r="Y57" s="211">
        <f>W57/X57</f>
        <v>12357.375</v>
      </c>
      <c r="Z57" s="211">
        <f>'T4.2025 '!M23</f>
        <v>642</v>
      </c>
      <c r="AA57" s="699">
        <f>'T4.2025 '!N23</f>
        <v>1421.75</v>
      </c>
      <c r="AB57" s="211">
        <f>'T4.2025 '!O23</f>
        <v>120</v>
      </c>
      <c r="AD57" s="383" t="s">
        <v>157</v>
      </c>
      <c r="AE57" s="693">
        <f>'T4.2025 '!E21</f>
        <v>151152</v>
      </c>
      <c r="AF57" s="211">
        <f>'T4.2025 '!F21</f>
        <v>139241.22239999997</v>
      </c>
      <c r="AG57" s="211">
        <f>'T4.2025 '!G21</f>
        <v>5925.1583999999993</v>
      </c>
      <c r="AH57" s="211">
        <f>'T4.2025 '!H21</f>
        <v>2962.5791999999997</v>
      </c>
      <c r="AI57" s="211">
        <f>SUM(AF57:AH57)</f>
        <v>148128.95999999996</v>
      </c>
      <c r="AJ57" s="475">
        <f>'T4.2025 '!J21</f>
        <v>12</v>
      </c>
      <c r="AK57" s="211">
        <f>AI57/AJ57</f>
        <v>12344.079999999996</v>
      </c>
      <c r="AL57" s="211">
        <v>100</v>
      </c>
    </row>
    <row r="58" spans="1:38" ht="18" customHeight="1" x14ac:dyDescent="0.2">
      <c r="A58" s="1"/>
      <c r="B58" s="49"/>
      <c r="C58" s="42"/>
      <c r="D58" s="1"/>
      <c r="E58" s="48"/>
      <c r="F58" s="48"/>
      <c r="G58" s="2"/>
      <c r="H58" s="48"/>
      <c r="I58" s="2"/>
      <c r="J58" s="2"/>
      <c r="K58" s="99"/>
      <c r="L58" s="2"/>
      <c r="M58" s="2"/>
      <c r="N58" s="2"/>
      <c r="O58" s="165"/>
      <c r="P58" s="165"/>
      <c r="Q58" s="383"/>
      <c r="R58" s="12" t="s">
        <v>20</v>
      </c>
      <c r="S58" s="458"/>
      <c r="T58" s="458"/>
      <c r="U58" s="458"/>
      <c r="V58" s="458"/>
      <c r="W58" s="458">
        <f t="shared" si="27"/>
        <v>0</v>
      </c>
      <c r="X58" s="458"/>
      <c r="Y58" s="211"/>
      <c r="Z58" s="211"/>
      <c r="AA58" s="699"/>
      <c r="AB58" s="211"/>
      <c r="AD58" s="383"/>
      <c r="AE58" s="693"/>
      <c r="AF58" s="211"/>
      <c r="AG58" s="211"/>
      <c r="AH58" s="211"/>
      <c r="AI58" s="211"/>
      <c r="AJ58" s="475"/>
      <c r="AK58" s="211"/>
      <c r="AL58" s="211"/>
    </row>
    <row r="59" spans="1:38" ht="27" customHeight="1" x14ac:dyDescent="0.2">
      <c r="A59" s="1"/>
      <c r="B59" s="2477" t="s">
        <v>39</v>
      </c>
      <c r="C59" s="2479" t="s">
        <v>6</v>
      </c>
      <c r="D59" s="2479" t="s">
        <v>85</v>
      </c>
      <c r="E59" s="2480" t="s">
        <v>8</v>
      </c>
      <c r="F59" s="2481"/>
      <c r="G59" s="2482"/>
      <c r="H59" s="2479" t="s">
        <v>9</v>
      </c>
      <c r="I59" s="2479" t="s">
        <v>10</v>
      </c>
      <c r="J59" s="2490" t="s">
        <v>47</v>
      </c>
      <c r="K59" s="2491"/>
      <c r="L59" s="2491"/>
      <c r="M59" s="2491"/>
      <c r="N59" s="2492"/>
      <c r="O59" s="165"/>
      <c r="P59" s="165"/>
      <c r="Q59" s="383" t="s">
        <v>158</v>
      </c>
      <c r="R59" s="211" t="s">
        <v>317</v>
      </c>
      <c r="S59" s="458">
        <f>'T5.2025'!E17</f>
        <v>252891</v>
      </c>
      <c r="T59" s="458">
        <f>'T5.2025'!F120</f>
        <v>183370.5</v>
      </c>
      <c r="U59" s="458">
        <f>'T5.2025'!G120</f>
        <v>0</v>
      </c>
      <c r="V59" s="458">
        <f>'T5.2025'!H120</f>
        <v>2134.5</v>
      </c>
      <c r="W59" s="458">
        <f t="shared" si="27"/>
        <v>185505</v>
      </c>
      <c r="X59" s="734">
        <f>'T5.2025'!G188</f>
        <v>14.064596838394177</v>
      </c>
      <c r="Y59" s="211">
        <f>W59/X59</f>
        <v>13189.5</v>
      </c>
      <c r="Z59" s="211">
        <f>'T5.2025'!M17</f>
        <v>1209</v>
      </c>
      <c r="AA59" s="699">
        <f>'T5.2025'!N17</f>
        <v>1465.25</v>
      </c>
      <c r="AB59" s="211">
        <f>'T5.2025'!O17</f>
        <v>146</v>
      </c>
      <c r="AD59" s="383" t="s">
        <v>158</v>
      </c>
      <c r="AE59" s="693">
        <f>'T5.2025'!E15</f>
        <v>246902.56410256409</v>
      </c>
      <c r="AF59" s="211">
        <f>'T5.2025'!F15</f>
        <v>226286.2</v>
      </c>
      <c r="AG59" s="211">
        <f>'T5.2025'!G15</f>
        <v>7221.9</v>
      </c>
      <c r="AH59" s="211">
        <f>'T5.2025'!H15</f>
        <v>7221.9</v>
      </c>
      <c r="AI59" s="211">
        <f>SUM(AF59:AH59)</f>
        <v>240730</v>
      </c>
      <c r="AJ59" s="475">
        <f>'T5.2025'!J15</f>
        <v>19</v>
      </c>
      <c r="AK59" s="211">
        <f>AI59/AJ59</f>
        <v>12670</v>
      </c>
      <c r="AL59" s="211">
        <v>100</v>
      </c>
    </row>
    <row r="60" spans="1:38" ht="27" customHeight="1" x14ac:dyDescent="0.2">
      <c r="A60" s="1"/>
      <c r="B60" s="2478"/>
      <c r="C60" s="2478"/>
      <c r="D60" s="2478"/>
      <c r="E60" s="101" t="s">
        <v>18</v>
      </c>
      <c r="F60" s="101" t="s">
        <v>19</v>
      </c>
      <c r="G60" s="101" t="s">
        <v>20</v>
      </c>
      <c r="H60" s="2478"/>
      <c r="I60" s="2478"/>
      <c r="J60" s="2493"/>
      <c r="K60" s="2494"/>
      <c r="L60" s="2494"/>
      <c r="M60" s="2494"/>
      <c r="N60" s="2495"/>
      <c r="O60" s="165"/>
      <c r="P60" s="165"/>
      <c r="Q60" s="383"/>
      <c r="R60" s="12" t="s">
        <v>20</v>
      </c>
      <c r="S60" s="458"/>
      <c r="T60" s="458">
        <f>'T5.2025'!F136</f>
        <v>58393.5</v>
      </c>
      <c r="U60" s="458">
        <f>'T5.2025'!G136</f>
        <v>0</v>
      </c>
      <c r="V60" s="458">
        <f>'T5.2025'!H136</f>
        <v>6702</v>
      </c>
      <c r="W60" s="458">
        <f t="shared" si="27"/>
        <v>65095.5</v>
      </c>
      <c r="X60" s="734">
        <f>'T5.2025'!G189</f>
        <v>4.9354031616058229</v>
      </c>
      <c r="Y60" s="211">
        <f>W60/X60</f>
        <v>13189.5</v>
      </c>
      <c r="Z60" s="211"/>
      <c r="AA60" s="699"/>
      <c r="AB60" s="211"/>
      <c r="AD60" s="383"/>
      <c r="AE60" s="693"/>
      <c r="AF60" s="211"/>
      <c r="AG60" s="211"/>
      <c r="AH60" s="211"/>
      <c r="AI60" s="211">
        <f t="shared" si="28"/>
        <v>0</v>
      </c>
      <c r="AJ60" s="211"/>
      <c r="AK60" s="211"/>
      <c r="AL60" s="211"/>
    </row>
    <row r="61" spans="1:38" ht="31" customHeight="1" x14ac:dyDescent="0.2">
      <c r="A61" s="1"/>
      <c r="B61" s="2496">
        <v>1</v>
      </c>
      <c r="C61" s="2496" t="s">
        <v>73</v>
      </c>
      <c r="D61" s="2513">
        <f t="shared" ref="D61:I61" si="29">D13</f>
        <v>1733166</v>
      </c>
      <c r="E61" s="2513">
        <f t="shared" si="29"/>
        <v>1562421.6</v>
      </c>
      <c r="F61" s="2513">
        <f t="shared" si="29"/>
        <v>50064.479999999996</v>
      </c>
      <c r="G61" s="2513">
        <f t="shared" si="29"/>
        <v>90155.51999999999</v>
      </c>
      <c r="H61" s="2513">
        <f t="shared" si="29"/>
        <v>1702641.5999999999</v>
      </c>
      <c r="I61" s="2516">
        <f t="shared" si="29"/>
        <v>111.95000633718044</v>
      </c>
      <c r="J61" s="2519" t="s">
        <v>379</v>
      </c>
      <c r="K61" s="2520"/>
      <c r="L61" s="2520"/>
      <c r="M61" s="2520"/>
      <c r="N61" s="2521"/>
      <c r="O61" s="165"/>
      <c r="P61" s="165"/>
      <c r="Q61" s="383" t="s">
        <v>159</v>
      </c>
      <c r="R61" s="211" t="s">
        <v>317</v>
      </c>
      <c r="S61" s="458"/>
      <c r="T61" s="458"/>
      <c r="U61" s="458"/>
      <c r="V61" s="458"/>
      <c r="W61" s="458">
        <f t="shared" si="27"/>
        <v>0</v>
      </c>
      <c r="X61" s="458"/>
      <c r="Y61" s="211"/>
      <c r="Z61" s="211"/>
      <c r="AA61" s="699"/>
      <c r="AB61" s="211"/>
      <c r="AD61" s="383" t="s">
        <v>159</v>
      </c>
      <c r="AE61" s="693"/>
      <c r="AF61" s="211"/>
      <c r="AG61" s="211"/>
      <c r="AH61" s="211"/>
      <c r="AI61" s="211">
        <f t="shared" si="28"/>
        <v>0</v>
      </c>
      <c r="AJ61" s="211"/>
      <c r="AK61" s="211"/>
      <c r="AL61" s="211"/>
    </row>
    <row r="62" spans="1:38" ht="30" customHeight="1" x14ac:dyDescent="0.2">
      <c r="A62" s="1"/>
      <c r="B62" s="2497"/>
      <c r="C62" s="2497"/>
      <c r="D62" s="2514"/>
      <c r="E62" s="2514"/>
      <c r="F62" s="2514"/>
      <c r="G62" s="2514"/>
      <c r="H62" s="2514"/>
      <c r="I62" s="2517"/>
      <c r="J62" s="2483"/>
      <c r="K62" s="2484"/>
      <c r="L62" s="2484"/>
      <c r="M62" s="2484"/>
      <c r="N62" s="2485"/>
      <c r="O62" s="165"/>
      <c r="P62" s="165"/>
      <c r="Q62" s="383"/>
      <c r="R62" s="12" t="s">
        <v>20</v>
      </c>
      <c r="S62" s="458"/>
      <c r="T62" s="458"/>
      <c r="U62" s="458"/>
      <c r="V62" s="458"/>
      <c r="W62" s="458">
        <f t="shared" si="27"/>
        <v>0</v>
      </c>
      <c r="X62" s="458"/>
      <c r="Y62" s="211"/>
      <c r="Z62" s="211"/>
      <c r="AA62" s="699"/>
      <c r="AB62" s="211"/>
      <c r="AD62" s="383"/>
      <c r="AE62" s="693"/>
      <c r="AF62" s="211"/>
      <c r="AG62" s="211"/>
      <c r="AH62" s="211"/>
      <c r="AI62" s="211">
        <f t="shared" si="28"/>
        <v>0</v>
      </c>
      <c r="AJ62" s="211"/>
      <c r="AK62" s="211"/>
      <c r="AL62" s="211"/>
    </row>
    <row r="63" spans="1:38" ht="30" customHeight="1" x14ac:dyDescent="0.2">
      <c r="A63" s="1"/>
      <c r="B63" s="2498"/>
      <c r="C63" s="2498"/>
      <c r="D63" s="2515"/>
      <c r="E63" s="2515"/>
      <c r="F63" s="2515"/>
      <c r="G63" s="2515"/>
      <c r="H63" s="2515"/>
      <c r="I63" s="2518"/>
      <c r="J63" s="2486"/>
      <c r="K63" s="2487"/>
      <c r="L63" s="2487"/>
      <c r="M63" s="2487"/>
      <c r="N63" s="2488"/>
      <c r="O63" s="165"/>
      <c r="P63" s="165"/>
      <c r="Q63" s="383" t="s">
        <v>160</v>
      </c>
      <c r="R63" s="211" t="s">
        <v>317</v>
      </c>
      <c r="S63" s="458"/>
      <c r="T63" s="458"/>
      <c r="U63" s="458"/>
      <c r="V63" s="458"/>
      <c r="W63" s="458">
        <f t="shared" si="27"/>
        <v>0</v>
      </c>
      <c r="X63" s="458"/>
      <c r="Y63" s="211"/>
      <c r="Z63" s="211"/>
      <c r="AA63" s="699"/>
      <c r="AB63" s="211"/>
      <c r="AD63" s="383" t="s">
        <v>160</v>
      </c>
      <c r="AE63" s="693"/>
      <c r="AF63" s="211"/>
      <c r="AG63" s="211"/>
      <c r="AH63" s="211"/>
      <c r="AI63" s="211">
        <f t="shared" si="28"/>
        <v>0</v>
      </c>
      <c r="AJ63" s="211"/>
      <c r="AK63" s="211"/>
      <c r="AL63" s="211"/>
    </row>
    <row r="64" spans="1:38" ht="50" customHeight="1" x14ac:dyDescent="0.2">
      <c r="A64" s="1"/>
      <c r="B64" s="129">
        <v>2</v>
      </c>
      <c r="C64" s="129" t="s">
        <v>99</v>
      </c>
      <c r="D64" s="140">
        <f t="shared" ref="D64:I64" si="30">D27</f>
        <v>1085392</v>
      </c>
      <c r="E64" s="140">
        <f t="shared" si="30"/>
        <v>985953.91999999993</v>
      </c>
      <c r="F64" s="140">
        <f t="shared" si="30"/>
        <v>184.32</v>
      </c>
      <c r="G64" s="140">
        <f t="shared" si="30"/>
        <v>76234.880000000005</v>
      </c>
      <c r="H64" s="140">
        <f t="shared" si="30"/>
        <v>1062373.1199999999</v>
      </c>
      <c r="I64" s="481">
        <f t="shared" si="30"/>
        <v>74.95</v>
      </c>
      <c r="J64" s="2489" t="s">
        <v>854</v>
      </c>
      <c r="K64" s="2481"/>
      <c r="L64" s="2481"/>
      <c r="M64" s="2481"/>
      <c r="N64" s="2482"/>
      <c r="O64" s="165"/>
      <c r="P64" s="165"/>
      <c r="Q64" s="383"/>
      <c r="R64" s="12" t="s">
        <v>20</v>
      </c>
      <c r="S64" s="458"/>
      <c r="T64" s="458"/>
      <c r="U64" s="458"/>
      <c r="V64" s="458"/>
      <c r="W64" s="458">
        <f t="shared" si="27"/>
        <v>0</v>
      </c>
      <c r="X64" s="458"/>
      <c r="Y64" s="211"/>
      <c r="Z64" s="211"/>
      <c r="AA64" s="699"/>
      <c r="AB64" s="211"/>
      <c r="AD64" s="383"/>
      <c r="AE64" s="693"/>
      <c r="AF64" s="211"/>
      <c r="AG64" s="211"/>
      <c r="AH64" s="211"/>
      <c r="AI64" s="211">
        <f t="shared" si="28"/>
        <v>0</v>
      </c>
      <c r="AJ64" s="211"/>
      <c r="AK64" s="211"/>
      <c r="AL64" s="211"/>
    </row>
    <row r="65" spans="1:38" ht="50" hidden="1" customHeight="1" x14ac:dyDescent="0.2">
      <c r="A65" s="1"/>
      <c r="B65" s="129">
        <v>4</v>
      </c>
      <c r="C65" s="129" t="s">
        <v>91</v>
      </c>
      <c r="D65" s="140"/>
      <c r="E65" s="131"/>
      <c r="F65" s="131"/>
      <c r="G65" s="131"/>
      <c r="H65" s="131"/>
      <c r="I65" s="481"/>
      <c r="J65" s="2489" t="s">
        <v>853</v>
      </c>
      <c r="K65" s="2481"/>
      <c r="L65" s="2481"/>
      <c r="M65" s="2481"/>
      <c r="N65" s="2482"/>
      <c r="O65" s="165"/>
      <c r="P65" s="165"/>
      <c r="Q65" s="383" t="s">
        <v>161</v>
      </c>
      <c r="R65" s="211" t="s">
        <v>317</v>
      </c>
      <c r="S65" s="458"/>
      <c r="T65" s="458"/>
      <c r="U65" s="458"/>
      <c r="V65" s="458"/>
      <c r="W65" s="458">
        <f t="shared" si="27"/>
        <v>0</v>
      </c>
      <c r="X65" s="458"/>
      <c r="Y65" s="211"/>
      <c r="Z65" s="211"/>
      <c r="AA65" s="699"/>
      <c r="AB65" s="211"/>
      <c r="AD65" s="383" t="s">
        <v>161</v>
      </c>
      <c r="AE65" s="693"/>
      <c r="AF65" s="211"/>
      <c r="AG65" s="211"/>
      <c r="AH65" s="211"/>
      <c r="AI65" s="211">
        <f t="shared" si="28"/>
        <v>0</v>
      </c>
      <c r="AJ65" s="211"/>
      <c r="AK65" s="211"/>
      <c r="AL65" s="211"/>
    </row>
    <row r="66" spans="1:38" ht="50" customHeight="1" x14ac:dyDescent="0.2">
      <c r="A66" s="1"/>
      <c r="B66" s="129">
        <v>3</v>
      </c>
      <c r="C66" s="129" t="s">
        <v>92</v>
      </c>
      <c r="D66" s="140">
        <f t="shared" ref="D66:I66" si="31">D35+D31</f>
        <v>520634</v>
      </c>
      <c r="E66" s="140">
        <f t="shared" si="31"/>
        <v>500506.5</v>
      </c>
      <c r="F66" s="140">
        <f t="shared" si="31"/>
        <v>0</v>
      </c>
      <c r="G66" s="140">
        <f t="shared" si="31"/>
        <v>14263.5</v>
      </c>
      <c r="H66" s="140">
        <f t="shared" si="31"/>
        <v>514770</v>
      </c>
      <c r="I66" s="481">
        <f t="shared" si="31"/>
        <v>39.999999999999993</v>
      </c>
      <c r="J66" s="2489" t="s">
        <v>852</v>
      </c>
      <c r="K66" s="2481"/>
      <c r="L66" s="2481"/>
      <c r="M66" s="2481"/>
      <c r="N66" s="2482"/>
      <c r="O66" s="165"/>
      <c r="P66" s="165"/>
      <c r="Q66" s="383"/>
      <c r="R66" s="12" t="s">
        <v>20</v>
      </c>
      <c r="S66" s="458"/>
      <c r="T66" s="458"/>
      <c r="U66" s="458"/>
      <c r="V66" s="458"/>
      <c r="W66" s="458">
        <f t="shared" si="27"/>
        <v>0</v>
      </c>
      <c r="X66" s="458"/>
      <c r="Y66" s="211"/>
      <c r="Z66" s="211"/>
      <c r="AA66" s="699"/>
      <c r="AB66" s="211"/>
      <c r="AD66" s="383"/>
      <c r="AE66" s="693"/>
      <c r="AF66" s="211"/>
      <c r="AG66" s="211"/>
      <c r="AH66" s="211"/>
      <c r="AI66" s="211">
        <f t="shared" si="28"/>
        <v>0</v>
      </c>
      <c r="AJ66" s="211"/>
      <c r="AK66" s="211"/>
      <c r="AL66" s="211"/>
    </row>
    <row r="67" spans="1:38" ht="50" customHeight="1" x14ac:dyDescent="0.2">
      <c r="A67" s="1"/>
      <c r="B67" s="129">
        <v>4</v>
      </c>
      <c r="C67" s="129" t="s">
        <v>100</v>
      </c>
      <c r="D67" s="140">
        <f t="shared" ref="D67:I67" si="32">D39+D43</f>
        <v>119675</v>
      </c>
      <c r="E67" s="140">
        <f t="shared" si="32"/>
        <v>110809.8</v>
      </c>
      <c r="F67" s="140">
        <f t="shared" si="32"/>
        <v>0</v>
      </c>
      <c r="G67" s="140">
        <f t="shared" si="32"/>
        <v>5749.2</v>
      </c>
      <c r="H67" s="140">
        <f t="shared" si="32"/>
        <v>116559</v>
      </c>
      <c r="I67" s="481">
        <f t="shared" si="32"/>
        <v>9.5</v>
      </c>
      <c r="J67" s="2489" t="s">
        <v>851</v>
      </c>
      <c r="K67" s="2481"/>
      <c r="L67" s="2481"/>
      <c r="M67" s="2481"/>
      <c r="N67" s="2482"/>
      <c r="O67" s="165"/>
      <c r="P67" s="165"/>
      <c r="Q67" s="383" t="s">
        <v>162</v>
      </c>
      <c r="R67" s="211" t="s">
        <v>317</v>
      </c>
      <c r="S67" s="458"/>
      <c r="T67" s="458"/>
      <c r="U67" s="458"/>
      <c r="V67" s="458"/>
      <c r="W67" s="458">
        <f t="shared" si="27"/>
        <v>0</v>
      </c>
      <c r="X67" s="458"/>
      <c r="Y67" s="211"/>
      <c r="Z67" s="211"/>
      <c r="AA67" s="699"/>
      <c r="AB67" s="211"/>
      <c r="AD67" s="383" t="s">
        <v>162</v>
      </c>
      <c r="AE67" s="693"/>
      <c r="AF67" s="211"/>
      <c r="AG67" s="211"/>
      <c r="AH67" s="211"/>
      <c r="AI67" s="211">
        <f t="shared" si="28"/>
        <v>0</v>
      </c>
      <c r="AJ67" s="211"/>
      <c r="AK67" s="211"/>
      <c r="AL67" s="211"/>
    </row>
    <row r="68" spans="1:38" ht="50" customHeight="1" x14ac:dyDescent="0.2">
      <c r="A68" s="1"/>
      <c r="B68" s="2571" t="s">
        <v>101</v>
      </c>
      <c r="C68" s="2482"/>
      <c r="D68" s="192">
        <f>D54</f>
        <v>3458867</v>
      </c>
      <c r="E68" s="193">
        <f>E54</f>
        <v>3159691.8200000003</v>
      </c>
      <c r="F68" s="193">
        <f>F54</f>
        <v>50248.799999999996</v>
      </c>
      <c r="G68" s="193">
        <f>G54</f>
        <v>186403.09999999998</v>
      </c>
      <c r="H68" s="193">
        <f>H54</f>
        <v>3396343.7199999997</v>
      </c>
      <c r="I68" s="624">
        <f>SUM(I61:I67)</f>
        <v>236.40000633718046</v>
      </c>
      <c r="J68" s="2572"/>
      <c r="K68" s="2481"/>
      <c r="L68" s="2481"/>
      <c r="M68" s="2481"/>
      <c r="N68" s="2482"/>
      <c r="O68" s="165"/>
      <c r="P68" s="165"/>
      <c r="Q68" s="383"/>
      <c r="R68" s="12" t="s">
        <v>20</v>
      </c>
      <c r="S68" s="458"/>
      <c r="T68" s="458"/>
      <c r="U68" s="458"/>
      <c r="V68" s="458"/>
      <c r="W68" s="458">
        <f t="shared" si="27"/>
        <v>0</v>
      </c>
      <c r="X68" s="458"/>
      <c r="Y68" s="211"/>
      <c r="Z68" s="211"/>
      <c r="AA68" s="699"/>
      <c r="AB68" s="211"/>
      <c r="AD68" s="383"/>
      <c r="AE68" s="693"/>
      <c r="AF68" s="211"/>
      <c r="AG68" s="211"/>
      <c r="AH68" s="211"/>
      <c r="AI68" s="211">
        <f t="shared" si="28"/>
        <v>0</v>
      </c>
      <c r="AJ68" s="211"/>
      <c r="AK68" s="211"/>
      <c r="AL68" s="211"/>
    </row>
    <row r="69" spans="1:38" ht="20" customHeight="1" x14ac:dyDescent="0.2">
      <c r="A69" s="1"/>
      <c r="B69" s="45"/>
      <c r="C69" s="71"/>
      <c r="D69" s="194"/>
      <c r="E69" s="195"/>
      <c r="F69" s="195"/>
      <c r="G69" s="195"/>
      <c r="H69" s="196"/>
      <c r="I69" s="197"/>
      <c r="J69" s="198"/>
      <c r="K69" s="199"/>
      <c r="L69" s="2"/>
      <c r="M69" s="199"/>
      <c r="N69" s="197"/>
      <c r="O69" s="165"/>
      <c r="P69" s="165"/>
      <c r="Q69" s="383" t="s">
        <v>111</v>
      </c>
      <c r="R69" s="211" t="s">
        <v>317</v>
      </c>
      <c r="S69" s="458"/>
      <c r="T69" s="458"/>
      <c r="U69" s="458"/>
      <c r="V69" s="458"/>
      <c r="W69" s="458">
        <f t="shared" si="27"/>
        <v>0</v>
      </c>
      <c r="X69" s="458"/>
      <c r="Y69" s="211"/>
      <c r="Z69" s="211"/>
      <c r="AA69" s="699"/>
      <c r="AB69" s="211"/>
      <c r="AD69" s="383" t="s">
        <v>111</v>
      </c>
      <c r="AE69" s="693"/>
      <c r="AF69" s="211"/>
      <c r="AG69" s="211"/>
      <c r="AH69" s="211"/>
      <c r="AI69" s="211">
        <f t="shared" si="28"/>
        <v>0</v>
      </c>
      <c r="AJ69" s="211"/>
      <c r="AK69" s="211"/>
      <c r="AL69" s="211"/>
    </row>
    <row r="70" spans="1:38" ht="36.75" customHeight="1" x14ac:dyDescent="0.2">
      <c r="A70" s="1"/>
      <c r="O70" s="165"/>
      <c r="P70" s="165"/>
      <c r="Q70" s="383"/>
      <c r="R70" s="12" t="s">
        <v>20</v>
      </c>
      <c r="S70" s="458"/>
      <c r="T70" s="458"/>
      <c r="U70" s="458"/>
      <c r="V70" s="458"/>
      <c r="W70" s="458">
        <f t="shared" si="27"/>
        <v>0</v>
      </c>
      <c r="X70" s="458"/>
      <c r="Y70" s="211"/>
      <c r="Z70" s="211"/>
      <c r="AA70" s="699"/>
      <c r="AB70" s="211"/>
      <c r="AD70" s="383"/>
      <c r="AE70" s="693"/>
      <c r="AF70" s="211"/>
      <c r="AG70" s="211"/>
      <c r="AH70" s="211"/>
      <c r="AI70" s="211">
        <f t="shared" si="28"/>
        <v>0</v>
      </c>
      <c r="AJ70" s="211"/>
      <c r="AK70" s="211"/>
      <c r="AL70" s="211"/>
    </row>
    <row r="71" spans="1:38" ht="36.75" customHeight="1" x14ac:dyDescent="0.2">
      <c r="A71" s="1"/>
      <c r="O71" s="165"/>
      <c r="P71" s="165"/>
      <c r="Q71" s="383" t="s">
        <v>29</v>
      </c>
      <c r="R71" s="211" t="s">
        <v>317</v>
      </c>
      <c r="S71" s="458"/>
      <c r="T71" s="458"/>
      <c r="U71" s="458"/>
      <c r="V71" s="458"/>
      <c r="W71" s="458">
        <f t="shared" si="27"/>
        <v>0</v>
      </c>
      <c r="X71" s="458"/>
      <c r="Y71" s="211"/>
      <c r="Z71" s="211"/>
      <c r="AA71" s="699"/>
      <c r="AB71" s="211"/>
      <c r="AD71" s="383" t="s">
        <v>29</v>
      </c>
      <c r="AE71" s="693"/>
      <c r="AF71" s="211"/>
      <c r="AG71" s="211"/>
      <c r="AH71" s="211"/>
      <c r="AI71" s="211">
        <f t="shared" si="28"/>
        <v>0</v>
      </c>
      <c r="AJ71" s="211"/>
      <c r="AK71" s="211"/>
      <c r="AL71" s="211"/>
    </row>
    <row r="72" spans="1:38" ht="36.75" customHeight="1" x14ac:dyDescent="0.2">
      <c r="A72" s="1"/>
      <c r="O72" s="165"/>
      <c r="P72" s="165"/>
      <c r="Q72" s="383"/>
      <c r="R72" s="12" t="s">
        <v>20</v>
      </c>
      <c r="S72" s="458"/>
      <c r="T72" s="458"/>
      <c r="U72" s="458"/>
      <c r="V72" s="458"/>
      <c r="W72" s="458">
        <f t="shared" si="27"/>
        <v>0</v>
      </c>
      <c r="X72" s="458"/>
      <c r="Y72" s="211"/>
      <c r="Z72" s="211"/>
      <c r="AA72" s="699"/>
      <c r="AB72" s="211"/>
      <c r="AD72" s="383"/>
      <c r="AE72" s="693"/>
      <c r="AF72" s="211"/>
      <c r="AG72" s="211"/>
      <c r="AH72" s="211"/>
      <c r="AI72" s="211">
        <f t="shared" si="28"/>
        <v>0</v>
      </c>
      <c r="AJ72" s="211"/>
      <c r="AK72" s="211"/>
      <c r="AL72" s="211"/>
    </row>
    <row r="73" spans="1:38" ht="36.75" customHeight="1" x14ac:dyDescent="0.2">
      <c r="A73" s="1"/>
      <c r="O73" s="165"/>
      <c r="P73" s="165"/>
      <c r="Q73" s="383" t="s">
        <v>31</v>
      </c>
      <c r="R73" s="211" t="s">
        <v>317</v>
      </c>
      <c r="S73" s="458"/>
      <c r="T73" s="458"/>
      <c r="U73" s="458"/>
      <c r="V73" s="458"/>
      <c r="W73" s="458">
        <f t="shared" si="27"/>
        <v>0</v>
      </c>
      <c r="X73" s="458"/>
      <c r="Y73" s="211"/>
      <c r="Z73" s="211"/>
      <c r="AA73" s="699"/>
      <c r="AB73" s="211"/>
      <c r="AD73" s="383" t="s">
        <v>31</v>
      </c>
      <c r="AE73" s="693"/>
      <c r="AF73" s="211"/>
      <c r="AG73" s="211"/>
      <c r="AH73" s="211"/>
      <c r="AI73" s="211">
        <f t="shared" si="28"/>
        <v>0</v>
      </c>
      <c r="AJ73" s="211"/>
      <c r="AK73" s="211"/>
      <c r="AL73" s="211"/>
    </row>
    <row r="74" spans="1:38" ht="36.75" customHeight="1" x14ac:dyDescent="0.2">
      <c r="A74" s="1"/>
      <c r="O74" s="165"/>
      <c r="P74" s="165"/>
      <c r="Q74" s="383"/>
      <c r="R74" s="12" t="s">
        <v>20</v>
      </c>
      <c r="S74" s="458"/>
      <c r="T74" s="458"/>
      <c r="U74" s="458"/>
      <c r="V74" s="458"/>
      <c r="W74" s="458">
        <f t="shared" si="27"/>
        <v>0</v>
      </c>
      <c r="X74" s="458"/>
      <c r="Y74" s="211"/>
      <c r="Z74" s="211"/>
      <c r="AA74" s="699"/>
      <c r="AB74" s="211"/>
      <c r="AD74" s="383"/>
      <c r="AE74" s="693"/>
      <c r="AF74" s="211"/>
      <c r="AG74" s="211"/>
      <c r="AH74" s="211"/>
      <c r="AI74" s="211">
        <f t="shared" si="28"/>
        <v>0</v>
      </c>
      <c r="AJ74" s="211"/>
      <c r="AK74" s="211"/>
      <c r="AL74" s="211"/>
    </row>
    <row r="75" spans="1:38" ht="36.75" customHeight="1" x14ac:dyDescent="0.2">
      <c r="A75" s="1"/>
      <c r="O75" s="165"/>
      <c r="P75" s="165"/>
      <c r="Q75" s="2466" t="s">
        <v>319</v>
      </c>
      <c r="R75" s="2466"/>
      <c r="S75" s="752">
        <f>S53+S55+S57+S59+S61+S63+S65+S67+S69+S71+S73</f>
        <v>497019</v>
      </c>
      <c r="T75" s="752">
        <f t="shared" ref="T75:AA75" si="33">T53+T55+T57+T59+T61+T63+T65+T67+T69+T71+T73</f>
        <v>420913.5</v>
      </c>
      <c r="U75" s="752">
        <f t="shared" si="33"/>
        <v>0</v>
      </c>
      <c r="V75" s="752">
        <f t="shared" si="33"/>
        <v>5400</v>
      </c>
      <c r="W75" s="752">
        <f t="shared" si="33"/>
        <v>426313.5</v>
      </c>
      <c r="X75" s="773">
        <f t="shared" si="33"/>
        <v>33.214596838394172</v>
      </c>
      <c r="Y75" s="468">
        <f t="shared" si="33"/>
        <v>38486.875</v>
      </c>
      <c r="Z75" s="468">
        <f t="shared" si="33"/>
        <v>1851</v>
      </c>
      <c r="AA75" s="474">
        <f t="shared" si="33"/>
        <v>2887</v>
      </c>
      <c r="AB75" s="468">
        <f>(AB53+AB54+AB57+AB59)/4</f>
        <v>146</v>
      </c>
      <c r="AC75" s="103"/>
      <c r="AD75" s="468" t="s">
        <v>319</v>
      </c>
      <c r="AE75" s="469">
        <f t="shared" ref="AE75:AK75" si="34">AE53+AE55+AE57+AE59+AE61+AE63+AE65+AE67+AE69+AE71+AE73</f>
        <v>488254.56410256412</v>
      </c>
      <c r="AF75" s="469">
        <f t="shared" si="34"/>
        <v>446436.82239999995</v>
      </c>
      <c r="AG75" s="469">
        <f t="shared" si="34"/>
        <v>17544.308400000002</v>
      </c>
      <c r="AH75" s="468">
        <f t="shared" si="34"/>
        <v>12822.8292</v>
      </c>
      <c r="AI75" s="468">
        <f t="shared" si="34"/>
        <v>476803.95999999996</v>
      </c>
      <c r="AJ75" s="774">
        <f t="shared" si="34"/>
        <v>38.15</v>
      </c>
      <c r="AK75" s="468">
        <f t="shared" si="34"/>
        <v>37314.079999999994</v>
      </c>
      <c r="AL75" s="468">
        <v>100</v>
      </c>
    </row>
    <row r="76" spans="1:38" ht="25.5" customHeight="1" x14ac:dyDescent="0.2">
      <c r="A76" s="1"/>
      <c r="B76" s="45"/>
      <c r="C76" s="1"/>
      <c r="D76" s="78"/>
      <c r="E76" s="99"/>
      <c r="F76" s="99"/>
      <c r="G76" s="99"/>
      <c r="H76" s="99"/>
      <c r="I76" s="99"/>
      <c r="J76" s="99"/>
      <c r="K76" s="48"/>
      <c r="L76" s="48"/>
      <c r="M76" s="48"/>
      <c r="N76" s="48"/>
      <c r="O76" s="165"/>
      <c r="P76" s="165"/>
      <c r="Q76" s="2466" t="s">
        <v>318</v>
      </c>
      <c r="R76" s="2466"/>
      <c r="S76" s="752">
        <f>S54+S56+S58+S60+S62+S64+S66+S68+S70+S72+S74</f>
        <v>23615</v>
      </c>
      <c r="T76" s="752">
        <f t="shared" ref="T76:AA76" si="35">T54+T56+T58+T60+T62+T64+T66+T68+T70+T72+T74</f>
        <v>79593</v>
      </c>
      <c r="U76" s="752">
        <f t="shared" si="35"/>
        <v>0</v>
      </c>
      <c r="V76" s="752">
        <f t="shared" si="35"/>
        <v>8863.5</v>
      </c>
      <c r="W76" s="752">
        <f t="shared" si="35"/>
        <v>88456.5</v>
      </c>
      <c r="X76" s="773">
        <f t="shared" si="35"/>
        <v>6.7854031616058226</v>
      </c>
      <c r="Y76" s="468">
        <f t="shared" si="35"/>
        <v>25817.5</v>
      </c>
      <c r="Z76" s="468">
        <f t="shared" si="35"/>
        <v>0</v>
      </c>
      <c r="AA76" s="474">
        <f t="shared" si="35"/>
        <v>0</v>
      </c>
      <c r="AB76" s="468">
        <f>AB75</f>
        <v>146</v>
      </c>
      <c r="AC76" s="103"/>
      <c r="AD76" s="468" t="s">
        <v>318</v>
      </c>
      <c r="AE76" s="469">
        <f t="shared" ref="AE76:AK76" si="36">AE54+AE56+AE58+AE60+AE62+AE64+AE66+AE68+AE70+AE72+AE74</f>
        <v>23338.461538461539</v>
      </c>
      <c r="AF76" s="468">
        <f t="shared" si="36"/>
        <v>20934.599999999999</v>
      </c>
      <c r="AG76" s="468">
        <f t="shared" si="36"/>
        <v>1137.75</v>
      </c>
      <c r="AH76" s="468">
        <f t="shared" si="36"/>
        <v>682.65</v>
      </c>
      <c r="AI76" s="468">
        <f t="shared" si="36"/>
        <v>22755</v>
      </c>
      <c r="AJ76" s="774">
        <f t="shared" si="36"/>
        <v>1.85</v>
      </c>
      <c r="AK76" s="468">
        <f t="shared" si="36"/>
        <v>12300</v>
      </c>
      <c r="AL76" s="468">
        <v>100</v>
      </c>
    </row>
    <row r="77" spans="1:38" ht="25.5" customHeight="1" x14ac:dyDescent="0.2">
      <c r="A77" s="1"/>
      <c r="B77" s="45"/>
      <c r="C77" s="1"/>
      <c r="D77" s="78"/>
      <c r="E77" s="99"/>
      <c r="F77" s="99"/>
      <c r="G77" s="99"/>
      <c r="H77" s="99"/>
      <c r="I77" s="99"/>
      <c r="J77" s="99"/>
      <c r="K77" s="48"/>
      <c r="L77" s="48"/>
      <c r="M77" s="48"/>
      <c r="N77" s="48"/>
      <c r="O77" s="165"/>
      <c r="P77" s="165"/>
      <c r="Q77" s="2466" t="s">
        <v>89</v>
      </c>
      <c r="R77" s="2466"/>
      <c r="S77" s="752">
        <f t="shared" ref="S77:AA77" si="37">SUM(S75:S76)</f>
        <v>520634</v>
      </c>
      <c r="T77" s="752">
        <f t="shared" si="37"/>
        <v>500506.5</v>
      </c>
      <c r="U77" s="752">
        <f t="shared" si="37"/>
        <v>0</v>
      </c>
      <c r="V77" s="752">
        <f t="shared" si="37"/>
        <v>14263.5</v>
      </c>
      <c r="W77" s="752">
        <f t="shared" si="37"/>
        <v>514770</v>
      </c>
      <c r="X77" s="773">
        <f t="shared" si="37"/>
        <v>39.999999999999993</v>
      </c>
      <c r="Y77" s="468">
        <f t="shared" si="37"/>
        <v>64304.375</v>
      </c>
      <c r="Z77" s="468">
        <f t="shared" si="37"/>
        <v>1851</v>
      </c>
      <c r="AA77" s="468">
        <f t="shared" si="37"/>
        <v>2887</v>
      </c>
      <c r="AB77" s="468">
        <f>AB75</f>
        <v>146</v>
      </c>
      <c r="AC77" s="103"/>
      <c r="AD77" s="468" t="s">
        <v>89</v>
      </c>
      <c r="AE77" s="469">
        <f t="shared" ref="AE77:AK77" si="38">SUM(AE75:AE76)</f>
        <v>511593.02564102568</v>
      </c>
      <c r="AF77" s="469">
        <f t="shared" si="38"/>
        <v>467371.42239999992</v>
      </c>
      <c r="AG77" s="469">
        <f t="shared" si="38"/>
        <v>18682.058400000002</v>
      </c>
      <c r="AH77" s="469">
        <f t="shared" si="38"/>
        <v>13505.4792</v>
      </c>
      <c r="AI77" s="469">
        <f t="shared" si="38"/>
        <v>499558.95999999996</v>
      </c>
      <c r="AJ77" s="1208">
        <f t="shared" si="38"/>
        <v>40</v>
      </c>
      <c r="AK77" s="469">
        <f t="shared" si="38"/>
        <v>49614.079999999994</v>
      </c>
      <c r="AL77" s="468">
        <v>100</v>
      </c>
    </row>
    <row r="78" spans="1:38" ht="25.5" customHeight="1" x14ac:dyDescent="0.2">
      <c r="A78" s="1"/>
      <c r="B78" s="42" t="s">
        <v>102</v>
      </c>
      <c r="C78" s="42"/>
      <c r="D78" s="43"/>
      <c r="E78" s="43"/>
      <c r="F78" s="43"/>
      <c r="G78" s="43"/>
      <c r="H78" s="43"/>
      <c r="I78" s="43"/>
      <c r="J78" s="43"/>
      <c r="K78" s="43"/>
      <c r="L78" s="43"/>
      <c r="M78" s="43"/>
      <c r="N78" s="43"/>
      <c r="O78" s="165"/>
      <c r="P78" s="165"/>
      <c r="AE78" s="95"/>
      <c r="AF78" s="95"/>
      <c r="AG78" s="95"/>
    </row>
    <row r="79" spans="1:38" ht="24.75" customHeight="1" x14ac:dyDescent="0.2">
      <c r="A79" s="1"/>
      <c r="B79" s="42" t="s">
        <v>104</v>
      </c>
      <c r="C79" s="42"/>
      <c r="D79" s="43"/>
      <c r="E79" s="43"/>
      <c r="F79" s="43"/>
      <c r="G79" s="43"/>
      <c r="H79" s="43"/>
      <c r="I79" s="43"/>
      <c r="J79" s="43"/>
      <c r="K79" s="43"/>
      <c r="L79" s="43"/>
      <c r="M79" s="43"/>
      <c r="N79" s="43"/>
      <c r="O79" s="95"/>
      <c r="P79" s="95"/>
      <c r="AE79" s="95"/>
      <c r="AF79" s="95"/>
      <c r="AG79" s="95"/>
    </row>
    <row r="80" spans="1:38" ht="14" customHeight="1" x14ac:dyDescent="0.2">
      <c r="A80" s="1"/>
      <c r="B80" s="42"/>
      <c r="C80" s="42"/>
      <c r="D80" s="43"/>
      <c r="E80" s="43"/>
      <c r="F80" s="43"/>
      <c r="G80" s="43"/>
      <c r="H80" s="43"/>
      <c r="I80" s="43"/>
      <c r="J80" s="43"/>
      <c r="K80" s="43"/>
      <c r="L80" s="43"/>
      <c r="M80" s="43"/>
      <c r="N80" s="43"/>
      <c r="O80" s="95"/>
      <c r="P80" s="95"/>
      <c r="AE80" s="95"/>
      <c r="AF80" s="95"/>
      <c r="AG80" s="95"/>
    </row>
    <row r="81" spans="1:38" ht="33" customHeight="1" x14ac:dyDescent="0.2">
      <c r="A81" s="1"/>
      <c r="B81" s="2573" t="s">
        <v>105</v>
      </c>
      <c r="C81" s="2574"/>
      <c r="D81" s="2551" t="s">
        <v>17</v>
      </c>
      <c r="E81" s="2577" t="s">
        <v>106</v>
      </c>
      <c r="F81" s="2577"/>
      <c r="G81" s="2577"/>
      <c r="H81" s="2578"/>
      <c r="I81" s="201" t="s">
        <v>107</v>
      </c>
      <c r="J81" s="2579" t="s">
        <v>47</v>
      </c>
      <c r="K81" s="2580"/>
      <c r="L81" s="2580"/>
      <c r="M81" s="2580"/>
      <c r="N81" s="2581"/>
      <c r="O81" s="165"/>
      <c r="P81" s="165"/>
      <c r="Q81" s="456" t="s">
        <v>334</v>
      </c>
      <c r="R81" s="211" t="s">
        <v>304</v>
      </c>
      <c r="S81" s="458" t="s">
        <v>74</v>
      </c>
      <c r="T81" s="458" t="s">
        <v>18</v>
      </c>
      <c r="U81" s="458" t="s">
        <v>19</v>
      </c>
      <c r="V81" s="458" t="s">
        <v>20</v>
      </c>
      <c r="W81" s="760" t="s">
        <v>336</v>
      </c>
      <c r="X81" s="760" t="s">
        <v>10</v>
      </c>
      <c r="Y81" s="632" t="s">
        <v>331</v>
      </c>
      <c r="Z81" s="238" t="s">
        <v>81</v>
      </c>
      <c r="AA81" s="496" t="s">
        <v>360</v>
      </c>
      <c r="AB81" s="382" t="s">
        <v>337</v>
      </c>
      <c r="AC81" s="158"/>
      <c r="AD81" s="456" t="s">
        <v>396</v>
      </c>
      <c r="AE81" s="455" t="s">
        <v>361</v>
      </c>
      <c r="AF81" s="133" t="s">
        <v>18</v>
      </c>
      <c r="AG81" s="133" t="s">
        <v>19</v>
      </c>
      <c r="AH81" s="97" t="s">
        <v>20</v>
      </c>
      <c r="AI81" s="632" t="s">
        <v>336</v>
      </c>
      <c r="AJ81" s="632" t="s">
        <v>10</v>
      </c>
      <c r="AK81" s="632" t="s">
        <v>331</v>
      </c>
      <c r="AL81" s="202" t="s">
        <v>337</v>
      </c>
    </row>
    <row r="82" spans="1:38" ht="33" customHeight="1" x14ac:dyDescent="0.2">
      <c r="A82" s="1"/>
      <c r="B82" s="2575"/>
      <c r="C82" s="2576"/>
      <c r="D82" s="2551"/>
      <c r="E82" s="200" t="s">
        <v>18</v>
      </c>
      <c r="F82" s="202" t="s">
        <v>19</v>
      </c>
      <c r="G82" s="202" t="s">
        <v>20</v>
      </c>
      <c r="H82" s="202" t="s">
        <v>108</v>
      </c>
      <c r="I82" s="201" t="s">
        <v>22</v>
      </c>
      <c r="J82" s="2582"/>
      <c r="K82" s="2583"/>
      <c r="L82" s="2583"/>
      <c r="M82" s="2583"/>
      <c r="N82" s="2584"/>
      <c r="O82" s="165"/>
      <c r="P82" s="165"/>
      <c r="Q82" s="383" t="s">
        <v>154</v>
      </c>
      <c r="R82" s="211" t="s">
        <v>20</v>
      </c>
      <c r="S82" s="458"/>
      <c r="T82" s="458"/>
      <c r="U82" s="458"/>
      <c r="V82" s="458"/>
      <c r="W82" s="458"/>
      <c r="X82" s="458"/>
      <c r="Y82" s="211"/>
      <c r="Z82" s="475"/>
      <c r="AA82" s="701"/>
      <c r="AB82" s="211"/>
      <c r="AD82" s="383" t="s">
        <v>154</v>
      </c>
      <c r="AE82" s="693"/>
      <c r="AF82" s="211"/>
      <c r="AG82" s="211"/>
      <c r="AH82" s="211"/>
      <c r="AI82" s="211"/>
      <c r="AJ82" s="475"/>
      <c r="AK82" s="211"/>
      <c r="AL82" s="211"/>
    </row>
    <row r="83" spans="1:38" ht="33" customHeight="1" x14ac:dyDescent="0.2">
      <c r="A83" s="1"/>
      <c r="B83" s="2499" t="s">
        <v>109</v>
      </c>
      <c r="C83" s="2500"/>
      <c r="D83" s="190" t="s">
        <v>21</v>
      </c>
      <c r="E83" s="203">
        <f>'TH Thương hiệu DC1'!Y7</f>
        <v>111178.56</v>
      </c>
      <c r="F83" s="203">
        <f>'TH Thương hiệu DC1'!Y8</f>
        <v>3644.6400000000003</v>
      </c>
      <c r="G83" s="203">
        <f>'TH Thương hiệu DC1'!Y9</f>
        <v>18577.439999999999</v>
      </c>
      <c r="H83" s="204">
        <f t="shared" ref="H83:H98" si="39">SUM(E83:G83)</f>
        <v>133400.63999999998</v>
      </c>
      <c r="I83" s="205"/>
      <c r="J83" s="2503" t="s">
        <v>110</v>
      </c>
      <c r="K83" s="2504"/>
      <c r="L83" s="2504"/>
      <c r="M83" s="2504"/>
      <c r="N83" s="2505"/>
      <c r="O83" s="165"/>
      <c r="P83" s="165"/>
      <c r="Q83" s="383"/>
      <c r="R83" s="211" t="s">
        <v>307</v>
      </c>
      <c r="S83" s="458"/>
      <c r="T83" s="458"/>
      <c r="U83" s="458"/>
      <c r="V83" s="458"/>
      <c r="W83" s="458"/>
      <c r="X83" s="458"/>
      <c r="Y83" s="211"/>
      <c r="Z83" s="211"/>
      <c r="AA83" s="699"/>
      <c r="AB83" s="211"/>
      <c r="AD83" s="383"/>
      <c r="AE83" s="693"/>
      <c r="AF83" s="211"/>
      <c r="AG83" s="211"/>
      <c r="AH83" s="211"/>
      <c r="AI83" s="211"/>
      <c r="AJ83" s="475"/>
      <c r="AK83" s="211"/>
      <c r="AL83" s="211"/>
    </row>
    <row r="84" spans="1:38" ht="33" customHeight="1" x14ac:dyDescent="0.2">
      <c r="A84" s="1"/>
      <c r="B84" s="2501"/>
      <c r="C84" s="2502"/>
      <c r="D84" s="129" t="s">
        <v>22</v>
      </c>
      <c r="E84" s="206">
        <f>E83/$H$83*100</f>
        <v>83.341849034607336</v>
      </c>
      <c r="F84" s="206">
        <f>F83/$H$83*100</f>
        <v>2.7321008354982408</v>
      </c>
      <c r="G84" s="206">
        <f>G83/$H$83*100</f>
        <v>13.926050129894429</v>
      </c>
      <c r="H84" s="207">
        <f t="shared" si="39"/>
        <v>100.00000000000001</v>
      </c>
      <c r="I84" s="208">
        <f>H83/$H$119*100</f>
        <v>7.8349272615655705</v>
      </c>
      <c r="J84" s="2506"/>
      <c r="K84" s="2507"/>
      <c r="L84" s="2507"/>
      <c r="M84" s="2507"/>
      <c r="N84" s="2508"/>
      <c r="O84" s="165"/>
      <c r="P84" s="165"/>
      <c r="Q84" s="383" t="s">
        <v>156</v>
      </c>
      <c r="R84" s="211" t="s">
        <v>20</v>
      </c>
      <c r="S84" s="458"/>
      <c r="T84" s="458"/>
      <c r="U84" s="458"/>
      <c r="V84" s="458"/>
      <c r="W84" s="458">
        <f t="shared" ref="W84:W103" si="40">SUM(T84:V84)</f>
        <v>0</v>
      </c>
      <c r="X84" s="458"/>
      <c r="Y84" s="211"/>
      <c r="Z84" s="211"/>
      <c r="AA84" s="699"/>
      <c r="AB84" s="211"/>
      <c r="AD84" s="383" t="s">
        <v>156</v>
      </c>
      <c r="AE84" s="693"/>
      <c r="AF84" s="211"/>
      <c r="AG84" s="211"/>
      <c r="AH84" s="211"/>
      <c r="AI84" s="211">
        <f t="shared" ref="AI84:AI103" si="41">SUM(AH84:AH84)</f>
        <v>0</v>
      </c>
      <c r="AJ84" s="211"/>
      <c r="AK84" s="211"/>
      <c r="AL84" s="211"/>
    </row>
    <row r="85" spans="1:38" ht="33" customHeight="1" x14ac:dyDescent="0.2">
      <c r="A85" s="1"/>
      <c r="B85" s="2569" t="s">
        <v>112</v>
      </c>
      <c r="C85" s="2570"/>
      <c r="D85" s="129" t="s">
        <v>21</v>
      </c>
      <c r="E85" s="203">
        <f>'TH Thương hiệu DC1'!Y10</f>
        <v>0</v>
      </c>
      <c r="F85" s="203">
        <f>'TH Thương hiệu DC1'!Y11</f>
        <v>0</v>
      </c>
      <c r="G85" s="203">
        <f>'TH Thương hiệu DC1'!Y12</f>
        <v>0</v>
      </c>
      <c r="H85" s="204">
        <f t="shared" si="39"/>
        <v>0</v>
      </c>
      <c r="I85" s="208"/>
      <c r="J85" s="2506"/>
      <c r="K85" s="2507"/>
      <c r="L85" s="2507"/>
      <c r="M85" s="2507"/>
      <c r="N85" s="2508"/>
      <c r="O85" s="165"/>
      <c r="P85" s="165"/>
      <c r="Q85" s="383"/>
      <c r="R85" s="211" t="s">
        <v>307</v>
      </c>
      <c r="S85" s="458"/>
      <c r="T85" s="458"/>
      <c r="U85" s="458"/>
      <c r="V85" s="458"/>
      <c r="W85" s="458">
        <f t="shared" si="40"/>
        <v>0</v>
      </c>
      <c r="X85" s="458"/>
      <c r="Y85" s="211"/>
      <c r="Z85" s="211"/>
      <c r="AA85" s="699"/>
      <c r="AB85" s="211"/>
      <c r="AD85" s="383"/>
      <c r="AE85" s="693"/>
      <c r="AF85" s="211"/>
      <c r="AG85" s="211"/>
      <c r="AH85" s="211"/>
      <c r="AI85" s="211">
        <f t="shared" si="41"/>
        <v>0</v>
      </c>
      <c r="AJ85" s="211"/>
      <c r="AK85" s="211"/>
      <c r="AL85" s="211"/>
    </row>
    <row r="86" spans="1:38" ht="33" customHeight="1" x14ac:dyDescent="0.2">
      <c r="A86" s="1"/>
      <c r="B86" s="2501"/>
      <c r="C86" s="2502"/>
      <c r="D86" s="129" t="s">
        <v>22</v>
      </c>
      <c r="E86" s="207" t="e">
        <f>E85/$H$85*100</f>
        <v>#DIV/0!</v>
      </c>
      <c r="F86" s="207" t="e">
        <f>F85/$H$85*100</f>
        <v>#DIV/0!</v>
      </c>
      <c r="G86" s="207" t="e">
        <f>G85/$H$85*100</f>
        <v>#DIV/0!</v>
      </c>
      <c r="H86" s="204" t="e">
        <f t="shared" si="39"/>
        <v>#DIV/0!</v>
      </c>
      <c r="I86" s="208">
        <f>H85/$H$119*100</f>
        <v>0</v>
      </c>
      <c r="J86" s="2506"/>
      <c r="K86" s="2507"/>
      <c r="L86" s="2507"/>
      <c r="M86" s="2507"/>
      <c r="N86" s="2508"/>
      <c r="O86" s="165"/>
      <c r="P86" s="165"/>
      <c r="Q86" s="383" t="s">
        <v>157</v>
      </c>
      <c r="R86" s="211" t="s">
        <v>20</v>
      </c>
      <c r="S86" s="458"/>
      <c r="T86" s="458"/>
      <c r="U86" s="458"/>
      <c r="V86" s="458"/>
      <c r="W86" s="458">
        <f t="shared" si="40"/>
        <v>0</v>
      </c>
      <c r="X86" s="458"/>
      <c r="Y86" s="211"/>
      <c r="Z86" s="211"/>
      <c r="AA86" s="699"/>
      <c r="AB86" s="211"/>
      <c r="AD86" s="383" t="s">
        <v>157</v>
      </c>
      <c r="AE86" s="693"/>
      <c r="AF86" s="211"/>
      <c r="AG86" s="211"/>
      <c r="AH86" s="211"/>
      <c r="AI86" s="211">
        <f t="shared" si="41"/>
        <v>0</v>
      </c>
      <c r="AJ86" s="211"/>
      <c r="AK86" s="211"/>
      <c r="AL86" s="211"/>
    </row>
    <row r="87" spans="1:38" ht="33" customHeight="1" x14ac:dyDescent="0.2">
      <c r="A87" s="1"/>
      <c r="B87" s="2569" t="s">
        <v>113</v>
      </c>
      <c r="C87" s="2570"/>
      <c r="D87" s="129" t="s">
        <v>21</v>
      </c>
      <c r="E87" s="204">
        <f>'TH Thương hiệu DC1'!Y13</f>
        <v>164010.23999999999</v>
      </c>
      <c r="F87" s="204">
        <f>'TH Thương hiệu DC1'!Y14</f>
        <v>0</v>
      </c>
      <c r="G87" s="204">
        <f>'TH Thương hiệu DC1'!Y15</f>
        <v>0</v>
      </c>
      <c r="H87" s="204">
        <f>SUM(E87:G87)</f>
        <v>164010.23999999999</v>
      </c>
      <c r="I87" s="208"/>
      <c r="J87" s="2506"/>
      <c r="K87" s="2507"/>
      <c r="L87" s="2507"/>
      <c r="M87" s="2507"/>
      <c r="N87" s="2508"/>
      <c r="O87" s="165"/>
      <c r="P87" s="165"/>
      <c r="Q87" s="383"/>
      <c r="R87" s="211" t="s">
        <v>307</v>
      </c>
      <c r="S87" s="458"/>
      <c r="T87" s="458"/>
      <c r="U87" s="458"/>
      <c r="V87" s="458"/>
      <c r="W87" s="458">
        <f t="shared" si="40"/>
        <v>0</v>
      </c>
      <c r="X87" s="458"/>
      <c r="Y87" s="211"/>
      <c r="Z87" s="211"/>
      <c r="AA87" s="699"/>
      <c r="AB87" s="211"/>
      <c r="AD87" s="383"/>
      <c r="AE87" s="693"/>
      <c r="AF87" s="211"/>
      <c r="AG87" s="211"/>
      <c r="AH87" s="211"/>
      <c r="AI87" s="211">
        <f t="shared" si="41"/>
        <v>0</v>
      </c>
      <c r="AJ87" s="211"/>
      <c r="AK87" s="211"/>
      <c r="AL87" s="211"/>
    </row>
    <row r="88" spans="1:38" ht="33" customHeight="1" x14ac:dyDescent="0.2">
      <c r="A88" s="1"/>
      <c r="B88" s="2501"/>
      <c r="C88" s="2502"/>
      <c r="D88" s="129" t="s">
        <v>22</v>
      </c>
      <c r="E88" s="207">
        <f>E87/$H$87*100</f>
        <v>100</v>
      </c>
      <c r="F88" s="207">
        <f>F87/$H$87*100</f>
        <v>0</v>
      </c>
      <c r="G88" s="207">
        <f>G87/$H$87*100</f>
        <v>0</v>
      </c>
      <c r="H88" s="207">
        <f>H87/$H$87*100</f>
        <v>100</v>
      </c>
      <c r="I88" s="208">
        <f>H87/$H$119*100</f>
        <v>9.6326996673472642</v>
      </c>
      <c r="J88" s="2506"/>
      <c r="K88" s="2507"/>
      <c r="L88" s="2507"/>
      <c r="M88" s="2507"/>
      <c r="N88" s="2508"/>
      <c r="O88" s="165"/>
      <c r="P88" s="165"/>
      <c r="Q88" s="383" t="s">
        <v>158</v>
      </c>
      <c r="R88" s="211" t="s">
        <v>20</v>
      </c>
      <c r="S88" s="458">
        <f>'T5.2025'!E23</f>
        <v>119675</v>
      </c>
      <c r="T88" s="458">
        <f>'T5.2025'!F152</f>
        <v>93891.6</v>
      </c>
      <c r="U88" s="458">
        <f>'T5.2025'!G152</f>
        <v>0</v>
      </c>
      <c r="V88" s="458">
        <f>'T5.2025'!H152</f>
        <v>5347.08</v>
      </c>
      <c r="W88" s="458">
        <f t="shared" si="40"/>
        <v>99238.680000000008</v>
      </c>
      <c r="X88" s="734">
        <f>'T5.2025'!G190</f>
        <v>8.0883283144158753</v>
      </c>
      <c r="Y88" s="211">
        <f>W88/X88</f>
        <v>12269.368421052632</v>
      </c>
      <c r="Z88" s="211">
        <f>'T5.2025'!M23</f>
        <v>712.8</v>
      </c>
      <c r="AA88" s="699">
        <f>'T5.2025'!N23</f>
        <v>758.52</v>
      </c>
      <c r="AB88" s="211">
        <f>'T5.2025'!O23</f>
        <v>230</v>
      </c>
      <c r="AD88" s="383" t="s">
        <v>158</v>
      </c>
      <c r="AE88" s="693">
        <f>'T5.2025'!E21</f>
        <v>117312.82051282052</v>
      </c>
      <c r="AF88" s="211">
        <f>'T5.2025'!F21</f>
        <v>101798.2</v>
      </c>
      <c r="AG88" s="211">
        <f>'T5.2025'!G21</f>
        <v>5719</v>
      </c>
      <c r="AH88" s="211">
        <f>'T5.2025'!H21</f>
        <v>6862.8</v>
      </c>
      <c r="AI88" s="211">
        <f>SUM(AF88:AH88)</f>
        <v>114380</v>
      </c>
      <c r="AJ88" s="475">
        <f>'T5.2025'!J21</f>
        <v>9.5</v>
      </c>
      <c r="AK88" s="211">
        <f>AI88/AJ88</f>
        <v>12040</v>
      </c>
      <c r="AL88" s="211">
        <f>'T5.2025'!O21</f>
        <v>100</v>
      </c>
    </row>
    <row r="89" spans="1:38" ht="33" customHeight="1" x14ac:dyDescent="0.2">
      <c r="A89" s="1"/>
      <c r="B89" s="2569" t="s">
        <v>114</v>
      </c>
      <c r="C89" s="2570"/>
      <c r="D89" s="129" t="s">
        <v>21</v>
      </c>
      <c r="E89" s="204">
        <f>'TH Thương hiệu DC1'!Y16</f>
        <v>26395.200000000001</v>
      </c>
      <c r="F89" s="204">
        <f>'TH Thương hiệu DC1'!Y17</f>
        <v>0</v>
      </c>
      <c r="G89" s="204">
        <f>'TH Thương hiệu DC1'!Y18</f>
        <v>2674.08</v>
      </c>
      <c r="H89" s="204">
        <f t="shared" si="39"/>
        <v>29069.279999999999</v>
      </c>
      <c r="I89" s="208"/>
      <c r="J89" s="2506"/>
      <c r="K89" s="2507"/>
      <c r="L89" s="2507"/>
      <c r="M89" s="2507"/>
      <c r="N89" s="2508"/>
      <c r="O89" s="103"/>
      <c r="P89" s="103"/>
      <c r="Q89" s="383"/>
      <c r="R89" s="211" t="s">
        <v>307</v>
      </c>
      <c r="S89" s="458"/>
      <c r="T89" s="458">
        <f>'T5.2025'!F168</f>
        <v>16918.2</v>
      </c>
      <c r="U89" s="458">
        <f>'T5.2025'!G168</f>
        <v>0</v>
      </c>
      <c r="V89" s="458">
        <f>'T5.2025'!H168</f>
        <v>402.12</v>
      </c>
      <c r="W89" s="458">
        <f t="shared" si="40"/>
        <v>17320.32</v>
      </c>
      <c r="X89" s="734">
        <f>'T5.2025'!G191</f>
        <v>1.4116716855841247</v>
      </c>
      <c r="Y89" s="211">
        <f>W89/X89</f>
        <v>12269.368421052632</v>
      </c>
      <c r="Z89" s="211"/>
      <c r="AA89" s="699"/>
      <c r="AB89" s="211"/>
      <c r="AD89" s="383"/>
      <c r="AE89" s="693"/>
      <c r="AF89" s="211"/>
      <c r="AG89" s="211"/>
      <c r="AH89" s="211"/>
      <c r="AI89" s="211">
        <f t="shared" si="41"/>
        <v>0</v>
      </c>
      <c r="AJ89" s="211"/>
      <c r="AK89" s="211"/>
      <c r="AL89" s="211"/>
    </row>
    <row r="90" spans="1:38" ht="33" customHeight="1" x14ac:dyDescent="0.2">
      <c r="A90" s="1"/>
      <c r="B90" s="2501"/>
      <c r="C90" s="2502"/>
      <c r="D90" s="129" t="s">
        <v>22</v>
      </c>
      <c r="E90" s="207">
        <f>E89/$H$89*100</f>
        <v>90.80101055134493</v>
      </c>
      <c r="F90" s="207">
        <f>F89/$H$89*100</f>
        <v>0</v>
      </c>
      <c r="G90" s="207">
        <f>G89/$H$89*100</f>
        <v>9.198989448655075</v>
      </c>
      <c r="H90" s="204">
        <f t="shared" si="39"/>
        <v>100</v>
      </c>
      <c r="I90" s="208">
        <f>H89/$H$119*100</f>
        <v>1.7073058595976964</v>
      </c>
      <c r="J90" s="2506"/>
      <c r="K90" s="2507"/>
      <c r="L90" s="2507"/>
      <c r="M90" s="2507"/>
      <c r="N90" s="2508"/>
      <c r="O90" s="103"/>
      <c r="P90" s="103"/>
      <c r="Q90" s="383" t="s">
        <v>159</v>
      </c>
      <c r="R90" s="211" t="s">
        <v>20</v>
      </c>
      <c r="S90" s="458"/>
      <c r="T90" s="458"/>
      <c r="U90" s="458"/>
      <c r="V90" s="458"/>
      <c r="W90" s="458"/>
      <c r="X90" s="734"/>
      <c r="Y90" s="211"/>
      <c r="Z90" s="211"/>
      <c r="AA90" s="699"/>
      <c r="AB90" s="211"/>
      <c r="AD90" s="383" t="s">
        <v>159</v>
      </c>
      <c r="AE90" s="693"/>
      <c r="AF90" s="211"/>
      <c r="AG90" s="211"/>
      <c r="AH90" s="211"/>
      <c r="AI90" s="211"/>
      <c r="AJ90" s="475"/>
      <c r="AK90" s="211"/>
      <c r="AL90" s="211"/>
    </row>
    <row r="91" spans="1:38" ht="33" customHeight="1" x14ac:dyDescent="0.2">
      <c r="A91" s="1"/>
      <c r="B91" s="2569" t="s">
        <v>117</v>
      </c>
      <c r="C91" s="2570"/>
      <c r="D91" s="129" t="s">
        <v>21</v>
      </c>
      <c r="E91" s="204">
        <f>'TH Thương hiệu DC1'!Y19</f>
        <v>5518.4</v>
      </c>
      <c r="F91" s="204">
        <f>'TH Thương hiệu DC1'!Y20</f>
        <v>0</v>
      </c>
      <c r="G91" s="204">
        <f>'TH Thương hiệu DC1'!Y21</f>
        <v>634.83999999999992</v>
      </c>
      <c r="H91" s="204">
        <f t="shared" si="39"/>
        <v>6153.24</v>
      </c>
      <c r="I91" s="208"/>
      <c r="J91" s="2506"/>
      <c r="K91" s="2507"/>
      <c r="L91" s="2507"/>
      <c r="M91" s="2507"/>
      <c r="N91" s="2508"/>
      <c r="O91" s="103"/>
      <c r="P91" s="103"/>
      <c r="Q91" s="383"/>
      <c r="R91" s="211" t="s">
        <v>307</v>
      </c>
      <c r="S91" s="458"/>
      <c r="T91" s="458"/>
      <c r="U91" s="458"/>
      <c r="V91" s="458"/>
      <c r="W91" s="458"/>
      <c r="X91" s="734"/>
      <c r="Y91" s="211"/>
      <c r="Z91" s="211"/>
      <c r="AA91" s="699"/>
      <c r="AB91" s="211"/>
      <c r="AD91" s="383"/>
      <c r="AE91" s="693"/>
      <c r="AF91" s="211"/>
      <c r="AG91" s="211"/>
      <c r="AH91" s="211"/>
      <c r="AI91" s="211">
        <f t="shared" si="41"/>
        <v>0</v>
      </c>
      <c r="AJ91" s="211"/>
      <c r="AK91" s="211"/>
      <c r="AL91" s="211"/>
    </row>
    <row r="92" spans="1:38" ht="33" customHeight="1" x14ac:dyDescent="0.2">
      <c r="A92" s="1"/>
      <c r="B92" s="2501"/>
      <c r="C92" s="2502"/>
      <c r="D92" s="129" t="s">
        <v>22</v>
      </c>
      <c r="E92" s="207">
        <f>E91/$H$91*100</f>
        <v>89.682833759125273</v>
      </c>
      <c r="F92" s="207">
        <f>F91/$H$91*100</f>
        <v>0</v>
      </c>
      <c r="G92" s="207">
        <f>G91/$H$91*100</f>
        <v>10.317166240874725</v>
      </c>
      <c r="H92" s="204">
        <f t="shared" si="39"/>
        <v>100</v>
      </c>
      <c r="I92" s="208">
        <f>H91/$H$119*100</f>
        <v>0.36139397699258219</v>
      </c>
      <c r="J92" s="2509"/>
      <c r="K92" s="2510"/>
      <c r="L92" s="2510"/>
      <c r="M92" s="2510"/>
      <c r="N92" s="2511"/>
      <c r="O92" s="103"/>
      <c r="P92" s="103"/>
      <c r="Q92" s="211" t="s">
        <v>160</v>
      </c>
      <c r="R92" s="12" t="s">
        <v>20</v>
      </c>
      <c r="S92" s="457"/>
      <c r="T92" s="457"/>
      <c r="U92" s="457"/>
      <c r="V92" s="457"/>
      <c r="W92" s="458">
        <f t="shared" si="40"/>
        <v>0</v>
      </c>
      <c r="X92" s="457"/>
      <c r="Y92" s="457"/>
      <c r="Z92" s="457"/>
      <c r="AA92" s="702"/>
      <c r="AB92" s="458"/>
      <c r="AC92" s="700"/>
      <c r="AD92" s="211" t="s">
        <v>160</v>
      </c>
      <c r="AE92" s="693"/>
      <c r="AF92" s="211"/>
      <c r="AG92" s="211"/>
      <c r="AH92" s="457"/>
      <c r="AI92" s="211">
        <f t="shared" si="41"/>
        <v>0</v>
      </c>
      <c r="AJ92" s="457"/>
      <c r="AK92" s="457"/>
      <c r="AL92" s="458"/>
    </row>
    <row r="93" spans="1:38" ht="33" customHeight="1" x14ac:dyDescent="0.2">
      <c r="A93" s="1"/>
      <c r="B93" s="2585" t="s">
        <v>120</v>
      </c>
      <c r="C93" s="2586"/>
      <c r="D93" s="129" t="s">
        <v>21</v>
      </c>
      <c r="E93" s="203">
        <f>'TH Thương hiệu DC1'!Y25</f>
        <v>774043.20000000007</v>
      </c>
      <c r="F93" s="203">
        <f>'TH Thương hiệu DC1'!Y26</f>
        <v>36695.360000000001</v>
      </c>
      <c r="G93" s="203">
        <f>'TH Thương hiệu DC1'!Y27</f>
        <v>41104.6</v>
      </c>
      <c r="H93" s="212">
        <f t="shared" si="39"/>
        <v>851843.16</v>
      </c>
      <c r="I93" s="208"/>
      <c r="J93" s="2503" t="s">
        <v>121</v>
      </c>
      <c r="K93" s="2504"/>
      <c r="L93" s="2504"/>
      <c r="M93" s="2504"/>
      <c r="N93" s="2505"/>
      <c r="O93" s="103"/>
      <c r="P93" s="103"/>
      <c r="Q93" s="12"/>
      <c r="R93" s="12" t="s">
        <v>307</v>
      </c>
      <c r="S93" s="458"/>
      <c r="T93" s="458"/>
      <c r="U93" s="458"/>
      <c r="V93" s="458"/>
      <c r="W93" s="458">
        <f t="shared" si="40"/>
        <v>0</v>
      </c>
      <c r="X93" s="458"/>
      <c r="Y93" s="211"/>
      <c r="Z93" s="211"/>
      <c r="AA93" s="699"/>
      <c r="AB93" s="211"/>
      <c r="AD93" s="12"/>
      <c r="AE93" s="693"/>
      <c r="AF93" s="211"/>
      <c r="AG93" s="211"/>
      <c r="AH93" s="477"/>
      <c r="AI93" s="211">
        <f t="shared" si="41"/>
        <v>0</v>
      </c>
      <c r="AJ93" s="477"/>
      <c r="AK93" s="477"/>
      <c r="AL93" s="477"/>
    </row>
    <row r="94" spans="1:38" ht="33" customHeight="1" x14ac:dyDescent="0.2">
      <c r="A94" s="1"/>
      <c r="B94" s="2587"/>
      <c r="C94" s="2588"/>
      <c r="D94" s="129" t="s">
        <v>22</v>
      </c>
      <c r="E94" s="213">
        <f>E93/$H$93*100</f>
        <v>90.866868027677768</v>
      </c>
      <c r="F94" s="213">
        <f>F93/$H$93*100</f>
        <v>4.3077601280498632</v>
      </c>
      <c r="G94" s="213">
        <f>G93/$H$93*100</f>
        <v>4.8253718442723654</v>
      </c>
      <c r="H94" s="204">
        <f t="shared" si="39"/>
        <v>100</v>
      </c>
      <c r="I94" s="208">
        <f>H93/$H$119*100</f>
        <v>50.030713472305408</v>
      </c>
      <c r="J94" s="2506"/>
      <c r="K94" s="2507"/>
      <c r="L94" s="2507"/>
      <c r="M94" s="2507"/>
      <c r="N94" s="2508"/>
      <c r="O94" s="103"/>
      <c r="P94" s="103"/>
      <c r="Q94" s="383" t="s">
        <v>161</v>
      </c>
      <c r="R94" s="211" t="s">
        <v>20</v>
      </c>
      <c r="S94" s="458"/>
      <c r="T94" s="458"/>
      <c r="U94" s="458"/>
      <c r="V94" s="458"/>
      <c r="W94" s="458">
        <f t="shared" si="40"/>
        <v>0</v>
      </c>
      <c r="X94" s="458"/>
      <c r="Y94" s="211"/>
      <c r="Z94" s="211"/>
      <c r="AA94" s="699"/>
      <c r="AB94" s="211"/>
      <c r="AD94" s="383" t="s">
        <v>161</v>
      </c>
      <c r="AE94" s="693"/>
      <c r="AF94" s="211"/>
      <c r="AG94" s="211"/>
      <c r="AH94" s="211"/>
      <c r="AI94" s="211">
        <f t="shared" si="41"/>
        <v>0</v>
      </c>
      <c r="AJ94" s="211"/>
      <c r="AK94" s="211"/>
      <c r="AL94" s="211"/>
    </row>
    <row r="95" spans="1:38" ht="33" customHeight="1" x14ac:dyDescent="0.2">
      <c r="A95" s="1"/>
      <c r="B95" s="2585" t="s">
        <v>123</v>
      </c>
      <c r="C95" s="2586"/>
      <c r="D95" s="129" t="s">
        <v>21</v>
      </c>
      <c r="E95" s="203">
        <f>'TH Thương hiệu DC1'!Y28</f>
        <v>0</v>
      </c>
      <c r="F95" s="203">
        <f>'TH Thương hiệu DC1'!Y29</f>
        <v>0</v>
      </c>
      <c r="G95" s="203">
        <f>'TH Thương hiệu DC1'!Y30</f>
        <v>0</v>
      </c>
      <c r="H95" s="212">
        <f t="shared" si="39"/>
        <v>0</v>
      </c>
      <c r="I95" s="208"/>
      <c r="J95" s="2506"/>
      <c r="K95" s="2507"/>
      <c r="L95" s="2507"/>
      <c r="M95" s="2507"/>
      <c r="N95" s="2508"/>
      <c r="O95" s="103"/>
      <c r="P95" s="103"/>
      <c r="Q95" s="383"/>
      <c r="R95" s="211" t="s">
        <v>307</v>
      </c>
      <c r="S95" s="458"/>
      <c r="T95" s="458"/>
      <c r="U95" s="458"/>
      <c r="V95" s="458"/>
      <c r="W95" s="458">
        <f t="shared" si="40"/>
        <v>0</v>
      </c>
      <c r="X95" s="458"/>
      <c r="Y95" s="211"/>
      <c r="Z95" s="211"/>
      <c r="AA95" s="699"/>
      <c r="AB95" s="211"/>
      <c r="AD95" s="383"/>
      <c r="AE95" s="693"/>
      <c r="AF95" s="211"/>
      <c r="AG95" s="211"/>
      <c r="AH95" s="211"/>
      <c r="AI95" s="211">
        <f t="shared" si="41"/>
        <v>0</v>
      </c>
      <c r="AJ95" s="211"/>
      <c r="AK95" s="211"/>
      <c r="AL95" s="211"/>
    </row>
    <row r="96" spans="1:38" ht="33" customHeight="1" x14ac:dyDescent="0.2">
      <c r="A96" s="1"/>
      <c r="B96" s="2587"/>
      <c r="C96" s="2588"/>
      <c r="D96" s="129" t="s">
        <v>22</v>
      </c>
      <c r="E96" s="213" t="e">
        <f>E95/$H$95*100</f>
        <v>#DIV/0!</v>
      </c>
      <c r="F96" s="213" t="e">
        <f>F95/$H$95*100</f>
        <v>#DIV/0!</v>
      </c>
      <c r="G96" s="213" t="e">
        <f>G95/$H$95*100</f>
        <v>#DIV/0!</v>
      </c>
      <c r="H96" s="204" t="e">
        <f t="shared" si="39"/>
        <v>#DIV/0!</v>
      </c>
      <c r="I96" s="208">
        <f>H95/$H$119*100</f>
        <v>0</v>
      </c>
      <c r="J96" s="2506"/>
      <c r="K96" s="2507"/>
      <c r="L96" s="2507"/>
      <c r="M96" s="2507"/>
      <c r="N96" s="2508"/>
      <c r="O96" s="103"/>
      <c r="P96" s="103"/>
      <c r="Q96" s="383" t="s">
        <v>162</v>
      </c>
      <c r="R96" s="211" t="s">
        <v>20</v>
      </c>
      <c r="S96" s="458"/>
      <c r="T96" s="458"/>
      <c r="U96" s="458"/>
      <c r="V96" s="458"/>
      <c r="W96" s="458">
        <f t="shared" si="40"/>
        <v>0</v>
      </c>
      <c r="X96" s="458"/>
      <c r="Y96" s="211"/>
      <c r="Z96" s="211"/>
      <c r="AA96" s="699"/>
      <c r="AB96" s="211"/>
      <c r="AD96" s="383" t="s">
        <v>162</v>
      </c>
      <c r="AE96" s="693"/>
      <c r="AF96" s="211"/>
      <c r="AG96" s="211"/>
      <c r="AH96" s="211"/>
      <c r="AI96" s="211">
        <f t="shared" si="41"/>
        <v>0</v>
      </c>
      <c r="AJ96" s="211"/>
      <c r="AK96" s="211"/>
      <c r="AL96" s="211"/>
    </row>
    <row r="97" spans="1:38" ht="33" customHeight="1" x14ac:dyDescent="0.2">
      <c r="A97" s="1"/>
      <c r="B97" s="2585" t="s">
        <v>125</v>
      </c>
      <c r="C97" s="2586"/>
      <c r="D97" s="129" t="s">
        <v>21</v>
      </c>
      <c r="E97" s="203">
        <f>'TH Thương hiệu DC1'!Y31</f>
        <v>83359.760000000009</v>
      </c>
      <c r="F97" s="203">
        <f>'TH Thương hiệu DC1'!Y32</f>
        <v>0</v>
      </c>
      <c r="G97" s="203">
        <f>'TH Thương hiệu DC1'!Y33</f>
        <v>6028.12</v>
      </c>
      <c r="H97" s="204">
        <f t="shared" si="39"/>
        <v>89387.88</v>
      </c>
      <c r="I97" s="208"/>
      <c r="J97" s="2506"/>
      <c r="K97" s="2507"/>
      <c r="L97" s="2507"/>
      <c r="M97" s="2507"/>
      <c r="N97" s="2508"/>
      <c r="O97" s="103"/>
      <c r="P97" s="103"/>
      <c r="Q97" s="383"/>
      <c r="R97" s="211" t="s">
        <v>307</v>
      </c>
      <c r="S97" s="458"/>
      <c r="T97" s="458"/>
      <c r="U97" s="458"/>
      <c r="V97" s="458"/>
      <c r="W97" s="458">
        <f t="shared" si="40"/>
        <v>0</v>
      </c>
      <c r="X97" s="458"/>
      <c r="Y97" s="211"/>
      <c r="Z97" s="211"/>
      <c r="AA97" s="699"/>
      <c r="AB97" s="211"/>
      <c r="AD97" s="383"/>
      <c r="AE97" s="693"/>
      <c r="AF97" s="211"/>
      <c r="AG97" s="211"/>
      <c r="AH97" s="211"/>
      <c r="AI97" s="211">
        <f t="shared" si="41"/>
        <v>0</v>
      </c>
      <c r="AJ97" s="211"/>
      <c r="AK97" s="211"/>
      <c r="AL97" s="211"/>
    </row>
    <row r="98" spans="1:38" ht="33" customHeight="1" x14ac:dyDescent="0.2">
      <c r="A98" s="1"/>
      <c r="B98" s="2587"/>
      <c r="C98" s="2588"/>
      <c r="D98" s="129" t="s">
        <v>22</v>
      </c>
      <c r="E98" s="207">
        <f>E97/$H$97*100</f>
        <v>93.256222208200938</v>
      </c>
      <c r="F98" s="207">
        <f>F97/$H$97*100</f>
        <v>0</v>
      </c>
      <c r="G98" s="207">
        <f>G97/$H$97*100</f>
        <v>6.743777791799066</v>
      </c>
      <c r="H98" s="204">
        <f t="shared" si="39"/>
        <v>100</v>
      </c>
      <c r="I98" s="208">
        <f>H97/$H$119*100</f>
        <v>5.2499563560231195</v>
      </c>
      <c r="J98" s="2506"/>
      <c r="K98" s="2507"/>
      <c r="L98" s="2507"/>
      <c r="M98" s="2507"/>
      <c r="N98" s="2508"/>
      <c r="O98" s="103"/>
      <c r="P98" s="103"/>
      <c r="Q98" s="383" t="s">
        <v>111</v>
      </c>
      <c r="R98" s="211" t="s">
        <v>20</v>
      </c>
      <c r="S98" s="458"/>
      <c r="T98" s="458"/>
      <c r="U98" s="458"/>
      <c r="V98" s="458"/>
      <c r="W98" s="458">
        <f t="shared" si="40"/>
        <v>0</v>
      </c>
      <c r="X98" s="458"/>
      <c r="Y98" s="211"/>
      <c r="Z98" s="211"/>
      <c r="AA98" s="699"/>
      <c r="AB98" s="211"/>
      <c r="AD98" s="383" t="s">
        <v>111</v>
      </c>
      <c r="AE98" s="693"/>
      <c r="AF98" s="211"/>
      <c r="AG98" s="211"/>
      <c r="AH98" s="211"/>
      <c r="AI98" s="211">
        <f t="shared" si="41"/>
        <v>0</v>
      </c>
      <c r="AJ98" s="211"/>
      <c r="AK98" s="211"/>
      <c r="AL98" s="211"/>
    </row>
    <row r="99" spans="1:38" ht="33" customHeight="1" x14ac:dyDescent="0.2">
      <c r="A99" s="1"/>
      <c r="B99" s="2585" t="s">
        <v>126</v>
      </c>
      <c r="C99" s="2586"/>
      <c r="D99" s="129" t="s">
        <v>21</v>
      </c>
      <c r="E99" s="203">
        <f>'TH Thương hiệu DC1'!Y34</f>
        <v>32997.360000000001</v>
      </c>
      <c r="F99" s="203">
        <f>'TH Thương hiệu DC1'!Y35</f>
        <v>0</v>
      </c>
      <c r="G99" s="203">
        <f>'TH Thương hiệu DC1'!Y36</f>
        <v>3757.08</v>
      </c>
      <c r="H99" s="204">
        <f>SUM(E99:G99)</f>
        <v>36754.44</v>
      </c>
      <c r="I99" s="208"/>
      <c r="J99" s="2506"/>
      <c r="K99" s="2507"/>
      <c r="L99" s="2507"/>
      <c r="M99" s="2507"/>
      <c r="N99" s="2508"/>
      <c r="O99" s="103"/>
      <c r="P99" s="103"/>
      <c r="Q99" s="383"/>
      <c r="R99" s="211" t="s">
        <v>307</v>
      </c>
      <c r="S99" s="458"/>
      <c r="T99" s="458"/>
      <c r="U99" s="458"/>
      <c r="V99" s="458"/>
      <c r="W99" s="458">
        <f t="shared" si="40"/>
        <v>0</v>
      </c>
      <c r="X99" s="458"/>
      <c r="Y99" s="211"/>
      <c r="Z99" s="211"/>
      <c r="AA99" s="699"/>
      <c r="AB99" s="211"/>
      <c r="AD99" s="383"/>
      <c r="AE99" s="693"/>
      <c r="AF99" s="211"/>
      <c r="AG99" s="211"/>
      <c r="AH99" s="211"/>
      <c r="AI99" s="211">
        <f t="shared" si="41"/>
        <v>0</v>
      </c>
      <c r="AJ99" s="211"/>
      <c r="AK99" s="211"/>
      <c r="AL99" s="211"/>
    </row>
    <row r="100" spans="1:38" ht="33" customHeight="1" x14ac:dyDescent="0.2">
      <c r="A100" s="1"/>
      <c r="B100" s="2587"/>
      <c r="C100" s="2588"/>
      <c r="D100" s="129" t="s">
        <v>22</v>
      </c>
      <c r="E100" s="207">
        <f>E99/H99*100</f>
        <v>89.777888059238549</v>
      </c>
      <c r="F100" s="207">
        <f>F99/$H$97*100</f>
        <v>0</v>
      </c>
      <c r="G100" s="207">
        <f>G99/H99*100</f>
        <v>10.222111940761442</v>
      </c>
      <c r="H100" s="204">
        <f>SUM(E100:G100)</f>
        <v>99.999999999999986</v>
      </c>
      <c r="I100" s="208">
        <f>H99/$H$119*100</f>
        <v>2.15867303140057</v>
      </c>
      <c r="J100" s="2506"/>
      <c r="K100" s="2507"/>
      <c r="L100" s="2507"/>
      <c r="M100" s="2507"/>
      <c r="N100" s="2508"/>
      <c r="O100" s="103"/>
      <c r="P100" s="103"/>
      <c r="Q100" s="383" t="s">
        <v>29</v>
      </c>
      <c r="R100" s="211" t="s">
        <v>20</v>
      </c>
      <c r="S100" s="458"/>
      <c r="T100" s="458"/>
      <c r="U100" s="458"/>
      <c r="V100" s="458"/>
      <c r="W100" s="458">
        <f t="shared" si="40"/>
        <v>0</v>
      </c>
      <c r="X100" s="458"/>
      <c r="Y100" s="211"/>
      <c r="Z100" s="211"/>
      <c r="AA100" s="699"/>
      <c r="AB100" s="211"/>
      <c r="AD100" s="383" t="s">
        <v>29</v>
      </c>
      <c r="AE100" s="693"/>
      <c r="AF100" s="211"/>
      <c r="AG100" s="211"/>
      <c r="AH100" s="211"/>
      <c r="AI100" s="211">
        <f t="shared" si="41"/>
        <v>0</v>
      </c>
      <c r="AJ100" s="211"/>
      <c r="AK100" s="211"/>
      <c r="AL100" s="211"/>
    </row>
    <row r="101" spans="1:38" ht="33" customHeight="1" x14ac:dyDescent="0.2">
      <c r="A101" s="1"/>
      <c r="B101" s="2585" t="s">
        <v>112</v>
      </c>
      <c r="C101" s="2586"/>
      <c r="D101" s="129" t="s">
        <v>21</v>
      </c>
      <c r="E101" s="203">
        <f>'TH Thương hiệu DC1'!Y37</f>
        <v>49259.12</v>
      </c>
      <c r="F101" s="203">
        <f>'TH Thương hiệu DC1'!Y38</f>
        <v>1691.56</v>
      </c>
      <c r="G101" s="203">
        <f>'TH Thương hiệu DC1'!Y39</f>
        <v>2500.8000000000002</v>
      </c>
      <c r="H101" s="204">
        <f>SUM(E101:G101)</f>
        <v>53451.48</v>
      </c>
      <c r="I101" s="208"/>
      <c r="J101" s="2506"/>
      <c r="K101" s="2507"/>
      <c r="L101" s="2507"/>
      <c r="M101" s="2507"/>
      <c r="N101" s="2508"/>
      <c r="O101" s="103"/>
      <c r="P101" s="103"/>
      <c r="Q101" s="383"/>
      <c r="R101" s="211" t="s">
        <v>307</v>
      </c>
      <c r="S101" s="458"/>
      <c r="T101" s="458"/>
      <c r="U101" s="458"/>
      <c r="V101" s="458"/>
      <c r="W101" s="458">
        <f t="shared" si="40"/>
        <v>0</v>
      </c>
      <c r="X101" s="458"/>
      <c r="Y101" s="211"/>
      <c r="Z101" s="211"/>
      <c r="AA101" s="699"/>
      <c r="AB101" s="211"/>
      <c r="AD101" s="383"/>
      <c r="AE101" s="693"/>
      <c r="AF101" s="211"/>
      <c r="AG101" s="211"/>
      <c r="AH101" s="211"/>
      <c r="AI101" s="211">
        <f t="shared" si="41"/>
        <v>0</v>
      </c>
      <c r="AJ101" s="211"/>
      <c r="AK101" s="211"/>
      <c r="AL101" s="211"/>
    </row>
    <row r="102" spans="1:38" ht="33" customHeight="1" x14ac:dyDescent="0.2">
      <c r="A102" s="1"/>
      <c r="B102" s="2587"/>
      <c r="C102" s="2588"/>
      <c r="D102" s="129" t="s">
        <v>22</v>
      </c>
      <c r="E102" s="207">
        <f>E101/$H$101*100</f>
        <v>92.156699870611618</v>
      </c>
      <c r="F102" s="207">
        <f>F101/$H$101*100</f>
        <v>3.1646644770172871</v>
      </c>
      <c r="G102" s="207">
        <f>G101/$H$101*100</f>
        <v>4.678635652371085</v>
      </c>
      <c r="H102" s="204">
        <f>SUM(E102:G102)</f>
        <v>99.999999999999986</v>
      </c>
      <c r="I102" s="208">
        <f>H101/$H$119*100</f>
        <v>3.1393287005446671</v>
      </c>
      <c r="J102" s="2506"/>
      <c r="K102" s="2507"/>
      <c r="L102" s="2507"/>
      <c r="M102" s="2507"/>
      <c r="N102" s="2508"/>
      <c r="O102" s="103"/>
      <c r="P102" s="103"/>
      <c r="Q102" s="211" t="s">
        <v>31</v>
      </c>
      <c r="R102" s="12" t="s">
        <v>20</v>
      </c>
      <c r="S102" s="457"/>
      <c r="T102" s="457"/>
      <c r="U102" s="457"/>
      <c r="V102" s="457"/>
      <c r="W102" s="458">
        <f t="shared" si="40"/>
        <v>0</v>
      </c>
      <c r="X102" s="457"/>
      <c r="Y102" s="457"/>
      <c r="Z102" s="457"/>
      <c r="AA102" s="702"/>
      <c r="AB102" s="458"/>
      <c r="AC102" s="700"/>
      <c r="AD102" s="211" t="s">
        <v>31</v>
      </c>
      <c r="AE102" s="693"/>
      <c r="AF102" s="211"/>
      <c r="AG102" s="211"/>
      <c r="AH102" s="457"/>
      <c r="AI102" s="211">
        <f t="shared" si="41"/>
        <v>0</v>
      </c>
      <c r="AJ102" s="457"/>
      <c r="AK102" s="457"/>
      <c r="AL102" s="458"/>
    </row>
    <row r="103" spans="1:38" ht="33" customHeight="1" x14ac:dyDescent="0.2">
      <c r="A103" s="1"/>
      <c r="B103" s="2585" t="s">
        <v>114</v>
      </c>
      <c r="C103" s="2586"/>
      <c r="D103" s="129" t="s">
        <v>21</v>
      </c>
      <c r="E103" s="203">
        <f>'TH Thương hiệu DC1'!Y40</f>
        <v>31897.439999999999</v>
      </c>
      <c r="F103" s="203">
        <f>'TH Thương hiệu DC1'!Y41</f>
        <v>0</v>
      </c>
      <c r="G103" s="203">
        <f>'TH Thương hiệu DC1'!Y42</f>
        <v>2551.6000000000004</v>
      </c>
      <c r="H103" s="204">
        <f>SUM(E103:G103)</f>
        <v>34449.040000000001</v>
      </c>
      <c r="I103" s="208"/>
      <c r="J103" s="2506"/>
      <c r="K103" s="2507"/>
      <c r="L103" s="2507"/>
      <c r="M103" s="2507"/>
      <c r="N103" s="2508"/>
      <c r="O103" s="103"/>
      <c r="P103" s="103"/>
      <c r="Q103" s="12"/>
      <c r="R103" s="12" t="s">
        <v>307</v>
      </c>
      <c r="S103" s="458"/>
      <c r="T103" s="458"/>
      <c r="U103" s="458"/>
      <c r="V103" s="458"/>
      <c r="W103" s="458">
        <f t="shared" si="40"/>
        <v>0</v>
      </c>
      <c r="X103" s="458"/>
      <c r="Y103" s="211"/>
      <c r="Z103" s="211"/>
      <c r="AA103" s="699"/>
      <c r="AB103" s="211"/>
      <c r="AD103" s="12"/>
      <c r="AE103" s="693"/>
      <c r="AF103" s="211"/>
      <c r="AG103" s="211"/>
      <c r="AH103" s="477"/>
      <c r="AI103" s="211">
        <f t="shared" si="41"/>
        <v>0</v>
      </c>
      <c r="AJ103" s="477"/>
      <c r="AK103" s="477"/>
      <c r="AL103" s="477"/>
    </row>
    <row r="104" spans="1:38" ht="33" customHeight="1" x14ac:dyDescent="0.2">
      <c r="A104" s="1"/>
      <c r="B104" s="2587"/>
      <c r="C104" s="2588"/>
      <c r="D104" s="129" t="s">
        <v>22</v>
      </c>
      <c r="E104" s="207">
        <f>E103/$H$103*100</f>
        <v>92.593117253775432</v>
      </c>
      <c r="F104" s="207">
        <f>F103/$H$103*100</f>
        <v>0</v>
      </c>
      <c r="G104" s="207">
        <f>G103/$H$103*100</f>
        <v>7.4068827462245688</v>
      </c>
      <c r="H104" s="207">
        <f>H103/$H$103*100</f>
        <v>100</v>
      </c>
      <c r="I104" s="208">
        <f>H103/$H$119*100</f>
        <v>2.0232715722410544</v>
      </c>
      <c r="J104" s="2506"/>
      <c r="K104" s="2507"/>
      <c r="L104" s="2507"/>
      <c r="M104" s="2507"/>
      <c r="N104" s="2508"/>
      <c r="O104" s="103"/>
      <c r="P104" s="103"/>
      <c r="Q104" s="474" t="s">
        <v>89</v>
      </c>
      <c r="R104" s="469"/>
      <c r="S104" s="752">
        <f t="shared" ref="S104:AB104" si="42">SUM(S82:S103)</f>
        <v>119675</v>
      </c>
      <c r="T104" s="752">
        <f t="shared" si="42"/>
        <v>110809.8</v>
      </c>
      <c r="U104" s="752">
        <f t="shared" si="42"/>
        <v>0</v>
      </c>
      <c r="V104" s="752">
        <f t="shared" si="42"/>
        <v>5749.2</v>
      </c>
      <c r="W104" s="752">
        <f t="shared" si="42"/>
        <v>116559</v>
      </c>
      <c r="X104" s="773">
        <f t="shared" si="42"/>
        <v>9.5</v>
      </c>
      <c r="Y104" s="468">
        <f t="shared" si="42"/>
        <v>24538.736842105263</v>
      </c>
      <c r="Z104" s="468">
        <f t="shared" si="42"/>
        <v>712.8</v>
      </c>
      <c r="AA104" s="474">
        <f t="shared" si="42"/>
        <v>758.52</v>
      </c>
      <c r="AB104" s="468">
        <f t="shared" si="42"/>
        <v>230</v>
      </c>
      <c r="AC104" s="103"/>
      <c r="AD104" s="468"/>
      <c r="AE104" s="468">
        <f t="shared" ref="AE104:AL104" si="43">SUM(AE82:AE103)</f>
        <v>117312.82051282052</v>
      </c>
      <c r="AF104" s="468">
        <f t="shared" si="43"/>
        <v>101798.2</v>
      </c>
      <c r="AG104" s="468">
        <f t="shared" si="43"/>
        <v>5719</v>
      </c>
      <c r="AH104" s="468">
        <f t="shared" si="43"/>
        <v>6862.8</v>
      </c>
      <c r="AI104" s="468">
        <f t="shared" si="43"/>
        <v>114380</v>
      </c>
      <c r="AJ104" s="468">
        <f t="shared" si="43"/>
        <v>9.5</v>
      </c>
      <c r="AK104" s="468">
        <f t="shared" si="43"/>
        <v>12040</v>
      </c>
      <c r="AL104" s="468">
        <f t="shared" si="43"/>
        <v>100</v>
      </c>
    </row>
    <row r="105" spans="1:38" ht="33" customHeight="1" x14ac:dyDescent="0.2">
      <c r="A105" s="1"/>
      <c r="B105" s="2585" t="s">
        <v>128</v>
      </c>
      <c r="C105" s="2586"/>
      <c r="D105" s="129" t="s">
        <v>21</v>
      </c>
      <c r="E105" s="203">
        <f>'TH Thương hiệu DC1'!Y43</f>
        <v>29594.880000000001</v>
      </c>
      <c r="F105" s="203">
        <f>'TH Thương hiệu DC1'!Y44</f>
        <v>0</v>
      </c>
      <c r="G105" s="203">
        <f>'TH Thương hiệu DC1'!Y45</f>
        <v>1762.5600000000002</v>
      </c>
      <c r="H105" s="204">
        <f>SUM(E105:G105)</f>
        <v>31357.440000000002</v>
      </c>
      <c r="I105" s="208"/>
      <c r="J105" s="2506"/>
      <c r="K105" s="2507"/>
      <c r="L105" s="2507"/>
      <c r="M105" s="2507"/>
      <c r="N105" s="2508"/>
      <c r="O105" s="103"/>
      <c r="P105" s="103"/>
      <c r="Q105" s="1197" t="s">
        <v>98</v>
      </c>
      <c r="R105" s="469"/>
      <c r="S105" s="757">
        <f t="shared" ref="S105:AB105" si="44">S82+S84+S86+S88+S90+S92+S94+S96+S98+S100+S102</f>
        <v>119675</v>
      </c>
      <c r="T105" s="757">
        <f t="shared" si="44"/>
        <v>93891.6</v>
      </c>
      <c r="U105" s="757">
        <f t="shared" si="44"/>
        <v>0</v>
      </c>
      <c r="V105" s="757">
        <f t="shared" si="44"/>
        <v>5347.08</v>
      </c>
      <c r="W105" s="757">
        <f t="shared" si="44"/>
        <v>99238.680000000008</v>
      </c>
      <c r="X105" s="1210">
        <f t="shared" si="44"/>
        <v>8.0883283144158753</v>
      </c>
      <c r="Y105" s="472">
        <f t="shared" si="44"/>
        <v>12269.368421052632</v>
      </c>
      <c r="Z105" s="499">
        <f t="shared" si="44"/>
        <v>712.8</v>
      </c>
      <c r="AA105" s="703">
        <f t="shared" si="44"/>
        <v>758.52</v>
      </c>
      <c r="AB105" s="472">
        <f t="shared" si="44"/>
        <v>230</v>
      </c>
      <c r="AD105" s="472"/>
      <c r="AE105" s="472">
        <f t="shared" ref="AE105:AK106" si="45">AE82+AE84+AE86+AE88+AE90+AE92+AE94+AE96+AE98+AE100+AE102</f>
        <v>117312.82051282052</v>
      </c>
      <c r="AF105" s="472">
        <f t="shared" si="45"/>
        <v>101798.2</v>
      </c>
      <c r="AG105" s="472">
        <f t="shared" si="45"/>
        <v>5719</v>
      </c>
      <c r="AH105" s="472">
        <f t="shared" si="45"/>
        <v>6862.8</v>
      </c>
      <c r="AI105" s="472">
        <f t="shared" si="45"/>
        <v>114380</v>
      </c>
      <c r="AJ105" s="472">
        <f t="shared" si="45"/>
        <v>9.5</v>
      </c>
      <c r="AK105" s="472">
        <f t="shared" si="45"/>
        <v>12040</v>
      </c>
      <c r="AL105" s="472"/>
    </row>
    <row r="106" spans="1:38" ht="33" customHeight="1" x14ac:dyDescent="0.2">
      <c r="A106" s="1"/>
      <c r="B106" s="2587"/>
      <c r="C106" s="2588"/>
      <c r="D106" s="129" t="s">
        <v>22</v>
      </c>
      <c r="E106" s="207">
        <f>E105/$H$105*100</f>
        <v>94.379132990448198</v>
      </c>
      <c r="F106" s="207">
        <f>F105/$H$105*100</f>
        <v>0</v>
      </c>
      <c r="G106" s="207">
        <f>G105/$H$105*100</f>
        <v>5.6208670095518007</v>
      </c>
      <c r="H106" s="207">
        <f>H105/$H$105*100</f>
        <v>100</v>
      </c>
      <c r="I106" s="208">
        <f>H105/$H$119*100</f>
        <v>1.8416947737949889</v>
      </c>
      <c r="J106" s="2506"/>
      <c r="K106" s="2507"/>
      <c r="L106" s="2507"/>
      <c r="M106" s="2507"/>
      <c r="N106" s="2508"/>
      <c r="O106" s="103"/>
      <c r="P106" s="103"/>
      <c r="Q106" s="2467" t="s">
        <v>90</v>
      </c>
      <c r="R106" s="2468"/>
      <c r="S106" s="757">
        <f t="shared" ref="S106:AB106" si="46">S83+S85+S87+S89+S91+S93+S95+S97+S99+S101+S103</f>
        <v>0</v>
      </c>
      <c r="T106" s="757">
        <f t="shared" si="46"/>
        <v>16918.2</v>
      </c>
      <c r="U106" s="757">
        <f t="shared" si="46"/>
        <v>0</v>
      </c>
      <c r="V106" s="757">
        <f t="shared" si="46"/>
        <v>402.12</v>
      </c>
      <c r="W106" s="757">
        <f t="shared" si="46"/>
        <v>17320.32</v>
      </c>
      <c r="X106" s="1210">
        <f t="shared" si="46"/>
        <v>1.4116716855841247</v>
      </c>
      <c r="Y106" s="472">
        <f t="shared" si="46"/>
        <v>12269.368421052632</v>
      </c>
      <c r="Z106" s="472">
        <f t="shared" si="46"/>
        <v>0</v>
      </c>
      <c r="AA106" s="692">
        <f t="shared" si="46"/>
        <v>0</v>
      </c>
      <c r="AB106" s="472">
        <f t="shared" si="46"/>
        <v>0</v>
      </c>
      <c r="AD106" s="472"/>
      <c r="AE106" s="472">
        <f t="shared" si="45"/>
        <v>0</v>
      </c>
      <c r="AF106" s="472">
        <f t="shared" si="45"/>
        <v>0</v>
      </c>
      <c r="AG106" s="472">
        <f t="shared" si="45"/>
        <v>0</v>
      </c>
      <c r="AH106" s="472">
        <f t="shared" si="45"/>
        <v>0</v>
      </c>
      <c r="AI106" s="472">
        <f t="shared" si="45"/>
        <v>0</v>
      </c>
      <c r="AJ106" s="472">
        <f t="shared" si="45"/>
        <v>0</v>
      </c>
      <c r="AK106" s="472">
        <f t="shared" si="45"/>
        <v>0</v>
      </c>
      <c r="AL106" s="472"/>
    </row>
    <row r="107" spans="1:38" ht="33" customHeight="1" x14ac:dyDescent="0.2">
      <c r="A107" s="1"/>
      <c r="B107" s="2585" t="s">
        <v>541</v>
      </c>
      <c r="C107" s="2586"/>
      <c r="D107" s="129" t="s">
        <v>21</v>
      </c>
      <c r="E107" s="203">
        <f>'TH Thương hiệu DC1'!Y46</f>
        <v>126581.84</v>
      </c>
      <c r="F107" s="203">
        <f>'TH Thương hiệu DC1'!Y47</f>
        <v>5017</v>
      </c>
      <c r="G107" s="203">
        <f>'TH Thương hiệu DC1'!Y48</f>
        <v>5048.84</v>
      </c>
      <c r="H107" s="204">
        <f>SUM(E107:G107)</f>
        <v>136647.67999999999</v>
      </c>
      <c r="I107" s="208"/>
      <c r="J107" s="2506"/>
      <c r="K107" s="2507"/>
      <c r="L107" s="2507"/>
      <c r="M107" s="2507"/>
      <c r="N107" s="2508"/>
      <c r="O107" s="103"/>
      <c r="P107" s="103"/>
      <c r="AE107" s="95"/>
      <c r="AF107" s="95"/>
      <c r="AG107" s="95"/>
    </row>
    <row r="108" spans="1:38" ht="33" customHeight="1" x14ac:dyDescent="0.2">
      <c r="A108" s="1"/>
      <c r="B108" s="2587"/>
      <c r="C108" s="2588"/>
      <c r="D108" s="129" t="s">
        <v>22</v>
      </c>
      <c r="E108" s="207">
        <f>E107/$H$107*100</f>
        <v>92.633727846678397</v>
      </c>
      <c r="F108" s="207">
        <f>F107/$H$107*100</f>
        <v>3.6714856776199936</v>
      </c>
      <c r="G108" s="207">
        <f>G107/$H$107*100</f>
        <v>3.6947864757016005</v>
      </c>
      <c r="H108" s="207">
        <f>H107/$H$107*100</f>
        <v>100</v>
      </c>
      <c r="I108" s="208">
        <f>H107/$H$119*100</f>
        <v>8.0256334097174378</v>
      </c>
      <c r="J108" s="2506"/>
      <c r="K108" s="2507"/>
      <c r="L108" s="2507"/>
      <c r="M108" s="2507"/>
      <c r="N108" s="2508"/>
      <c r="O108" s="103"/>
      <c r="P108" s="103"/>
      <c r="Q108" s="456" t="s">
        <v>335</v>
      </c>
      <c r="R108" s="211" t="s">
        <v>304</v>
      </c>
      <c r="S108" s="458" t="s">
        <v>74</v>
      </c>
      <c r="T108" s="458" t="s">
        <v>18</v>
      </c>
      <c r="U108" s="458" t="s">
        <v>19</v>
      </c>
      <c r="V108" s="458" t="s">
        <v>20</v>
      </c>
      <c r="W108" s="760" t="s">
        <v>336</v>
      </c>
      <c r="X108" s="760" t="s">
        <v>10</v>
      </c>
      <c r="Y108" s="632" t="s">
        <v>331</v>
      </c>
      <c r="Z108" s="238" t="s">
        <v>81</v>
      </c>
      <c r="AA108" s="496" t="s">
        <v>360</v>
      </c>
      <c r="AB108" s="382" t="s">
        <v>337</v>
      </c>
      <c r="AD108" s="456" t="s">
        <v>398</v>
      </c>
      <c r="AE108" s="455" t="s">
        <v>361</v>
      </c>
      <c r="AF108" s="133" t="s">
        <v>18</v>
      </c>
      <c r="AG108" s="133" t="s">
        <v>19</v>
      </c>
      <c r="AH108" s="97" t="s">
        <v>20</v>
      </c>
      <c r="AI108" s="632" t="s">
        <v>336</v>
      </c>
      <c r="AJ108" s="632" t="s">
        <v>10</v>
      </c>
      <c r="AK108" s="632" t="s">
        <v>331</v>
      </c>
      <c r="AL108" s="202" t="s">
        <v>337</v>
      </c>
    </row>
    <row r="109" spans="1:38" ht="33" customHeight="1" x14ac:dyDescent="0.2">
      <c r="A109" s="1"/>
      <c r="B109" s="2585" t="s">
        <v>129</v>
      </c>
      <c r="C109" s="2586"/>
      <c r="D109" s="129" t="s">
        <v>21</v>
      </c>
      <c r="E109" s="203">
        <f>'TH Thương hiệu DC1'!Y49</f>
        <v>75689.680000000008</v>
      </c>
      <c r="F109" s="203">
        <f>'TH Thương hiệu DC1'!Y50</f>
        <v>2856.56</v>
      </c>
      <c r="G109" s="203">
        <f>'TH Thương hiệu DC1'!Y51</f>
        <v>3430</v>
      </c>
      <c r="H109" s="204">
        <f>SUM(E109:G109)</f>
        <v>81976.240000000005</v>
      </c>
      <c r="I109" s="208"/>
      <c r="J109" s="2506"/>
      <c r="K109" s="2507"/>
      <c r="L109" s="2507"/>
      <c r="M109" s="2507"/>
      <c r="N109" s="2508"/>
      <c r="O109" s="103"/>
      <c r="P109" s="103"/>
      <c r="Q109" s="383" t="s">
        <v>154</v>
      </c>
      <c r="R109" s="211" t="s">
        <v>306</v>
      </c>
      <c r="S109" s="458"/>
      <c r="T109" s="458"/>
      <c r="U109" s="458"/>
      <c r="V109" s="458"/>
      <c r="W109" s="458">
        <f t="shared" ref="W109:W120" si="47">SUM(T109:V109)</f>
        <v>0</v>
      </c>
      <c r="X109" s="734"/>
      <c r="Y109" s="211"/>
      <c r="Z109" s="475"/>
      <c r="AA109" s="701"/>
      <c r="AB109" s="211"/>
      <c r="AD109" s="383" t="s">
        <v>154</v>
      </c>
      <c r="AE109" s="693"/>
      <c r="AF109" s="211"/>
      <c r="AG109" s="211"/>
      <c r="AH109" s="211"/>
      <c r="AI109" s="211"/>
      <c r="AJ109" s="475"/>
      <c r="AK109" s="211"/>
      <c r="AL109" s="211"/>
    </row>
    <row r="110" spans="1:38" ht="33" customHeight="1" x14ac:dyDescent="0.2">
      <c r="A110" s="1"/>
      <c r="B110" s="2587"/>
      <c r="C110" s="2588"/>
      <c r="D110" s="129" t="s">
        <v>22</v>
      </c>
      <c r="E110" s="207">
        <f>E109/$H$109*100</f>
        <v>92.331241345053144</v>
      </c>
      <c r="F110" s="207">
        <f>F109/$H$109*100</f>
        <v>3.4846194458296695</v>
      </c>
      <c r="G110" s="207">
        <f>G109/$H$109*100</f>
        <v>4.1841392091171787</v>
      </c>
      <c r="H110" s="207">
        <f>H109/$H$109*100</f>
        <v>100</v>
      </c>
      <c r="I110" s="208">
        <f>H109/$H$119*100</f>
        <v>4.8146536446649897</v>
      </c>
      <c r="J110" s="2595"/>
      <c r="K110" s="2596"/>
      <c r="L110" s="2596"/>
      <c r="M110" s="2596"/>
      <c r="N110" s="2597"/>
      <c r="O110" s="103"/>
      <c r="P110" s="103"/>
      <c r="Q110" s="383" t="s">
        <v>155</v>
      </c>
      <c r="R110" s="211" t="s">
        <v>306</v>
      </c>
      <c r="S110" s="458"/>
      <c r="T110" s="458"/>
      <c r="U110" s="458"/>
      <c r="V110" s="458"/>
      <c r="W110" s="458">
        <f t="shared" si="47"/>
        <v>0</v>
      </c>
      <c r="X110" s="734"/>
      <c r="Y110" s="211"/>
      <c r="Z110" s="211"/>
      <c r="AA110" s="699"/>
      <c r="AB110" s="211"/>
      <c r="AD110" s="383" t="s">
        <v>155</v>
      </c>
      <c r="AE110" s="693"/>
      <c r="AF110" s="211"/>
      <c r="AG110" s="211"/>
      <c r="AH110" s="211"/>
      <c r="AI110" s="211">
        <f t="shared" ref="AI110:AI120" si="48">SUM(AH110:AH110)</f>
        <v>0</v>
      </c>
      <c r="AJ110" s="475"/>
      <c r="AK110" s="211"/>
      <c r="AL110" s="211"/>
    </row>
    <row r="111" spans="1:38" ht="33" customHeight="1" x14ac:dyDescent="0.2">
      <c r="A111" s="1"/>
      <c r="B111" s="2585" t="s">
        <v>125</v>
      </c>
      <c r="C111" s="2586"/>
      <c r="D111" s="129" t="s">
        <v>21</v>
      </c>
      <c r="E111" s="214">
        <f>'TH Thương hiệu DC1'!Y55</f>
        <v>27152.639999999999</v>
      </c>
      <c r="F111" s="214">
        <f>'TH Thương hiệu DC1'!Y56</f>
        <v>0</v>
      </c>
      <c r="G111" s="214">
        <f>'TH Thương hiệu DC1'!Y57</f>
        <v>1215.3599999999999</v>
      </c>
      <c r="H111" s="214">
        <f>SUM(E111:G111)</f>
        <v>28368</v>
      </c>
      <c r="I111" s="215"/>
      <c r="J111" s="2598" t="s">
        <v>131</v>
      </c>
      <c r="K111" s="2598"/>
      <c r="L111" s="2598"/>
      <c r="M111" s="2598"/>
      <c r="N111" s="2598"/>
      <c r="O111" s="103"/>
      <c r="P111" s="103"/>
      <c r="Q111" s="383" t="s">
        <v>156</v>
      </c>
      <c r="R111" s="211" t="s">
        <v>306</v>
      </c>
      <c r="S111" s="458">
        <f>'T3.2025 '!E16</f>
        <v>379238</v>
      </c>
      <c r="T111" s="458">
        <f>'T3.2025 '!F16</f>
        <v>334431.99999999994</v>
      </c>
      <c r="U111" s="458">
        <f>'T3.2025 '!G16</f>
        <v>184.32</v>
      </c>
      <c r="V111" s="458">
        <f>'T3.2025 '!H16</f>
        <v>33278.720000000008</v>
      </c>
      <c r="W111" s="458">
        <f t="shared" si="47"/>
        <v>367895.03999999998</v>
      </c>
      <c r="X111" s="734">
        <f>'T3.2025 '!J16</f>
        <v>26.6</v>
      </c>
      <c r="Y111" s="211">
        <f>W111/X111</f>
        <v>13830.640601503757</v>
      </c>
      <c r="Z111" s="211">
        <f>'T3.2025 '!M16</f>
        <v>1689.6000000000004</v>
      </c>
      <c r="AA111" s="699">
        <f>'T3.2025 '!N16</f>
        <v>3811.52</v>
      </c>
      <c r="AB111" s="211">
        <f>'T3.2025 '!O16</f>
        <v>30</v>
      </c>
      <c r="AD111" s="383" t="s">
        <v>156</v>
      </c>
      <c r="AE111" s="693">
        <f>'T3.2025 '!E14</f>
        <v>374571.42857142858</v>
      </c>
      <c r="AF111" s="211">
        <f>'T3.2025 '!F14</f>
        <v>326701.2</v>
      </c>
      <c r="AG111" s="211">
        <f>'T3.2025 '!G14</f>
        <v>29366.400000000001</v>
      </c>
      <c r="AH111" s="211">
        <f>'T3.2025 '!H14</f>
        <v>11012.4</v>
      </c>
      <c r="AI111" s="211">
        <f>SUM(AF111:AH111)</f>
        <v>367080.00000000006</v>
      </c>
      <c r="AJ111" s="475">
        <f>'T3.2025 '!J14</f>
        <v>26.6</v>
      </c>
      <c r="AK111" s="211">
        <f>AI111/AJ111</f>
        <v>13800.000000000002</v>
      </c>
      <c r="AL111" s="211">
        <f>'T3.2025 '!O14</f>
        <v>40</v>
      </c>
    </row>
    <row r="112" spans="1:38" ht="33" customHeight="1" x14ac:dyDescent="0.2">
      <c r="A112" s="1"/>
      <c r="B112" s="2587"/>
      <c r="C112" s="2588"/>
      <c r="D112" s="129" t="s">
        <v>22</v>
      </c>
      <c r="E112" s="216">
        <f>E111/$H$111*100</f>
        <v>95.71573604060913</v>
      </c>
      <c r="F112" s="216">
        <f>F111/$H$111*100</f>
        <v>0</v>
      </c>
      <c r="G112" s="216">
        <f>G111/$H$111*100</f>
        <v>4.2842639593908629</v>
      </c>
      <c r="H112" s="216">
        <f>H111/$H$111*100</f>
        <v>100</v>
      </c>
      <c r="I112" s="215">
        <f>H111/$H$119*100</f>
        <v>1.6661180677700806</v>
      </c>
      <c r="J112" s="2598"/>
      <c r="K112" s="2598"/>
      <c r="L112" s="2598"/>
      <c r="M112" s="2598"/>
      <c r="N112" s="2598"/>
      <c r="O112" s="103"/>
      <c r="P112" s="103"/>
      <c r="Q112" s="383" t="s">
        <v>157</v>
      </c>
      <c r="R112" s="211" t="s">
        <v>306</v>
      </c>
      <c r="S112" s="458">
        <f>'T4.2025 '!E17</f>
        <v>246334</v>
      </c>
      <c r="T112" s="458">
        <f>'T4.2025 '!F17</f>
        <v>227307.51999999999</v>
      </c>
      <c r="U112" s="458">
        <f>'T4.2025 '!G17</f>
        <v>0</v>
      </c>
      <c r="V112" s="458">
        <f>'T4.2025 '!H17</f>
        <v>17295.36</v>
      </c>
      <c r="W112" s="458">
        <f t="shared" si="47"/>
        <v>244602.88</v>
      </c>
      <c r="X112" s="734">
        <f>'T4.2025 '!G136</f>
        <v>17</v>
      </c>
      <c r="Y112" s="211">
        <f t="shared" ref="Y112:Y120" si="49">W112/X112</f>
        <v>14388.404705882353</v>
      </c>
      <c r="Z112" s="211">
        <f>'T4.2025 '!M17</f>
        <v>1286.4000000000001</v>
      </c>
      <c r="AA112" s="699">
        <f>'T4.2025 '!N17</f>
        <v>1405.12</v>
      </c>
      <c r="AB112" s="211">
        <f>'T4.2025 '!O17</f>
        <v>21</v>
      </c>
      <c r="AD112" s="383" t="s">
        <v>157</v>
      </c>
      <c r="AE112" s="693">
        <f>'T4.2025 '!E15</f>
        <v>242163.26530612246</v>
      </c>
      <c r="AF112" s="211">
        <f>'T4.2025 '!F15</f>
        <v>211214.8</v>
      </c>
      <c r="AG112" s="211">
        <f>'T4.2025 '!G15</f>
        <v>18985.599999999999</v>
      </c>
      <c r="AH112" s="211">
        <f>'T4.2025 '!H15</f>
        <v>7119.6</v>
      </c>
      <c r="AI112" s="211">
        <f>SUM(AF112:AH112)</f>
        <v>237320</v>
      </c>
      <c r="AJ112" s="475">
        <f>'T4.2025 '!J15</f>
        <v>17</v>
      </c>
      <c r="AK112" s="211">
        <f t="shared" ref="AK112:AK120" si="50">AI112/AJ112</f>
        <v>13960</v>
      </c>
      <c r="AL112" s="211">
        <v>40</v>
      </c>
    </row>
    <row r="113" spans="1:38" ht="33" customHeight="1" x14ac:dyDescent="0.2">
      <c r="A113" s="1"/>
      <c r="B113" s="2585" t="s">
        <v>120</v>
      </c>
      <c r="C113" s="2586"/>
      <c r="D113" s="129" t="s">
        <v>21</v>
      </c>
      <c r="E113" s="216">
        <f>'TH Thương hiệu DC1'!Y58</f>
        <v>8570.8799999999992</v>
      </c>
      <c r="F113" s="216">
        <f>'TH Thương hiệu DC1'!Y59</f>
        <v>86.4</v>
      </c>
      <c r="G113" s="216">
        <f>'TH Thương hiệu DC1'!Y60</f>
        <v>282.24</v>
      </c>
      <c r="H113" s="216">
        <f>SUM(E113:G113)</f>
        <v>8939.5199999999986</v>
      </c>
      <c r="I113" s="215"/>
      <c r="J113" s="2598"/>
      <c r="K113" s="2598"/>
      <c r="L113" s="2598"/>
      <c r="M113" s="2598"/>
      <c r="N113" s="2598"/>
      <c r="O113" s="103"/>
      <c r="P113" s="103"/>
      <c r="Q113" s="383" t="s">
        <v>158</v>
      </c>
      <c r="R113" s="211" t="s">
        <v>306</v>
      </c>
      <c r="S113" s="458">
        <f>'T5.2025'!E29</f>
        <v>22799</v>
      </c>
      <c r="T113" s="458">
        <f>'T5.2025'!F29</f>
        <v>16734.400000000001</v>
      </c>
      <c r="U113" s="458">
        <f>'T5.2025'!G29</f>
        <v>0</v>
      </c>
      <c r="V113" s="458">
        <f>'T5.2025'!H29</f>
        <v>2432</v>
      </c>
      <c r="W113" s="458">
        <f t="shared" si="47"/>
        <v>19166.400000000001</v>
      </c>
      <c r="X113" s="734">
        <f>'T5.2025'!J29</f>
        <v>1.35</v>
      </c>
      <c r="Y113" s="211">
        <f t="shared" si="49"/>
        <v>14197.333333333334</v>
      </c>
      <c r="Z113" s="211">
        <f>'T5.2025'!M29</f>
        <v>240</v>
      </c>
      <c r="AA113" s="699">
        <f>'T5.2025'!N29</f>
        <v>304.64</v>
      </c>
      <c r="AB113" s="211"/>
      <c r="AD113" s="383" t="s">
        <v>158</v>
      </c>
      <c r="AE113" s="693">
        <f>'T5.2025'!E27</f>
        <v>14244.897959183674</v>
      </c>
      <c r="AF113" s="211">
        <f>'T5.2025'!F27</f>
        <v>12424.4</v>
      </c>
      <c r="AG113" s="211">
        <f>'T5.2025'!G27</f>
        <v>1116.8</v>
      </c>
      <c r="AH113" s="211">
        <f>'T5.2025'!H27</f>
        <v>418.8</v>
      </c>
      <c r="AI113" s="211">
        <f>SUM(AF113:AH113)</f>
        <v>13959.999999999998</v>
      </c>
      <c r="AJ113" s="475">
        <f>'T5.2025'!J27</f>
        <v>1</v>
      </c>
      <c r="AK113" s="211">
        <f t="shared" si="50"/>
        <v>13959.999999999998</v>
      </c>
      <c r="AL113" s="211">
        <f>'T5.2025'!O27</f>
        <v>40</v>
      </c>
    </row>
    <row r="114" spans="1:38" ht="33" customHeight="1" x14ac:dyDescent="0.2">
      <c r="A114" s="1"/>
      <c r="B114" s="2587"/>
      <c r="C114" s="2588"/>
      <c r="D114" s="129" t="s">
        <v>22</v>
      </c>
      <c r="E114" s="216">
        <f>E113/$H$113*100</f>
        <v>95.876288659793815</v>
      </c>
      <c r="F114" s="216">
        <f>F113/$H$113*100</f>
        <v>0.96649484536082497</v>
      </c>
      <c r="G114" s="216">
        <f>G113/$H$113*100</f>
        <v>3.1572164948453616</v>
      </c>
      <c r="H114" s="216">
        <f>H113/$H$113*100</f>
        <v>100</v>
      </c>
      <c r="I114" s="215">
        <f>H113/$H$119*100</f>
        <v>0.52503862765059195</v>
      </c>
      <c r="J114" s="2598"/>
      <c r="K114" s="2598"/>
      <c r="L114" s="2598"/>
      <c r="M114" s="2598"/>
      <c r="N114" s="2598"/>
      <c r="O114" s="103"/>
      <c r="P114" s="103"/>
      <c r="Q114" s="383" t="s">
        <v>159</v>
      </c>
      <c r="R114" s="211" t="s">
        <v>306</v>
      </c>
      <c r="S114" s="458">
        <f>'T6.2025'!E29</f>
        <v>437021</v>
      </c>
      <c r="T114" s="458">
        <f>'T6.2025'!F29</f>
        <v>407480</v>
      </c>
      <c r="U114" s="458">
        <f>'T6.2025'!G29</f>
        <v>0</v>
      </c>
      <c r="V114" s="458">
        <f>'T6.2025'!H29</f>
        <v>23228.799999999999</v>
      </c>
      <c r="W114" s="458">
        <f t="shared" si="47"/>
        <v>430708.8</v>
      </c>
      <c r="X114" s="734">
        <f>'T6.2025'!J29</f>
        <v>30</v>
      </c>
      <c r="Y114" s="211">
        <f t="shared" si="49"/>
        <v>14356.96</v>
      </c>
      <c r="Z114" s="211">
        <f>'T6.2025'!M29</f>
        <v>2112</v>
      </c>
      <c r="AA114" s="699">
        <f>'T6.2025'!N29</f>
        <v>2384.3200000000002</v>
      </c>
      <c r="AB114" s="211">
        <f>'T6.2025'!O29</f>
        <v>15</v>
      </c>
      <c r="AD114" s="383" t="s">
        <v>159</v>
      </c>
      <c r="AE114" s="693">
        <f>'T6.2025'!E27</f>
        <v>427346.93877551018</v>
      </c>
      <c r="AF114" s="211">
        <f>'T6.2025'!F27</f>
        <v>89</v>
      </c>
      <c r="AG114" s="211">
        <f>'T6.2025'!G27</f>
        <v>8</v>
      </c>
      <c r="AH114" s="211">
        <f>'T6.2025'!H27</f>
        <v>3</v>
      </c>
      <c r="AI114" s="211">
        <f>SUM(AF114:AH114)</f>
        <v>100</v>
      </c>
      <c r="AJ114" s="475">
        <f>'T6.2025'!J27</f>
        <v>30</v>
      </c>
      <c r="AK114" s="211">
        <f t="shared" si="50"/>
        <v>3.3333333333333335</v>
      </c>
      <c r="AL114" s="211">
        <f>'T6.2025'!O27</f>
        <v>40</v>
      </c>
    </row>
    <row r="115" spans="1:38" ht="33" customHeight="1" x14ac:dyDescent="0.2">
      <c r="A115" s="1"/>
      <c r="B115" s="2499" t="s">
        <v>109</v>
      </c>
      <c r="C115" s="2500"/>
      <c r="D115" s="190" t="s">
        <v>21</v>
      </c>
      <c r="E115" s="216">
        <f>'TH Thương hiệu DC1'!Y61</f>
        <v>14420.16</v>
      </c>
      <c r="F115" s="216">
        <f>'TH Thương hiệu DC1'!Y62</f>
        <v>72</v>
      </c>
      <c r="G115" s="216">
        <f>'TH Thương hiệu DC1'!Y63</f>
        <v>506.88</v>
      </c>
      <c r="H115" s="216">
        <f>SUM(E115:G115)</f>
        <v>14999.039999999999</v>
      </c>
      <c r="I115" s="215"/>
      <c r="J115" s="2598"/>
      <c r="K115" s="2598"/>
      <c r="L115" s="2598"/>
      <c r="M115" s="2598"/>
      <c r="N115" s="2598"/>
      <c r="O115" s="103"/>
      <c r="P115" s="103"/>
      <c r="Q115" s="383" t="s">
        <v>160</v>
      </c>
      <c r="R115" s="211" t="s">
        <v>306</v>
      </c>
      <c r="S115" s="458"/>
      <c r="T115" s="458"/>
      <c r="U115" s="458"/>
      <c r="V115" s="458"/>
      <c r="W115" s="458">
        <f t="shared" si="47"/>
        <v>0</v>
      </c>
      <c r="X115" s="734"/>
      <c r="Y115" s="211" t="e">
        <f t="shared" si="49"/>
        <v>#DIV/0!</v>
      </c>
      <c r="Z115" s="211"/>
      <c r="AA115" s="699"/>
      <c r="AB115" s="211"/>
      <c r="AD115" s="383" t="s">
        <v>160</v>
      </c>
      <c r="AE115" s="693"/>
      <c r="AF115" s="211"/>
      <c r="AG115" s="211"/>
      <c r="AH115" s="211"/>
      <c r="AI115" s="211">
        <f t="shared" si="48"/>
        <v>0</v>
      </c>
      <c r="AJ115" s="475"/>
      <c r="AK115" s="211" t="e">
        <f t="shared" si="50"/>
        <v>#DIV/0!</v>
      </c>
      <c r="AL115" s="211"/>
    </row>
    <row r="116" spans="1:38" ht="33" customHeight="1" x14ac:dyDescent="0.2">
      <c r="A116" s="1"/>
      <c r="B116" s="2501"/>
      <c r="C116" s="2502"/>
      <c r="D116" s="129" t="s">
        <v>22</v>
      </c>
      <c r="E116" s="216">
        <f>E115/$H$115*100</f>
        <v>96.140552995391715</v>
      </c>
      <c r="F116" s="216">
        <f>F115/$H$115*100</f>
        <v>0.48003072196620589</v>
      </c>
      <c r="G116" s="216">
        <f>G115/$H$115*100</f>
        <v>3.3794162826420893</v>
      </c>
      <c r="H116" s="216">
        <f>H115/$H$115*100</f>
        <v>100</v>
      </c>
      <c r="I116" s="215">
        <f>H115/$H$119*100</f>
        <v>0.88092821288797762</v>
      </c>
      <c r="J116" s="2598"/>
      <c r="K116" s="2598"/>
      <c r="L116" s="2598"/>
      <c r="M116" s="2598"/>
      <c r="N116" s="2598"/>
      <c r="O116" s="103"/>
      <c r="P116" s="103"/>
      <c r="Q116" s="383" t="s">
        <v>161</v>
      </c>
      <c r="R116" s="211" t="s">
        <v>306</v>
      </c>
      <c r="S116" s="458"/>
      <c r="T116" s="458"/>
      <c r="U116" s="458"/>
      <c r="V116" s="458"/>
      <c r="W116" s="458">
        <f t="shared" si="47"/>
        <v>0</v>
      </c>
      <c r="X116" s="734"/>
      <c r="Y116" s="211" t="e">
        <f t="shared" si="49"/>
        <v>#DIV/0!</v>
      </c>
      <c r="Z116" s="211"/>
      <c r="AA116" s="699"/>
      <c r="AB116" s="211"/>
      <c r="AD116" s="383" t="s">
        <v>161</v>
      </c>
      <c r="AE116" s="693"/>
      <c r="AF116" s="211"/>
      <c r="AG116" s="211"/>
      <c r="AH116" s="211"/>
      <c r="AI116" s="211">
        <f t="shared" si="48"/>
        <v>0</v>
      </c>
      <c r="AJ116" s="475"/>
      <c r="AK116" s="211" t="e">
        <f t="shared" si="50"/>
        <v>#DIV/0!</v>
      </c>
      <c r="AL116" s="211"/>
    </row>
    <row r="117" spans="1:38" ht="33" customHeight="1" x14ac:dyDescent="0.2">
      <c r="A117" s="1"/>
      <c r="B117" s="2585" t="s">
        <v>129</v>
      </c>
      <c r="C117" s="2586"/>
      <c r="D117" s="129" t="s">
        <v>21</v>
      </c>
      <c r="E117" s="216">
        <f>'TH Thương hiệu DC1'!Y64</f>
        <v>1752.48</v>
      </c>
      <c r="F117" s="216">
        <f>'TH Thương hiệu DC1'!Y65</f>
        <v>0</v>
      </c>
      <c r="G117" s="216">
        <f>'TH Thương hiệu DC1'!Y66</f>
        <v>80.64</v>
      </c>
      <c r="H117" s="216">
        <f>SUM(E117:G117)</f>
        <v>1833.1200000000001</v>
      </c>
      <c r="I117" s="215"/>
      <c r="J117" s="2598"/>
      <c r="K117" s="2598"/>
      <c r="L117" s="2598"/>
      <c r="M117" s="2598"/>
      <c r="N117" s="2598"/>
      <c r="O117" s="103"/>
      <c r="P117" s="103"/>
      <c r="Q117" s="383" t="s">
        <v>162</v>
      </c>
      <c r="R117" s="211" t="s">
        <v>306</v>
      </c>
      <c r="S117" s="458"/>
      <c r="T117" s="458"/>
      <c r="U117" s="458"/>
      <c r="V117" s="458"/>
      <c r="W117" s="458">
        <f t="shared" si="47"/>
        <v>0</v>
      </c>
      <c r="X117" s="734"/>
      <c r="Y117" s="211" t="e">
        <f t="shared" si="49"/>
        <v>#DIV/0!</v>
      </c>
      <c r="Z117" s="211"/>
      <c r="AA117" s="699"/>
      <c r="AB117" s="211"/>
      <c r="AD117" s="383" t="s">
        <v>162</v>
      </c>
      <c r="AE117" s="693"/>
      <c r="AF117" s="211"/>
      <c r="AG117" s="211"/>
      <c r="AH117" s="211"/>
      <c r="AI117" s="211">
        <f t="shared" si="48"/>
        <v>0</v>
      </c>
      <c r="AJ117" s="475"/>
      <c r="AK117" s="211" t="e">
        <f t="shared" si="50"/>
        <v>#DIV/0!</v>
      </c>
      <c r="AL117" s="211"/>
    </row>
    <row r="118" spans="1:38" ht="33" customHeight="1" x14ac:dyDescent="0.2">
      <c r="A118" s="1"/>
      <c r="B118" s="2587"/>
      <c r="C118" s="2588"/>
      <c r="D118" s="129" t="s">
        <v>22</v>
      </c>
      <c r="E118" s="216">
        <f>E117/$H$117*100</f>
        <v>95.600942655145317</v>
      </c>
      <c r="F118" s="216">
        <f>F117/$H$117*100</f>
        <v>0</v>
      </c>
      <c r="G118" s="216">
        <f>G117/$H$117*100</f>
        <v>4.3990573448546737</v>
      </c>
      <c r="H118" s="216">
        <f>H117/$H$117*100</f>
        <v>100</v>
      </c>
      <c r="I118" s="215">
        <f>H117/$H$119*100</f>
        <v>0.10766336549600573</v>
      </c>
      <c r="J118" s="2598"/>
      <c r="K118" s="2598"/>
      <c r="L118" s="2598"/>
      <c r="M118" s="2598"/>
      <c r="N118" s="2598"/>
      <c r="O118" s="103"/>
      <c r="P118" s="103"/>
      <c r="Q118" s="383" t="s">
        <v>111</v>
      </c>
      <c r="R118" s="211" t="s">
        <v>306</v>
      </c>
      <c r="S118" s="458"/>
      <c r="T118" s="458"/>
      <c r="U118" s="458"/>
      <c r="V118" s="458"/>
      <c r="W118" s="458">
        <f t="shared" si="47"/>
        <v>0</v>
      </c>
      <c r="X118" s="734"/>
      <c r="Y118" s="211" t="e">
        <f t="shared" si="49"/>
        <v>#DIV/0!</v>
      </c>
      <c r="Z118" s="211"/>
      <c r="AA118" s="699"/>
      <c r="AB118" s="211"/>
      <c r="AD118" s="383" t="s">
        <v>111</v>
      </c>
      <c r="AE118" s="693"/>
      <c r="AF118" s="211"/>
      <c r="AG118" s="211"/>
      <c r="AH118" s="211"/>
      <c r="AI118" s="211">
        <f t="shared" si="48"/>
        <v>0</v>
      </c>
      <c r="AJ118" s="475"/>
      <c r="AK118" s="211" t="e">
        <f t="shared" si="50"/>
        <v>#DIV/0!</v>
      </c>
      <c r="AL118" s="211"/>
    </row>
    <row r="119" spans="1:38" ht="33" customHeight="1" x14ac:dyDescent="0.2">
      <c r="A119" s="1"/>
      <c r="B119" s="2589" t="s">
        <v>132</v>
      </c>
      <c r="C119" s="2589"/>
      <c r="D119" s="217" t="s">
        <v>21</v>
      </c>
      <c r="E119" s="218">
        <f>SUM(E83+E85+E87+E89+E91+E93+E95+E97+E99+E101+E103+E105+E107+E109+E111+E113+E115+E117)</f>
        <v>1562421.8399999999</v>
      </c>
      <c r="F119" s="218">
        <f>SUM(F83+F85+F87+F89+F91+F93+F95+F97+F99+F101+F103+F105+F107+F109+F111+F113+F115+F117)</f>
        <v>50063.519999999997</v>
      </c>
      <c r="G119" s="218">
        <f>SUM(G83+G85+G87+G89+G91+G93+G95+G97+G99+G101+G103+G105+G107+G109+G111+G113+G115+G117)</f>
        <v>90155.08</v>
      </c>
      <c r="H119" s="218">
        <f>SUM(H83+H85+H87+H89+H91+H93+H95+H97+H99+H101+H103+H105+H107+H109+H111+H113+H115+H117)</f>
        <v>1702640.44</v>
      </c>
      <c r="I119" s="219"/>
      <c r="J119" s="2590"/>
      <c r="K119" s="2470"/>
      <c r="L119" s="2470"/>
      <c r="M119" s="2470"/>
      <c r="N119" s="2470"/>
      <c r="O119" s="103"/>
      <c r="P119" s="103"/>
      <c r="Q119" s="383" t="s">
        <v>29</v>
      </c>
      <c r="R119" s="211" t="s">
        <v>306</v>
      </c>
      <c r="S119" s="457"/>
      <c r="T119" s="457"/>
      <c r="U119" s="457"/>
      <c r="V119" s="457"/>
      <c r="W119" s="458">
        <f t="shared" si="47"/>
        <v>0</v>
      </c>
      <c r="X119" s="967"/>
      <c r="Y119" s="211" t="e">
        <f t="shared" si="49"/>
        <v>#DIV/0!</v>
      </c>
      <c r="Z119" s="457"/>
      <c r="AA119" s="702"/>
      <c r="AB119" s="458"/>
      <c r="AD119" s="383" t="s">
        <v>29</v>
      </c>
      <c r="AE119" s="693"/>
      <c r="AF119" s="211"/>
      <c r="AG119" s="211"/>
      <c r="AH119" s="457"/>
      <c r="AI119" s="211">
        <f t="shared" si="48"/>
        <v>0</v>
      </c>
      <c r="AJ119" s="967"/>
      <c r="AK119" s="211" t="e">
        <f t="shared" si="50"/>
        <v>#DIV/0!</v>
      </c>
      <c r="AL119" s="458"/>
    </row>
    <row r="120" spans="1:38" ht="33" customHeight="1" x14ac:dyDescent="0.2">
      <c r="A120" s="1"/>
      <c r="B120" s="2589"/>
      <c r="C120" s="2589"/>
      <c r="D120" s="217" t="s">
        <v>22</v>
      </c>
      <c r="E120" s="219">
        <f>E119/$H$119*100</f>
        <v>91.764638222735968</v>
      </c>
      <c r="F120" s="219">
        <f>F119/$H$119*100</f>
        <v>2.9403459957758313</v>
      </c>
      <c r="G120" s="219">
        <f>G119/$H$119*100</f>
        <v>5.2950157814881926</v>
      </c>
      <c r="H120" s="220">
        <f>SUM(E120:G120)</f>
        <v>99.999999999999986</v>
      </c>
      <c r="I120" s="219">
        <f>I84+I86+I88+I90+I92+I94+I96+I98+I100+I102+I104+I106+I108+I110+I112+I114+I116+I118</f>
        <v>100.00000000000001</v>
      </c>
      <c r="J120" s="2591"/>
      <c r="K120" s="2470"/>
      <c r="L120" s="2470"/>
      <c r="M120" s="2470"/>
      <c r="N120" s="2470"/>
      <c r="O120" s="103"/>
      <c r="P120" s="103"/>
      <c r="Q120" s="383" t="s">
        <v>31</v>
      </c>
      <c r="R120" s="211" t="s">
        <v>306</v>
      </c>
      <c r="S120" s="458"/>
      <c r="T120" s="458"/>
      <c r="U120" s="458"/>
      <c r="V120" s="458"/>
      <c r="W120" s="458">
        <f t="shared" si="47"/>
        <v>0</v>
      </c>
      <c r="X120" s="734"/>
      <c r="Y120" s="211" t="e">
        <f t="shared" si="49"/>
        <v>#DIV/0!</v>
      </c>
      <c r="Z120" s="211"/>
      <c r="AA120" s="699"/>
      <c r="AB120" s="211"/>
      <c r="AD120" s="383" t="s">
        <v>31</v>
      </c>
      <c r="AE120" s="693"/>
      <c r="AF120" s="211"/>
      <c r="AG120" s="211"/>
      <c r="AH120" s="477"/>
      <c r="AI120" s="211">
        <f t="shared" si="48"/>
        <v>0</v>
      </c>
      <c r="AJ120" s="968"/>
      <c r="AK120" s="211" t="e">
        <f t="shared" si="50"/>
        <v>#DIV/0!</v>
      </c>
      <c r="AL120" s="477"/>
    </row>
    <row r="121" spans="1:38" s="1" customFormat="1" ht="29" customHeight="1" x14ac:dyDescent="0.2">
      <c r="B121" s="2592" t="s">
        <v>133</v>
      </c>
      <c r="C121" s="2593"/>
      <c r="D121" s="2593"/>
      <c r="E121" s="2593"/>
      <c r="F121" s="2593"/>
      <c r="G121" s="2593"/>
      <c r="H121" s="2593"/>
      <c r="I121" s="2593"/>
      <c r="J121" s="2593"/>
      <c r="K121" s="2593"/>
      <c r="L121" s="2593"/>
      <c r="M121" s="2593"/>
      <c r="N121" s="2594"/>
      <c r="O121" s="103"/>
      <c r="P121" s="103"/>
      <c r="Q121" s="468" t="s">
        <v>89</v>
      </c>
      <c r="R121" s="468"/>
      <c r="S121" s="752">
        <f>SUM(S109:S120)</f>
        <v>1085392</v>
      </c>
      <c r="T121" s="752">
        <f t="shared" ref="T121:AA121" si="51">SUM(T109:T120)</f>
        <v>985953.91999999993</v>
      </c>
      <c r="U121" s="752">
        <f t="shared" si="51"/>
        <v>184.32</v>
      </c>
      <c r="V121" s="752">
        <f t="shared" si="51"/>
        <v>76234.880000000005</v>
      </c>
      <c r="W121" s="752">
        <f t="shared" si="51"/>
        <v>1062373.1199999999</v>
      </c>
      <c r="X121" s="773">
        <f t="shared" si="51"/>
        <v>74.95</v>
      </c>
      <c r="Y121" s="468">
        <f>W121/X121</f>
        <v>14174.424549699797</v>
      </c>
      <c r="Z121" s="500">
        <f t="shared" si="51"/>
        <v>5328</v>
      </c>
      <c r="AA121" s="704">
        <f t="shared" si="51"/>
        <v>7905.6</v>
      </c>
      <c r="AB121" s="468">
        <f>SUM(AB109:AB120)/3</f>
        <v>22</v>
      </c>
      <c r="AC121" s="2"/>
      <c r="AD121" s="468"/>
      <c r="AE121" s="752">
        <f t="shared" ref="AE121:AJ121" si="52">SUM(AE109:AE120)</f>
        <v>1058326.5306122447</v>
      </c>
      <c r="AF121" s="752">
        <f t="shared" si="52"/>
        <v>550429.4</v>
      </c>
      <c r="AG121" s="752">
        <f t="shared" si="52"/>
        <v>49476.800000000003</v>
      </c>
      <c r="AH121" s="468">
        <f t="shared" si="52"/>
        <v>18553.8</v>
      </c>
      <c r="AI121" s="468">
        <f t="shared" si="52"/>
        <v>618460</v>
      </c>
      <c r="AJ121" s="774">
        <f t="shared" si="52"/>
        <v>74.599999999999994</v>
      </c>
      <c r="AK121" s="468">
        <f>AI121/AJ121</f>
        <v>8290.3485254691695</v>
      </c>
      <c r="AL121" s="468">
        <f>SUM(AL109:AL120)/4</f>
        <v>40</v>
      </c>
    </row>
    <row r="122" spans="1:38" s="42" customFormat="1" ht="31" customHeight="1" x14ac:dyDescent="0.2">
      <c r="B122" s="634" t="s">
        <v>39</v>
      </c>
      <c r="C122" s="2551" t="s">
        <v>134</v>
      </c>
      <c r="D122" s="2551"/>
      <c r="E122" s="222" t="s">
        <v>6</v>
      </c>
      <c r="F122" s="222" t="s">
        <v>135</v>
      </c>
      <c r="G122" s="222" t="s">
        <v>43</v>
      </c>
      <c r="H122" s="222" t="s">
        <v>10</v>
      </c>
      <c r="I122" s="44" t="s">
        <v>136</v>
      </c>
      <c r="J122" s="2605" t="s">
        <v>47</v>
      </c>
      <c r="K122" s="2605"/>
      <c r="L122" s="2605"/>
      <c r="M122" s="2605"/>
      <c r="N122" s="2605"/>
      <c r="O122" s="103"/>
      <c r="P122" s="103"/>
      <c r="Q122" s="49"/>
      <c r="R122" s="49"/>
      <c r="S122" s="763"/>
      <c r="T122" s="763"/>
      <c r="U122" s="763"/>
      <c r="V122" s="763"/>
      <c r="W122" s="763"/>
      <c r="X122" s="763"/>
      <c r="Y122" s="49"/>
      <c r="Z122" s="49"/>
      <c r="AA122" s="49"/>
      <c r="AB122" s="49"/>
      <c r="AC122" s="49"/>
      <c r="AD122" s="49"/>
    </row>
    <row r="123" spans="1:38" s="1" customFormat="1" ht="31" customHeight="1" x14ac:dyDescent="0.2">
      <c r="B123" s="633">
        <v>1</v>
      </c>
      <c r="C123" s="2599" t="s">
        <v>137</v>
      </c>
      <c r="D123" s="2599"/>
      <c r="E123" s="224" t="s">
        <v>138</v>
      </c>
      <c r="F123" s="224" t="s">
        <v>139</v>
      </c>
      <c r="G123" s="830">
        <f>'TH Thương hiệu DC1'!F75</f>
        <v>1315867.3600000001</v>
      </c>
      <c r="H123" s="224">
        <f>X43</f>
        <v>86.756006392385189</v>
      </c>
      <c r="I123" s="214">
        <f>G123/$G$126*100</f>
        <v>77.283924960692232</v>
      </c>
      <c r="J123" s="2600"/>
      <c r="K123" s="2600"/>
      <c r="L123" s="2600"/>
      <c r="M123" s="2600"/>
      <c r="N123" s="2600"/>
      <c r="O123" s="103"/>
      <c r="P123" s="103"/>
      <c r="Q123" s="2"/>
      <c r="R123" s="2"/>
      <c r="S123" s="742"/>
      <c r="T123" s="742"/>
      <c r="U123" s="742"/>
      <c r="V123" s="742"/>
      <c r="W123" s="742"/>
      <c r="X123" s="742"/>
      <c r="Y123" s="2"/>
      <c r="Z123" s="2"/>
      <c r="AA123" s="2"/>
      <c r="AB123" s="2"/>
      <c r="AC123" s="2"/>
      <c r="AD123" s="2"/>
    </row>
    <row r="124" spans="1:38" s="1" customFormat="1" ht="31" customHeight="1" x14ac:dyDescent="0.2">
      <c r="B124" s="633">
        <v>2</v>
      </c>
      <c r="C124" s="2599" t="s">
        <v>137</v>
      </c>
      <c r="D124" s="2599"/>
      <c r="E124" s="224" t="s">
        <v>138</v>
      </c>
      <c r="F124" s="224" t="s">
        <v>140</v>
      </c>
      <c r="G124" s="830">
        <f>'TH Thương hiệu DC1'!F76</f>
        <v>332633.40000000002</v>
      </c>
      <c r="H124" s="224">
        <f>X44</f>
        <v>21.482097253391224</v>
      </c>
      <c r="I124" s="214">
        <f>G124/$G$126*100</f>
        <v>19.536326765503116</v>
      </c>
      <c r="J124" s="2600"/>
      <c r="K124" s="2600"/>
      <c r="L124" s="2600"/>
      <c r="M124" s="2600"/>
      <c r="N124" s="2600"/>
      <c r="O124" s="103"/>
      <c r="P124" s="103"/>
      <c r="Q124" s="2"/>
      <c r="R124" s="2"/>
      <c r="S124" s="742"/>
      <c r="T124" s="742"/>
      <c r="U124" s="742"/>
      <c r="V124" s="742"/>
      <c r="W124" s="742"/>
      <c r="X124" s="742"/>
      <c r="Y124" s="2"/>
      <c r="Z124" s="2"/>
      <c r="AA124" s="2"/>
      <c r="AB124" s="2"/>
      <c r="AC124" s="2"/>
      <c r="AD124" s="2"/>
    </row>
    <row r="125" spans="1:38" s="1" customFormat="1" ht="31" customHeight="1" x14ac:dyDescent="0.2">
      <c r="B125" s="633">
        <v>3</v>
      </c>
      <c r="C125" s="2599" t="s">
        <v>137</v>
      </c>
      <c r="D125" s="2599"/>
      <c r="E125" s="224" t="s">
        <v>138</v>
      </c>
      <c r="F125" s="224" t="s">
        <v>141</v>
      </c>
      <c r="G125" s="830">
        <f>'TH Thương hiệu DC1'!F77</f>
        <v>54139.68</v>
      </c>
      <c r="H125" s="224">
        <f>X45</f>
        <v>3.7119026914040227</v>
      </c>
      <c r="I125" s="214">
        <f>G125/$G$126*100</f>
        <v>3.1797482738046554</v>
      </c>
      <c r="J125" s="2600"/>
      <c r="K125" s="2600"/>
      <c r="L125" s="2600"/>
      <c r="M125" s="2600"/>
      <c r="N125" s="2600"/>
      <c r="O125" s="103"/>
      <c r="P125" s="103"/>
      <c r="Q125" s="2"/>
      <c r="R125" s="2"/>
      <c r="S125" s="742"/>
      <c r="T125" s="742"/>
      <c r="U125" s="742"/>
      <c r="V125" s="742"/>
      <c r="W125" s="742"/>
      <c r="X125" s="742"/>
      <c r="Y125" s="2"/>
      <c r="Z125" s="2"/>
      <c r="AA125" s="2"/>
      <c r="AB125" s="2"/>
      <c r="AC125" s="2"/>
      <c r="AD125" s="2"/>
    </row>
    <row r="126" spans="1:38" s="1" customFormat="1" ht="31" customHeight="1" x14ac:dyDescent="0.2">
      <c r="B126" s="635" t="s">
        <v>103</v>
      </c>
      <c r="C126" s="2601" t="s">
        <v>142</v>
      </c>
      <c r="D126" s="2602"/>
      <c r="E126" s="225" t="s">
        <v>142</v>
      </c>
      <c r="F126" s="225" t="s">
        <v>142</v>
      </c>
      <c r="G126" s="860">
        <f>SUM(G123:G125)</f>
        <v>1702640.4400000002</v>
      </c>
      <c r="H126" s="226">
        <f>SUM(H123:H125)</f>
        <v>111.95000633718044</v>
      </c>
      <c r="I126" s="227">
        <f>G126/$G$126*100</f>
        <v>100</v>
      </c>
      <c r="J126" s="2603"/>
      <c r="K126" s="2603"/>
      <c r="L126" s="2603"/>
      <c r="M126" s="2603"/>
      <c r="N126" s="2603"/>
      <c r="O126" s="103"/>
      <c r="P126" s="103"/>
      <c r="Q126" s="2"/>
      <c r="R126" s="2"/>
      <c r="S126" s="742"/>
      <c r="T126" s="742"/>
      <c r="U126" s="742"/>
      <c r="V126" s="742"/>
      <c r="W126" s="742"/>
      <c r="X126" s="742"/>
      <c r="Y126" s="2"/>
      <c r="Z126" s="2"/>
      <c r="AA126" s="2"/>
      <c r="AB126" s="2"/>
      <c r="AC126" s="2"/>
      <c r="AD126" s="2"/>
    </row>
    <row r="127" spans="1:38" ht="30.75" customHeight="1" x14ac:dyDescent="0.2">
      <c r="A127" s="1"/>
      <c r="B127" s="42" t="s">
        <v>143</v>
      </c>
      <c r="C127" s="42"/>
      <c r="D127" s="43"/>
      <c r="E127" s="43"/>
      <c r="F127" s="43"/>
      <c r="G127" s="43"/>
      <c r="H127" s="43"/>
      <c r="I127" s="43"/>
      <c r="J127" s="43"/>
      <c r="K127" s="43"/>
      <c r="L127" s="43"/>
      <c r="M127" s="43"/>
      <c r="N127" s="43"/>
      <c r="O127" s="103"/>
      <c r="P127" s="103"/>
    </row>
    <row r="128" spans="1:38" ht="33" customHeight="1" x14ac:dyDescent="0.2">
      <c r="A128" s="1"/>
      <c r="B128" s="42"/>
      <c r="C128" s="42"/>
      <c r="D128" s="43"/>
      <c r="E128" s="43"/>
      <c r="F128" s="43"/>
      <c r="G128" s="43"/>
      <c r="H128" s="43"/>
      <c r="I128" s="43"/>
      <c r="J128" s="43"/>
      <c r="K128" s="43"/>
      <c r="L128" s="43"/>
      <c r="M128" s="43"/>
      <c r="N128" s="43"/>
      <c r="O128" s="103"/>
      <c r="P128" s="103"/>
    </row>
    <row r="129" spans="1:37" ht="25.5" customHeight="1" x14ac:dyDescent="0.2">
      <c r="A129" s="1"/>
      <c r="B129" s="2579" t="s">
        <v>105</v>
      </c>
      <c r="C129" s="2581"/>
      <c r="D129" s="2549" t="s">
        <v>17</v>
      </c>
      <c r="E129" s="2604" t="s">
        <v>106</v>
      </c>
      <c r="F129" s="2481"/>
      <c r="G129" s="2481"/>
      <c r="H129" s="2482"/>
      <c r="I129" s="228" t="s">
        <v>107</v>
      </c>
      <c r="J129" s="2579" t="s">
        <v>47</v>
      </c>
      <c r="K129" s="2491"/>
      <c r="L129" s="2491"/>
      <c r="M129" s="2491"/>
      <c r="N129" s="2492"/>
      <c r="O129" s="103"/>
      <c r="P129" s="103"/>
      <c r="Q129" s="103"/>
      <c r="R129" s="103"/>
      <c r="AE129" s="95"/>
      <c r="AF129" s="95"/>
      <c r="AG129" s="95"/>
      <c r="AH129" s="2"/>
      <c r="AI129" s="2"/>
      <c r="AJ129" s="2"/>
      <c r="AK129" s="2"/>
    </row>
    <row r="130" spans="1:37" ht="36.75" customHeight="1" x14ac:dyDescent="0.2">
      <c r="A130" s="1"/>
      <c r="B130" s="2582"/>
      <c r="C130" s="2584"/>
      <c r="D130" s="2478"/>
      <c r="E130" s="202" t="s">
        <v>18</v>
      </c>
      <c r="F130" s="202" t="s">
        <v>19</v>
      </c>
      <c r="G130" s="202" t="s">
        <v>20</v>
      </c>
      <c r="H130" s="202" t="s">
        <v>108</v>
      </c>
      <c r="I130" s="228" t="s">
        <v>22</v>
      </c>
      <c r="J130" s="2493"/>
      <c r="K130" s="2494"/>
      <c r="L130" s="2494"/>
      <c r="M130" s="2494"/>
      <c r="N130" s="2495"/>
      <c r="O130" s="103"/>
      <c r="P130" s="103"/>
      <c r="AC130" s="158"/>
    </row>
    <row r="131" spans="1:37" ht="33" customHeight="1" x14ac:dyDescent="0.2">
      <c r="A131" s="1"/>
      <c r="B131" s="2579" t="s">
        <v>109</v>
      </c>
      <c r="C131" s="2581"/>
      <c r="D131" s="129" t="s">
        <v>21</v>
      </c>
      <c r="E131" s="131">
        <f>'TH Thương hiệu DC2'!Y7</f>
        <v>569905.24</v>
      </c>
      <c r="F131" s="131">
        <f>'TH Thương hiệu DC2'!Y8</f>
        <v>184.32</v>
      </c>
      <c r="G131" s="131">
        <f>'TH Thương hiệu DC2'!Y9</f>
        <v>47363.96</v>
      </c>
      <c r="H131" s="131">
        <f>SUM(E131:G131)</f>
        <v>617453.5199999999</v>
      </c>
      <c r="I131" s="131"/>
      <c r="J131" s="2608" t="s">
        <v>381</v>
      </c>
      <c r="K131" s="2491"/>
      <c r="L131" s="2491"/>
      <c r="M131" s="2491"/>
      <c r="N131" s="2492"/>
      <c r="O131" s="103"/>
      <c r="P131" s="103"/>
    </row>
    <row r="132" spans="1:37" ht="33" customHeight="1" x14ac:dyDescent="0.2">
      <c r="A132" s="1"/>
      <c r="B132" s="2582"/>
      <c r="C132" s="2584"/>
      <c r="D132" s="129" t="s">
        <v>22</v>
      </c>
      <c r="E132" s="134">
        <f>E131/$H$131*100</f>
        <v>92.299294042408249</v>
      </c>
      <c r="F132" s="134">
        <f>F131/$H$131*100</f>
        <v>2.9851639682935169E-2</v>
      </c>
      <c r="G132" s="134">
        <f>G131/$H$131*100</f>
        <v>7.6708543179088204</v>
      </c>
      <c r="H132" s="229">
        <f>H131/$H$131*100</f>
        <v>100</v>
      </c>
      <c r="I132" s="134">
        <f>H131/$H$201*100</f>
        <v>46.126713846603984</v>
      </c>
      <c r="J132" s="2609"/>
      <c r="K132" s="2476"/>
      <c r="L132" s="2476"/>
      <c r="M132" s="2476"/>
      <c r="N132" s="2610"/>
      <c r="O132" s="103"/>
      <c r="P132" s="103"/>
    </row>
    <row r="133" spans="1:37" ht="33" customHeight="1" x14ac:dyDescent="0.2">
      <c r="A133" s="1"/>
      <c r="B133" s="2612" t="s">
        <v>113</v>
      </c>
      <c r="C133" s="2613"/>
      <c r="D133" s="129" t="s">
        <v>21</v>
      </c>
      <c r="E133" s="131"/>
      <c r="F133" s="131"/>
      <c r="G133" s="131"/>
      <c r="H133" s="131">
        <f>SUM(E133:G133)</f>
        <v>0</v>
      </c>
      <c r="I133" s="131"/>
      <c r="J133" s="2609"/>
      <c r="K133" s="2476"/>
      <c r="L133" s="2476"/>
      <c r="M133" s="2476"/>
      <c r="N133" s="2610"/>
      <c r="O133" s="103"/>
      <c r="P133" s="103"/>
    </row>
    <row r="134" spans="1:37" ht="33" customHeight="1" x14ac:dyDescent="0.2">
      <c r="A134" s="1"/>
      <c r="B134" s="2614"/>
      <c r="C134" s="2615"/>
      <c r="D134" s="129" t="s">
        <v>22</v>
      </c>
      <c r="E134" s="134" t="e">
        <f>E133/$H$133*100</f>
        <v>#DIV/0!</v>
      </c>
      <c r="F134" s="134" t="e">
        <f>F133/$H$133*100</f>
        <v>#DIV/0!</v>
      </c>
      <c r="G134" s="134" t="e">
        <f>G133/$H$133*100</f>
        <v>#DIV/0!</v>
      </c>
      <c r="H134" s="134" t="e">
        <f>H133/$H$133*100</f>
        <v>#DIV/0!</v>
      </c>
      <c r="I134" s="134">
        <f>H133/$H$201*100</f>
        <v>0</v>
      </c>
      <c r="J134" s="2609"/>
      <c r="K134" s="2476"/>
      <c r="L134" s="2476"/>
      <c r="M134" s="2476"/>
      <c r="N134" s="2610"/>
      <c r="O134" s="103"/>
      <c r="P134" s="103"/>
    </row>
    <row r="135" spans="1:37" ht="33" customHeight="1" x14ac:dyDescent="0.2">
      <c r="A135" s="1"/>
      <c r="B135" s="2612" t="s">
        <v>144</v>
      </c>
      <c r="C135" s="2613"/>
      <c r="D135" s="129" t="s">
        <v>21</v>
      </c>
      <c r="E135" s="131"/>
      <c r="F135" s="131"/>
      <c r="G135" s="131"/>
      <c r="H135" s="131">
        <f>SUM(E135:G135)</f>
        <v>0</v>
      </c>
      <c r="I135" s="131"/>
      <c r="J135" s="2609"/>
      <c r="K135" s="2476"/>
      <c r="L135" s="2476"/>
      <c r="M135" s="2476"/>
      <c r="N135" s="2610"/>
      <c r="O135" s="103"/>
      <c r="P135" s="103"/>
    </row>
    <row r="136" spans="1:37" ht="33" customHeight="1" x14ac:dyDescent="0.2">
      <c r="A136" s="1"/>
      <c r="B136" s="2614"/>
      <c r="C136" s="2615"/>
      <c r="D136" s="129" t="s">
        <v>22</v>
      </c>
      <c r="E136" s="134" t="e">
        <f>E135/$H$135*100</f>
        <v>#DIV/0!</v>
      </c>
      <c r="F136" s="134" t="e">
        <f>F135/$H$135*100</f>
        <v>#DIV/0!</v>
      </c>
      <c r="G136" s="134" t="e">
        <f>G135/$H$135*100</f>
        <v>#DIV/0!</v>
      </c>
      <c r="H136" s="134" t="e">
        <f>H135/$H$135*100</f>
        <v>#DIV/0!</v>
      </c>
      <c r="I136" s="134">
        <f>H135/$H$201*100</f>
        <v>0</v>
      </c>
      <c r="J136" s="2609"/>
      <c r="K136" s="2476"/>
      <c r="L136" s="2476"/>
      <c r="M136" s="2476"/>
      <c r="N136" s="2610"/>
      <c r="O136" s="103"/>
      <c r="P136" s="103"/>
    </row>
    <row r="137" spans="1:37" ht="33" customHeight="1" x14ac:dyDescent="0.2">
      <c r="A137" s="1"/>
      <c r="B137" s="2579" t="s">
        <v>117</v>
      </c>
      <c r="C137" s="2581"/>
      <c r="D137" s="129" t="s">
        <v>21</v>
      </c>
      <c r="E137" s="131">
        <f>'TH Thương hiệu DC2'!Y25</f>
        <v>37362.720000000001</v>
      </c>
      <c r="F137" s="131">
        <f>'TH Thương hiệu DC2'!Y26</f>
        <v>0</v>
      </c>
      <c r="G137" s="131">
        <f>'TH Thương hiệu DC2'!Y27</f>
        <v>2288.92</v>
      </c>
      <c r="H137" s="131">
        <f>SUM(E137:G137)</f>
        <v>39651.64</v>
      </c>
      <c r="I137" s="132"/>
      <c r="J137" s="2609"/>
      <c r="K137" s="2476"/>
      <c r="L137" s="2476"/>
      <c r="M137" s="2476"/>
      <c r="N137" s="2610"/>
      <c r="O137" s="103"/>
      <c r="P137" s="103"/>
    </row>
    <row r="138" spans="1:37" ht="33" customHeight="1" x14ac:dyDescent="0.2">
      <c r="A138" s="1"/>
      <c r="B138" s="2582"/>
      <c r="C138" s="2584"/>
      <c r="D138" s="129" t="s">
        <v>22</v>
      </c>
      <c r="E138" s="134">
        <f>E137/$H$137*100</f>
        <v>94.227426658771236</v>
      </c>
      <c r="F138" s="134">
        <f>F137/$H$137*100</f>
        <v>0</v>
      </c>
      <c r="G138" s="134">
        <f>G137/$H$137*100</f>
        <v>5.7725733412287612</v>
      </c>
      <c r="H138" s="229">
        <f>H137/$H$137*100</f>
        <v>100</v>
      </c>
      <c r="I138" s="134">
        <f>H137/$H$201*100</f>
        <v>2.962166045840271</v>
      </c>
      <c r="J138" s="2609"/>
      <c r="K138" s="2476"/>
      <c r="L138" s="2476"/>
      <c r="M138" s="2476"/>
      <c r="N138" s="2610"/>
      <c r="O138" s="103"/>
      <c r="P138" s="103"/>
    </row>
    <row r="139" spans="1:37" ht="33" customHeight="1" x14ac:dyDescent="0.2">
      <c r="A139" s="1"/>
      <c r="B139" s="2579" t="s">
        <v>145</v>
      </c>
      <c r="C139" s="2581"/>
      <c r="D139" s="129" t="s">
        <v>21</v>
      </c>
      <c r="E139" s="131"/>
      <c r="F139" s="131"/>
      <c r="G139" s="131"/>
      <c r="H139" s="131">
        <f>SUM(E139:G139)</f>
        <v>0</v>
      </c>
      <c r="I139" s="132"/>
      <c r="J139" s="2609"/>
      <c r="K139" s="2476"/>
      <c r="L139" s="2476"/>
      <c r="M139" s="2476"/>
      <c r="N139" s="2610"/>
      <c r="O139" s="103"/>
      <c r="P139" s="103"/>
    </row>
    <row r="140" spans="1:37" ht="33" customHeight="1" x14ac:dyDescent="0.2">
      <c r="A140" s="1"/>
      <c r="B140" s="2582"/>
      <c r="C140" s="2584"/>
      <c r="D140" s="129" t="s">
        <v>22</v>
      </c>
      <c r="E140" s="134" t="e">
        <f>E139/$H$139*100</f>
        <v>#DIV/0!</v>
      </c>
      <c r="F140" s="134" t="e">
        <f>F139/$H$139*100</f>
        <v>#DIV/0!</v>
      </c>
      <c r="G140" s="134" t="e">
        <f>G139/$H$139*100</f>
        <v>#DIV/0!</v>
      </c>
      <c r="H140" s="229" t="e">
        <f>H139/$H$139*100</f>
        <v>#DIV/0!</v>
      </c>
      <c r="I140" s="134">
        <f>H139/$H$201*100</f>
        <v>0</v>
      </c>
      <c r="J140" s="2609"/>
      <c r="K140" s="2476"/>
      <c r="L140" s="2476"/>
      <c r="M140" s="2476"/>
      <c r="N140" s="2610"/>
      <c r="O140" s="103"/>
      <c r="P140" s="103"/>
    </row>
    <row r="141" spans="1:37" ht="33" customHeight="1" x14ac:dyDescent="0.2">
      <c r="A141" s="1"/>
      <c r="B141" s="2579" t="s">
        <v>125</v>
      </c>
      <c r="C141" s="2581"/>
      <c r="D141" s="129" t="s">
        <v>21</v>
      </c>
      <c r="E141" s="131">
        <f>'TH Thương hiệu DC2'!Y13</f>
        <v>75054.559999999998</v>
      </c>
      <c r="F141" s="131">
        <f>'TH Thương hiệu DC2'!Y14</f>
        <v>0</v>
      </c>
      <c r="G141" s="131">
        <f>'TH Thương hiệu DC2'!Y15</f>
        <v>5907.76</v>
      </c>
      <c r="H141" s="131">
        <f>SUM(E141:G141)</f>
        <v>80962.319999999992</v>
      </c>
      <c r="I141" s="132"/>
      <c r="J141" s="2609"/>
      <c r="K141" s="2476"/>
      <c r="L141" s="2476"/>
      <c r="M141" s="2476"/>
      <c r="N141" s="2610"/>
      <c r="O141" s="103"/>
      <c r="P141" s="103"/>
      <c r="AC141" s="700"/>
    </row>
    <row r="142" spans="1:37" ht="33" customHeight="1" x14ac:dyDescent="0.2">
      <c r="A142" s="1"/>
      <c r="B142" s="2582"/>
      <c r="C142" s="2584"/>
      <c r="D142" s="129" t="s">
        <v>22</v>
      </c>
      <c r="E142" s="134">
        <f>E141/$H$141*100</f>
        <v>92.703074714262144</v>
      </c>
      <c r="F142" s="134">
        <f>F141/$H$141*100</f>
        <v>0</v>
      </c>
      <c r="G142" s="134">
        <f>G141/$H$141*100</f>
        <v>7.2969252857378599</v>
      </c>
      <c r="H142" s="134">
        <f>H141/$H$141*100</f>
        <v>100</v>
      </c>
      <c r="I142" s="134">
        <f>H141/$H$201*100</f>
        <v>6.0482702681769194</v>
      </c>
      <c r="J142" s="2609"/>
      <c r="K142" s="2476"/>
      <c r="L142" s="2476"/>
      <c r="M142" s="2476"/>
      <c r="N142" s="2610"/>
      <c r="O142" s="103"/>
      <c r="P142" s="103"/>
    </row>
    <row r="143" spans="1:37" ht="33" customHeight="1" x14ac:dyDescent="0.2">
      <c r="A143" s="1"/>
      <c r="B143" s="2579" t="s">
        <v>128</v>
      </c>
      <c r="C143" s="2581"/>
      <c r="D143" s="129" t="s">
        <v>21</v>
      </c>
      <c r="E143" s="131"/>
      <c r="F143" s="131"/>
      <c r="G143" s="131"/>
      <c r="H143" s="131">
        <f>SUM(E143:G143)</f>
        <v>0</v>
      </c>
      <c r="I143" s="132"/>
      <c r="J143" s="2609"/>
      <c r="K143" s="2476"/>
      <c r="L143" s="2476"/>
      <c r="M143" s="2476"/>
      <c r="N143" s="2610"/>
      <c r="O143" s="103"/>
      <c r="P143" s="103"/>
      <c r="AC143" s="103"/>
    </row>
    <row r="144" spans="1:37" ht="33" customHeight="1" x14ac:dyDescent="0.2">
      <c r="A144" s="1"/>
      <c r="B144" s="2582"/>
      <c r="C144" s="2584"/>
      <c r="D144" s="129" t="s">
        <v>22</v>
      </c>
      <c r="E144" s="134" t="e">
        <f>E143/$H$143*100</f>
        <v>#DIV/0!</v>
      </c>
      <c r="F144" s="134" t="e">
        <f>F143/$H$143*100</f>
        <v>#DIV/0!</v>
      </c>
      <c r="G144" s="134" t="e">
        <f>G143/$H$143*100</f>
        <v>#DIV/0!</v>
      </c>
      <c r="H144" s="134" t="e">
        <f>H143/$H$143*100</f>
        <v>#DIV/0!</v>
      </c>
      <c r="I144" s="134">
        <f>H143/$H$201*100</f>
        <v>0</v>
      </c>
      <c r="J144" s="2609"/>
      <c r="K144" s="2476"/>
      <c r="L144" s="2476"/>
      <c r="M144" s="2476"/>
      <c r="N144" s="2610"/>
      <c r="O144" s="103"/>
      <c r="P144" s="103"/>
      <c r="Q144" s="103"/>
      <c r="AE144" s="95"/>
      <c r="AF144" s="95"/>
      <c r="AG144" s="95"/>
      <c r="AH144" s="2"/>
      <c r="AI144" s="2"/>
      <c r="AJ144" s="2"/>
      <c r="AK144" s="2"/>
    </row>
    <row r="145" spans="1:37" ht="25.5" customHeight="1" x14ac:dyDescent="0.2">
      <c r="A145" s="1"/>
      <c r="B145" s="2579" t="s">
        <v>129</v>
      </c>
      <c r="C145" s="2581"/>
      <c r="D145" s="129" t="s">
        <v>21</v>
      </c>
      <c r="E145" s="131">
        <f>'TH Thương hiệu DC2'!Y16</f>
        <v>34275.119999999995</v>
      </c>
      <c r="F145" s="131">
        <f>'TH Thương hiệu DC2'!Y17</f>
        <v>0</v>
      </c>
      <c r="G145" s="131">
        <f>'TH Thương hiệu DC2'!Y18</f>
        <v>1752.44</v>
      </c>
      <c r="H145" s="131">
        <f>SUM(E145:G145)</f>
        <v>36027.56</v>
      </c>
      <c r="I145" s="132"/>
      <c r="J145" s="2609"/>
      <c r="K145" s="2476"/>
      <c r="L145" s="2476"/>
      <c r="M145" s="2476"/>
      <c r="N145" s="2610"/>
      <c r="O145" s="103"/>
      <c r="P145" s="103"/>
      <c r="Q145" s="103"/>
      <c r="AE145" s="95"/>
      <c r="AF145" s="95"/>
      <c r="AG145" s="95"/>
      <c r="AH145" s="2"/>
      <c r="AI145" s="2"/>
      <c r="AJ145" s="2"/>
      <c r="AK145" s="2"/>
    </row>
    <row r="146" spans="1:37" ht="25.5" customHeight="1" x14ac:dyDescent="0.2">
      <c r="A146" s="1"/>
      <c r="B146" s="2582"/>
      <c r="C146" s="2584"/>
      <c r="D146" s="129" t="s">
        <v>22</v>
      </c>
      <c r="E146" s="134">
        <f>E145/$H$145*100</f>
        <v>95.13583489972676</v>
      </c>
      <c r="F146" s="134">
        <f>F145/$H$145*100</f>
        <v>0</v>
      </c>
      <c r="G146" s="134">
        <f>G145/$H$145*100</f>
        <v>4.8641651002732358</v>
      </c>
      <c r="H146" s="134">
        <f>H145/$H$145*100</f>
        <v>100</v>
      </c>
      <c r="I146" s="134">
        <f>H145/$H$201*100</f>
        <v>2.6914300378615641</v>
      </c>
      <c r="J146" s="2609"/>
      <c r="K146" s="2476"/>
      <c r="L146" s="2476"/>
      <c r="M146" s="2476"/>
      <c r="N146" s="2610"/>
      <c r="O146" s="103"/>
      <c r="P146" s="103"/>
      <c r="Q146" s="103"/>
      <c r="AE146" s="95"/>
      <c r="AF146" s="95"/>
      <c r="AG146" s="95"/>
      <c r="AH146" s="2"/>
      <c r="AI146" s="2"/>
      <c r="AJ146" s="2"/>
      <c r="AK146" s="2"/>
    </row>
    <row r="147" spans="1:37" ht="25.5" customHeight="1" x14ac:dyDescent="0.2">
      <c r="A147" s="1"/>
      <c r="B147" s="2579" t="s">
        <v>112</v>
      </c>
      <c r="C147" s="2581"/>
      <c r="D147" s="129" t="s">
        <v>21</v>
      </c>
      <c r="E147" s="131">
        <f>'TH Thương hiệu DC2'!Y10</f>
        <v>36316.04</v>
      </c>
      <c r="F147" s="131">
        <f>'TH Thương hiệu DC2'!Y11</f>
        <v>0</v>
      </c>
      <c r="G147" s="131">
        <f>'TH Thương hiệu DC2'!Y12</f>
        <v>1901.6</v>
      </c>
      <c r="H147" s="131">
        <f>SUM(E147:G147)</f>
        <v>38217.64</v>
      </c>
      <c r="I147" s="132"/>
      <c r="J147" s="2609"/>
      <c r="K147" s="2476"/>
      <c r="L147" s="2476"/>
      <c r="M147" s="2476"/>
      <c r="N147" s="2610"/>
      <c r="O147" s="103"/>
      <c r="P147" s="103"/>
      <c r="Q147" s="103"/>
      <c r="AE147" s="95"/>
      <c r="AF147" s="95"/>
      <c r="AG147" s="95"/>
      <c r="AH147" s="2"/>
      <c r="AI147" s="2"/>
      <c r="AJ147" s="2"/>
      <c r="AK147" s="2"/>
    </row>
    <row r="148" spans="1:37" ht="25.5" customHeight="1" x14ac:dyDescent="0.2">
      <c r="A148" s="1"/>
      <c r="B148" s="2616"/>
      <c r="C148" s="2617"/>
      <c r="D148" s="141" t="s">
        <v>22</v>
      </c>
      <c r="E148" s="143">
        <f>E147/$H$147*100</f>
        <v>95.024287213967156</v>
      </c>
      <c r="F148" s="143">
        <f>F147/$H$147*100</f>
        <v>0</v>
      </c>
      <c r="G148" s="143">
        <f>G147/$H$147*100</f>
        <v>4.9757127860328367</v>
      </c>
      <c r="H148" s="230">
        <f>H147/$H$147*100</f>
        <v>100</v>
      </c>
      <c r="I148" s="143">
        <f>H147/$H$201*100</f>
        <v>2.8550394273766981</v>
      </c>
      <c r="J148" s="2609"/>
      <c r="K148" s="2611"/>
      <c r="L148" s="2611"/>
      <c r="M148" s="2611"/>
      <c r="N148" s="2610"/>
      <c r="O148" s="103"/>
      <c r="P148" s="103"/>
      <c r="Q148" s="103"/>
      <c r="AE148" s="95"/>
      <c r="AF148" s="95"/>
      <c r="AG148" s="95"/>
      <c r="AH148" s="2"/>
      <c r="AI148" s="2"/>
      <c r="AJ148" s="2"/>
      <c r="AK148" s="2"/>
    </row>
    <row r="149" spans="1:37" ht="34" customHeight="1" x14ac:dyDescent="0.2">
      <c r="A149" s="1"/>
      <c r="B149" s="2551" t="s">
        <v>120</v>
      </c>
      <c r="C149" s="2551"/>
      <c r="D149" s="57" t="s">
        <v>21</v>
      </c>
      <c r="E149" s="150"/>
      <c r="F149" s="150"/>
      <c r="G149" s="150"/>
      <c r="H149" s="150">
        <f>SUM(E149:G149)</f>
        <v>0</v>
      </c>
      <c r="I149" s="151"/>
      <c r="J149" s="2606" t="s">
        <v>380</v>
      </c>
      <c r="K149" s="2470"/>
      <c r="L149" s="2470"/>
      <c r="M149" s="2470"/>
      <c r="N149" s="2470"/>
      <c r="O149" s="103"/>
      <c r="P149" s="103"/>
      <c r="Q149" s="103"/>
      <c r="AE149" s="95"/>
      <c r="AF149" s="95"/>
      <c r="AG149" s="95"/>
      <c r="AH149" s="2"/>
      <c r="AI149" s="2"/>
      <c r="AJ149" s="2"/>
      <c r="AK149" s="2"/>
    </row>
    <row r="150" spans="1:37" ht="34" customHeight="1" x14ac:dyDescent="0.2">
      <c r="A150" s="1"/>
      <c r="B150" s="2551"/>
      <c r="C150" s="2551"/>
      <c r="D150" s="57" t="s">
        <v>22</v>
      </c>
      <c r="E150" s="152" t="e">
        <f>E149/$H$149*100</f>
        <v>#DIV/0!</v>
      </c>
      <c r="F150" s="152" t="e">
        <f>F149/$H$149*100</f>
        <v>#DIV/0!</v>
      </c>
      <c r="G150" s="152" t="e">
        <f>G149/$H$149*100</f>
        <v>#DIV/0!</v>
      </c>
      <c r="H150" s="231" t="e">
        <f>H149/$H$149*100</f>
        <v>#DIV/0!</v>
      </c>
      <c r="I150" s="152">
        <f>H149/$H$201*100</f>
        <v>0</v>
      </c>
      <c r="J150" s="2470"/>
      <c r="K150" s="2607"/>
      <c r="L150" s="2607"/>
      <c r="M150" s="2607"/>
      <c r="N150" s="2470"/>
      <c r="O150" s="103"/>
      <c r="P150" s="103"/>
      <c r="Q150" s="103"/>
      <c r="AE150" s="95"/>
      <c r="AF150" s="95"/>
      <c r="AG150" s="95"/>
      <c r="AH150" s="2"/>
      <c r="AI150" s="2"/>
      <c r="AJ150" s="2"/>
      <c r="AK150" s="2"/>
    </row>
    <row r="151" spans="1:37" ht="25.5" customHeight="1" x14ac:dyDescent="0.2">
      <c r="A151" s="1"/>
      <c r="B151" s="2551" t="s">
        <v>109</v>
      </c>
      <c r="C151" s="2551"/>
      <c r="D151" s="57" t="s">
        <v>21</v>
      </c>
      <c r="E151" s="150">
        <f>'TH Thương hiệu DC2'!Y85</f>
        <v>44421.5</v>
      </c>
      <c r="F151" s="150">
        <f>'TH Thương hiệu DC2'!Y86</f>
        <v>0</v>
      </c>
      <c r="G151" s="150">
        <f>'TH Thương hiệu DC2'!Y87</f>
        <v>4154</v>
      </c>
      <c r="H151" s="150">
        <f>SUM(E151:G151)</f>
        <v>48575.5</v>
      </c>
      <c r="I151" s="151"/>
      <c r="J151" s="2470"/>
      <c r="K151" s="2607"/>
      <c r="L151" s="2607"/>
      <c r="M151" s="2607"/>
      <c r="N151" s="2470"/>
      <c r="O151" s="103"/>
      <c r="P151" s="103"/>
      <c r="Q151" s="103"/>
      <c r="AE151" s="95"/>
      <c r="AF151" s="95"/>
      <c r="AG151" s="95"/>
      <c r="AH151" s="2"/>
      <c r="AI151" s="2"/>
      <c r="AJ151" s="2"/>
      <c r="AK151" s="2"/>
    </row>
    <row r="152" spans="1:37" ht="25.5" customHeight="1" x14ac:dyDescent="0.2">
      <c r="A152" s="1"/>
      <c r="B152" s="2551"/>
      <c r="C152" s="2551"/>
      <c r="D152" s="57" t="s">
        <v>22</v>
      </c>
      <c r="E152" s="152">
        <f>E151/$H$151*100</f>
        <v>91.448363887144751</v>
      </c>
      <c r="F152" s="152">
        <f>F151/$H$151*100</f>
        <v>0</v>
      </c>
      <c r="G152" s="152">
        <f>G151/$H$151*100</f>
        <v>8.5516361128552454</v>
      </c>
      <c r="H152" s="231">
        <f>H151/$H$151*100</f>
        <v>100</v>
      </c>
      <c r="I152" s="152">
        <f>H151/$H$201*100</f>
        <v>3.6288208195099649</v>
      </c>
      <c r="J152" s="2470"/>
      <c r="K152" s="2607"/>
      <c r="L152" s="2607"/>
      <c r="M152" s="2607"/>
      <c r="N152" s="2470"/>
      <c r="O152" s="103"/>
      <c r="P152" s="103"/>
      <c r="Q152" s="103"/>
      <c r="AE152" s="95"/>
      <c r="AF152" s="95"/>
      <c r="AG152" s="95"/>
      <c r="AH152" s="2"/>
      <c r="AI152" s="2"/>
      <c r="AJ152" s="2"/>
      <c r="AK152" s="2"/>
    </row>
    <row r="153" spans="1:37" ht="27" customHeight="1" x14ac:dyDescent="0.2">
      <c r="A153" s="1"/>
      <c r="B153" s="2551" t="s">
        <v>322</v>
      </c>
      <c r="C153" s="2551"/>
      <c r="D153" s="57" t="s">
        <v>21</v>
      </c>
      <c r="E153" s="150">
        <f>'TH Thương hiệu DC2'!Y94</f>
        <v>9583.5</v>
      </c>
      <c r="F153" s="150">
        <f>'TH Thương hiệu DC2'!Y95</f>
        <v>0</v>
      </c>
      <c r="G153" s="150">
        <f>'TH Thương hiệu DC2'!Y96</f>
        <v>884</v>
      </c>
      <c r="H153" s="150">
        <f>SUM(E153:G153)</f>
        <v>10467.5</v>
      </c>
      <c r="I153" s="151"/>
      <c r="J153" s="2470"/>
      <c r="K153" s="2607"/>
      <c r="L153" s="2607"/>
      <c r="M153" s="2607"/>
      <c r="N153" s="2470"/>
      <c r="O153" s="103"/>
      <c r="P153" s="103"/>
      <c r="Q153" s="103"/>
      <c r="AE153" s="95"/>
      <c r="AF153" s="95"/>
      <c r="AG153" s="95"/>
      <c r="AH153" s="2"/>
      <c r="AI153" s="2"/>
      <c r="AJ153" s="2"/>
      <c r="AK153" s="2"/>
    </row>
    <row r="154" spans="1:37" ht="27" customHeight="1" x14ac:dyDescent="0.2">
      <c r="A154" s="1"/>
      <c r="B154" s="2551"/>
      <c r="C154" s="2551"/>
      <c r="D154" s="57" t="s">
        <v>22</v>
      </c>
      <c r="E154" s="151">
        <f>E153/$H$153*100</f>
        <v>91.55481251492715</v>
      </c>
      <c r="F154" s="151">
        <f>F153/$H$153*100</f>
        <v>0</v>
      </c>
      <c r="G154" s="151">
        <f>G153/$H$153*100</f>
        <v>8.4451874850728448</v>
      </c>
      <c r="H154" s="150">
        <f>H153/$H$153*100</f>
        <v>100</v>
      </c>
      <c r="I154" s="151">
        <f>H153/$H$201*100</f>
        <v>0.78197202145568345</v>
      </c>
      <c r="J154" s="2470"/>
      <c r="K154" s="2607"/>
      <c r="L154" s="2607"/>
      <c r="M154" s="2607"/>
      <c r="N154" s="2470"/>
      <c r="O154" s="103"/>
      <c r="P154" s="103"/>
      <c r="Q154" s="103"/>
      <c r="AE154" s="95"/>
      <c r="AF154" s="95"/>
      <c r="AG154" s="95"/>
      <c r="AH154" s="2"/>
      <c r="AI154" s="2"/>
      <c r="AJ154" s="2"/>
      <c r="AK154" s="2"/>
    </row>
    <row r="155" spans="1:37" ht="28" customHeight="1" x14ac:dyDescent="0.2">
      <c r="A155" s="1"/>
      <c r="B155" s="2551" t="s">
        <v>129</v>
      </c>
      <c r="C155" s="2551"/>
      <c r="D155" s="57" t="s">
        <v>21</v>
      </c>
      <c r="E155" s="150">
        <f>'TH Thương hiệu DC2'!Y91</f>
        <v>13999.5</v>
      </c>
      <c r="F155" s="150">
        <f>'TH Thương hiệu DC2'!Y92</f>
        <v>0</v>
      </c>
      <c r="G155" s="150">
        <f>'TH Thương hiệu DC2'!Y93</f>
        <v>3231.5</v>
      </c>
      <c r="H155" s="150">
        <f>SUM(E155:G155)</f>
        <v>17231</v>
      </c>
      <c r="I155" s="151"/>
      <c r="J155" s="2470"/>
      <c r="K155" s="2607"/>
      <c r="L155" s="2607"/>
      <c r="M155" s="2607"/>
      <c r="N155" s="2470"/>
      <c r="O155" s="103"/>
      <c r="P155" s="103"/>
      <c r="Q155" s="103"/>
      <c r="AE155" s="95"/>
      <c r="AF155" s="95"/>
      <c r="AG155" s="95"/>
      <c r="AH155" s="2"/>
      <c r="AI155" s="2"/>
      <c r="AJ155" s="2"/>
      <c r="AK155" s="2"/>
    </row>
    <row r="156" spans="1:37" ht="27" customHeight="1" x14ac:dyDescent="0.2">
      <c r="A156" s="1"/>
      <c r="B156" s="2551"/>
      <c r="C156" s="2551"/>
      <c r="D156" s="57" t="s">
        <v>22</v>
      </c>
      <c r="E156" s="151">
        <f>E155/$H$155*100</f>
        <v>81.24601009807904</v>
      </c>
      <c r="F156" s="151">
        <f>F155/$H$155*100</f>
        <v>0</v>
      </c>
      <c r="G156" s="151">
        <f>G155/$H$155*100</f>
        <v>18.753989901920956</v>
      </c>
      <c r="H156" s="151">
        <f>H155/$H$155*100</f>
        <v>100</v>
      </c>
      <c r="I156" s="151">
        <f>H155/$H$201*100</f>
        <v>1.2872376309245648</v>
      </c>
      <c r="J156" s="2470"/>
      <c r="K156" s="2607"/>
      <c r="L156" s="2607"/>
      <c r="M156" s="2607"/>
      <c r="N156" s="2470"/>
      <c r="O156" s="103"/>
      <c r="P156" s="103"/>
      <c r="Q156" s="103"/>
      <c r="AE156" s="95"/>
      <c r="AF156" s="95"/>
      <c r="AG156" s="95"/>
      <c r="AH156" s="2"/>
      <c r="AI156" s="2"/>
      <c r="AJ156" s="2"/>
      <c r="AK156" s="2"/>
    </row>
    <row r="157" spans="1:37" ht="27" customHeight="1" x14ac:dyDescent="0.2">
      <c r="A157" s="1"/>
      <c r="B157" s="2551" t="s">
        <v>125</v>
      </c>
      <c r="C157" s="2551"/>
      <c r="D157" s="57" t="s">
        <v>21</v>
      </c>
      <c r="E157" s="150">
        <f>'TH Thương hiệu DC2'!Y88</f>
        <v>2130</v>
      </c>
      <c r="F157" s="150">
        <f>'TH Thương hiệu DC2'!Y89</f>
        <v>0</v>
      </c>
      <c r="G157" s="150">
        <f>'TH Thương hiệu DC2'!Y90</f>
        <v>73.5</v>
      </c>
      <c r="H157" s="150">
        <f>SUM(E157:G157)</f>
        <v>2203.5</v>
      </c>
      <c r="I157" s="151"/>
      <c r="J157" s="2470"/>
      <c r="K157" s="2607"/>
      <c r="L157" s="2607"/>
      <c r="M157" s="2607"/>
      <c r="N157" s="2470"/>
      <c r="O157" s="103"/>
      <c r="P157" s="103"/>
      <c r="Q157" s="103"/>
      <c r="AE157" s="95"/>
      <c r="AF157" s="95"/>
      <c r="AG157" s="95"/>
      <c r="AH157" s="2"/>
      <c r="AI157" s="2"/>
      <c r="AJ157" s="2"/>
      <c r="AK157" s="2"/>
    </row>
    <row r="158" spans="1:37" ht="27" customHeight="1" x14ac:dyDescent="0.2">
      <c r="A158" s="1"/>
      <c r="B158" s="2551"/>
      <c r="C158" s="2551"/>
      <c r="D158" s="57" t="s">
        <v>22</v>
      </c>
      <c r="E158" s="152">
        <f>E157/$H$157*100</f>
        <v>96.664397549353296</v>
      </c>
      <c r="F158" s="152">
        <f>F157/$H$157*100</f>
        <v>0</v>
      </c>
      <c r="G158" s="152">
        <f>G157/$H$157*100</f>
        <v>3.3356024506466984</v>
      </c>
      <c r="H158" s="231">
        <f>H157/$H$157*100</f>
        <v>100</v>
      </c>
      <c r="I158" s="152">
        <f>H157/$H$201*100</f>
        <v>0.164611927325302</v>
      </c>
      <c r="J158" s="2470"/>
      <c r="K158" s="2607"/>
      <c r="L158" s="2607"/>
      <c r="M158" s="2607"/>
      <c r="N158" s="2470"/>
      <c r="O158" s="103"/>
      <c r="P158" s="103"/>
      <c r="Q158" s="103"/>
      <c r="AE158" s="95"/>
      <c r="AF158" s="95"/>
      <c r="AG158" s="95"/>
      <c r="AH158" s="2"/>
      <c r="AI158" s="2"/>
      <c r="AJ158" s="2"/>
      <c r="AK158" s="2"/>
    </row>
    <row r="159" spans="1:37" ht="27" customHeight="1" x14ac:dyDescent="0.2">
      <c r="A159" s="1"/>
      <c r="B159" s="2551" t="s">
        <v>117</v>
      </c>
      <c r="C159" s="2551"/>
      <c r="D159" s="57" t="s">
        <v>21</v>
      </c>
      <c r="E159" s="150"/>
      <c r="F159" s="150"/>
      <c r="G159" s="150"/>
      <c r="H159" s="150">
        <f>SUM(E159:G159)</f>
        <v>0</v>
      </c>
      <c r="I159" s="151"/>
      <c r="J159" s="2470"/>
      <c r="K159" s="2607"/>
      <c r="L159" s="2607"/>
      <c r="M159" s="2607"/>
      <c r="N159" s="2470"/>
      <c r="O159" s="103"/>
      <c r="P159" s="103"/>
      <c r="Q159" s="103"/>
      <c r="AE159" s="95"/>
      <c r="AF159" s="95"/>
      <c r="AG159" s="95"/>
      <c r="AH159" s="2"/>
      <c r="AI159" s="2"/>
      <c r="AJ159" s="2"/>
      <c r="AK159" s="2"/>
    </row>
    <row r="160" spans="1:37" ht="27" customHeight="1" x14ac:dyDescent="0.2">
      <c r="A160" s="1"/>
      <c r="B160" s="2551"/>
      <c r="C160" s="2551"/>
      <c r="D160" s="57" t="s">
        <v>22</v>
      </c>
      <c r="E160" s="152" t="e">
        <f>E159/$H$159*100</f>
        <v>#DIV/0!</v>
      </c>
      <c r="F160" s="152" t="e">
        <f>F159/$H$159*100</f>
        <v>#DIV/0!</v>
      </c>
      <c r="G160" s="152" t="e">
        <f>G159/$H$159*100</f>
        <v>#DIV/0!</v>
      </c>
      <c r="H160" s="231" t="e">
        <f>H159/$H$159*100</f>
        <v>#DIV/0!</v>
      </c>
      <c r="I160" s="152">
        <f>H159/$H$201*100</f>
        <v>0</v>
      </c>
      <c r="J160" s="2470"/>
      <c r="K160" s="2470"/>
      <c r="L160" s="2470"/>
      <c r="M160" s="2470"/>
      <c r="N160" s="2470"/>
      <c r="O160" s="103"/>
      <c r="P160" s="103"/>
      <c r="Q160" s="103"/>
      <c r="AE160" s="95"/>
      <c r="AF160" s="95"/>
      <c r="AG160" s="95"/>
      <c r="AH160" s="2"/>
      <c r="AI160" s="2"/>
      <c r="AJ160" s="2"/>
      <c r="AK160" s="2"/>
    </row>
    <row r="161" spans="1:37" ht="27" customHeight="1" x14ac:dyDescent="0.2">
      <c r="A161" s="1"/>
      <c r="B161" s="2551" t="s">
        <v>120</v>
      </c>
      <c r="C161" s="2551"/>
      <c r="D161" s="57" t="s">
        <v>21</v>
      </c>
      <c r="E161" s="150"/>
      <c r="F161" s="150"/>
      <c r="G161" s="150"/>
      <c r="H161" s="150">
        <f>SUM(E161:G161)</f>
        <v>0</v>
      </c>
      <c r="I161" s="151"/>
      <c r="J161" s="2606" t="s">
        <v>384</v>
      </c>
      <c r="K161" s="2470"/>
      <c r="L161" s="2470"/>
      <c r="M161" s="2470"/>
      <c r="N161" s="2470"/>
      <c r="O161" s="103"/>
      <c r="P161" s="103"/>
      <c r="Q161" s="103"/>
      <c r="AE161" s="95"/>
      <c r="AF161" s="95"/>
      <c r="AG161" s="95"/>
      <c r="AH161" s="2"/>
      <c r="AI161" s="2"/>
      <c r="AJ161" s="2"/>
      <c r="AK161" s="2"/>
    </row>
    <row r="162" spans="1:37" ht="27" customHeight="1" x14ac:dyDescent="0.2">
      <c r="A162" s="1"/>
      <c r="B162" s="2551"/>
      <c r="C162" s="2551"/>
      <c r="D162" s="57" t="s">
        <v>22</v>
      </c>
      <c r="E162" s="152" t="e">
        <f>E161/$H$161*100</f>
        <v>#DIV/0!</v>
      </c>
      <c r="F162" s="152" t="e">
        <f>F161/$H$161*100</f>
        <v>#DIV/0!</v>
      </c>
      <c r="G162" s="152" t="e">
        <f>G161/$H$161*100</f>
        <v>#DIV/0!</v>
      </c>
      <c r="H162" s="231" t="e">
        <f>H161/$H$161*100</f>
        <v>#DIV/0!</v>
      </c>
      <c r="I162" s="152">
        <f>H161/$H$201*100</f>
        <v>0</v>
      </c>
      <c r="J162" s="2470"/>
      <c r="K162" s="2607"/>
      <c r="L162" s="2607"/>
      <c r="M162" s="2607"/>
      <c r="N162" s="2470"/>
      <c r="O162" s="103"/>
      <c r="P162" s="103"/>
      <c r="Q162" s="103"/>
      <c r="AE162" s="95"/>
      <c r="AF162" s="95"/>
      <c r="AG162" s="95"/>
      <c r="AH162" s="2"/>
      <c r="AI162" s="2"/>
      <c r="AJ162" s="2"/>
      <c r="AK162" s="2"/>
    </row>
    <row r="163" spans="1:37" ht="27" customHeight="1" x14ac:dyDescent="0.2">
      <c r="A163" s="1"/>
      <c r="B163" s="2551" t="s">
        <v>109</v>
      </c>
      <c r="C163" s="2551"/>
      <c r="D163" s="57" t="s">
        <v>21</v>
      </c>
      <c r="E163" s="150">
        <f>'TH Thương hiệu DC2'!Y103</f>
        <v>170811.5</v>
      </c>
      <c r="F163" s="150">
        <f>'TH Thương hiệu DC2'!Y104</f>
        <v>0</v>
      </c>
      <c r="G163" s="150">
        <f>'TH Thương hiệu DC2'!Y105</f>
        <v>2682.5</v>
      </c>
      <c r="H163" s="150">
        <f>SUM(E163:G163)</f>
        <v>173494</v>
      </c>
      <c r="I163" s="151"/>
      <c r="J163" s="2470"/>
      <c r="K163" s="2607"/>
      <c r="L163" s="2607"/>
      <c r="M163" s="2607"/>
      <c r="N163" s="2470"/>
      <c r="O163" s="103"/>
      <c r="P163" s="103"/>
      <c r="Q163" s="103"/>
      <c r="AE163" s="95"/>
      <c r="AF163" s="95"/>
      <c r="AG163" s="95"/>
      <c r="AH163" s="2"/>
      <c r="AI163" s="2"/>
      <c r="AJ163" s="2"/>
      <c r="AK163" s="2"/>
    </row>
    <row r="164" spans="1:37" ht="25.5" customHeight="1" x14ac:dyDescent="0.2">
      <c r="A164" s="1"/>
      <c r="B164" s="2551"/>
      <c r="C164" s="2551"/>
      <c r="D164" s="57" t="s">
        <v>22</v>
      </c>
      <c r="E164" s="152">
        <f>E163/$H$163*100</f>
        <v>98.453837020300412</v>
      </c>
      <c r="F164" s="152">
        <f>F163/$H$163*100</f>
        <v>0</v>
      </c>
      <c r="G164" s="152">
        <f>G163/$H$163*100</f>
        <v>1.5461629796995862</v>
      </c>
      <c r="H164" s="231">
        <f>H163/$H$163*100</f>
        <v>100</v>
      </c>
      <c r="I164" s="152">
        <f>H163/$H$201*100</f>
        <v>12.960826738995209</v>
      </c>
      <c r="J164" s="2470"/>
      <c r="K164" s="2607"/>
      <c r="L164" s="2607"/>
      <c r="M164" s="2607"/>
      <c r="N164" s="2470"/>
      <c r="O164" s="103"/>
      <c r="P164" s="103"/>
      <c r="Q164" s="103"/>
      <c r="R164" s="158"/>
      <c r="S164" s="763"/>
      <c r="T164" s="763"/>
      <c r="U164" s="763"/>
      <c r="V164" s="763"/>
      <c r="W164" s="763"/>
      <c r="X164" s="763"/>
      <c r="Y164" s="103"/>
      <c r="Z164" s="103"/>
      <c r="AA164" s="103"/>
      <c r="AB164" s="158"/>
      <c r="AC164" s="158"/>
      <c r="AD164" s="158"/>
      <c r="AE164" s="95"/>
      <c r="AF164" s="95"/>
      <c r="AG164" s="95"/>
      <c r="AH164" s="2"/>
      <c r="AI164" s="2"/>
      <c r="AJ164" s="2"/>
      <c r="AK164" s="2"/>
    </row>
    <row r="165" spans="1:37" ht="25.5" customHeight="1" x14ac:dyDescent="0.2">
      <c r="A165" s="1"/>
      <c r="B165" s="2551" t="s">
        <v>146</v>
      </c>
      <c r="C165" s="2551"/>
      <c r="D165" s="57" t="s">
        <v>21</v>
      </c>
      <c r="E165" s="150"/>
      <c r="F165" s="150"/>
      <c r="G165" s="150"/>
      <c r="H165" s="150">
        <f>SUM(E165:G165)</f>
        <v>0</v>
      </c>
      <c r="I165" s="151"/>
      <c r="J165" s="2470"/>
      <c r="K165" s="2607"/>
      <c r="L165" s="2607"/>
      <c r="M165" s="2607"/>
      <c r="N165" s="2470"/>
      <c r="O165" s="103"/>
      <c r="P165" s="103"/>
      <c r="Q165" s="103"/>
      <c r="R165" s="95"/>
      <c r="AE165" s="95"/>
      <c r="AF165" s="95"/>
      <c r="AG165" s="95"/>
      <c r="AH165" s="2"/>
      <c r="AI165" s="2"/>
      <c r="AJ165" s="2"/>
      <c r="AK165" s="2"/>
    </row>
    <row r="166" spans="1:37" ht="25.5" customHeight="1" x14ac:dyDescent="0.2">
      <c r="A166" s="1"/>
      <c r="B166" s="2551"/>
      <c r="C166" s="2551"/>
      <c r="D166" s="57" t="s">
        <v>22</v>
      </c>
      <c r="E166" s="152" t="e">
        <f>E165/$H$165*100</f>
        <v>#DIV/0!</v>
      </c>
      <c r="F166" s="152" t="e">
        <f>F165/$H$165*100</f>
        <v>#DIV/0!</v>
      </c>
      <c r="G166" s="152" t="e">
        <f>G165/$H$165*100</f>
        <v>#DIV/0!</v>
      </c>
      <c r="H166" s="231" t="e">
        <f>H165/$H$165*100</f>
        <v>#DIV/0!</v>
      </c>
      <c r="I166" s="152">
        <f>H165/$H$201*100</f>
        <v>0</v>
      </c>
      <c r="J166" s="2470"/>
      <c r="K166" s="2607"/>
      <c r="L166" s="2607"/>
      <c r="M166" s="2607"/>
      <c r="N166" s="2470"/>
      <c r="O166" s="103"/>
      <c r="P166" s="103"/>
      <c r="Q166" s="103"/>
      <c r="R166" s="95"/>
      <c r="AE166" s="95"/>
      <c r="AF166" s="95"/>
      <c r="AG166" s="95"/>
      <c r="AH166" s="2"/>
      <c r="AI166" s="2"/>
      <c r="AJ166" s="2"/>
      <c r="AK166" s="2"/>
    </row>
    <row r="167" spans="1:37" ht="25.5" customHeight="1" x14ac:dyDescent="0.2">
      <c r="A167" s="1"/>
      <c r="B167" s="2551" t="s">
        <v>125</v>
      </c>
      <c r="C167" s="2551"/>
      <c r="D167" s="57" t="s">
        <v>21</v>
      </c>
      <c r="E167" s="150">
        <f>'TH Thương hiệu DC2'!Y106</f>
        <v>4163</v>
      </c>
      <c r="F167" s="150">
        <f>'TH Thương hiệu DC2'!Y107</f>
        <v>0</v>
      </c>
      <c r="G167" s="150">
        <f>'TH Thương hiệu DC2'!Y108</f>
        <v>39</v>
      </c>
      <c r="H167" s="150">
        <f>SUM(E167:G167)</f>
        <v>4202</v>
      </c>
      <c r="I167" s="151"/>
      <c r="J167" s="2470"/>
      <c r="K167" s="2607"/>
      <c r="L167" s="2607"/>
      <c r="M167" s="2607"/>
      <c r="N167" s="2470"/>
      <c r="O167" s="103"/>
      <c r="P167" s="103"/>
      <c r="Q167" s="103"/>
      <c r="R167" s="95"/>
      <c r="AE167" s="95"/>
      <c r="AF167" s="95"/>
      <c r="AG167" s="95"/>
      <c r="AH167" s="2"/>
      <c r="AI167" s="2"/>
      <c r="AJ167" s="2"/>
      <c r="AK167" s="2"/>
    </row>
    <row r="168" spans="1:37" ht="25.5" customHeight="1" x14ac:dyDescent="0.2">
      <c r="A168" s="1"/>
      <c r="B168" s="2551"/>
      <c r="C168" s="2551"/>
      <c r="D168" s="57" t="s">
        <v>22</v>
      </c>
      <c r="E168" s="152">
        <f>E167/$H$167*100</f>
        <v>99.071870537839118</v>
      </c>
      <c r="F168" s="152">
        <f>F167/$H$167*100</f>
        <v>0</v>
      </c>
      <c r="G168" s="152">
        <f>G167/$H$167*100</f>
        <v>0.92812946216087577</v>
      </c>
      <c r="H168" s="231">
        <f>H167/$H$167*100</f>
        <v>100</v>
      </c>
      <c r="I168" s="152">
        <f>H167/$H$201*100</f>
        <v>0.31390937990511414</v>
      </c>
      <c r="J168" s="2470"/>
      <c r="K168" s="2607"/>
      <c r="L168" s="2607"/>
      <c r="M168" s="2607"/>
      <c r="N168" s="2470"/>
      <c r="O168" s="103"/>
      <c r="P168" s="103"/>
      <c r="Q168" s="103"/>
      <c r="R168" s="95"/>
      <c r="S168" s="763"/>
      <c r="T168" s="763"/>
      <c r="U168" s="763"/>
      <c r="V168" s="763"/>
      <c r="W168" s="763"/>
      <c r="X168" s="763"/>
      <c r="Y168" s="103"/>
      <c r="Z168" s="103"/>
      <c r="AA168" s="103"/>
      <c r="AB168" s="103"/>
      <c r="AC168" s="103"/>
      <c r="AD168" s="103"/>
      <c r="AE168" s="95"/>
      <c r="AF168" s="95"/>
      <c r="AG168" s="95"/>
      <c r="AH168" s="2"/>
      <c r="AI168" s="2"/>
      <c r="AJ168" s="2"/>
      <c r="AK168" s="2"/>
    </row>
    <row r="169" spans="1:37" ht="25.5" customHeight="1" x14ac:dyDescent="0.2">
      <c r="A169" s="1"/>
      <c r="B169" s="2551" t="s">
        <v>129</v>
      </c>
      <c r="C169" s="2551"/>
      <c r="D169" s="57" t="s">
        <v>21</v>
      </c>
      <c r="E169" s="150">
        <f>'TH Thương hiệu DC2'!Y109</f>
        <v>57309</v>
      </c>
      <c r="F169" s="150">
        <f>'TH Thương hiệu DC2'!Y110</f>
        <v>0</v>
      </c>
      <c r="G169" s="150">
        <f>'TH Thương hiệu DC2'!Y111</f>
        <v>348</v>
      </c>
      <c r="H169" s="150">
        <f>SUM(E169:G169)</f>
        <v>57657</v>
      </c>
      <c r="I169" s="151"/>
      <c r="J169" s="2470"/>
      <c r="K169" s="2607"/>
      <c r="L169" s="2607"/>
      <c r="M169" s="2607"/>
      <c r="N169" s="2470"/>
      <c r="O169" s="103"/>
      <c r="P169" s="103"/>
      <c r="Q169" s="103"/>
      <c r="R169" s="95"/>
      <c r="S169" s="763"/>
      <c r="T169" s="763"/>
      <c r="U169" s="763"/>
      <c r="V169" s="763"/>
      <c r="W169" s="763"/>
      <c r="X169" s="763"/>
      <c r="Y169" s="103"/>
      <c r="Z169" s="103"/>
      <c r="AA169" s="103"/>
      <c r="AE169" s="95"/>
      <c r="AF169" s="95"/>
      <c r="AG169" s="95"/>
      <c r="AH169" s="2"/>
      <c r="AI169" s="2"/>
      <c r="AJ169" s="2"/>
      <c r="AK169" s="2"/>
    </row>
    <row r="170" spans="1:37" ht="25.5" customHeight="1" x14ac:dyDescent="0.2">
      <c r="A170" s="1"/>
      <c r="B170" s="2551"/>
      <c r="C170" s="2551"/>
      <c r="D170" s="57" t="s">
        <v>22</v>
      </c>
      <c r="E170" s="151">
        <f>E169/$H$169*100</f>
        <v>99.396430615536715</v>
      </c>
      <c r="F170" s="151">
        <f>F169/$H$169*100</f>
        <v>0</v>
      </c>
      <c r="G170" s="151">
        <f>G169/$H$169*100</f>
        <v>0.60356938446329156</v>
      </c>
      <c r="H170" s="151">
        <f>H169/$H$169*100</f>
        <v>100</v>
      </c>
      <c r="I170" s="151">
        <f>H169/$H$201*100</f>
        <v>4.3072520507351655</v>
      </c>
      <c r="J170" s="2470"/>
      <c r="K170" s="2607"/>
      <c r="L170" s="2607"/>
      <c r="M170" s="2607"/>
      <c r="N170" s="2470"/>
      <c r="O170" s="103"/>
      <c r="P170" s="103"/>
      <c r="Q170" s="103"/>
      <c r="R170" s="103"/>
      <c r="S170" s="763"/>
      <c r="T170" s="763"/>
      <c r="U170" s="763"/>
      <c r="V170" s="763"/>
      <c r="W170" s="763"/>
      <c r="X170" s="763"/>
      <c r="Y170" s="103"/>
      <c r="Z170" s="103"/>
      <c r="AA170" s="103"/>
      <c r="AB170" s="158"/>
      <c r="AC170" s="158"/>
      <c r="AD170" s="158"/>
      <c r="AE170" s="95"/>
      <c r="AF170" s="95"/>
      <c r="AG170" s="95"/>
      <c r="AH170" s="2"/>
      <c r="AI170" s="2"/>
      <c r="AJ170" s="2"/>
      <c r="AK170" s="2"/>
    </row>
    <row r="171" spans="1:37" ht="25.5" customHeight="1" x14ac:dyDescent="0.2">
      <c r="A171" s="1"/>
      <c r="B171" s="2551" t="s">
        <v>322</v>
      </c>
      <c r="C171" s="2551"/>
      <c r="D171" s="57" t="s">
        <v>21</v>
      </c>
      <c r="E171" s="150">
        <f>'TH Thương hiệu DC2'!Y112</f>
        <v>75039.5</v>
      </c>
      <c r="F171" s="150">
        <f>'TH Thương hiệu DC2'!Y113</f>
        <v>0</v>
      </c>
      <c r="G171" s="150">
        <f>'TH Thương hiệu DC2'!Y114</f>
        <v>1218.5</v>
      </c>
      <c r="H171" s="150">
        <f>SUM(E171:G171)</f>
        <v>76258</v>
      </c>
      <c r="I171" s="151"/>
      <c r="J171" s="2470"/>
      <c r="K171" s="2607"/>
      <c r="L171" s="2607"/>
      <c r="M171" s="2607"/>
      <c r="N171" s="2470"/>
      <c r="O171" s="103"/>
      <c r="P171" s="103"/>
      <c r="Q171" s="103"/>
      <c r="R171" s="95"/>
      <c r="AE171" s="95"/>
      <c r="AF171" s="95"/>
      <c r="AG171" s="95"/>
      <c r="AH171" s="2"/>
      <c r="AI171" s="2"/>
      <c r="AJ171" s="2"/>
      <c r="AK171" s="2"/>
    </row>
    <row r="172" spans="1:37" ht="25.5" customHeight="1" x14ac:dyDescent="0.2">
      <c r="A172" s="1"/>
      <c r="B172" s="2551"/>
      <c r="C172" s="2551"/>
      <c r="D172" s="57" t="s">
        <v>22</v>
      </c>
      <c r="E172" s="152">
        <f>E171/$H$171*100</f>
        <v>98.402134857982119</v>
      </c>
      <c r="F172" s="152">
        <f>F171/$H$171*100</f>
        <v>0</v>
      </c>
      <c r="G172" s="152">
        <f>G171/$H$171*100</f>
        <v>1.5978651420178867</v>
      </c>
      <c r="H172" s="152">
        <f>H171/$H$171*100</f>
        <v>100</v>
      </c>
      <c r="I172" s="152">
        <f>H171/$H$201*100</f>
        <v>5.6968351958125165</v>
      </c>
      <c r="J172" s="2470"/>
      <c r="K172" s="2607"/>
      <c r="L172" s="2607"/>
      <c r="M172" s="2607"/>
      <c r="N172" s="2470"/>
      <c r="O172" s="103"/>
      <c r="P172" s="103"/>
      <c r="Q172" s="103"/>
      <c r="R172" s="95"/>
      <c r="AE172" s="95"/>
      <c r="AF172" s="95"/>
      <c r="AG172" s="95"/>
      <c r="AH172" s="2"/>
      <c r="AI172" s="2"/>
      <c r="AJ172" s="2"/>
      <c r="AK172" s="2"/>
    </row>
    <row r="173" spans="1:37" ht="25.5" customHeight="1" x14ac:dyDescent="0.2">
      <c r="A173" s="1"/>
      <c r="B173" s="2551" t="s">
        <v>117</v>
      </c>
      <c r="C173" s="2551"/>
      <c r="D173" s="57" t="s">
        <v>21</v>
      </c>
      <c r="E173" s="150">
        <f>'TH Thương hiệu DC2'!Y115</f>
        <v>33268.5</v>
      </c>
      <c r="F173" s="150">
        <f>'TH Thương hiệu DC2'!Y116</f>
        <v>0</v>
      </c>
      <c r="G173" s="150">
        <f>'TH Thương hiệu DC2'!Y117</f>
        <v>353</v>
      </c>
      <c r="H173" s="150">
        <f>SUM(E173:G173)</f>
        <v>33621.5</v>
      </c>
      <c r="I173" s="151"/>
      <c r="J173" s="2470"/>
      <c r="K173" s="2607"/>
      <c r="L173" s="2607"/>
      <c r="M173" s="2607"/>
      <c r="N173" s="2470"/>
      <c r="O173" s="103"/>
      <c r="P173" s="103"/>
      <c r="Q173" s="103"/>
      <c r="R173" s="95"/>
      <c r="AE173" s="95"/>
      <c r="AF173" s="95"/>
      <c r="AG173" s="95"/>
      <c r="AH173" s="2"/>
      <c r="AI173" s="2"/>
      <c r="AJ173" s="2"/>
      <c r="AK173" s="2"/>
    </row>
    <row r="174" spans="1:37" ht="25.5" customHeight="1" x14ac:dyDescent="0.2">
      <c r="A174" s="1"/>
      <c r="B174" s="2551"/>
      <c r="C174" s="2551"/>
      <c r="D174" s="57" t="s">
        <v>22</v>
      </c>
      <c r="E174" s="152">
        <f>E173/$H$173*100</f>
        <v>98.950076587897627</v>
      </c>
      <c r="F174" s="152">
        <f>F173/$H$173*100</f>
        <v>0</v>
      </c>
      <c r="G174" s="152">
        <f>G173/$H$173*100</f>
        <v>1.0499234121023751</v>
      </c>
      <c r="H174" s="231">
        <f>H173/$H$173*100</f>
        <v>100</v>
      </c>
      <c r="I174" s="152">
        <f>H173/$H$201*100</f>
        <v>2.5116859153926212</v>
      </c>
      <c r="J174" s="2470"/>
      <c r="K174" s="2470"/>
      <c r="L174" s="2470"/>
      <c r="M174" s="2470"/>
      <c r="N174" s="2470"/>
      <c r="O174" s="103"/>
      <c r="P174" s="103"/>
      <c r="Q174" s="103"/>
      <c r="R174" s="95"/>
      <c r="AE174" s="95"/>
      <c r="AF174" s="95"/>
      <c r="AG174" s="95"/>
      <c r="AH174" s="2"/>
      <c r="AI174" s="2"/>
      <c r="AJ174" s="2"/>
      <c r="AK174" s="2"/>
    </row>
    <row r="175" spans="1:37" ht="25.5" customHeight="1" x14ac:dyDescent="0.2">
      <c r="A175" s="1"/>
      <c r="B175" s="2551" t="s">
        <v>120</v>
      </c>
      <c r="C175" s="2551"/>
      <c r="D175" s="57" t="s">
        <v>21</v>
      </c>
      <c r="E175" s="150"/>
      <c r="F175" s="150"/>
      <c r="G175" s="150"/>
      <c r="H175" s="150">
        <f>SUM(E175:G175)</f>
        <v>0</v>
      </c>
      <c r="I175" s="151"/>
      <c r="J175" s="2606" t="s">
        <v>382</v>
      </c>
      <c r="K175" s="2470"/>
      <c r="L175" s="2470"/>
      <c r="M175" s="2470"/>
      <c r="N175" s="2470"/>
      <c r="O175" s="103"/>
      <c r="P175" s="103"/>
      <c r="Q175" s="103"/>
      <c r="R175" s="95"/>
      <c r="AE175" s="95"/>
      <c r="AF175" s="95"/>
      <c r="AG175" s="95"/>
      <c r="AH175" s="2"/>
      <c r="AI175" s="2"/>
      <c r="AJ175" s="2"/>
      <c r="AK175" s="2"/>
    </row>
    <row r="176" spans="1:37" ht="25.5" customHeight="1" x14ac:dyDescent="0.2">
      <c r="A176" s="1"/>
      <c r="B176" s="2551"/>
      <c r="C176" s="2551"/>
      <c r="D176" s="57" t="s">
        <v>22</v>
      </c>
      <c r="E176" s="152" t="e">
        <f>E175/$H$175*100</f>
        <v>#DIV/0!</v>
      </c>
      <c r="F176" s="152" t="e">
        <f>F175/$H$175*100</f>
        <v>#DIV/0!</v>
      </c>
      <c r="G176" s="152" t="e">
        <f>G175/$H$175*100</f>
        <v>#DIV/0!</v>
      </c>
      <c r="H176" s="152" t="e">
        <f>H175/$H$175*100</f>
        <v>#DIV/0!</v>
      </c>
      <c r="I176" s="152">
        <f>H175/$H$201*100</f>
        <v>0</v>
      </c>
      <c r="J176" s="2470"/>
      <c r="K176" s="2607"/>
      <c r="L176" s="2607"/>
      <c r="M176" s="2607"/>
      <c r="N176" s="2470"/>
      <c r="O176" s="103"/>
      <c r="P176" s="103"/>
      <c r="Q176" s="103"/>
      <c r="R176" s="95"/>
      <c r="AE176" s="95"/>
      <c r="AF176" s="95"/>
      <c r="AG176" s="95"/>
      <c r="AH176" s="2"/>
      <c r="AI176" s="2"/>
      <c r="AJ176" s="2"/>
      <c r="AK176" s="2"/>
    </row>
    <row r="177" spans="1:37" ht="25.5" customHeight="1" x14ac:dyDescent="0.2">
      <c r="A177" s="1"/>
      <c r="B177" s="2551" t="s">
        <v>109</v>
      </c>
      <c r="C177" s="2551"/>
      <c r="D177" s="57" t="s">
        <v>21</v>
      </c>
      <c r="E177" s="150">
        <f>'TH Thương hiệu DC2'!Y40</f>
        <v>58545</v>
      </c>
      <c r="F177" s="150">
        <f>'TH Thương hiệu DC2'!Y41</f>
        <v>0</v>
      </c>
      <c r="G177" s="150">
        <f>'TH Thương hiệu DC2'!Y42</f>
        <v>4089.24</v>
      </c>
      <c r="H177" s="150">
        <f>SUM(E177:G177)</f>
        <v>62634.239999999998</v>
      </c>
      <c r="I177" s="151"/>
      <c r="J177" s="2470"/>
      <c r="K177" s="2607"/>
      <c r="L177" s="2607"/>
      <c r="M177" s="2607"/>
      <c r="N177" s="2470"/>
      <c r="O177" s="103"/>
      <c r="P177" s="103"/>
      <c r="Q177" s="103"/>
      <c r="R177" s="95"/>
      <c r="AE177" s="95"/>
      <c r="AF177" s="95"/>
      <c r="AG177" s="95"/>
      <c r="AH177" s="2"/>
      <c r="AI177" s="2"/>
      <c r="AJ177" s="2"/>
      <c r="AK177" s="2"/>
    </row>
    <row r="178" spans="1:37" ht="25.5" customHeight="1" x14ac:dyDescent="0.2">
      <c r="A178" s="1"/>
      <c r="B178" s="2551"/>
      <c r="C178" s="2551"/>
      <c r="D178" s="57" t="s">
        <v>22</v>
      </c>
      <c r="E178" s="152">
        <f>E177/$H$177*100</f>
        <v>93.471238734596284</v>
      </c>
      <c r="F178" s="152">
        <f>F177/$H$177*100</f>
        <v>0</v>
      </c>
      <c r="G178" s="152">
        <f>G177/$H$177*100</f>
        <v>6.5287612654037153</v>
      </c>
      <c r="H178" s="152">
        <f>H177/$H$177*100</f>
        <v>100</v>
      </c>
      <c r="I178" s="152">
        <f>H177/$H$201*100</f>
        <v>4.6790755447948822</v>
      </c>
      <c r="J178" s="2470"/>
      <c r="K178" s="2607"/>
      <c r="L178" s="2607"/>
      <c r="M178" s="2607"/>
      <c r="N178" s="2470"/>
      <c r="O178" s="103"/>
      <c r="P178" s="103"/>
      <c r="Q178" s="103"/>
      <c r="R178" s="95"/>
      <c r="AE178" s="95"/>
      <c r="AF178" s="95"/>
      <c r="AG178" s="95"/>
      <c r="AH178" s="2"/>
      <c r="AI178" s="2"/>
      <c r="AJ178" s="2"/>
      <c r="AK178" s="2"/>
    </row>
    <row r="179" spans="1:37" ht="25.5" customHeight="1" x14ac:dyDescent="0.2">
      <c r="A179" s="1"/>
      <c r="B179" s="2551" t="s">
        <v>146</v>
      </c>
      <c r="C179" s="2551"/>
      <c r="D179" s="57" t="s">
        <v>21</v>
      </c>
      <c r="E179" s="150">
        <f>'TH Thương hiệu DC2'!Y43</f>
        <v>19218.599999999999</v>
      </c>
      <c r="F179" s="150">
        <f>'TH Thương hiệu DC2'!Y44</f>
        <v>0</v>
      </c>
      <c r="G179" s="150">
        <f>'TH Thương hiệu DC2'!Y45</f>
        <v>537.84</v>
      </c>
      <c r="H179" s="150">
        <f>SUM(E179:G179)</f>
        <v>19756.439999999999</v>
      </c>
      <c r="I179" s="151"/>
      <c r="J179" s="2470"/>
      <c r="K179" s="2607"/>
      <c r="L179" s="2607"/>
      <c r="M179" s="2607"/>
      <c r="N179" s="2470"/>
      <c r="O179" s="103"/>
      <c r="P179" s="103"/>
      <c r="Q179" s="103"/>
      <c r="R179" s="95"/>
      <c r="AE179" s="95"/>
      <c r="AF179" s="95"/>
      <c r="AG179" s="95"/>
      <c r="AH179" s="2"/>
      <c r="AI179" s="2"/>
      <c r="AJ179" s="2"/>
      <c r="AK179" s="2"/>
    </row>
    <row r="180" spans="1:37" ht="25.5" customHeight="1" x14ac:dyDescent="0.2">
      <c r="A180" s="1"/>
      <c r="B180" s="2551"/>
      <c r="C180" s="2551"/>
      <c r="D180" s="57" t="s">
        <v>22</v>
      </c>
      <c r="E180" s="151">
        <f>E179/$H$179*100</f>
        <v>97.27764718744875</v>
      </c>
      <c r="F180" s="151">
        <f>F179/$H$179*100</f>
        <v>0</v>
      </c>
      <c r="G180" s="151">
        <f>G179/$H$179*100</f>
        <v>2.7223528125512493</v>
      </c>
      <c r="H180" s="151">
        <f>H179/$H$179*100</f>
        <v>100</v>
      </c>
      <c r="I180" s="151">
        <f>H179/$H$201*100</f>
        <v>1.4759000070282229</v>
      </c>
      <c r="J180" s="2470"/>
      <c r="K180" s="2607"/>
      <c r="L180" s="2607"/>
      <c r="M180" s="2607"/>
      <c r="N180" s="2470"/>
      <c r="O180" s="103"/>
      <c r="P180" s="103"/>
      <c r="Q180" s="103"/>
      <c r="R180" s="95"/>
      <c r="AE180" s="95"/>
      <c r="AF180" s="95"/>
      <c r="AG180" s="95"/>
      <c r="AH180" s="2"/>
      <c r="AI180" s="2"/>
      <c r="AJ180" s="2"/>
      <c r="AK180" s="2"/>
    </row>
    <row r="181" spans="1:37" ht="25.5" customHeight="1" x14ac:dyDescent="0.2">
      <c r="A181" s="1"/>
      <c r="B181" s="2551" t="s">
        <v>129</v>
      </c>
      <c r="C181" s="2551"/>
      <c r="D181" s="57" t="s">
        <v>21</v>
      </c>
      <c r="E181" s="150">
        <f>'TH Thương hiệu DC2'!Y46</f>
        <v>0</v>
      </c>
      <c r="F181" s="150">
        <f>'TH Thương hiệu DC2'!Y47</f>
        <v>0</v>
      </c>
      <c r="G181" s="150">
        <f>'TH Thương hiệu DC2'!Y48</f>
        <v>0</v>
      </c>
      <c r="H181" s="150">
        <f>SUM(E181:G181)</f>
        <v>0</v>
      </c>
      <c r="I181" s="151"/>
      <c r="J181" s="2470"/>
      <c r="K181" s="2607"/>
      <c r="L181" s="2607"/>
      <c r="M181" s="2607"/>
      <c r="N181" s="2470"/>
      <c r="O181" s="103"/>
      <c r="P181" s="103"/>
      <c r="Q181" s="103"/>
      <c r="R181" s="95"/>
      <c r="AE181" s="95"/>
      <c r="AF181" s="95"/>
      <c r="AG181" s="95"/>
      <c r="AH181" s="2"/>
      <c r="AI181" s="2"/>
      <c r="AJ181" s="2"/>
      <c r="AK181" s="2"/>
    </row>
    <row r="182" spans="1:37" ht="25.5" customHeight="1" x14ac:dyDescent="0.2">
      <c r="A182" s="1"/>
      <c r="B182" s="2551"/>
      <c r="C182" s="2551"/>
      <c r="D182" s="57" t="s">
        <v>22</v>
      </c>
      <c r="E182" s="151" t="e">
        <f>E181/$H$181*100</f>
        <v>#DIV/0!</v>
      </c>
      <c r="F182" s="151" t="e">
        <f>F181/$H$181*100</f>
        <v>#DIV/0!</v>
      </c>
      <c r="G182" s="151" t="e">
        <f>G181/$H$181*100</f>
        <v>#DIV/0!</v>
      </c>
      <c r="H182" s="151" t="e">
        <f>H181/$H$181*100</f>
        <v>#DIV/0!</v>
      </c>
      <c r="I182" s="151">
        <f>H181/$H$201*100</f>
        <v>0</v>
      </c>
      <c r="J182" s="2470"/>
      <c r="K182" s="2607"/>
      <c r="L182" s="2607"/>
      <c r="M182" s="2607"/>
      <c r="N182" s="2470"/>
      <c r="O182" s="103"/>
      <c r="P182" s="103"/>
      <c r="Q182" s="103"/>
      <c r="R182" s="95"/>
      <c r="AE182" s="95"/>
      <c r="AF182" s="95"/>
      <c r="AG182" s="95"/>
      <c r="AH182" s="2"/>
      <c r="AI182" s="2"/>
      <c r="AJ182" s="2"/>
      <c r="AK182" s="2"/>
    </row>
    <row r="183" spans="1:37" ht="25.5" customHeight="1" x14ac:dyDescent="0.2">
      <c r="A183" s="1"/>
      <c r="B183" s="2551" t="s">
        <v>125</v>
      </c>
      <c r="C183" s="2551"/>
      <c r="D183" s="57" t="s">
        <v>21</v>
      </c>
      <c r="E183" s="150"/>
      <c r="F183" s="150"/>
      <c r="G183" s="150"/>
      <c r="H183" s="150"/>
      <c r="I183" s="151"/>
      <c r="J183" s="2470"/>
      <c r="K183" s="2607"/>
      <c r="L183" s="2607"/>
      <c r="M183" s="2607"/>
      <c r="N183" s="2470"/>
      <c r="O183" s="103"/>
      <c r="P183" s="103"/>
      <c r="Q183" s="103"/>
      <c r="R183" s="95"/>
      <c r="AE183" s="95"/>
      <c r="AF183" s="95"/>
      <c r="AG183" s="95"/>
      <c r="AH183" s="2"/>
      <c r="AI183" s="2"/>
      <c r="AJ183" s="2"/>
      <c r="AK183" s="2"/>
    </row>
    <row r="184" spans="1:37" ht="25.5" customHeight="1" x14ac:dyDescent="0.2">
      <c r="A184" s="1"/>
      <c r="B184" s="2551"/>
      <c r="C184" s="2551"/>
      <c r="D184" s="57" t="s">
        <v>22</v>
      </c>
      <c r="E184" s="152" t="e">
        <f>E183/$H$183*100</f>
        <v>#DIV/0!</v>
      </c>
      <c r="F184" s="152" t="e">
        <f>F183/$H$183*100</f>
        <v>#DIV/0!</v>
      </c>
      <c r="G184" s="152" t="e">
        <f>G183/$H$183*100</f>
        <v>#DIV/0!</v>
      </c>
      <c r="H184" s="152" t="e">
        <f>H183/$H$183*100</f>
        <v>#DIV/0!</v>
      </c>
      <c r="I184" s="152">
        <f>H183/$H$201*100</f>
        <v>0</v>
      </c>
      <c r="J184" s="2470"/>
      <c r="K184" s="2607"/>
      <c r="L184" s="2607"/>
      <c r="M184" s="2607"/>
      <c r="N184" s="2470"/>
      <c r="O184" s="103"/>
      <c r="P184" s="103"/>
      <c r="Q184" s="103"/>
      <c r="R184" s="95"/>
      <c r="AE184" s="95"/>
      <c r="AF184" s="95"/>
      <c r="AG184" s="95"/>
      <c r="AH184" s="2"/>
      <c r="AI184" s="2"/>
      <c r="AJ184" s="2"/>
      <c r="AK184" s="2"/>
    </row>
    <row r="185" spans="1:37" ht="25.5" customHeight="1" x14ac:dyDescent="0.2">
      <c r="A185" s="1"/>
      <c r="B185" s="2551" t="s">
        <v>117</v>
      </c>
      <c r="C185" s="2551"/>
      <c r="D185" s="57" t="s">
        <v>21</v>
      </c>
      <c r="E185" s="150">
        <f>'TH Thương hiệu DC2'!Y49</f>
        <v>5306.4</v>
      </c>
      <c r="F185" s="150">
        <f>'TH Thương hiệu DC2'!Y50</f>
        <v>0</v>
      </c>
      <c r="G185" s="150">
        <f>'TH Thương hiệu DC2'!Y51</f>
        <v>361.44</v>
      </c>
      <c r="H185" s="150">
        <f>SUM(E185:G185)</f>
        <v>5667.8399999999992</v>
      </c>
      <c r="I185" s="151"/>
      <c r="J185" s="2470"/>
      <c r="K185" s="2607"/>
      <c r="L185" s="2607"/>
      <c r="M185" s="2607"/>
      <c r="N185" s="2470"/>
      <c r="O185" s="103"/>
      <c r="P185" s="103"/>
      <c r="Q185" s="103"/>
      <c r="R185" s="95"/>
      <c r="AE185" s="95"/>
      <c r="AF185" s="95"/>
      <c r="AG185" s="95"/>
      <c r="AH185" s="2"/>
      <c r="AI185" s="2"/>
      <c r="AJ185" s="2"/>
      <c r="AK185" s="2"/>
    </row>
    <row r="186" spans="1:37" ht="25.5" customHeight="1" x14ac:dyDescent="0.2">
      <c r="A186" s="1"/>
      <c r="B186" s="2551"/>
      <c r="C186" s="2551"/>
      <c r="D186" s="57" t="s">
        <v>22</v>
      </c>
      <c r="E186" s="152">
        <f>E185/$H$185*100</f>
        <v>93.622967479674799</v>
      </c>
      <c r="F186" s="152">
        <f>F185/$H$185*100</f>
        <v>0</v>
      </c>
      <c r="G186" s="152">
        <f>G185/$H$185*100</f>
        <v>6.3770325203252041</v>
      </c>
      <c r="H186" s="152">
        <f>H185/$H$185*100</f>
        <v>100</v>
      </c>
      <c r="I186" s="152">
        <f>H185/$H$201*100</f>
        <v>0.42341459776330359</v>
      </c>
      <c r="J186" s="2470"/>
      <c r="K186" s="2470"/>
      <c r="L186" s="2470"/>
      <c r="M186" s="2470"/>
      <c r="N186" s="2470"/>
      <c r="O186" s="103"/>
      <c r="P186" s="103"/>
      <c r="Q186" s="103"/>
      <c r="R186" s="95"/>
      <c r="AE186" s="95"/>
      <c r="AF186" s="95"/>
      <c r="AG186" s="95"/>
      <c r="AH186" s="2"/>
      <c r="AI186" s="2"/>
      <c r="AJ186" s="2"/>
      <c r="AK186" s="2"/>
    </row>
    <row r="187" spans="1:37" ht="25.5" customHeight="1" x14ac:dyDescent="0.2">
      <c r="A187" s="1"/>
      <c r="B187" s="2551" t="s">
        <v>129</v>
      </c>
      <c r="C187" s="2551"/>
      <c r="D187" s="57" t="s">
        <v>21</v>
      </c>
      <c r="E187" s="150"/>
      <c r="F187" s="150"/>
      <c r="G187" s="150"/>
      <c r="H187" s="150">
        <f>SUM(E187:G187)</f>
        <v>0</v>
      </c>
      <c r="I187" s="625"/>
      <c r="J187" s="2598" t="s">
        <v>383</v>
      </c>
      <c r="K187" s="2598"/>
      <c r="L187" s="2598"/>
      <c r="M187" s="2598"/>
      <c r="N187" s="2598"/>
      <c r="O187" s="103"/>
      <c r="P187" s="103"/>
      <c r="Q187" s="103"/>
      <c r="R187" s="95"/>
      <c r="AE187" s="95"/>
      <c r="AF187" s="95"/>
      <c r="AG187" s="95"/>
      <c r="AH187" s="2"/>
      <c r="AI187" s="2"/>
      <c r="AJ187" s="2"/>
      <c r="AK187" s="2"/>
    </row>
    <row r="188" spans="1:37" ht="25.5" customHeight="1" x14ac:dyDescent="0.2">
      <c r="A188" s="1"/>
      <c r="B188" s="2551"/>
      <c r="C188" s="2551"/>
      <c r="D188" s="57" t="s">
        <v>22</v>
      </c>
      <c r="E188" s="151" t="e">
        <f>E187/$H$187*100</f>
        <v>#DIV/0!</v>
      </c>
      <c r="F188" s="151" t="e">
        <f>F187/$H$187*100</f>
        <v>#DIV/0!</v>
      </c>
      <c r="G188" s="151" t="e">
        <f>G187/$H$187*100</f>
        <v>#DIV/0!</v>
      </c>
      <c r="H188" s="151" t="e">
        <f>H187/$H$187*100</f>
        <v>#DIV/0!</v>
      </c>
      <c r="I188" s="625">
        <f>H187/$H$201*100</f>
        <v>0</v>
      </c>
      <c r="J188" s="2598"/>
      <c r="K188" s="2598"/>
      <c r="L188" s="2598"/>
      <c r="M188" s="2598"/>
      <c r="N188" s="2598"/>
      <c r="O188" s="103"/>
      <c r="P188" s="103"/>
      <c r="Q188" s="103"/>
      <c r="R188" s="95"/>
      <c r="AE188" s="95"/>
      <c r="AF188" s="95"/>
      <c r="AG188" s="95"/>
      <c r="AH188" s="2"/>
      <c r="AI188" s="2"/>
      <c r="AJ188" s="2"/>
      <c r="AK188" s="2"/>
    </row>
    <row r="189" spans="1:37" ht="25.5" customHeight="1" x14ac:dyDescent="0.2">
      <c r="A189" s="1"/>
      <c r="B189" s="2551" t="s">
        <v>120</v>
      </c>
      <c r="C189" s="2551"/>
      <c r="D189" s="57" t="s">
        <v>21</v>
      </c>
      <c r="E189" s="150"/>
      <c r="F189" s="150"/>
      <c r="G189" s="150"/>
      <c r="H189" s="150">
        <f>SUM(E189:G189)</f>
        <v>0</v>
      </c>
      <c r="I189" s="625"/>
      <c r="J189" s="2598"/>
      <c r="K189" s="2598"/>
      <c r="L189" s="2598"/>
      <c r="M189" s="2598"/>
      <c r="N189" s="2598"/>
      <c r="O189" s="103"/>
      <c r="P189" s="103"/>
      <c r="Q189" s="103"/>
      <c r="R189" s="95"/>
      <c r="AE189" s="95"/>
      <c r="AF189" s="95"/>
      <c r="AG189" s="95"/>
      <c r="AH189" s="2"/>
      <c r="AI189" s="2"/>
      <c r="AJ189" s="2"/>
      <c r="AK189" s="2"/>
    </row>
    <row r="190" spans="1:37" ht="25.5" customHeight="1" x14ac:dyDescent="0.2">
      <c r="A190" s="1"/>
      <c r="B190" s="2551"/>
      <c r="C190" s="2551"/>
      <c r="D190" s="57" t="s">
        <v>22</v>
      </c>
      <c r="E190" s="152" t="e">
        <f>E189/$H$189*100</f>
        <v>#DIV/0!</v>
      </c>
      <c r="F190" s="152" t="e">
        <f>F189/$H$189*100</f>
        <v>#DIV/0!</v>
      </c>
      <c r="G190" s="152" t="e">
        <f>G189/$H$189*100</f>
        <v>#DIV/0!</v>
      </c>
      <c r="H190" s="152" t="e">
        <f>H189/$H$189*100</f>
        <v>#DIV/0!</v>
      </c>
      <c r="I190" s="626">
        <f>H189/$H$201*100</f>
        <v>0</v>
      </c>
      <c r="J190" s="2598"/>
      <c r="K190" s="2598"/>
      <c r="L190" s="2598"/>
      <c r="M190" s="2598"/>
      <c r="N190" s="2598"/>
      <c r="O190" s="103"/>
      <c r="P190" s="103"/>
      <c r="Q190" s="103"/>
      <c r="R190" s="95"/>
      <c r="AE190" s="95"/>
      <c r="AF190" s="95"/>
      <c r="AG190" s="95"/>
      <c r="AH190" s="2"/>
      <c r="AI190" s="2"/>
      <c r="AJ190" s="2"/>
      <c r="AK190" s="2"/>
    </row>
    <row r="191" spans="1:37" ht="25.5" customHeight="1" x14ac:dyDescent="0.2">
      <c r="A191" s="1"/>
      <c r="B191" s="2551" t="s">
        <v>117</v>
      </c>
      <c r="C191" s="2551"/>
      <c r="D191" s="57" t="s">
        <v>21</v>
      </c>
      <c r="E191" s="150"/>
      <c r="F191" s="150"/>
      <c r="G191" s="150"/>
      <c r="H191" s="150">
        <f>SUM(E191:G191)</f>
        <v>0</v>
      </c>
      <c r="I191" s="625"/>
      <c r="J191" s="2598"/>
      <c r="K191" s="2598"/>
      <c r="L191" s="2598"/>
      <c r="M191" s="2598"/>
      <c r="N191" s="2598"/>
      <c r="O191" s="103"/>
      <c r="P191" s="103"/>
      <c r="Q191" s="103"/>
      <c r="R191" s="95"/>
      <c r="AE191" s="95"/>
      <c r="AF191" s="95"/>
      <c r="AG191" s="95"/>
      <c r="AH191" s="2"/>
      <c r="AI191" s="2"/>
      <c r="AJ191" s="2"/>
      <c r="AK191" s="2"/>
    </row>
    <row r="192" spans="1:37" ht="25.5" customHeight="1" x14ac:dyDescent="0.2">
      <c r="A192" s="1"/>
      <c r="B192" s="2551"/>
      <c r="C192" s="2551"/>
      <c r="D192" s="57" t="s">
        <v>22</v>
      </c>
      <c r="E192" s="152" t="e">
        <f>E191/$H$191*100</f>
        <v>#DIV/0!</v>
      </c>
      <c r="F192" s="152" t="e">
        <f>F191/$H$191*100</f>
        <v>#DIV/0!</v>
      </c>
      <c r="G192" s="152" t="e">
        <f>G191/$H$191*100</f>
        <v>#DIV/0!</v>
      </c>
      <c r="H192" s="152" t="e">
        <f>H191/$H$191*100</f>
        <v>#DIV/0!</v>
      </c>
      <c r="I192" s="626">
        <f>H191/$H$201*100</f>
        <v>0</v>
      </c>
      <c r="J192" s="2598"/>
      <c r="K192" s="2598"/>
      <c r="L192" s="2598"/>
      <c r="M192" s="2598"/>
      <c r="N192" s="2598"/>
      <c r="O192" s="103"/>
      <c r="P192" s="103"/>
      <c r="Q192" s="103"/>
      <c r="R192" s="95"/>
      <c r="AE192" s="95"/>
      <c r="AF192" s="95"/>
      <c r="AG192" s="95"/>
      <c r="AH192" s="2"/>
      <c r="AI192" s="2"/>
      <c r="AJ192" s="2"/>
      <c r="AK192" s="2"/>
    </row>
    <row r="193" spans="1:37" ht="25.5" customHeight="1" x14ac:dyDescent="0.2">
      <c r="A193" s="1"/>
      <c r="B193" s="2616" t="s">
        <v>109</v>
      </c>
      <c r="C193" s="2617"/>
      <c r="D193" s="190" t="s">
        <v>21</v>
      </c>
      <c r="E193" s="191">
        <f>'TH Thương hiệu DC2'!Y70</f>
        <v>7331.4</v>
      </c>
      <c r="F193" s="191">
        <f>'TH Thương hiệu DC2'!Y71</f>
        <v>0</v>
      </c>
      <c r="G193" s="191">
        <f>'TH Thương hiệu DC2'!Y72</f>
        <v>192.96</v>
      </c>
      <c r="H193" s="191">
        <f>SUM(E193:G193)</f>
        <v>7524.36</v>
      </c>
      <c r="I193" s="627"/>
      <c r="J193" s="2598"/>
      <c r="K193" s="2598"/>
      <c r="L193" s="2598"/>
      <c r="M193" s="2598"/>
      <c r="N193" s="2598"/>
      <c r="O193" s="103"/>
      <c r="P193" s="103"/>
      <c r="Q193" s="103"/>
      <c r="R193" s="95"/>
      <c r="AE193" s="95"/>
      <c r="AF193" s="95"/>
      <c r="AG193" s="95"/>
      <c r="AH193" s="2"/>
      <c r="AI193" s="2"/>
      <c r="AJ193" s="2"/>
      <c r="AK193" s="2"/>
    </row>
    <row r="194" spans="1:37" ht="25.5" customHeight="1" x14ac:dyDescent="0.2">
      <c r="A194" s="1"/>
      <c r="B194" s="2582"/>
      <c r="C194" s="2584"/>
      <c r="D194" s="129" t="s">
        <v>22</v>
      </c>
      <c r="E194" s="134">
        <f>E193/$H$193*100</f>
        <v>97.43552940050715</v>
      </c>
      <c r="F194" s="134">
        <f>F193/$H$193*100</f>
        <v>0</v>
      </c>
      <c r="G194" s="134">
        <f>G193/$H$193*100</f>
        <v>2.5644705994928474</v>
      </c>
      <c r="H194" s="134">
        <f>H193/$H$193*100</f>
        <v>100</v>
      </c>
      <c r="I194" s="628">
        <f>H193/$H$201*100</f>
        <v>0.56210546924865401</v>
      </c>
      <c r="J194" s="2598"/>
      <c r="K194" s="2598"/>
      <c r="L194" s="2598"/>
      <c r="M194" s="2598"/>
      <c r="N194" s="2598"/>
      <c r="O194" s="103"/>
      <c r="P194" s="103"/>
      <c r="Q194" s="103"/>
      <c r="R194" s="103"/>
      <c r="S194" s="763"/>
      <c r="T194" s="763"/>
      <c r="U194" s="763"/>
      <c r="V194" s="763"/>
      <c r="W194" s="763"/>
      <c r="X194" s="763"/>
      <c r="Y194" s="103"/>
      <c r="Z194" s="103"/>
      <c r="AA194" s="103"/>
      <c r="AB194" s="103"/>
      <c r="AC194" s="103"/>
      <c r="AD194" s="103"/>
      <c r="AE194" s="95"/>
      <c r="AF194" s="95"/>
      <c r="AG194" s="95"/>
      <c r="AH194" s="2"/>
      <c r="AI194" s="2"/>
      <c r="AJ194" s="2"/>
      <c r="AK194" s="2"/>
    </row>
    <row r="195" spans="1:37" ht="25.5" customHeight="1" x14ac:dyDescent="0.2">
      <c r="A195" s="1"/>
      <c r="B195" s="2579" t="s">
        <v>125</v>
      </c>
      <c r="C195" s="2581"/>
      <c r="D195" s="129" t="s">
        <v>21</v>
      </c>
      <c r="E195" s="131">
        <f>'TH Thương hiệu DC2'!Y73</f>
        <v>4341.6000000000004</v>
      </c>
      <c r="F195" s="131">
        <f>'TH Thương hiệu DC2'!Y74</f>
        <v>0</v>
      </c>
      <c r="G195" s="131">
        <f>'TH Thương hiệu DC2'!Y75</f>
        <v>140.04</v>
      </c>
      <c r="H195" s="131">
        <f>SUM(E195:G195)</f>
        <v>4481.6400000000003</v>
      </c>
      <c r="I195" s="629"/>
      <c r="J195" s="2598"/>
      <c r="K195" s="2598"/>
      <c r="L195" s="2598"/>
      <c r="M195" s="2598"/>
      <c r="N195" s="2598"/>
      <c r="O195" s="103"/>
      <c r="P195" s="103"/>
      <c r="Q195" s="103"/>
      <c r="R195" s="95"/>
      <c r="AE195" s="95"/>
      <c r="AF195" s="95"/>
      <c r="AG195" s="95"/>
      <c r="AH195" s="2"/>
      <c r="AI195" s="2"/>
      <c r="AJ195" s="2"/>
      <c r="AK195" s="2"/>
    </row>
    <row r="196" spans="1:37" ht="25.5" customHeight="1" x14ac:dyDescent="0.2">
      <c r="A196" s="1"/>
      <c r="B196" s="2582"/>
      <c r="C196" s="2584"/>
      <c r="D196" s="129" t="s">
        <v>22</v>
      </c>
      <c r="E196" s="134">
        <f>E195/$H$195*100</f>
        <v>96.875251024178652</v>
      </c>
      <c r="F196" s="134">
        <f>F195/$H$195*100</f>
        <v>0</v>
      </c>
      <c r="G196" s="134">
        <f>G195/$H$195*100</f>
        <v>3.1247489758213507</v>
      </c>
      <c r="H196" s="134">
        <f>H195/$H$195*100</f>
        <v>100</v>
      </c>
      <c r="I196" s="628">
        <f>H195/$H$201*100</f>
        <v>0.33479981755305943</v>
      </c>
      <c r="J196" s="2598"/>
      <c r="K196" s="2598"/>
      <c r="L196" s="2598"/>
      <c r="M196" s="2598"/>
      <c r="N196" s="2598"/>
      <c r="O196" s="103"/>
      <c r="P196" s="103"/>
      <c r="Q196" s="103"/>
      <c r="R196" s="103"/>
      <c r="S196" s="763"/>
      <c r="T196" s="763"/>
      <c r="U196" s="763"/>
      <c r="V196" s="763"/>
      <c r="W196" s="763"/>
      <c r="X196" s="763"/>
      <c r="Y196" s="103"/>
      <c r="Z196" s="103"/>
      <c r="AA196" s="103"/>
      <c r="AB196" s="158"/>
      <c r="AC196" s="158"/>
      <c r="AD196" s="158"/>
      <c r="AE196" s="95"/>
      <c r="AF196" s="95"/>
      <c r="AG196" s="95"/>
      <c r="AH196" s="2"/>
      <c r="AI196" s="2"/>
      <c r="AJ196" s="2"/>
      <c r="AK196" s="2"/>
    </row>
    <row r="197" spans="1:37" ht="25.5" customHeight="1" x14ac:dyDescent="0.2">
      <c r="A197" s="1"/>
      <c r="B197" s="2579" t="s">
        <v>112</v>
      </c>
      <c r="C197" s="2581"/>
      <c r="D197" s="129" t="s">
        <v>21</v>
      </c>
      <c r="E197" s="131"/>
      <c r="F197" s="131"/>
      <c r="G197" s="131"/>
      <c r="H197" s="131">
        <f>SUM(E197:G197)</f>
        <v>0</v>
      </c>
      <c r="I197" s="629"/>
      <c r="J197" s="2598"/>
      <c r="K197" s="2598"/>
      <c r="L197" s="2598"/>
      <c r="M197" s="2598"/>
      <c r="N197" s="2598"/>
      <c r="O197" s="103"/>
      <c r="P197" s="103"/>
      <c r="Q197" s="103"/>
      <c r="R197" s="95"/>
      <c r="AE197" s="95"/>
      <c r="AF197" s="95"/>
      <c r="AG197" s="95"/>
      <c r="AH197" s="2"/>
      <c r="AI197" s="2"/>
      <c r="AJ197" s="2"/>
      <c r="AK197" s="2"/>
    </row>
    <row r="198" spans="1:37" ht="25.5" customHeight="1" x14ac:dyDescent="0.2">
      <c r="A198" s="1"/>
      <c r="B198" s="2582"/>
      <c r="C198" s="2584"/>
      <c r="D198" s="129" t="s">
        <v>22</v>
      </c>
      <c r="E198" s="134" t="e">
        <f>E197/$H$197*100</f>
        <v>#DIV/0!</v>
      </c>
      <c r="F198" s="134" t="e">
        <f>F197/$H$197*100</f>
        <v>#DIV/0!</v>
      </c>
      <c r="G198" s="134" t="e">
        <f>G197/$H$197*100</f>
        <v>#DIV/0!</v>
      </c>
      <c r="H198" s="134" t="e">
        <f>H197/$H$197*100</f>
        <v>#DIV/0!</v>
      </c>
      <c r="I198" s="629">
        <f>H197/$H$201*100</f>
        <v>0</v>
      </c>
      <c r="J198" s="2598"/>
      <c r="K198" s="2598"/>
      <c r="L198" s="2598"/>
      <c r="M198" s="2598"/>
      <c r="N198" s="2598"/>
      <c r="O198" s="103"/>
      <c r="P198" s="103"/>
      <c r="Q198" s="103"/>
      <c r="R198" s="103"/>
      <c r="S198" s="763"/>
      <c r="T198" s="763"/>
      <c r="U198" s="763"/>
      <c r="V198" s="763"/>
      <c r="W198" s="763"/>
      <c r="X198" s="763"/>
      <c r="Y198" s="103"/>
      <c r="Z198" s="103"/>
      <c r="AA198" s="103"/>
      <c r="AB198" s="103"/>
      <c r="AC198" s="103"/>
      <c r="AD198" s="103"/>
      <c r="AE198" s="95"/>
      <c r="AF198" s="95"/>
      <c r="AG198" s="95"/>
      <c r="AH198" s="2"/>
      <c r="AI198" s="2"/>
      <c r="AJ198" s="2"/>
      <c r="AK198" s="2"/>
    </row>
    <row r="199" spans="1:37" ht="25.5" customHeight="1" x14ac:dyDescent="0.2">
      <c r="A199" s="1"/>
      <c r="B199" s="2579" t="s">
        <v>117</v>
      </c>
      <c r="C199" s="2581"/>
      <c r="D199" s="129" t="s">
        <v>21</v>
      </c>
      <c r="E199" s="131">
        <f>'TH Thương hiệu DC2'!Y76</f>
        <v>2476.8000000000002</v>
      </c>
      <c r="F199" s="131">
        <f>'TH Thương hiệu DC2'!Y77</f>
        <v>0</v>
      </c>
      <c r="G199" s="131">
        <f>'TH Thương hiệu DC2'!Y78</f>
        <v>38.880000000000003</v>
      </c>
      <c r="H199" s="131">
        <f>SUM(E199:G199)</f>
        <v>2515.6800000000003</v>
      </c>
      <c r="I199" s="629"/>
      <c r="J199" s="2598"/>
      <c r="K199" s="2598"/>
      <c r="L199" s="2598"/>
      <c r="M199" s="2598"/>
      <c r="N199" s="2598"/>
      <c r="O199" s="103"/>
      <c r="P199" s="103"/>
      <c r="Q199" s="103"/>
      <c r="R199" s="95"/>
      <c r="AE199" s="95"/>
      <c r="AF199" s="95"/>
      <c r="AG199" s="95"/>
      <c r="AH199" s="2"/>
      <c r="AI199" s="2"/>
      <c r="AJ199" s="2"/>
      <c r="AK199" s="2"/>
    </row>
    <row r="200" spans="1:37" ht="25.5" customHeight="1" x14ac:dyDescent="0.2">
      <c r="A200" s="1"/>
      <c r="B200" s="2582"/>
      <c r="C200" s="2584"/>
      <c r="D200" s="129" t="s">
        <v>22</v>
      </c>
      <c r="E200" s="134">
        <f>E199/$H$199*100</f>
        <v>98.45449341728677</v>
      </c>
      <c r="F200" s="134">
        <f>F199/$H$199*100</f>
        <v>0</v>
      </c>
      <c r="G200" s="134">
        <f>G199/$H$199*100</f>
        <v>1.5455065827132226</v>
      </c>
      <c r="H200" s="134">
        <f>H199/$H$199*100</f>
        <v>100</v>
      </c>
      <c r="I200" s="628">
        <f>H199/$H$201*100</f>
        <v>0.18793325769626312</v>
      </c>
      <c r="J200" s="2598"/>
      <c r="K200" s="2598"/>
      <c r="L200" s="2598"/>
      <c r="M200" s="2598"/>
      <c r="N200" s="2598"/>
      <c r="O200" s="103"/>
      <c r="P200" s="103"/>
      <c r="Q200" s="103"/>
      <c r="R200" s="103"/>
      <c r="S200" s="763"/>
      <c r="T200" s="763"/>
      <c r="U200" s="763"/>
      <c r="V200" s="763"/>
      <c r="W200" s="763"/>
      <c r="X200" s="763"/>
      <c r="Y200" s="103"/>
      <c r="Z200" s="103"/>
      <c r="AA200" s="103"/>
      <c r="AB200" s="158"/>
      <c r="AC200" s="158"/>
      <c r="AD200" s="158"/>
      <c r="AE200" s="95"/>
      <c r="AF200" s="95"/>
      <c r="AG200" s="95"/>
      <c r="AH200" s="2"/>
      <c r="AI200" s="2"/>
      <c r="AJ200" s="2"/>
      <c r="AK200" s="2"/>
    </row>
    <row r="201" spans="1:37" ht="25.5" customHeight="1" x14ac:dyDescent="0.2">
      <c r="A201" s="1"/>
      <c r="B201" s="2618" t="s">
        <v>132</v>
      </c>
      <c r="C201" s="2619"/>
      <c r="D201" s="232" t="s">
        <v>21</v>
      </c>
      <c r="E201" s="233">
        <f>SUM(E131+E133+E135+E137+E139+E141+E143+E145+E147+E149+E151+E153+E155+E157+E159+E161+E163+E165+E167+E169+E171+E173+E175+E177+E179+E181+E183+E185+E187+E189+E191+E193+E195+E197+E199)</f>
        <v>1260859.4800000002</v>
      </c>
      <c r="F201" s="233">
        <f>SUM(F131+F133+F135+F137+F139+F141+F143+F145+F147+F149+F151+F153+F155+F157+F159+F161+F163+F165+F167+F169+F171+F173+F175+F177+F179+F181+F183+F185+F187+F189+F191+F193+F195+F197+F199)</f>
        <v>184.32</v>
      </c>
      <c r="G201" s="233">
        <f>SUM(G131+G133+G135+G137+G139+G141+G143+G145+G147+G149+G151+G153+G155+G157+G159+G161+G163+G165+G167+G169+G171+G173+G175+G177+G179+G181+G183+G185+G187+G189+G191+G193+G195+G197+G199)</f>
        <v>77559.08</v>
      </c>
      <c r="H201" s="233">
        <f>SUM(E201:G201)</f>
        <v>1338602.8800000004</v>
      </c>
      <c r="I201" s="234"/>
      <c r="J201" s="2622"/>
      <c r="K201" s="2623"/>
      <c r="L201" s="2623"/>
      <c r="M201" s="2623"/>
      <c r="N201" s="2624"/>
      <c r="O201" s="103"/>
      <c r="P201" s="103"/>
      <c r="Q201" s="103"/>
      <c r="R201" s="95"/>
      <c r="AE201" s="95"/>
      <c r="AF201" s="95"/>
      <c r="AG201" s="95"/>
      <c r="AH201" s="2"/>
      <c r="AI201" s="2"/>
      <c r="AJ201" s="2"/>
      <c r="AK201" s="2"/>
    </row>
    <row r="202" spans="1:37" ht="25.5" customHeight="1" x14ac:dyDescent="0.2">
      <c r="A202" s="1"/>
      <c r="B202" s="2620"/>
      <c r="C202" s="2621"/>
      <c r="D202" s="232" t="s">
        <v>22</v>
      </c>
      <c r="E202" s="235">
        <f>E201/$H$201*100</f>
        <v>94.192198361324301</v>
      </c>
      <c r="F202" s="235">
        <f>F201/$H$201*100</f>
        <v>1.3769580415066787E-2</v>
      </c>
      <c r="G202" s="235">
        <f>G201/$H$201*100</f>
        <v>5.7940320582606226</v>
      </c>
      <c r="H202" s="236">
        <f>H201/$H$201*100</f>
        <v>100</v>
      </c>
      <c r="I202" s="237">
        <f>H201/$H$201*100</f>
        <v>100</v>
      </c>
      <c r="J202" s="2625"/>
      <c r="K202" s="2626"/>
      <c r="L202" s="2626"/>
      <c r="M202" s="2626"/>
      <c r="N202" s="2627"/>
      <c r="O202" s="103"/>
      <c r="P202" s="103"/>
      <c r="Q202" s="103"/>
      <c r="R202" s="95"/>
      <c r="AE202" s="95"/>
      <c r="AF202" s="95"/>
      <c r="AG202" s="95"/>
      <c r="AH202" s="2"/>
      <c r="AI202" s="2"/>
      <c r="AJ202" s="2"/>
      <c r="AK202" s="2"/>
    </row>
    <row r="203" spans="1:37" ht="15.75" customHeight="1" x14ac:dyDescent="0.2">
      <c r="A203" s="1"/>
      <c r="B203" s="89"/>
      <c r="C203" s="1"/>
      <c r="D203" s="637"/>
      <c r="E203" s="2"/>
      <c r="F203" s="2"/>
      <c r="G203" s="48"/>
      <c r="H203" s="48"/>
      <c r="I203" s="2"/>
      <c r="J203" s="48"/>
      <c r="K203" s="2"/>
      <c r="L203" s="2"/>
      <c r="M203" s="2"/>
      <c r="N203" s="2"/>
      <c r="O203" s="95"/>
      <c r="P203" s="95"/>
      <c r="Q203" s="95"/>
      <c r="R203" s="95"/>
      <c r="AE203" s="95"/>
      <c r="AF203" s="95"/>
      <c r="AG203" s="95"/>
      <c r="AH203" s="2"/>
      <c r="AI203" s="2"/>
      <c r="AJ203" s="2"/>
      <c r="AK203" s="2"/>
    </row>
    <row r="204" spans="1:37" ht="29" customHeight="1" x14ac:dyDescent="0.2">
      <c r="A204" s="1"/>
      <c r="B204" s="2684" t="s">
        <v>133</v>
      </c>
      <c r="C204" s="2684"/>
      <c r="D204" s="2684"/>
      <c r="E204" s="2684"/>
      <c r="F204" s="2684"/>
      <c r="G204" s="2684"/>
      <c r="H204" s="2684"/>
      <c r="I204" s="2684"/>
      <c r="J204" s="2684"/>
      <c r="K204" s="2684"/>
      <c r="L204" s="2"/>
      <c r="M204" s="2"/>
      <c r="N204" s="2"/>
      <c r="O204" s="95"/>
      <c r="P204" s="95"/>
      <c r="Q204" s="95"/>
      <c r="R204" s="95"/>
      <c r="AE204" s="95"/>
      <c r="AF204" s="95"/>
      <c r="AG204" s="95"/>
      <c r="AH204" s="2"/>
      <c r="AI204" s="2"/>
      <c r="AJ204" s="2"/>
      <c r="AK204" s="2"/>
    </row>
    <row r="205" spans="1:37" ht="31" customHeight="1" x14ac:dyDescent="0.2">
      <c r="A205" s="1"/>
      <c r="B205" s="634" t="s">
        <v>39</v>
      </c>
      <c r="C205" s="2551" t="s">
        <v>134</v>
      </c>
      <c r="D205" s="2551"/>
      <c r="E205" s="222" t="s">
        <v>6</v>
      </c>
      <c r="F205" s="222" t="s">
        <v>135</v>
      </c>
      <c r="G205" s="222" t="s">
        <v>43</v>
      </c>
      <c r="H205" s="222" t="s">
        <v>10</v>
      </c>
      <c r="I205" s="44" t="s">
        <v>314</v>
      </c>
      <c r="J205" s="2605" t="s">
        <v>47</v>
      </c>
      <c r="K205" s="2605"/>
      <c r="L205" s="2605"/>
      <c r="M205" s="2605"/>
      <c r="N205" s="2605"/>
      <c r="O205" s="95"/>
      <c r="P205" s="95"/>
      <c r="Q205" s="95"/>
      <c r="R205" s="95"/>
      <c r="AE205" s="95"/>
      <c r="AF205" s="95"/>
      <c r="AG205" s="95"/>
      <c r="AH205" s="2"/>
      <c r="AI205" s="2"/>
      <c r="AJ205" s="2"/>
      <c r="AK205" s="2"/>
    </row>
    <row r="206" spans="1:37" ht="31" customHeight="1" x14ac:dyDescent="0.2">
      <c r="A206" s="1"/>
      <c r="B206" s="633">
        <v>1</v>
      </c>
      <c r="C206" s="2599" t="s">
        <v>137</v>
      </c>
      <c r="D206" s="2599"/>
      <c r="E206" s="224" t="s">
        <v>325</v>
      </c>
      <c r="F206" s="224" t="s">
        <v>140</v>
      </c>
      <c r="G206" s="830">
        <f>'TH Thương hiệu DC2'!F132</f>
        <v>1062374.5999999999</v>
      </c>
      <c r="H206" s="214">
        <f>X121</f>
        <v>74.95</v>
      </c>
      <c r="I206" s="214">
        <f>G206/$G$211*100</f>
        <v>62.724682717342617</v>
      </c>
      <c r="J206" s="2600"/>
      <c r="K206" s="2600"/>
      <c r="L206" s="2600"/>
      <c r="M206" s="2600"/>
      <c r="N206" s="2600"/>
      <c r="O206" s="95"/>
      <c r="P206" s="95"/>
      <c r="Q206" s="95"/>
      <c r="R206" s="95"/>
      <c r="AE206" s="95"/>
      <c r="AF206" s="95"/>
      <c r="AG206" s="95"/>
      <c r="AH206" s="2"/>
      <c r="AI206" s="2"/>
      <c r="AJ206" s="2"/>
      <c r="AK206" s="2"/>
    </row>
    <row r="207" spans="1:37" ht="31" customHeight="1" x14ac:dyDescent="0.2">
      <c r="A207" s="1"/>
      <c r="B207" s="633">
        <v>2</v>
      </c>
      <c r="C207" s="2599" t="s">
        <v>377</v>
      </c>
      <c r="D207" s="2599"/>
      <c r="E207" s="224" t="s">
        <v>328</v>
      </c>
      <c r="F207" s="224" t="s">
        <v>329</v>
      </c>
      <c r="G207" s="224">
        <f>'TH Thương hiệu DC2'!F133</f>
        <v>99238.680000000008</v>
      </c>
      <c r="H207" s="214">
        <f>X105</f>
        <v>8.0883283144158753</v>
      </c>
      <c r="I207" s="214">
        <f>G207/$G$211*100</f>
        <v>5.8592465560527298</v>
      </c>
      <c r="J207" s="2600"/>
      <c r="K207" s="2600"/>
      <c r="L207" s="2600"/>
      <c r="M207" s="2600"/>
      <c r="N207" s="2600"/>
      <c r="O207" s="95"/>
      <c r="P207" s="95"/>
      <c r="Q207" s="95"/>
      <c r="R207" s="95"/>
      <c r="AE207" s="95"/>
      <c r="AF207" s="95"/>
      <c r="AG207" s="95"/>
      <c r="AH207" s="2"/>
      <c r="AI207" s="2"/>
      <c r="AJ207" s="2"/>
      <c r="AK207" s="2"/>
    </row>
    <row r="208" spans="1:37" ht="31" customHeight="1" x14ac:dyDescent="0.2">
      <c r="A208" s="1"/>
      <c r="B208" s="633">
        <v>3</v>
      </c>
      <c r="C208" s="2599" t="s">
        <v>377</v>
      </c>
      <c r="D208" s="2599"/>
      <c r="E208" s="224" t="s">
        <v>328</v>
      </c>
      <c r="F208" s="224" t="s">
        <v>141</v>
      </c>
      <c r="G208" s="224">
        <f>'TH Thương hiệu DC2'!F134</f>
        <v>17320.32</v>
      </c>
      <c r="H208" s="214">
        <f>X106</f>
        <v>1.4116716855841247</v>
      </c>
      <c r="I208" s="214">
        <f>G208/$G$211*100</f>
        <v>1.0226257071308404</v>
      </c>
      <c r="J208" s="2600"/>
      <c r="K208" s="2600"/>
      <c r="L208" s="2600"/>
      <c r="M208" s="2600"/>
      <c r="N208" s="2600"/>
      <c r="O208" s="95"/>
      <c r="P208" s="95"/>
      <c r="Q208" s="95"/>
      <c r="R208" s="95"/>
      <c r="AE208" s="95"/>
      <c r="AF208" s="95"/>
      <c r="AG208" s="95"/>
      <c r="AH208" s="2"/>
      <c r="AI208" s="2"/>
      <c r="AJ208" s="2"/>
      <c r="AK208" s="2"/>
    </row>
    <row r="209" spans="1:37" ht="31" customHeight="1" x14ac:dyDescent="0.2">
      <c r="A209" s="1"/>
      <c r="B209" s="633">
        <v>4</v>
      </c>
      <c r="C209" s="2599" t="s">
        <v>377</v>
      </c>
      <c r="D209" s="2599"/>
      <c r="E209" s="224" t="s">
        <v>327</v>
      </c>
      <c r="F209" s="224" t="s">
        <v>329</v>
      </c>
      <c r="G209" s="830">
        <f>'TH Thương hiệu DC2'!F135</f>
        <v>88458.5</v>
      </c>
      <c r="H209" s="214">
        <f>'T1.2025'!$J$16</f>
        <v>7.15</v>
      </c>
      <c r="I209" s="214">
        <f>G209/$G$211*100</f>
        <v>5.2227635583080136</v>
      </c>
      <c r="J209" s="2695"/>
      <c r="K209" s="2696"/>
      <c r="L209" s="2696"/>
      <c r="M209" s="2696"/>
      <c r="N209" s="2697"/>
      <c r="O209" s="95"/>
      <c r="P209" s="95"/>
      <c r="Q209" s="95"/>
      <c r="R209" s="95"/>
      <c r="AE209" s="95"/>
      <c r="AF209" s="95"/>
      <c r="AG209" s="95"/>
      <c r="AH209" s="2"/>
      <c r="AI209" s="2"/>
      <c r="AJ209" s="2"/>
      <c r="AK209" s="2"/>
    </row>
    <row r="210" spans="1:37" ht="37" customHeight="1" x14ac:dyDescent="0.2">
      <c r="A210" s="1"/>
      <c r="B210" s="633">
        <v>5</v>
      </c>
      <c r="C210" s="2599" t="s">
        <v>377</v>
      </c>
      <c r="D210" s="2599"/>
      <c r="E210" s="224" t="s">
        <v>327</v>
      </c>
      <c r="F210" s="630" t="s">
        <v>378</v>
      </c>
      <c r="G210" s="830">
        <f>'TH Thương hiệu DC2'!F136</f>
        <v>426318.5</v>
      </c>
      <c r="H210" s="214">
        <f>'T1.2025'!$J$22</f>
        <v>1.85</v>
      </c>
      <c r="I210" s="214">
        <f>G210/$G$211*100</f>
        <v>25.170681461165799</v>
      </c>
      <c r="J210" s="2600"/>
      <c r="K210" s="2600"/>
      <c r="L210" s="2600"/>
      <c r="M210" s="2600"/>
      <c r="N210" s="2600"/>
      <c r="O210" s="95"/>
      <c r="P210" s="95"/>
      <c r="Q210" s="95"/>
      <c r="R210" s="95"/>
      <c r="AE210" s="95"/>
      <c r="AF210" s="95"/>
      <c r="AG210" s="95"/>
      <c r="AH210" s="2"/>
      <c r="AI210" s="2"/>
      <c r="AJ210" s="2"/>
      <c r="AK210" s="2"/>
    </row>
    <row r="211" spans="1:37" ht="31" customHeight="1" x14ac:dyDescent="0.2">
      <c r="A211" s="1"/>
      <c r="B211" s="570" t="s">
        <v>103</v>
      </c>
      <c r="C211" s="2773" t="s">
        <v>142</v>
      </c>
      <c r="D211" s="2774"/>
      <c r="E211" s="564" t="s">
        <v>142</v>
      </c>
      <c r="F211" s="564" t="s">
        <v>142</v>
      </c>
      <c r="G211" s="1202">
        <f>SUM(G206:G210)</f>
        <v>1693710.5999999999</v>
      </c>
      <c r="H211" s="566">
        <f>SUM(H206:H210)</f>
        <v>93.45</v>
      </c>
      <c r="I211" s="566">
        <f>SUM(I206:I210)</f>
        <v>100</v>
      </c>
      <c r="J211" s="2775"/>
      <c r="K211" s="2775"/>
      <c r="L211" s="2775"/>
      <c r="M211" s="2775"/>
      <c r="N211" s="2775"/>
      <c r="O211" s="95"/>
      <c r="P211" s="95"/>
      <c r="Q211" s="95"/>
      <c r="R211" s="95"/>
      <c r="AE211" s="95"/>
      <c r="AF211" s="95"/>
      <c r="AG211" s="95"/>
      <c r="AH211" s="2"/>
      <c r="AI211" s="2"/>
      <c r="AJ211" s="2"/>
      <c r="AK211" s="2"/>
    </row>
    <row r="212" spans="1:37" ht="15.75" customHeight="1" x14ac:dyDescent="0.2">
      <c r="A212" s="1"/>
      <c r="B212" s="89"/>
      <c r="C212" s="1"/>
      <c r="D212" s="637"/>
      <c r="E212" s="2"/>
      <c r="F212" s="2"/>
      <c r="G212" s="48"/>
      <c r="H212" s="48"/>
      <c r="I212" s="2"/>
      <c r="J212" s="48"/>
      <c r="K212" s="2"/>
      <c r="L212" s="2"/>
      <c r="M212" s="2"/>
      <c r="N212" s="2"/>
      <c r="O212" s="95"/>
      <c r="P212" s="95"/>
      <c r="Q212" s="95"/>
      <c r="R212" s="95"/>
      <c r="AE212" s="95"/>
      <c r="AF212" s="95"/>
      <c r="AG212" s="95"/>
      <c r="AH212" s="2"/>
      <c r="AI212" s="2"/>
      <c r="AJ212" s="2"/>
      <c r="AK212" s="2"/>
    </row>
    <row r="213" spans="1:37" ht="24" customHeight="1" x14ac:dyDescent="0.2">
      <c r="A213" s="1"/>
      <c r="B213" s="2634" t="s">
        <v>385</v>
      </c>
      <c r="C213" s="2611"/>
      <c r="D213" s="2611"/>
      <c r="E213" s="2611"/>
      <c r="F213" s="2611"/>
      <c r="G213" s="2611"/>
      <c r="H213" s="2611"/>
      <c r="I213" s="2611"/>
      <c r="J213" s="2611"/>
      <c r="K213" s="2611"/>
      <c r="L213" s="2611"/>
      <c r="M213" s="2611"/>
      <c r="N213" s="2611"/>
      <c r="O213" s="95"/>
      <c r="P213" s="95"/>
      <c r="Q213" s="95"/>
      <c r="R213" s="95"/>
      <c r="AE213" s="95"/>
      <c r="AF213" s="95"/>
      <c r="AG213" s="95"/>
      <c r="AH213" s="2"/>
      <c r="AI213" s="2"/>
      <c r="AJ213" s="2"/>
      <c r="AK213" s="2"/>
    </row>
    <row r="214" spans="1:37" ht="19" customHeight="1" x14ac:dyDescent="0.2">
      <c r="A214" s="1"/>
      <c r="B214" s="2635" t="s">
        <v>147</v>
      </c>
      <c r="C214" s="2494"/>
      <c r="D214" s="2494"/>
      <c r="E214" s="2494"/>
      <c r="F214" s="2494"/>
      <c r="G214" s="2494"/>
      <c r="H214" s="2494"/>
      <c r="I214" s="2494"/>
      <c r="J214" s="2494"/>
      <c r="K214" s="2494"/>
      <c r="L214" s="2494"/>
      <c r="M214" s="2494"/>
      <c r="N214" s="2494"/>
      <c r="O214" s="2"/>
      <c r="P214" s="2"/>
      <c r="R214" s="95"/>
      <c r="AE214" s="95"/>
      <c r="AF214" s="95"/>
      <c r="AG214" s="95"/>
      <c r="AH214" s="2"/>
      <c r="AI214" s="2"/>
      <c r="AJ214" s="2"/>
      <c r="AK214" s="2"/>
    </row>
    <row r="215" spans="1:37" ht="36" customHeight="1" x14ac:dyDescent="0.2">
      <c r="A215" s="1"/>
      <c r="B215" s="238" t="s">
        <v>39</v>
      </c>
      <c r="C215" s="2636" t="s">
        <v>148</v>
      </c>
      <c r="D215" s="2482"/>
      <c r="E215" s="238" t="s">
        <v>17</v>
      </c>
      <c r="F215" s="638" t="s">
        <v>149</v>
      </c>
      <c r="G215" s="638" t="s">
        <v>150</v>
      </c>
      <c r="H215" s="202" t="s">
        <v>151</v>
      </c>
      <c r="I215" s="638" t="s">
        <v>355</v>
      </c>
      <c r="J215" s="639" t="s">
        <v>356</v>
      </c>
      <c r="K215" s="2637" t="s">
        <v>47</v>
      </c>
      <c r="L215" s="2481"/>
      <c r="M215" s="2481"/>
      <c r="N215" s="2482"/>
      <c r="O215" s="103"/>
      <c r="P215" s="640" t="s">
        <v>352</v>
      </c>
      <c r="Q215" s="210" t="s">
        <v>154</v>
      </c>
      <c r="R215" s="386" t="s">
        <v>155</v>
      </c>
      <c r="S215" s="761" t="s">
        <v>156</v>
      </c>
      <c r="T215" s="761" t="s">
        <v>157</v>
      </c>
      <c r="U215" s="761" t="s">
        <v>158</v>
      </c>
      <c r="V215" s="761" t="s">
        <v>159</v>
      </c>
      <c r="W215" s="761" t="s">
        <v>160</v>
      </c>
      <c r="X215" s="761" t="s">
        <v>161</v>
      </c>
      <c r="Y215" s="139" t="s">
        <v>162</v>
      </c>
      <c r="Z215" s="139" t="s">
        <v>111</v>
      </c>
      <c r="AA215" s="139" t="s">
        <v>29</v>
      </c>
      <c r="AB215" s="139" t="s">
        <v>31</v>
      </c>
      <c r="AC215" s="139"/>
      <c r="AD215" s="139"/>
      <c r="AE215" s="139" t="s">
        <v>33</v>
      </c>
      <c r="AF215" s="103"/>
      <c r="AG215" s="103"/>
      <c r="AH215" s="2"/>
      <c r="AI215" s="2"/>
      <c r="AJ215" s="2"/>
      <c r="AK215" s="2"/>
    </row>
    <row r="216" spans="1:37" ht="27" customHeight="1" x14ac:dyDescent="0.2">
      <c r="A216" s="1"/>
      <c r="B216" s="105">
        <v>1</v>
      </c>
      <c r="C216" s="2628" t="s">
        <v>163</v>
      </c>
      <c r="D216" s="2629"/>
      <c r="E216" s="105" t="s">
        <v>164</v>
      </c>
      <c r="F216" s="123">
        <v>18.760000000000002</v>
      </c>
      <c r="G216" s="1216">
        <f>H216/M216*1000</f>
        <v>18479.662094716838</v>
      </c>
      <c r="H216" s="245">
        <f t="shared" ref="H216:H233" si="53">AE216</f>
        <v>31464220</v>
      </c>
      <c r="I216" s="1213">
        <f>-(G216-F216)*M216</f>
        <v>-31432278465.345604</v>
      </c>
      <c r="J216" s="643">
        <v>0</v>
      </c>
      <c r="K216" s="2630" t="s">
        <v>165</v>
      </c>
      <c r="L216" s="2631"/>
      <c r="M216" s="2632">
        <f>SUM(M217:N219)</f>
        <v>1702640.4400000002</v>
      </c>
      <c r="N216" s="2633"/>
      <c r="O216" s="95"/>
      <c r="P216" s="95"/>
      <c r="Q216" s="128"/>
      <c r="R216" s="778">
        <f>'T2.2025 '!I62</f>
        <v>1928698</v>
      </c>
      <c r="S216" s="749">
        <f>'T3.2025 '!I113</f>
        <v>9050943</v>
      </c>
      <c r="T216" s="749">
        <f>'T4.2025 '!I142</f>
        <v>8177358</v>
      </c>
      <c r="U216" s="1212">
        <f>'T5.2025'!I197</f>
        <v>6616038</v>
      </c>
      <c r="V216" s="749">
        <f>'T6.2025'!I201</f>
        <v>5691183</v>
      </c>
      <c r="W216" s="749"/>
      <c r="X216" s="743"/>
      <c r="Y216" s="97"/>
      <c r="Z216" s="97"/>
      <c r="AA216" s="97"/>
      <c r="AB216" s="97"/>
      <c r="AC216" s="97"/>
      <c r="AD216" s="97"/>
      <c r="AE216" s="97">
        <f t="shared" ref="AE216:AE232" si="54">SUM(Q216:AB216)</f>
        <v>31464220</v>
      </c>
      <c r="AF216" s="95"/>
      <c r="AG216" s="95"/>
      <c r="AH216" s="2"/>
      <c r="AI216" s="2"/>
      <c r="AJ216" s="2"/>
      <c r="AK216" s="2"/>
    </row>
    <row r="217" spans="1:37" ht="27" customHeight="1" x14ac:dyDescent="0.2">
      <c r="A217" s="1"/>
      <c r="B217" s="105">
        <v>2</v>
      </c>
      <c r="C217" s="2628" t="s">
        <v>166</v>
      </c>
      <c r="D217" s="2629"/>
      <c r="E217" s="105" t="s">
        <v>164</v>
      </c>
      <c r="F217" s="644">
        <v>0.53800000000000003</v>
      </c>
      <c r="G217" s="1215">
        <f>H217/M217</f>
        <v>1.3147627387989298</v>
      </c>
      <c r="H217" s="642">
        <f t="shared" si="53"/>
        <v>437334</v>
      </c>
      <c r="I217" s="642">
        <f>-(G217-F217)*M217</f>
        <v>-258377.23079999993</v>
      </c>
      <c r="J217" s="643">
        <v>0</v>
      </c>
      <c r="K217" s="2630" t="s">
        <v>167</v>
      </c>
      <c r="L217" s="2631"/>
      <c r="M217" s="2632">
        <f>G124</f>
        <v>332633.40000000002</v>
      </c>
      <c r="N217" s="2633"/>
      <c r="O217" s="95"/>
      <c r="P217" s="95"/>
      <c r="Q217" s="128"/>
      <c r="R217" s="779"/>
      <c r="S217" s="743">
        <f>'T3.2025 '!I114</f>
        <v>133494</v>
      </c>
      <c r="T217" s="749">
        <f>'T4.2025 '!I143</f>
        <v>21819</v>
      </c>
      <c r="U217" s="749">
        <f>'T5.2025'!I198</f>
        <v>132329</v>
      </c>
      <c r="V217" s="749">
        <f>'T6.2025'!I202</f>
        <v>149692</v>
      </c>
      <c r="W217" s="743"/>
      <c r="X217" s="743"/>
      <c r="Y217" s="97"/>
      <c r="Z217" s="97"/>
      <c r="AA217" s="97"/>
      <c r="AB217" s="97"/>
      <c r="AC217" s="97"/>
      <c r="AD217" s="97"/>
      <c r="AE217" s="97">
        <f t="shared" si="54"/>
        <v>437334</v>
      </c>
      <c r="AF217" s="95"/>
      <c r="AG217" s="95"/>
      <c r="AH217" s="2"/>
      <c r="AI217" s="2"/>
      <c r="AJ217" s="2"/>
      <c r="AK217" s="2"/>
    </row>
    <row r="218" spans="1:37" ht="27" customHeight="1" x14ac:dyDescent="0.2">
      <c r="A218" s="1"/>
      <c r="B218" s="105">
        <v>3</v>
      </c>
      <c r="C218" s="2628" t="s">
        <v>168</v>
      </c>
      <c r="D218" s="2629"/>
      <c r="E218" s="105" t="s">
        <v>169</v>
      </c>
      <c r="F218" s="644">
        <v>0.48599999999999999</v>
      </c>
      <c r="G218" s="644">
        <f>H218/M218</f>
        <v>0.28672190789807261</v>
      </c>
      <c r="H218" s="642">
        <f t="shared" si="53"/>
        <v>377288</v>
      </c>
      <c r="I218" s="642">
        <f>-(G218-F218)*M218</f>
        <v>262223.53696000006</v>
      </c>
      <c r="J218" s="643">
        <v>0</v>
      </c>
      <c r="K218" s="2630" t="s">
        <v>170</v>
      </c>
      <c r="L218" s="2631"/>
      <c r="M218" s="2632">
        <f>G123</f>
        <v>1315867.3600000001</v>
      </c>
      <c r="N218" s="2633"/>
      <c r="O218" s="95"/>
      <c r="P218" s="95"/>
      <c r="Q218" s="128"/>
      <c r="R218" s="97">
        <v>49960</v>
      </c>
      <c r="S218" s="743">
        <f>'T3.2025 '!I115</f>
        <v>116061</v>
      </c>
      <c r="T218" s="749">
        <f>'T4.2025 '!I144</f>
        <v>190513</v>
      </c>
      <c r="U218" s="749">
        <f>'T5.2025'!I199</f>
        <v>20754</v>
      </c>
      <c r="V218" s="749">
        <f>'T6.2025'!I203</f>
        <v>0</v>
      </c>
      <c r="W218" s="743"/>
      <c r="X218" s="743"/>
      <c r="Y218" s="97"/>
      <c r="Z218" s="97"/>
      <c r="AA218" s="97"/>
      <c r="AB218" s="97"/>
      <c r="AC218" s="97"/>
      <c r="AD218" s="97"/>
      <c r="AE218" s="97">
        <f t="shared" si="54"/>
        <v>377288</v>
      </c>
      <c r="AF218" s="95"/>
      <c r="AG218" s="95"/>
      <c r="AH218" s="2"/>
      <c r="AI218" s="2"/>
      <c r="AJ218" s="2"/>
      <c r="AK218" s="2"/>
    </row>
    <row r="219" spans="1:37" ht="27" customHeight="1" x14ac:dyDescent="0.2">
      <c r="A219" s="1"/>
      <c r="B219" s="105">
        <v>4</v>
      </c>
      <c r="C219" s="2628" t="s">
        <v>171</v>
      </c>
      <c r="D219" s="2629"/>
      <c r="E219" s="105" t="s">
        <v>164</v>
      </c>
      <c r="F219" s="646">
        <v>0.38300000000000001</v>
      </c>
      <c r="G219" s="644">
        <f>H219/M219</f>
        <v>0.34047116643467418</v>
      </c>
      <c r="H219" s="642">
        <f t="shared" si="53"/>
        <v>18433</v>
      </c>
      <c r="I219" s="97">
        <f>-(G219-F219)*M219</f>
        <v>2302.4974399999996</v>
      </c>
      <c r="J219" s="643"/>
      <c r="K219" s="2658" t="s">
        <v>172</v>
      </c>
      <c r="L219" s="2787"/>
      <c r="M219" s="2788">
        <f>G125</f>
        <v>54139.68</v>
      </c>
      <c r="N219" s="2633"/>
      <c r="O219" s="95"/>
      <c r="P219" s="95"/>
      <c r="Q219" s="128"/>
      <c r="R219" s="779"/>
      <c r="S219" s="743">
        <f>'T3.2025 '!I116</f>
        <v>0</v>
      </c>
      <c r="T219" s="749">
        <f>'T4.2025 '!I145</f>
        <v>0</v>
      </c>
      <c r="U219" s="749">
        <f>'T5.2025'!I200</f>
        <v>18433</v>
      </c>
      <c r="V219" s="749">
        <f>'T6.2025'!I204</f>
        <v>0</v>
      </c>
      <c r="W219" s="743"/>
      <c r="X219" s="743"/>
      <c r="Y219" s="97"/>
      <c r="Z219" s="97"/>
      <c r="AA219" s="97"/>
      <c r="AB219" s="97"/>
      <c r="AC219" s="97"/>
      <c r="AD219" s="97"/>
      <c r="AE219" s="97">
        <f t="shared" si="54"/>
        <v>18433</v>
      </c>
      <c r="AF219" s="95"/>
      <c r="AG219" s="95"/>
      <c r="AH219" s="2"/>
      <c r="AI219" s="2"/>
      <c r="AJ219" s="2"/>
      <c r="AK219" s="2"/>
    </row>
    <row r="220" spans="1:37" ht="27" customHeight="1" x14ac:dyDescent="0.2">
      <c r="A220" s="1"/>
      <c r="B220" s="105">
        <v>5</v>
      </c>
      <c r="C220" s="2628" t="s">
        <v>173</v>
      </c>
      <c r="D220" s="2629"/>
      <c r="E220" s="105" t="s">
        <v>164</v>
      </c>
      <c r="F220" s="647">
        <v>0.624</v>
      </c>
      <c r="G220" s="780">
        <f>H220/M217</f>
        <v>1.5269092039464467</v>
      </c>
      <c r="H220" s="642">
        <f t="shared" si="53"/>
        <v>507901</v>
      </c>
      <c r="I220" s="645"/>
      <c r="J220" s="1211">
        <f>(G220-F220)*M217</f>
        <v>300337.75839999999</v>
      </c>
      <c r="K220" s="2752" t="s">
        <v>174</v>
      </c>
      <c r="L220" s="2752"/>
      <c r="M220" s="2753">
        <f>'TH Than 2025'!B34</f>
        <v>1709998.7100000002</v>
      </c>
      <c r="N220" s="2754"/>
      <c r="O220" s="95"/>
      <c r="P220" s="95"/>
      <c r="Q220" s="128"/>
      <c r="R220" s="779"/>
      <c r="S220" s="743">
        <f>'T3.2025 '!I117</f>
        <v>147576</v>
      </c>
      <c r="T220" s="749">
        <f>'T4.2025 '!I146</f>
        <v>28842</v>
      </c>
      <c r="U220" s="749">
        <f>'T5.2025'!I201</f>
        <v>155601</v>
      </c>
      <c r="V220" s="749">
        <f>'T6.2025'!I205</f>
        <v>175882</v>
      </c>
      <c r="W220" s="743"/>
      <c r="X220" s="743"/>
      <c r="Y220" s="97"/>
      <c r="Z220" s="97"/>
      <c r="AA220" s="97"/>
      <c r="AB220" s="97"/>
      <c r="AC220" s="97"/>
      <c r="AD220" s="97"/>
      <c r="AE220" s="97">
        <f t="shared" si="54"/>
        <v>507901</v>
      </c>
      <c r="AF220" s="95"/>
      <c r="AG220" s="95"/>
      <c r="AH220" s="2"/>
      <c r="AI220" s="2"/>
      <c r="AJ220" s="2"/>
      <c r="AK220" s="2"/>
    </row>
    <row r="221" spans="1:37" ht="27" customHeight="1" x14ac:dyDescent="0.2">
      <c r="A221" s="1"/>
      <c r="B221" s="105">
        <v>6</v>
      </c>
      <c r="C221" s="2628" t="s">
        <v>175</v>
      </c>
      <c r="D221" s="2629"/>
      <c r="E221" s="105" t="s">
        <v>164</v>
      </c>
      <c r="F221" s="644">
        <v>0.57199999999999995</v>
      </c>
      <c r="G221" s="644">
        <f>+H221/M218</f>
        <v>0.33290437419163582</v>
      </c>
      <c r="H221" s="642">
        <f t="shared" si="53"/>
        <v>438058</v>
      </c>
      <c r="I221" s="645"/>
      <c r="J221" s="681">
        <f>(G221-F221)*M218</f>
        <v>-314618.12991999998</v>
      </c>
      <c r="K221" s="2528"/>
      <c r="L221" s="2494"/>
      <c r="M221" s="2481"/>
      <c r="N221" s="2482"/>
      <c r="O221" s="95"/>
      <c r="P221" s="95"/>
      <c r="Q221" s="128"/>
      <c r="R221" s="97">
        <v>58802</v>
      </c>
      <c r="S221" s="743">
        <f>'T3.2025 '!I118</f>
        <v>136439</v>
      </c>
      <c r="T221" s="749">
        <f>'T4.2025 '!I147</f>
        <v>220648</v>
      </c>
      <c r="U221" s="749">
        <f>'T5.2025'!I202</f>
        <v>22169</v>
      </c>
      <c r="V221" s="749">
        <f>'T6.2025'!I206</f>
        <v>0</v>
      </c>
      <c r="W221" s="743"/>
      <c r="X221" s="743"/>
      <c r="Y221" s="97"/>
      <c r="Z221" s="97"/>
      <c r="AA221" s="97"/>
      <c r="AB221" s="97"/>
      <c r="AC221" s="97"/>
      <c r="AD221" s="97"/>
      <c r="AE221" s="97">
        <f t="shared" si="54"/>
        <v>438058</v>
      </c>
      <c r="AF221" s="95"/>
      <c r="AG221" s="95"/>
      <c r="AH221" s="2"/>
      <c r="AI221" s="2"/>
      <c r="AJ221" s="2"/>
      <c r="AK221" s="2"/>
    </row>
    <row r="222" spans="1:37" ht="27" customHeight="1" x14ac:dyDescent="0.2">
      <c r="A222" s="1"/>
      <c r="B222" s="105">
        <v>7</v>
      </c>
      <c r="C222" s="2628" t="s">
        <v>130</v>
      </c>
      <c r="D222" s="2629"/>
      <c r="E222" s="105" t="s">
        <v>164</v>
      </c>
      <c r="F222" s="644">
        <v>0.43</v>
      </c>
      <c r="G222" s="644">
        <f>H222/M219</f>
        <v>0.46265511728181624</v>
      </c>
      <c r="H222" s="642">
        <f t="shared" si="53"/>
        <v>25048</v>
      </c>
      <c r="I222" s="648"/>
      <c r="J222" s="642">
        <f>(G222-F222)*M219</f>
        <v>1767.9376000000016</v>
      </c>
      <c r="K222" s="2694"/>
      <c r="L222" s="2481"/>
      <c r="M222" s="2481"/>
      <c r="N222" s="2482"/>
      <c r="O222" s="95"/>
      <c r="P222" s="95"/>
      <c r="Q222" s="128"/>
      <c r="R222" s="97"/>
      <c r="S222" s="743">
        <f>'T3.2025 '!I119</f>
        <v>0</v>
      </c>
      <c r="T222" s="749">
        <f>'T4.2025 '!I148</f>
        <v>0</v>
      </c>
      <c r="U222" s="749">
        <f>'T5.2025'!I203</f>
        <v>25048</v>
      </c>
      <c r="V222" s="749">
        <f>'T6.2025'!I207</f>
        <v>0</v>
      </c>
      <c r="W222" s="743"/>
      <c r="X222" s="743"/>
      <c r="Y222" s="97"/>
      <c r="Z222" s="97"/>
      <c r="AA222" s="97"/>
      <c r="AB222" s="97"/>
      <c r="AC222" s="97"/>
      <c r="AD222" s="97"/>
      <c r="AE222" s="97">
        <f t="shared" si="54"/>
        <v>25048</v>
      </c>
      <c r="AF222" s="95"/>
      <c r="AG222" s="95"/>
      <c r="AH222" s="2"/>
      <c r="AI222" s="2"/>
      <c r="AJ222" s="2"/>
      <c r="AK222" s="2"/>
    </row>
    <row r="223" spans="1:37" ht="27" customHeight="1" x14ac:dyDescent="0.2">
      <c r="A223" s="1"/>
      <c r="B223" s="105">
        <v>8</v>
      </c>
      <c r="C223" s="2628" t="s">
        <v>176</v>
      </c>
      <c r="D223" s="2629"/>
      <c r="E223" s="105" t="s">
        <v>169</v>
      </c>
      <c r="F223" s="647">
        <v>0.69699999999999995</v>
      </c>
      <c r="G223" s="647">
        <f>+H223/$M$216</f>
        <v>0.69670611136195015</v>
      </c>
      <c r="H223" s="642">
        <f t="shared" si="53"/>
        <v>1186240</v>
      </c>
      <c r="I223" s="245">
        <f t="shared" ref="I223:I233" si="55">-(G223-F223)*$M$216</f>
        <v>500.38668000011154</v>
      </c>
      <c r="J223" s="643">
        <v>0</v>
      </c>
      <c r="K223" s="2694"/>
      <c r="L223" s="2481"/>
      <c r="M223" s="2481"/>
      <c r="N223" s="2482"/>
      <c r="O223" s="95"/>
      <c r="P223" s="95"/>
      <c r="Q223" s="128"/>
      <c r="R223" s="97">
        <v>71650</v>
      </c>
      <c r="S223" s="743">
        <f>'T3.2025 '!I120</f>
        <v>340480</v>
      </c>
      <c r="T223" s="749">
        <f>'T4.2025 '!I149</f>
        <v>307530</v>
      </c>
      <c r="U223" s="749">
        <f>'T5.2025'!I204</f>
        <v>251480</v>
      </c>
      <c r="V223" s="749">
        <f>'T6.2025'!I208</f>
        <v>215100</v>
      </c>
      <c r="W223" s="743"/>
      <c r="X223" s="743"/>
      <c r="Y223" s="97"/>
      <c r="Z223" s="97"/>
      <c r="AA223" s="97"/>
      <c r="AB223" s="97"/>
      <c r="AC223" s="97"/>
      <c r="AD223" s="97"/>
      <c r="AE223" s="97">
        <f t="shared" si="54"/>
        <v>1186240</v>
      </c>
      <c r="AF223" s="95"/>
      <c r="AG223" s="95"/>
      <c r="AH223" s="2"/>
      <c r="AI223" s="2"/>
      <c r="AJ223" s="2"/>
      <c r="AK223" s="2"/>
    </row>
    <row r="224" spans="1:37" ht="27" customHeight="1" x14ac:dyDescent="0.2">
      <c r="A224" s="1"/>
      <c r="B224" s="105">
        <v>9</v>
      </c>
      <c r="C224" s="2628" t="s">
        <v>177</v>
      </c>
      <c r="D224" s="2629"/>
      <c r="E224" s="105" t="s">
        <v>164</v>
      </c>
      <c r="F224" s="647">
        <v>3.7100000000000001E-2</v>
      </c>
      <c r="G224" s="780">
        <f>+H224/$M$216</f>
        <v>3.4584518619797375E-2</v>
      </c>
      <c r="H224" s="642">
        <f t="shared" si="53"/>
        <v>58885</v>
      </c>
      <c r="I224" s="642">
        <f t="shared" si="55"/>
        <v>4282.9603240000069</v>
      </c>
      <c r="J224" s="643">
        <v>0</v>
      </c>
      <c r="K224" s="2691"/>
      <c r="L224" s="2692"/>
      <c r="M224" s="2692"/>
      <c r="N224" s="2540"/>
      <c r="O224" s="95"/>
      <c r="P224" s="95"/>
      <c r="Q224" s="128"/>
      <c r="R224" s="97">
        <v>3830</v>
      </c>
      <c r="S224" s="743">
        <f>'T3.2025 '!I121</f>
        <v>17710</v>
      </c>
      <c r="T224" s="749">
        <f>'T4.2025 '!I150</f>
        <v>13325</v>
      </c>
      <c r="U224" s="749">
        <f>'T5.2025'!I205</f>
        <v>12830</v>
      </c>
      <c r="V224" s="749">
        <f>'T6.2025'!I209</f>
        <v>11190</v>
      </c>
      <c r="W224" s="743"/>
      <c r="X224" s="743"/>
      <c r="Y224" s="97"/>
      <c r="Z224" s="97"/>
      <c r="AA224" s="97"/>
      <c r="AB224" s="97"/>
      <c r="AC224" s="97"/>
      <c r="AD224" s="97"/>
      <c r="AE224" s="97">
        <f t="shared" si="54"/>
        <v>58885</v>
      </c>
      <c r="AF224" s="95"/>
      <c r="AG224" s="95"/>
      <c r="AH224" s="2"/>
      <c r="AI224" s="2"/>
      <c r="AJ224" s="2"/>
      <c r="AK224" s="2"/>
    </row>
    <row r="225" spans="1:37" ht="27" customHeight="1" x14ac:dyDescent="0.2">
      <c r="A225" s="1"/>
      <c r="B225" s="105">
        <v>10</v>
      </c>
      <c r="C225" s="2628" t="s">
        <v>178</v>
      </c>
      <c r="D225" s="2629"/>
      <c r="E225" s="105" t="s">
        <v>164</v>
      </c>
      <c r="F225" s="649">
        <v>8.2000000000000007E-3</v>
      </c>
      <c r="G225" s="780">
        <f>+H225/$M$220</f>
        <v>7.6567309223291745E-3</v>
      </c>
      <c r="H225" s="642">
        <f t="shared" si="53"/>
        <v>13093</v>
      </c>
      <c r="I225" s="642">
        <f t="shared" si="55"/>
        <v>924.99190144384988</v>
      </c>
      <c r="J225" s="643">
        <v>0</v>
      </c>
      <c r="K225" s="2691"/>
      <c r="L225" s="2692"/>
      <c r="M225" s="2692"/>
      <c r="N225" s="2540"/>
      <c r="O225" s="95"/>
      <c r="P225" s="95"/>
      <c r="Q225" s="128"/>
      <c r="R225" s="97">
        <v>843</v>
      </c>
      <c r="S225" s="743">
        <f>'T3.2025 '!I122</f>
        <v>4000</v>
      </c>
      <c r="T225" s="749">
        <f>'T4.2025 '!I151</f>
        <v>3650</v>
      </c>
      <c r="U225" s="749">
        <f>'T5.2025'!I206</f>
        <v>2350</v>
      </c>
      <c r="V225" s="749">
        <f>'T6.2025'!I210</f>
        <v>2250</v>
      </c>
      <c r="W225" s="743"/>
      <c r="X225" s="743"/>
      <c r="Y225" s="97"/>
      <c r="Z225" s="97"/>
      <c r="AA225" s="97"/>
      <c r="AB225" s="97"/>
      <c r="AC225" s="97"/>
      <c r="AD225" s="97"/>
      <c r="AE225" s="97">
        <f t="shared" si="54"/>
        <v>13093</v>
      </c>
      <c r="AF225" s="95"/>
      <c r="AG225" s="95"/>
      <c r="AH225" s="2"/>
      <c r="AI225" s="2"/>
      <c r="AJ225" s="2"/>
      <c r="AK225" s="2"/>
    </row>
    <row r="226" spans="1:37" ht="27" customHeight="1" x14ac:dyDescent="0.2">
      <c r="A226" s="1"/>
      <c r="B226" s="105">
        <v>11</v>
      </c>
      <c r="C226" s="2628" t="s">
        <v>179</v>
      </c>
      <c r="D226" s="2629"/>
      <c r="E226" s="105" t="s">
        <v>164</v>
      </c>
      <c r="F226" s="647">
        <v>4.6100000000000002E-2</v>
      </c>
      <c r="G226" s="647">
        <f t="shared" ref="G226:G233" si="56">+H226/$M$216</f>
        <v>3.2640479278173373E-2</v>
      </c>
      <c r="H226" s="642">
        <f t="shared" si="53"/>
        <v>55575</v>
      </c>
      <c r="I226" s="642">
        <f t="shared" si="55"/>
        <v>22916.724284000011</v>
      </c>
      <c r="J226" s="643">
        <v>0</v>
      </c>
      <c r="K226" s="2691"/>
      <c r="L226" s="2692"/>
      <c r="M226" s="2692"/>
      <c r="N226" s="2540"/>
      <c r="O226" s="95"/>
      <c r="P226" s="95"/>
      <c r="Q226" s="128"/>
      <c r="R226" s="97">
        <v>3000</v>
      </c>
      <c r="S226" s="743">
        <f>'T3.2025 '!I123</f>
        <v>19325</v>
      </c>
      <c r="T226" s="749">
        <f>'T4.2025 '!I152</f>
        <v>6525</v>
      </c>
      <c r="U226" s="749">
        <f>'T5.2025'!I207</f>
        <v>13250</v>
      </c>
      <c r="V226" s="749">
        <f>'T6.2025'!I211</f>
        <v>13475</v>
      </c>
      <c r="W226" s="743"/>
      <c r="X226" s="743"/>
      <c r="Y226" s="97"/>
      <c r="Z226" s="97"/>
      <c r="AA226" s="97"/>
      <c r="AB226" s="97"/>
      <c r="AC226" s="97"/>
      <c r="AD226" s="97"/>
      <c r="AE226" s="97">
        <f t="shared" si="54"/>
        <v>55575</v>
      </c>
      <c r="AF226" s="95"/>
      <c r="AG226" s="95"/>
      <c r="AH226" s="2"/>
      <c r="AI226" s="2"/>
      <c r="AJ226" s="2"/>
      <c r="AK226" s="2"/>
    </row>
    <row r="227" spans="1:37" ht="27" customHeight="1" x14ac:dyDescent="0.2">
      <c r="A227" s="1"/>
      <c r="B227" s="105">
        <v>12</v>
      </c>
      <c r="C227" s="2628" t="s">
        <v>180</v>
      </c>
      <c r="D227" s="2629"/>
      <c r="E227" s="105" t="s">
        <v>164</v>
      </c>
      <c r="F227" s="647">
        <v>3.0000000000000001E-3</v>
      </c>
      <c r="G227" s="644">
        <f t="shared" si="56"/>
        <v>1.8794338045911793E-3</v>
      </c>
      <c r="H227" s="642">
        <f t="shared" si="53"/>
        <v>3200</v>
      </c>
      <c r="I227" s="645"/>
      <c r="J227" s="643">
        <v>0</v>
      </c>
      <c r="K227" s="2691"/>
      <c r="L227" s="2692"/>
      <c r="M227" s="2692"/>
      <c r="N227" s="2540"/>
      <c r="O227" s="103"/>
      <c r="P227" s="103"/>
      <c r="Q227" s="128"/>
      <c r="R227" s="97"/>
      <c r="S227" s="743">
        <f>'T3.2025 '!I124</f>
        <v>1100</v>
      </c>
      <c r="T227" s="749">
        <f>'T4.2025 '!I153</f>
        <v>1200</v>
      </c>
      <c r="U227" s="749">
        <f>'T5.2025'!I208</f>
        <v>0</v>
      </c>
      <c r="V227" s="749">
        <f>'T6.2025'!I212</f>
        <v>900</v>
      </c>
      <c r="W227" s="743"/>
      <c r="X227" s="743"/>
      <c r="Y227" s="97"/>
      <c r="Z227" s="97"/>
      <c r="AA227" s="97"/>
      <c r="AB227" s="97"/>
      <c r="AC227" s="97"/>
      <c r="AD227" s="97"/>
      <c r="AE227" s="97">
        <f t="shared" si="54"/>
        <v>3200</v>
      </c>
      <c r="AF227" s="95"/>
      <c r="AG227" s="95"/>
      <c r="AH227" s="2"/>
      <c r="AI227" s="2"/>
      <c r="AJ227" s="2"/>
      <c r="AK227" s="2"/>
    </row>
    <row r="228" spans="1:37" ht="27" customHeight="1" x14ac:dyDescent="0.2">
      <c r="A228" s="1"/>
      <c r="B228" s="105">
        <v>13</v>
      </c>
      <c r="C228" s="2628" t="s">
        <v>181</v>
      </c>
      <c r="D228" s="2629"/>
      <c r="E228" s="105" t="s">
        <v>164</v>
      </c>
      <c r="F228" s="649">
        <v>3.0899999999999999E-3</v>
      </c>
      <c r="G228" s="644">
        <f t="shared" si="56"/>
        <v>0</v>
      </c>
      <c r="H228" s="642">
        <f t="shared" si="53"/>
        <v>0</v>
      </c>
      <c r="I228" s="645"/>
      <c r="J228" s="643">
        <v>0</v>
      </c>
      <c r="K228" s="2691"/>
      <c r="L228" s="2692"/>
      <c r="M228" s="2692"/>
      <c r="N228" s="2540"/>
      <c r="O228" s="650"/>
      <c r="P228" s="650"/>
      <c r="Q228" s="128"/>
      <c r="R228" s="97"/>
      <c r="S228" s="743">
        <f>'T3.2025 '!I125</f>
        <v>0</v>
      </c>
      <c r="T228" s="749">
        <f>'T4.2025 '!I154</f>
        <v>0</v>
      </c>
      <c r="U228" s="749">
        <f>'T5.2025'!I209</f>
        <v>0</v>
      </c>
      <c r="V228" s="749">
        <f>'T6.2025'!I213</f>
        <v>0</v>
      </c>
      <c r="W228" s="743"/>
      <c r="X228" s="743"/>
      <c r="Y228" s="97"/>
      <c r="Z228" s="97"/>
      <c r="AA228" s="97"/>
      <c r="AB228" s="97"/>
      <c r="AC228" s="97"/>
      <c r="AD228" s="97"/>
      <c r="AE228" s="97">
        <f t="shared" si="54"/>
        <v>0</v>
      </c>
      <c r="AF228" s="95"/>
      <c r="AG228" s="95"/>
      <c r="AH228" s="2"/>
      <c r="AI228" s="2"/>
      <c r="AJ228" s="2"/>
      <c r="AK228" s="2"/>
    </row>
    <row r="229" spans="1:37" ht="27" customHeight="1" x14ac:dyDescent="0.2">
      <c r="A229" s="1"/>
      <c r="B229" s="105">
        <v>14</v>
      </c>
      <c r="C229" s="2628" t="s">
        <v>182</v>
      </c>
      <c r="D229" s="2629"/>
      <c r="E229" s="651" t="s">
        <v>164</v>
      </c>
      <c r="F229" s="652">
        <v>1.6259999999999999</v>
      </c>
      <c r="G229" s="644">
        <f t="shared" si="56"/>
        <v>1.5981666980727884</v>
      </c>
      <c r="H229" s="642">
        <f t="shared" si="53"/>
        <v>2721103.25</v>
      </c>
      <c r="I229" s="245">
        <f t="shared" si="55"/>
        <v>47390.105440000159</v>
      </c>
      <c r="J229" s="643">
        <v>0</v>
      </c>
      <c r="K229" s="2691"/>
      <c r="L229" s="2692"/>
      <c r="M229" s="2692"/>
      <c r="N229" s="2540"/>
      <c r="O229" s="95"/>
      <c r="P229" s="95"/>
      <c r="Q229" s="128"/>
      <c r="R229" s="97">
        <v>188100</v>
      </c>
      <c r="S229" s="743">
        <f>'T3.2025 '!I126</f>
        <v>772398</v>
      </c>
      <c r="T229" s="749">
        <f>'T4.2025 '!I155</f>
        <v>701241</v>
      </c>
      <c r="U229" s="749">
        <f>'T5.2025'!I210</f>
        <v>567352</v>
      </c>
      <c r="V229" s="749">
        <f>'T6.2025'!I214</f>
        <v>492012.25</v>
      </c>
      <c r="W229" s="743"/>
      <c r="X229" s="743"/>
      <c r="Y229" s="97"/>
      <c r="Z229" s="97"/>
      <c r="AA229" s="97"/>
      <c r="AB229" s="97"/>
      <c r="AC229" s="97"/>
      <c r="AD229" s="97"/>
      <c r="AE229" s="97">
        <f t="shared" si="54"/>
        <v>2721103.25</v>
      </c>
      <c r="AF229" s="95"/>
      <c r="AG229" s="95"/>
      <c r="AH229" s="2"/>
      <c r="AI229" s="2"/>
      <c r="AJ229" s="2"/>
      <c r="AK229" s="2"/>
    </row>
    <row r="230" spans="1:37" ht="27" customHeight="1" x14ac:dyDescent="0.2">
      <c r="A230" s="1"/>
      <c r="B230" s="105">
        <v>15</v>
      </c>
      <c r="C230" s="2628" t="s">
        <v>183</v>
      </c>
      <c r="D230" s="2629"/>
      <c r="E230" s="105" t="s">
        <v>164</v>
      </c>
      <c r="F230" s="649">
        <v>6.4099999999999999E-3</v>
      </c>
      <c r="G230" s="1217">
        <f>+H230/$M$220</f>
        <v>6.0462033915803359E-3</v>
      </c>
      <c r="H230" s="642">
        <f t="shared" si="53"/>
        <v>10339</v>
      </c>
      <c r="I230" s="642">
        <f t="shared" si="55"/>
        <v>619.41481743016459</v>
      </c>
      <c r="J230" s="643">
        <v>0</v>
      </c>
      <c r="K230" s="2691"/>
      <c r="L230" s="2692"/>
      <c r="M230" s="2692"/>
      <c r="N230" s="2540"/>
      <c r="O230" s="95"/>
      <c r="P230" s="95"/>
      <c r="Q230" s="128"/>
      <c r="R230" s="97">
        <v>659</v>
      </c>
      <c r="S230" s="743">
        <f>'T3.2025 '!I127</f>
        <v>3145</v>
      </c>
      <c r="T230" s="749">
        <f>'T4.2025 '!I156</f>
        <v>2255</v>
      </c>
      <c r="U230" s="749">
        <f>'T5.2025'!I211</f>
        <v>2300</v>
      </c>
      <c r="V230" s="749">
        <f>'T6.2025'!I215</f>
        <v>1980</v>
      </c>
      <c r="W230" s="743"/>
      <c r="X230" s="743"/>
      <c r="Y230" s="97"/>
      <c r="Z230" s="97"/>
      <c r="AA230" s="97"/>
      <c r="AB230" s="97"/>
      <c r="AC230" s="97"/>
      <c r="AD230" s="97"/>
      <c r="AE230" s="97">
        <f t="shared" si="54"/>
        <v>10339</v>
      </c>
      <c r="AF230" s="95"/>
      <c r="AG230" s="95"/>
      <c r="AH230" s="2"/>
      <c r="AI230" s="2"/>
      <c r="AJ230" s="2"/>
      <c r="AK230" s="2"/>
    </row>
    <row r="231" spans="1:37" ht="27" customHeight="1" x14ac:dyDescent="0.2">
      <c r="A231" s="1"/>
      <c r="B231" s="105">
        <v>16</v>
      </c>
      <c r="C231" s="2628" t="s">
        <v>184</v>
      </c>
      <c r="D231" s="2629"/>
      <c r="E231" s="105" t="s">
        <v>169</v>
      </c>
      <c r="F231" s="649">
        <v>4.7239999999999997E-2</v>
      </c>
      <c r="G231" s="649">
        <f t="shared" si="56"/>
        <v>4.4190187330450104E-2</v>
      </c>
      <c r="H231" s="642">
        <f t="shared" si="53"/>
        <v>75240</v>
      </c>
      <c r="I231" s="642">
        <f t="shared" si="55"/>
        <v>5192.7343856000061</v>
      </c>
      <c r="J231" s="643">
        <v>0</v>
      </c>
      <c r="K231" s="2691"/>
      <c r="L231" s="2692"/>
      <c r="M231" s="2692"/>
      <c r="N231" s="2540"/>
      <c r="O231" s="95"/>
      <c r="P231" s="95"/>
      <c r="Q231" s="128"/>
      <c r="R231" s="97">
        <v>4200</v>
      </c>
      <c r="S231" s="743">
        <f>'T3.2025 '!I128</f>
        <v>21700</v>
      </c>
      <c r="T231" s="749">
        <f>'T4.2025 '!I157</f>
        <v>20840</v>
      </c>
      <c r="U231" s="749">
        <f>'T5.2025'!I212</f>
        <v>15240</v>
      </c>
      <c r="V231" s="749">
        <f>'T6.2025'!I216</f>
        <v>13260</v>
      </c>
      <c r="W231" s="743"/>
      <c r="X231" s="743"/>
      <c r="Y231" s="97"/>
      <c r="Z231" s="97"/>
      <c r="AA231" s="97"/>
      <c r="AB231" s="97"/>
      <c r="AC231" s="97"/>
      <c r="AD231" s="97"/>
      <c r="AE231" s="97">
        <f t="shared" si="54"/>
        <v>75240</v>
      </c>
      <c r="AF231" s="95"/>
      <c r="AG231" s="95"/>
      <c r="AH231" s="2"/>
      <c r="AI231" s="2"/>
      <c r="AJ231" s="2"/>
      <c r="AK231" s="2"/>
    </row>
    <row r="232" spans="1:37" ht="30" customHeight="1" x14ac:dyDescent="0.2">
      <c r="A232" s="1"/>
      <c r="B232" s="105">
        <v>17</v>
      </c>
      <c r="C232" s="2641" t="s">
        <v>185</v>
      </c>
      <c r="D232" s="2693"/>
      <c r="E232" s="114" t="s">
        <v>169</v>
      </c>
      <c r="F232" s="653">
        <v>1.1809999999999999E-2</v>
      </c>
      <c r="G232" s="1219">
        <f>+H232/$M$216</f>
        <v>1.2219256345162339E-2</v>
      </c>
      <c r="H232" s="655">
        <f t="shared" si="53"/>
        <v>20805</v>
      </c>
      <c r="I232" s="655"/>
      <c r="J232" s="656"/>
      <c r="K232" s="2691"/>
      <c r="L232" s="2692"/>
      <c r="M232" s="2692"/>
      <c r="N232" s="2540"/>
      <c r="O232" s="95"/>
      <c r="P232" s="95"/>
      <c r="Q232" s="128"/>
      <c r="R232" s="97">
        <v>1140</v>
      </c>
      <c r="S232" s="743">
        <f>'T3.2025 '!I129</f>
        <v>5820</v>
      </c>
      <c r="T232" s="749">
        <f>'T4.2025 '!I158</f>
        <v>5520</v>
      </c>
      <c r="U232" s="749">
        <f>'T5.2025'!I213</f>
        <v>4575</v>
      </c>
      <c r="V232" s="749">
        <f>'T6.2025'!I217</f>
        <v>3750</v>
      </c>
      <c r="W232" s="746"/>
      <c r="X232" s="743"/>
      <c r="Y232" s="97"/>
      <c r="Z232" s="97"/>
      <c r="AA232" s="97"/>
      <c r="AB232" s="97"/>
      <c r="AC232" s="97"/>
      <c r="AD232" s="97"/>
      <c r="AE232" s="97">
        <f t="shared" si="54"/>
        <v>20805</v>
      </c>
      <c r="AF232" s="95"/>
      <c r="AG232" s="95"/>
      <c r="AH232" s="2"/>
      <c r="AI232" s="2"/>
      <c r="AJ232" s="2"/>
      <c r="AK232" s="2"/>
    </row>
    <row r="233" spans="1:37" ht="27" customHeight="1" x14ac:dyDescent="0.2">
      <c r="A233" s="1"/>
      <c r="B233" s="105">
        <v>18</v>
      </c>
      <c r="C233" s="2646" t="s">
        <v>188</v>
      </c>
      <c r="D233" s="2690"/>
      <c r="E233" s="12" t="s">
        <v>164</v>
      </c>
      <c r="F233" s="657">
        <v>5.1999999999999998E-3</v>
      </c>
      <c r="G233" s="1218">
        <f t="shared" si="56"/>
        <v>3.7706140704610535E-3</v>
      </c>
      <c r="H233" s="118">
        <f t="shared" si="53"/>
        <v>6420</v>
      </c>
      <c r="I233" s="118">
        <f t="shared" si="55"/>
        <v>2433.7302880000007</v>
      </c>
      <c r="J233" s="659" t="s">
        <v>142</v>
      </c>
      <c r="K233" s="2664"/>
      <c r="L233" s="2607"/>
      <c r="M233" s="2607"/>
      <c r="N233" s="2470"/>
      <c r="O233" s="95"/>
      <c r="P233" s="95"/>
      <c r="Q233" s="128"/>
      <c r="R233" s="97">
        <v>450</v>
      </c>
      <c r="S233" s="743">
        <f>'T3.2025 '!I130</f>
        <v>2130</v>
      </c>
      <c r="T233" s="749">
        <f>'T4.2025 '!I159</f>
        <v>1680</v>
      </c>
      <c r="U233" s="749">
        <f>'T5.2025'!I214</f>
        <v>1080</v>
      </c>
      <c r="V233" s="1214">
        <f>'T6.2025'!I218</f>
        <v>1080</v>
      </c>
      <c r="W233" s="458"/>
      <c r="X233" s="732"/>
      <c r="Y233" s="97"/>
      <c r="Z233" s="97"/>
      <c r="AA233" s="97"/>
      <c r="AB233" s="97"/>
      <c r="AC233" s="97"/>
      <c r="AD233" s="97"/>
      <c r="AE233" s="97">
        <f>SUM(O233:AB233)</f>
        <v>6420</v>
      </c>
      <c r="AF233" s="95"/>
      <c r="AG233" s="95"/>
      <c r="AH233" s="2"/>
      <c r="AI233" s="2"/>
      <c r="AJ233" s="2"/>
      <c r="AK233" s="2"/>
    </row>
    <row r="234" spans="1:37" ht="27" customHeight="1" x14ac:dyDescent="0.2">
      <c r="A234" s="1"/>
      <c r="B234" s="2689" t="s">
        <v>354</v>
      </c>
      <c r="C234" s="2476"/>
      <c r="D234" s="2476"/>
      <c r="E234" s="2476"/>
      <c r="F234" s="2476"/>
      <c r="G234" s="2476"/>
      <c r="H234" s="2476"/>
      <c r="I234" s="2476"/>
      <c r="J234" s="2476"/>
      <c r="K234" s="2476"/>
      <c r="L234" s="2476"/>
      <c r="M234" s="2476"/>
      <c r="N234" s="2476"/>
      <c r="O234" s="95"/>
      <c r="P234" s="95"/>
      <c r="Q234" s="95"/>
      <c r="R234" s="95"/>
      <c r="AE234" s="95"/>
      <c r="AF234" s="95"/>
      <c r="AG234" s="95"/>
      <c r="AH234" s="2"/>
      <c r="AI234" s="2"/>
      <c r="AJ234" s="2"/>
      <c r="AK234" s="2"/>
    </row>
    <row r="235" spans="1:37" ht="34.5" customHeight="1" x14ac:dyDescent="0.2">
      <c r="A235" s="1"/>
      <c r="B235" s="202" t="s">
        <v>39</v>
      </c>
      <c r="C235" s="2604" t="s">
        <v>191</v>
      </c>
      <c r="D235" s="2578"/>
      <c r="E235" s="202" t="s">
        <v>17</v>
      </c>
      <c r="F235" s="638" t="s">
        <v>149</v>
      </c>
      <c r="G235" s="638" t="s">
        <v>150</v>
      </c>
      <c r="H235" s="202" t="s">
        <v>151</v>
      </c>
      <c r="I235" s="638" t="s">
        <v>355</v>
      </c>
      <c r="J235" s="639" t="s">
        <v>356</v>
      </c>
      <c r="K235" s="2604" t="s">
        <v>47</v>
      </c>
      <c r="L235" s="2577"/>
      <c r="M235" s="2577"/>
      <c r="N235" s="2578"/>
      <c r="O235" s="95"/>
      <c r="P235" s="640" t="s">
        <v>353</v>
      </c>
      <c r="Q235" s="210" t="s">
        <v>154</v>
      </c>
      <c r="R235" s="386" t="s">
        <v>155</v>
      </c>
      <c r="S235" s="761" t="s">
        <v>156</v>
      </c>
      <c r="T235" s="761" t="s">
        <v>157</v>
      </c>
      <c r="U235" s="761" t="s">
        <v>158</v>
      </c>
      <c r="V235" s="761" t="s">
        <v>159</v>
      </c>
      <c r="W235" s="761" t="s">
        <v>160</v>
      </c>
      <c r="X235" s="761" t="s">
        <v>161</v>
      </c>
      <c r="Y235" s="139" t="s">
        <v>162</v>
      </c>
      <c r="Z235" s="139" t="s">
        <v>111</v>
      </c>
      <c r="AA235" s="139" t="s">
        <v>29</v>
      </c>
      <c r="AB235" s="139" t="s">
        <v>31</v>
      </c>
      <c r="AC235" s="139"/>
      <c r="AD235" s="139"/>
      <c r="AE235" s="139" t="s">
        <v>33</v>
      </c>
      <c r="AF235" s="103"/>
      <c r="AG235" s="103"/>
      <c r="AH235" s="2"/>
      <c r="AI235" s="2"/>
      <c r="AJ235" s="2"/>
      <c r="AK235" s="2"/>
    </row>
    <row r="236" spans="1:37" ht="31" customHeight="1" x14ac:dyDescent="0.2">
      <c r="A236" s="1"/>
      <c r="B236" s="660">
        <v>1</v>
      </c>
      <c r="C236" s="661" t="s">
        <v>389</v>
      </c>
      <c r="D236" s="662"/>
      <c r="E236" s="663" t="s">
        <v>49</v>
      </c>
      <c r="F236" s="664">
        <v>21.26</v>
      </c>
      <c r="G236" s="1221">
        <f>H236/$M$236</f>
        <v>20.692884938526781</v>
      </c>
      <c r="H236" s="665">
        <f>AE236</f>
        <v>10652221.23</v>
      </c>
      <c r="I236" s="1207">
        <f>-(G236-F236)*$M$236</f>
        <v>291937.79000000004</v>
      </c>
      <c r="J236" s="666"/>
      <c r="K236" s="2785" t="s">
        <v>165</v>
      </c>
      <c r="L236" s="2786"/>
      <c r="M236" s="2687">
        <f>SUM(M237:N238)</f>
        <v>514777</v>
      </c>
      <c r="N236" s="2688"/>
      <c r="O236" s="95"/>
      <c r="P236" s="95"/>
      <c r="Q236" s="128">
        <f>'T1.2025'!I160</f>
        <v>2443396.23</v>
      </c>
      <c r="R236" s="128"/>
      <c r="S236" s="749"/>
      <c r="T236" s="1220">
        <f>'T4.2025 '!I177</f>
        <v>3147170</v>
      </c>
      <c r="U236" s="749">
        <f>'T5.2025'!I218</f>
        <v>5061655</v>
      </c>
      <c r="V236" s="749"/>
      <c r="W236" s="749"/>
      <c r="X236" s="743"/>
      <c r="Y236" s="97"/>
      <c r="Z236" s="97"/>
      <c r="AA236" s="97"/>
      <c r="AB236" s="97"/>
      <c r="AC236" s="97"/>
      <c r="AD236" s="97"/>
      <c r="AE236" s="97">
        <f>SUM(O236:AB236)</f>
        <v>10652221.23</v>
      </c>
      <c r="AF236" s="95"/>
      <c r="AG236" s="95"/>
      <c r="AH236" s="2"/>
      <c r="AI236" s="2"/>
      <c r="AJ236" s="2"/>
      <c r="AK236" s="2"/>
    </row>
    <row r="237" spans="1:37" ht="31" customHeight="1" x14ac:dyDescent="0.2">
      <c r="A237" s="1"/>
      <c r="B237" s="667">
        <v>2</v>
      </c>
      <c r="C237" s="641" t="s">
        <v>200</v>
      </c>
      <c r="D237" s="668"/>
      <c r="E237" s="105" t="s">
        <v>49</v>
      </c>
      <c r="F237" s="644">
        <v>0.39</v>
      </c>
      <c r="G237" s="1221">
        <f>H237/M238</f>
        <v>0.85961292583527882</v>
      </c>
      <c r="H237" s="801">
        <f t="shared" ref="H237:H250" si="57">AE237</f>
        <v>76040.070000000007</v>
      </c>
      <c r="I237" s="666">
        <f>-(G237-F237)*M238</f>
        <v>-41541.255000000012</v>
      </c>
      <c r="J237" s="642"/>
      <c r="K237" s="2630" t="s">
        <v>201</v>
      </c>
      <c r="L237" s="2784"/>
      <c r="M237" s="2685">
        <f>G210</f>
        <v>426318.5</v>
      </c>
      <c r="N237" s="2686"/>
      <c r="O237" s="103"/>
      <c r="P237" s="95"/>
      <c r="Q237" s="128">
        <f>'T1.2025'!I161</f>
        <v>8938.77</v>
      </c>
      <c r="R237" s="97"/>
      <c r="S237" s="743"/>
      <c r="T237" s="749">
        <f>'T4.2025 '!I178</f>
        <v>41682.300000000003</v>
      </c>
      <c r="U237" s="743">
        <f>'T5.2025'!I220</f>
        <v>25419</v>
      </c>
      <c r="V237" s="743"/>
      <c r="W237" s="743"/>
      <c r="X237" s="743"/>
      <c r="Y237" s="97"/>
      <c r="Z237" s="97"/>
      <c r="AA237" s="97"/>
      <c r="AB237" s="97"/>
      <c r="AC237" s="97"/>
      <c r="AD237" s="97"/>
      <c r="AE237" s="97">
        <f t="shared" ref="AE237:AE250" si="58">SUM(Q237:AB237)</f>
        <v>76040.070000000007</v>
      </c>
      <c r="AF237" s="95"/>
      <c r="AG237" s="95"/>
      <c r="AH237" s="2"/>
      <c r="AI237" s="2"/>
      <c r="AJ237" s="2"/>
      <c r="AK237" s="2"/>
    </row>
    <row r="238" spans="1:37" ht="31" customHeight="1" x14ac:dyDescent="0.2">
      <c r="A238" s="1"/>
      <c r="B238" s="669">
        <v>3</v>
      </c>
      <c r="C238" s="670" t="s">
        <v>202</v>
      </c>
      <c r="D238" s="671"/>
      <c r="E238" s="114" t="s">
        <v>49</v>
      </c>
      <c r="F238" s="654">
        <v>0.28000000000000003</v>
      </c>
      <c r="G238" s="1221">
        <f>H238/M237</f>
        <v>0.18065906124177111</v>
      </c>
      <c r="H238" s="801">
        <f t="shared" si="57"/>
        <v>77018.3</v>
      </c>
      <c r="I238" s="666">
        <f>-(G238-F238)*M237</f>
        <v>42350.880000000012</v>
      </c>
      <c r="J238" s="672"/>
      <c r="K238" s="2782" t="s">
        <v>203</v>
      </c>
      <c r="L238" s="2783"/>
      <c r="M238" s="2778">
        <f>G209</f>
        <v>88458.5</v>
      </c>
      <c r="N238" s="2779"/>
      <c r="O238" s="95"/>
      <c r="P238" s="95"/>
      <c r="Q238" s="128">
        <f>'T1.2025'!I162</f>
        <v>25353</v>
      </c>
      <c r="R238" s="97"/>
      <c r="S238" s="743"/>
      <c r="T238" s="749"/>
      <c r="U238" s="743">
        <f>'T5.2025'!I219</f>
        <v>51665.3</v>
      </c>
      <c r="V238" s="743"/>
      <c r="W238" s="743"/>
      <c r="X238" s="743"/>
      <c r="Y238" s="97"/>
      <c r="Z238" s="97"/>
      <c r="AA238" s="97"/>
      <c r="AB238" s="97"/>
      <c r="AC238" s="97"/>
      <c r="AD238" s="97"/>
      <c r="AE238" s="97">
        <f t="shared" si="58"/>
        <v>77018.3</v>
      </c>
      <c r="AF238" s="95"/>
      <c r="AG238" s="95"/>
      <c r="AH238" s="2"/>
      <c r="AI238" s="2"/>
      <c r="AJ238" s="2"/>
      <c r="AK238" s="2"/>
    </row>
    <row r="239" spans="1:37" ht="31" customHeight="1" x14ac:dyDescent="0.2">
      <c r="A239" s="1"/>
      <c r="B239" s="17">
        <v>4</v>
      </c>
      <c r="C239" s="673" t="s">
        <v>204</v>
      </c>
      <c r="D239" s="674"/>
      <c r="E239" s="633" t="s">
        <v>49</v>
      </c>
      <c r="F239" s="675">
        <v>0.39</v>
      </c>
      <c r="G239" s="802">
        <f>H239/M238</f>
        <v>0.5762142699684033</v>
      </c>
      <c r="H239" s="801">
        <f t="shared" si="57"/>
        <v>50971.05</v>
      </c>
      <c r="I239" s="666"/>
      <c r="J239" s="28">
        <f>--(G239-F239)*M238</f>
        <v>16472.235000000004</v>
      </c>
      <c r="K239" s="2780" t="s">
        <v>205</v>
      </c>
      <c r="L239" s="2781"/>
      <c r="M239" s="2776">
        <f>'TH Than 2025'!L34</f>
        <v>516624.5</v>
      </c>
      <c r="N239" s="2777"/>
      <c r="O239" s="95"/>
      <c r="P239" s="95"/>
      <c r="Q239" s="128">
        <f>'T1.2025'!I163</f>
        <v>10196.35</v>
      </c>
      <c r="R239" s="97"/>
      <c r="S239" s="743"/>
      <c r="T239" s="749">
        <f>'T4.2025 '!I179</f>
        <v>15355.7</v>
      </c>
      <c r="U239" s="743">
        <f>'T5.2025'!I222</f>
        <v>25419</v>
      </c>
      <c r="V239" s="743"/>
      <c r="W239" s="743"/>
      <c r="X239" s="743"/>
      <c r="Y239" s="97"/>
      <c r="Z239" s="97"/>
      <c r="AA239" s="97"/>
      <c r="AB239" s="97"/>
      <c r="AC239" s="97"/>
      <c r="AD239" s="97"/>
      <c r="AE239" s="97">
        <f t="shared" si="58"/>
        <v>50971.05</v>
      </c>
      <c r="AF239" s="95"/>
      <c r="AG239" s="95"/>
      <c r="AH239" s="2"/>
      <c r="AI239" s="2"/>
      <c r="AJ239" s="2"/>
      <c r="AK239" s="2"/>
    </row>
    <row r="240" spans="1:37" ht="31" customHeight="1" x14ac:dyDescent="0.2">
      <c r="A240" s="1"/>
      <c r="B240" s="57">
        <v>5</v>
      </c>
      <c r="C240" s="676" t="s">
        <v>196</v>
      </c>
      <c r="D240" s="677"/>
      <c r="E240" s="12" t="s">
        <v>49</v>
      </c>
      <c r="F240" s="658">
        <v>0.11700000000000001</v>
      </c>
      <c r="G240" s="802">
        <f>H240/M237</f>
        <v>0.12549786134075813</v>
      </c>
      <c r="H240" s="801">
        <f t="shared" si="57"/>
        <v>53502.06</v>
      </c>
      <c r="I240" s="666"/>
      <c r="J240" s="28">
        <f>--(G240-F240)*M237</f>
        <v>3622.7954999999929</v>
      </c>
      <c r="K240" s="2599" t="s">
        <v>357</v>
      </c>
      <c r="L240" s="2599"/>
      <c r="M240" s="2599"/>
      <c r="N240" s="2599"/>
      <c r="O240" s="95"/>
      <c r="P240" s="95"/>
      <c r="Q240" s="128">
        <f>'T1.2025'!I164</f>
        <v>11763.86</v>
      </c>
      <c r="R240" s="97"/>
      <c r="S240" s="743"/>
      <c r="T240" s="749">
        <f>'T4.2025 '!I180</f>
        <v>19082.400000000001</v>
      </c>
      <c r="U240" s="743">
        <f>'T5.2025'!I223</f>
        <v>22655.8</v>
      </c>
      <c r="V240" s="743"/>
      <c r="W240" s="743"/>
      <c r="X240" s="743"/>
      <c r="Y240" s="97"/>
      <c r="Z240" s="97"/>
      <c r="AA240" s="97"/>
      <c r="AB240" s="97"/>
      <c r="AC240" s="97"/>
      <c r="AD240" s="97"/>
      <c r="AE240" s="97">
        <f t="shared" si="58"/>
        <v>53502.06</v>
      </c>
      <c r="AF240" s="95"/>
      <c r="AG240" s="95"/>
      <c r="AH240" s="2"/>
      <c r="AI240" s="2"/>
      <c r="AJ240" s="2"/>
      <c r="AK240" s="2"/>
    </row>
    <row r="241" spans="1:37" ht="31" customHeight="1" x14ac:dyDescent="0.2">
      <c r="A241" s="1"/>
      <c r="B241" s="57">
        <v>6</v>
      </c>
      <c r="C241" s="676" t="s">
        <v>130</v>
      </c>
      <c r="D241" s="677"/>
      <c r="E241" s="12" t="s">
        <v>49</v>
      </c>
      <c r="F241" s="658">
        <v>9.2999999999999999E-2</v>
      </c>
      <c r="G241" s="802">
        <f>H241/M237</f>
        <v>2.4325826817273938E-2</v>
      </c>
      <c r="H241" s="801">
        <f t="shared" si="57"/>
        <v>10370.549999999999</v>
      </c>
      <c r="I241" s="666"/>
      <c r="J241" s="28">
        <f>--(G241-F241)*M237</f>
        <v>-29277.070500000002</v>
      </c>
      <c r="K241" s="2599"/>
      <c r="L241" s="2599"/>
      <c r="M241" s="2599"/>
      <c r="N241" s="2599"/>
      <c r="O241" s="95"/>
      <c r="P241" s="95"/>
      <c r="Q241" s="128">
        <f>'T1.2025'!I165</f>
        <v>10370.549999999999</v>
      </c>
      <c r="R241" s="97"/>
      <c r="S241" s="743"/>
      <c r="T241" s="749"/>
      <c r="U241" s="743"/>
      <c r="V241" s="743"/>
      <c r="W241" s="743"/>
      <c r="X241" s="743"/>
      <c r="Y241" s="97"/>
      <c r="Z241" s="97"/>
      <c r="AA241" s="97"/>
      <c r="AB241" s="97"/>
      <c r="AC241" s="97"/>
      <c r="AD241" s="97"/>
      <c r="AE241" s="97">
        <f t="shared" si="58"/>
        <v>10370.549999999999</v>
      </c>
      <c r="AF241" s="95"/>
      <c r="AG241" s="95"/>
      <c r="AH241" s="2"/>
      <c r="AI241" s="2"/>
      <c r="AJ241" s="2"/>
      <c r="AK241" s="2"/>
    </row>
    <row r="242" spans="1:37" ht="31" customHeight="1" x14ac:dyDescent="0.2">
      <c r="A242" s="1"/>
      <c r="B242" s="57">
        <v>7</v>
      </c>
      <c r="C242" s="2738" t="s">
        <v>176</v>
      </c>
      <c r="D242" s="2739"/>
      <c r="E242" s="12" t="s">
        <v>195</v>
      </c>
      <c r="F242" s="678">
        <v>0.66900000000000004</v>
      </c>
      <c r="G242" s="802">
        <f t="shared" ref="G242:G249" si="59">H242/$M$236</f>
        <v>0.66893820042464991</v>
      </c>
      <c r="H242" s="665">
        <f t="shared" si="57"/>
        <v>344354</v>
      </c>
      <c r="I242" s="666">
        <f t="shared" ref="I242:I249" si="60">-(G242-F242)*$M$236</f>
        <v>31.81300000001383</v>
      </c>
      <c r="J242" s="118">
        <v>0</v>
      </c>
      <c r="K242" s="2599"/>
      <c r="L242" s="2599"/>
      <c r="M242" s="2599"/>
      <c r="N242" s="2599"/>
      <c r="O242" s="95"/>
      <c r="P242" s="95"/>
      <c r="Q242" s="128">
        <f>'T1.2025'!I166</f>
        <v>77504</v>
      </c>
      <c r="R242" s="97"/>
      <c r="S242" s="743"/>
      <c r="T242" s="749">
        <f>'T4.2025 '!I181</f>
        <v>99200</v>
      </c>
      <c r="U242" s="743">
        <f>'T5.2025'!I224</f>
        <v>167650</v>
      </c>
      <c r="V242" s="743"/>
      <c r="W242" s="743"/>
      <c r="X242" s="743"/>
      <c r="Y242" s="97"/>
      <c r="Z242" s="97"/>
      <c r="AA242" s="97"/>
      <c r="AB242" s="97"/>
      <c r="AC242" s="97"/>
      <c r="AD242" s="97"/>
      <c r="AE242" s="97">
        <f t="shared" si="58"/>
        <v>344354</v>
      </c>
      <c r="AF242" s="95"/>
      <c r="AG242" s="95"/>
      <c r="AH242" s="2"/>
      <c r="AI242" s="2"/>
      <c r="AJ242" s="2"/>
      <c r="AK242" s="2"/>
    </row>
    <row r="243" spans="1:37" ht="31" customHeight="1" x14ac:dyDescent="0.2">
      <c r="A243" s="1"/>
      <c r="B243" s="57">
        <v>8</v>
      </c>
      <c r="C243" s="2738" t="s">
        <v>177</v>
      </c>
      <c r="D243" s="2739"/>
      <c r="E243" s="12" t="s">
        <v>49</v>
      </c>
      <c r="F243" s="658">
        <v>0.02</v>
      </c>
      <c r="G243" s="802">
        <f t="shared" si="59"/>
        <v>2.0051400897864512E-2</v>
      </c>
      <c r="H243" s="665">
        <f t="shared" si="57"/>
        <v>10322</v>
      </c>
      <c r="I243" s="1195">
        <f t="shared" si="60"/>
        <v>-26.459999999999877</v>
      </c>
      <c r="J243" s="118">
        <v>0</v>
      </c>
      <c r="K243" s="2599"/>
      <c r="L243" s="2599"/>
      <c r="M243" s="2599"/>
      <c r="N243" s="2599"/>
      <c r="O243" s="95"/>
      <c r="P243" s="95"/>
      <c r="Q243" s="128">
        <f>'T1.2025'!I167</f>
        <v>2310</v>
      </c>
      <c r="R243" s="97"/>
      <c r="S243" s="743"/>
      <c r="T243" s="749">
        <f>'T4.2025 '!I182</f>
        <v>3000</v>
      </c>
      <c r="U243" s="743">
        <f>'T5.2025'!I225</f>
        <v>5012</v>
      </c>
      <c r="V243" s="743"/>
      <c r="W243" s="743"/>
      <c r="X243" s="743"/>
      <c r="Y243" s="97"/>
      <c r="Z243" s="97"/>
      <c r="AA243" s="97"/>
      <c r="AB243" s="97"/>
      <c r="AC243" s="97"/>
      <c r="AD243" s="97"/>
      <c r="AE243" s="97">
        <f t="shared" si="58"/>
        <v>10322</v>
      </c>
      <c r="AF243" s="95"/>
      <c r="AG243" s="95"/>
      <c r="AH243" s="2"/>
      <c r="AI243" s="2"/>
      <c r="AJ243" s="2"/>
      <c r="AK243" s="2"/>
    </row>
    <row r="244" spans="1:37" ht="31" customHeight="1" x14ac:dyDescent="0.2">
      <c r="A244" s="1"/>
      <c r="B244" s="57">
        <v>9</v>
      </c>
      <c r="C244" s="676" t="s">
        <v>178</v>
      </c>
      <c r="D244" s="677"/>
      <c r="E244" s="12" t="s">
        <v>49</v>
      </c>
      <c r="F244" s="678">
        <v>1.9599999999999999E-2</v>
      </c>
      <c r="G244" s="802">
        <f t="shared" si="59"/>
        <v>1.1276727592724616E-2</v>
      </c>
      <c r="H244" s="665">
        <f t="shared" si="57"/>
        <v>5805</v>
      </c>
      <c r="I244" s="666">
        <f t="shared" si="60"/>
        <v>4284.6292000000003</v>
      </c>
      <c r="J244" s="118">
        <v>0</v>
      </c>
      <c r="K244" s="2599"/>
      <c r="L244" s="2599"/>
      <c r="M244" s="2599"/>
      <c r="N244" s="2599"/>
      <c r="O244" s="95"/>
      <c r="P244" s="95"/>
      <c r="Q244" s="128">
        <f>'T1.2025'!I169</f>
        <v>1305</v>
      </c>
      <c r="R244" s="97"/>
      <c r="S244" s="743"/>
      <c r="T244" s="749">
        <f>'T4.2025 '!I183</f>
        <v>1800</v>
      </c>
      <c r="U244" s="743">
        <f>'T5.2025'!I226</f>
        <v>2700</v>
      </c>
      <c r="V244" s="743"/>
      <c r="W244" s="743"/>
      <c r="X244" s="743"/>
      <c r="Y244" s="97"/>
      <c r="Z244" s="97"/>
      <c r="AA244" s="97"/>
      <c r="AB244" s="97"/>
      <c r="AC244" s="97"/>
      <c r="AD244" s="97"/>
      <c r="AE244" s="97">
        <f t="shared" si="58"/>
        <v>5805</v>
      </c>
      <c r="AF244" s="95"/>
      <c r="AG244" s="95"/>
      <c r="AH244" s="2"/>
      <c r="AI244" s="2"/>
      <c r="AJ244" s="2"/>
      <c r="AK244" s="2"/>
    </row>
    <row r="245" spans="1:37" ht="31" customHeight="1" x14ac:dyDescent="0.2">
      <c r="A245" s="1"/>
      <c r="B245" s="57">
        <v>10</v>
      </c>
      <c r="C245" s="321" t="s">
        <v>179</v>
      </c>
      <c r="D245" s="321"/>
      <c r="E245" s="12" t="s">
        <v>49</v>
      </c>
      <c r="F245" s="658">
        <v>2.7E-2</v>
      </c>
      <c r="G245" s="802">
        <f t="shared" si="59"/>
        <v>5.2067205799792918E-2</v>
      </c>
      <c r="H245" s="665">
        <f t="shared" si="57"/>
        <v>26803</v>
      </c>
      <c r="I245" s="666"/>
      <c r="J245" s="118">
        <f>(G245-F245)*$M$236</f>
        <v>12904.020999999999</v>
      </c>
      <c r="K245" s="2599"/>
      <c r="L245" s="2599"/>
      <c r="M245" s="2599"/>
      <c r="N245" s="2599"/>
      <c r="O245" s="95"/>
      <c r="P245" s="95"/>
      <c r="Q245" s="128">
        <f>'T1.2025'!I170</f>
        <v>2200</v>
      </c>
      <c r="R245" s="97"/>
      <c r="S245" s="743"/>
      <c r="T245" s="749">
        <f>'T4.2025 '!I184</f>
        <v>6175</v>
      </c>
      <c r="U245" s="743">
        <f>'T5.2025'!I230</f>
        <v>18428</v>
      </c>
      <c r="V245" s="743"/>
      <c r="W245" s="743"/>
      <c r="X245" s="743"/>
      <c r="Y245" s="97"/>
      <c r="Z245" s="97"/>
      <c r="AA245" s="97"/>
      <c r="AB245" s="97"/>
      <c r="AC245" s="97"/>
      <c r="AD245" s="97"/>
      <c r="AE245" s="97">
        <f t="shared" si="58"/>
        <v>26803</v>
      </c>
      <c r="AF245" s="95"/>
      <c r="AG245" s="95"/>
      <c r="AH245" s="2"/>
      <c r="AI245" s="2"/>
      <c r="AJ245" s="2"/>
      <c r="AK245" s="2"/>
    </row>
    <row r="246" spans="1:37" ht="31" customHeight="1" x14ac:dyDescent="0.2">
      <c r="A246" s="1"/>
      <c r="B246" s="57">
        <v>11</v>
      </c>
      <c r="C246" s="321" t="s">
        <v>206</v>
      </c>
      <c r="D246" s="321"/>
      <c r="E246" s="12" t="s">
        <v>49</v>
      </c>
      <c r="F246" s="678">
        <v>2.0999999999999999E-3</v>
      </c>
      <c r="G246" s="802">
        <f t="shared" si="59"/>
        <v>5.8277661977904993E-4</v>
      </c>
      <c r="H246" s="665">
        <f t="shared" si="57"/>
        <v>300</v>
      </c>
      <c r="I246" s="666">
        <f t="shared" si="60"/>
        <v>781.0317</v>
      </c>
      <c r="J246" s="118">
        <v>0</v>
      </c>
      <c r="K246" s="2599"/>
      <c r="L246" s="2599"/>
      <c r="M246" s="2599"/>
      <c r="N246" s="2599"/>
      <c r="O246" s="95"/>
      <c r="P246" s="95"/>
      <c r="Q246" s="128">
        <f>'T1.2025'!I171</f>
        <v>0</v>
      </c>
      <c r="R246" s="97"/>
      <c r="S246" s="743"/>
      <c r="T246" s="749">
        <f>'T4.2025 '!I185</f>
        <v>300</v>
      </c>
      <c r="U246" s="743"/>
      <c r="V246" s="743"/>
      <c r="W246" s="743"/>
      <c r="X246" s="743"/>
      <c r="Y246" s="97"/>
      <c r="Z246" s="97"/>
      <c r="AA246" s="97"/>
      <c r="AB246" s="97"/>
      <c r="AC246" s="97"/>
      <c r="AD246" s="97"/>
      <c r="AE246" s="97">
        <f t="shared" si="58"/>
        <v>300</v>
      </c>
      <c r="AF246" s="95"/>
      <c r="AG246" s="95"/>
      <c r="AH246" s="2"/>
      <c r="AI246" s="2"/>
      <c r="AJ246" s="2"/>
      <c r="AK246" s="2"/>
    </row>
    <row r="247" spans="1:37" ht="31" customHeight="1" x14ac:dyDescent="0.2">
      <c r="A247" s="1"/>
      <c r="B247" s="57">
        <v>12</v>
      </c>
      <c r="C247" s="2738" t="s">
        <v>197</v>
      </c>
      <c r="D247" s="2739"/>
      <c r="E247" s="12" t="s">
        <v>49</v>
      </c>
      <c r="F247" s="678">
        <v>1.82</v>
      </c>
      <c r="G247" s="802">
        <f t="shared" si="59"/>
        <v>1.8318383299953183</v>
      </c>
      <c r="H247" s="665">
        <f t="shared" si="57"/>
        <v>942988.24</v>
      </c>
      <c r="I247" s="666">
        <f t="shared" si="60"/>
        <v>-6094.0999999999158</v>
      </c>
      <c r="J247" s="118">
        <v>0</v>
      </c>
      <c r="K247" s="2599"/>
      <c r="L247" s="2599"/>
      <c r="M247" s="2599"/>
      <c r="N247" s="2599"/>
      <c r="O247" s="95"/>
      <c r="P247" s="103"/>
      <c r="Q247" s="128">
        <f>'T1.2025'!I172</f>
        <v>205907.74</v>
      </c>
      <c r="R247" s="97"/>
      <c r="S247" s="743"/>
      <c r="T247" s="749">
        <f>'T4.2025 '!I186</f>
        <v>269882.5</v>
      </c>
      <c r="U247" s="743">
        <f>'T5.2025'!I227</f>
        <v>467198</v>
      </c>
      <c r="V247" s="743"/>
      <c r="W247" s="743"/>
      <c r="X247" s="743"/>
      <c r="Y247" s="97"/>
      <c r="Z247" s="97"/>
      <c r="AA247" s="97"/>
      <c r="AB247" s="97"/>
      <c r="AC247" s="97"/>
      <c r="AD247" s="97"/>
      <c r="AE247" s="97">
        <f t="shared" si="58"/>
        <v>942988.24</v>
      </c>
      <c r="AF247" s="95"/>
      <c r="AG247" s="95"/>
      <c r="AH247" s="2"/>
      <c r="AI247" s="2"/>
      <c r="AJ247" s="2"/>
      <c r="AK247" s="2"/>
    </row>
    <row r="248" spans="1:37" ht="31" customHeight="1" x14ac:dyDescent="0.2">
      <c r="A248" s="1"/>
      <c r="B248" s="57">
        <v>13</v>
      </c>
      <c r="C248" s="676" t="s">
        <v>198</v>
      </c>
      <c r="D248" s="677"/>
      <c r="E248" s="12" t="s">
        <v>49</v>
      </c>
      <c r="F248" s="678">
        <v>7.6E-3</v>
      </c>
      <c r="G248" s="802">
        <f t="shared" si="59"/>
        <v>7.4983925078237765E-3</v>
      </c>
      <c r="H248" s="665">
        <f t="shared" si="57"/>
        <v>3860</v>
      </c>
      <c r="I248" s="666">
        <f t="shared" si="60"/>
        <v>52.305199999999793</v>
      </c>
      <c r="J248" s="118">
        <v>0</v>
      </c>
      <c r="K248" s="2599"/>
      <c r="L248" s="2599"/>
      <c r="M248" s="2599"/>
      <c r="N248" s="2599"/>
      <c r="O248" s="95"/>
      <c r="P248" s="650"/>
      <c r="Q248" s="128">
        <f>'T1.2025'!I173</f>
        <v>880</v>
      </c>
      <c r="R248" s="97"/>
      <c r="S248" s="743"/>
      <c r="T248" s="749">
        <f>'T4.2025 '!I187</f>
        <v>1120</v>
      </c>
      <c r="U248" s="743">
        <f>'T5.2025'!I228</f>
        <v>1860</v>
      </c>
      <c r="V248" s="743"/>
      <c r="W248" s="743"/>
      <c r="X248" s="743"/>
      <c r="Y248" s="97"/>
      <c r="Z248" s="97"/>
      <c r="AA248" s="97"/>
      <c r="AB248" s="97"/>
      <c r="AC248" s="97"/>
      <c r="AD248" s="97"/>
      <c r="AE248" s="97">
        <f t="shared" si="58"/>
        <v>3860</v>
      </c>
      <c r="AF248" s="95"/>
      <c r="AG248" s="95"/>
      <c r="AH248" s="2"/>
      <c r="AI248" s="2"/>
      <c r="AJ248" s="2"/>
      <c r="AK248" s="2"/>
    </row>
    <row r="249" spans="1:37" ht="31" customHeight="1" x14ac:dyDescent="0.2">
      <c r="A249" s="1"/>
      <c r="B249" s="57">
        <v>14</v>
      </c>
      <c r="C249" s="2738" t="s">
        <v>199</v>
      </c>
      <c r="D249" s="2739"/>
      <c r="E249" s="12" t="s">
        <v>195</v>
      </c>
      <c r="F249" s="678">
        <v>4.2000000000000003E-2</v>
      </c>
      <c r="G249" s="802">
        <f t="shared" si="59"/>
        <v>9.4215553530946402E-3</v>
      </c>
      <c r="H249" s="665">
        <f t="shared" si="57"/>
        <v>4850</v>
      </c>
      <c r="I249" s="666">
        <f t="shared" si="60"/>
        <v>16770.634000000002</v>
      </c>
      <c r="J249" s="118">
        <v>0</v>
      </c>
      <c r="K249" s="2599"/>
      <c r="L249" s="2599"/>
      <c r="M249" s="2599"/>
      <c r="N249" s="2599"/>
      <c r="O249" s="95"/>
      <c r="P249" s="95"/>
      <c r="Q249" s="128">
        <f>'T1.2025'!I174</f>
        <v>4850</v>
      </c>
      <c r="R249" s="133"/>
      <c r="S249" s="746"/>
      <c r="T249" s="749"/>
      <c r="U249" s="746"/>
      <c r="V249" s="746"/>
      <c r="W249" s="746"/>
      <c r="X249" s="746"/>
      <c r="Y249" s="133"/>
      <c r="Z249" s="133"/>
      <c r="AA249" s="133"/>
      <c r="AB249" s="133"/>
      <c r="AC249" s="133"/>
      <c r="AD249" s="133"/>
      <c r="AE249" s="133">
        <f t="shared" si="58"/>
        <v>4850</v>
      </c>
      <c r="AF249" s="95"/>
      <c r="AG249" s="95"/>
      <c r="AH249" s="2"/>
      <c r="AI249" s="2"/>
      <c r="AJ249" s="2"/>
      <c r="AK249" s="2"/>
    </row>
    <row r="250" spans="1:37" ht="31" customHeight="1" x14ac:dyDescent="0.2">
      <c r="A250" s="1"/>
      <c r="B250" s="57">
        <v>15</v>
      </c>
      <c r="C250" s="2738" t="s">
        <v>185</v>
      </c>
      <c r="D250" s="2739"/>
      <c r="E250" s="12" t="s">
        <v>195</v>
      </c>
      <c r="F250" s="678"/>
      <c r="G250" s="1222"/>
      <c r="H250" s="665">
        <f t="shared" si="57"/>
        <v>5460</v>
      </c>
      <c r="I250" s="28"/>
      <c r="J250" s="118"/>
      <c r="K250" s="2676"/>
      <c r="L250" s="2740"/>
      <c r="M250" s="2740"/>
      <c r="N250" s="2677"/>
      <c r="O250" s="95"/>
      <c r="P250" s="95"/>
      <c r="Q250" s="128">
        <f>'T1.2025'!I175</f>
        <v>1080</v>
      </c>
      <c r="R250" s="211"/>
      <c r="S250" s="458"/>
      <c r="T250" s="749">
        <f>'T4.2025 '!I188</f>
        <v>1620</v>
      </c>
      <c r="U250" s="458">
        <f>'T5.2025'!I229</f>
        <v>2760</v>
      </c>
      <c r="V250" s="458"/>
      <c r="W250" s="458"/>
      <c r="X250" s="458"/>
      <c r="Y250" s="211"/>
      <c r="Z250" s="211"/>
      <c r="AA250" s="211"/>
      <c r="AB250" s="211"/>
      <c r="AC250" s="211"/>
      <c r="AD250" s="211"/>
      <c r="AE250" s="211">
        <f t="shared" si="58"/>
        <v>5460</v>
      </c>
      <c r="AF250" s="95"/>
      <c r="AG250" s="95"/>
      <c r="AH250" s="2"/>
      <c r="AI250" s="2"/>
      <c r="AJ250" s="2"/>
      <c r="AK250" s="2"/>
    </row>
    <row r="251" spans="1:37" ht="41" customHeight="1" x14ac:dyDescent="0.2">
      <c r="A251" s="1"/>
      <c r="B251" s="2645" t="s">
        <v>207</v>
      </c>
      <c r="C251" s="2494"/>
      <c r="D251" s="2494"/>
      <c r="E251" s="2494"/>
      <c r="F251" s="2494"/>
      <c r="G251" s="2494"/>
      <c r="H251" s="2494"/>
      <c r="I251" s="2494"/>
      <c r="J251" s="2494"/>
      <c r="K251" s="2494"/>
      <c r="L251" s="2494"/>
      <c r="M251" s="2494"/>
      <c r="N251" s="2494"/>
      <c r="O251" s="95"/>
      <c r="P251" s="95"/>
      <c r="Q251" s="103"/>
      <c r="R251" s="103"/>
      <c r="S251" s="763"/>
      <c r="Y251" s="2"/>
      <c r="Z251" s="2"/>
      <c r="AA251" s="2"/>
      <c r="AB251" s="2"/>
      <c r="AC251" s="2"/>
      <c r="AD251" s="2"/>
      <c r="AE251" s="476"/>
      <c r="AF251" s="476"/>
      <c r="AG251" s="476"/>
    </row>
    <row r="252" spans="1:37" ht="41" customHeight="1" x14ac:dyDescent="0.2">
      <c r="A252" s="1"/>
      <c r="B252" s="202" t="s">
        <v>39</v>
      </c>
      <c r="C252" s="2604" t="s">
        <v>191</v>
      </c>
      <c r="D252" s="2482"/>
      <c r="E252" s="202" t="s">
        <v>17</v>
      </c>
      <c r="F252" s="638" t="s">
        <v>149</v>
      </c>
      <c r="G252" s="638" t="s">
        <v>150</v>
      </c>
      <c r="H252" s="202" t="s">
        <v>151</v>
      </c>
      <c r="I252" s="638" t="s">
        <v>355</v>
      </c>
      <c r="J252" s="639" t="s">
        <v>356</v>
      </c>
      <c r="K252" s="2604" t="s">
        <v>47</v>
      </c>
      <c r="L252" s="2481"/>
      <c r="M252" s="2481"/>
      <c r="N252" s="2482"/>
      <c r="O252" s="95"/>
      <c r="P252" s="640" t="s">
        <v>390</v>
      </c>
      <c r="Q252" s="210" t="s">
        <v>154</v>
      </c>
      <c r="R252" s="386" t="s">
        <v>155</v>
      </c>
      <c r="S252" s="761" t="s">
        <v>156</v>
      </c>
      <c r="T252" s="761" t="s">
        <v>157</v>
      </c>
      <c r="U252" s="761" t="s">
        <v>158</v>
      </c>
      <c r="V252" s="761" t="s">
        <v>159</v>
      </c>
      <c r="W252" s="761" t="s">
        <v>160</v>
      </c>
      <c r="X252" s="761" t="s">
        <v>161</v>
      </c>
      <c r="Y252" s="139" t="s">
        <v>162</v>
      </c>
      <c r="Z252" s="139" t="s">
        <v>111</v>
      </c>
      <c r="AA252" s="139" t="s">
        <v>29</v>
      </c>
      <c r="AB252" s="139" t="s">
        <v>31</v>
      </c>
      <c r="AC252" s="139"/>
      <c r="AD252" s="139"/>
      <c r="AE252" s="139" t="s">
        <v>33</v>
      </c>
      <c r="AF252" s="103"/>
      <c r="AG252" s="103"/>
    </row>
    <row r="253" spans="1:37" ht="41" customHeight="1" x14ac:dyDescent="0.2">
      <c r="A253" s="1"/>
      <c r="B253" s="667">
        <v>1</v>
      </c>
      <c r="C253" s="2628" t="s">
        <v>194</v>
      </c>
      <c r="D253" s="2482"/>
      <c r="E253" s="105" t="s">
        <v>49</v>
      </c>
      <c r="F253" s="680">
        <v>21.65</v>
      </c>
      <c r="G253" s="132">
        <f>H253/M253</f>
        <v>0</v>
      </c>
      <c r="H253" s="131">
        <f>AE253</f>
        <v>0</v>
      </c>
      <c r="I253" s="107">
        <f>--(G253-F253)*$M$253</f>
        <v>-2523502.3499999996</v>
      </c>
      <c r="J253" s="681"/>
      <c r="K253" s="2638" t="s">
        <v>165</v>
      </c>
      <c r="L253" s="2639"/>
      <c r="M253" s="2640">
        <f>G207+G208</f>
        <v>116559</v>
      </c>
      <c r="N253" s="2482"/>
      <c r="O253" s="95"/>
      <c r="P253" s="95"/>
      <c r="Q253" s="128">
        <f>'T1.2025'!I178</f>
        <v>0</v>
      </c>
      <c r="R253" s="128"/>
      <c r="S253" s="749"/>
      <c r="T253" s="749"/>
      <c r="U253" s="749"/>
      <c r="V253" s="749"/>
      <c r="W253" s="749"/>
      <c r="X253" s="743"/>
      <c r="Y253" s="97"/>
      <c r="Z253" s="97"/>
      <c r="AA253" s="97"/>
      <c r="AB253" s="97"/>
      <c r="AC253" s="97"/>
      <c r="AD253" s="97"/>
      <c r="AE253" s="97">
        <f>SUM(O253:AB253)</f>
        <v>0</v>
      </c>
      <c r="AF253" s="95"/>
      <c r="AG253" s="95"/>
    </row>
    <row r="254" spans="1:37" ht="41" customHeight="1" x14ac:dyDescent="0.2">
      <c r="A254" s="1"/>
      <c r="B254" s="667">
        <v>2</v>
      </c>
      <c r="C254" s="2628" t="s">
        <v>200</v>
      </c>
      <c r="D254" s="2482"/>
      <c r="E254" s="105" t="s">
        <v>49</v>
      </c>
      <c r="F254" s="644">
        <v>0.436</v>
      </c>
      <c r="G254" s="682">
        <f>H254/M254</f>
        <v>0</v>
      </c>
      <c r="H254" s="131">
        <f t="shared" ref="H254:H265" si="61">AE254</f>
        <v>0</v>
      </c>
      <c r="I254" s="107">
        <f>-(G254-F254)*$M$254</f>
        <v>43268.064480000001</v>
      </c>
      <c r="J254" s="642"/>
      <c r="K254" s="2638" t="s">
        <v>203</v>
      </c>
      <c r="L254" s="2639"/>
      <c r="M254" s="2640">
        <f>G207</f>
        <v>99238.680000000008</v>
      </c>
      <c r="N254" s="2482"/>
      <c r="O254" s="95"/>
      <c r="P254" s="95"/>
      <c r="Q254" s="128">
        <f>'T1.2025'!I179</f>
        <v>0</v>
      </c>
      <c r="R254" s="97"/>
      <c r="S254" s="743"/>
      <c r="T254" s="743"/>
      <c r="U254" s="743"/>
      <c r="V254" s="743"/>
      <c r="W254" s="743"/>
      <c r="X254" s="743"/>
      <c r="Y254" s="97"/>
      <c r="Z254" s="97"/>
      <c r="AA254" s="97"/>
      <c r="AB254" s="97"/>
      <c r="AC254" s="97"/>
      <c r="AD254" s="97"/>
      <c r="AE254" s="97">
        <f t="shared" ref="AE254:AE265" si="62">SUM(Q254:AB254)</f>
        <v>0</v>
      </c>
      <c r="AF254" s="95"/>
      <c r="AG254" s="95"/>
    </row>
    <row r="255" spans="1:37" ht="41" customHeight="1" x14ac:dyDescent="0.2">
      <c r="A255" s="1"/>
      <c r="B255" s="669">
        <v>3</v>
      </c>
      <c r="C255" s="2641" t="s">
        <v>208</v>
      </c>
      <c r="D255" s="2492"/>
      <c r="E255" s="114" t="s">
        <v>49</v>
      </c>
      <c r="F255" s="654">
        <v>0.38900000000000001</v>
      </c>
      <c r="G255" s="683">
        <f>H255/M255</f>
        <v>0</v>
      </c>
      <c r="H255" s="131">
        <f t="shared" si="61"/>
        <v>0</v>
      </c>
      <c r="I255" s="107">
        <f>-(G255-F255)*$M$255</f>
        <v>6737.60448</v>
      </c>
      <c r="J255" s="672">
        <f>--(G255-F255)*M255</f>
        <v>-6737.60448</v>
      </c>
      <c r="K255" s="2642" t="s">
        <v>209</v>
      </c>
      <c r="L255" s="2643"/>
      <c r="M255" s="2644">
        <f>G208</f>
        <v>17320.32</v>
      </c>
      <c r="N255" s="2492"/>
      <c r="O255" s="95"/>
      <c r="P255" s="95"/>
      <c r="Q255" s="128">
        <f>'T1.2025'!I180</f>
        <v>0</v>
      </c>
      <c r="R255" s="97"/>
      <c r="S255" s="743"/>
      <c r="T255" s="743"/>
      <c r="U255" s="743"/>
      <c r="V255" s="743"/>
      <c r="W255" s="743"/>
      <c r="X255" s="743"/>
      <c r="Y255" s="97"/>
      <c r="Z255" s="97"/>
      <c r="AA255" s="97"/>
      <c r="AB255" s="97"/>
      <c r="AC255" s="97"/>
      <c r="AD255" s="97"/>
      <c r="AE255" s="97">
        <f t="shared" si="62"/>
        <v>0</v>
      </c>
      <c r="AF255" s="95"/>
      <c r="AG255" s="95"/>
    </row>
    <row r="256" spans="1:37" ht="41" customHeight="1" x14ac:dyDescent="0.2">
      <c r="A256" s="1"/>
      <c r="B256" s="57">
        <v>4</v>
      </c>
      <c r="C256" s="2646" t="s">
        <v>204</v>
      </c>
      <c r="D256" s="2470"/>
      <c r="E256" s="12" t="s">
        <v>49</v>
      </c>
      <c r="F256" s="658">
        <v>0.38900000000000001</v>
      </c>
      <c r="G256" s="679">
        <f>H256/M254</f>
        <v>0</v>
      </c>
      <c r="H256" s="131">
        <f t="shared" si="61"/>
        <v>0</v>
      </c>
      <c r="I256" s="107"/>
      <c r="J256" s="684"/>
      <c r="K256" s="2656" t="s">
        <v>391</v>
      </c>
      <c r="L256" s="2656"/>
      <c r="M256" s="2654"/>
      <c r="N256" s="2655"/>
      <c r="O256" s="95"/>
      <c r="P256" s="95"/>
      <c r="Q256" s="128">
        <f>'T1.2025'!I181</f>
        <v>0</v>
      </c>
      <c r="R256" s="97"/>
      <c r="S256" s="743"/>
      <c r="T256" s="743"/>
      <c r="U256" s="743"/>
      <c r="V256" s="743"/>
      <c r="W256" s="743"/>
      <c r="X256" s="743"/>
      <c r="Y256" s="97"/>
      <c r="Z256" s="97"/>
      <c r="AA256" s="97"/>
      <c r="AB256" s="97"/>
      <c r="AC256" s="97"/>
      <c r="AD256" s="97"/>
      <c r="AE256" s="97">
        <f t="shared" si="62"/>
        <v>0</v>
      </c>
      <c r="AF256" s="95"/>
      <c r="AG256" s="95"/>
    </row>
    <row r="257" spans="1:37" ht="41" customHeight="1" x14ac:dyDescent="0.2">
      <c r="A257" s="1"/>
      <c r="B257" s="57">
        <v>5</v>
      </c>
      <c r="C257" s="2646" t="s">
        <v>210</v>
      </c>
      <c r="D257" s="2470"/>
      <c r="E257" s="12" t="s">
        <v>49</v>
      </c>
      <c r="F257" s="658">
        <v>0.31900000000000001</v>
      </c>
      <c r="G257" s="679">
        <f>H257/M255</f>
        <v>0</v>
      </c>
      <c r="H257" s="131">
        <f t="shared" si="61"/>
        <v>0</v>
      </c>
      <c r="I257" s="107"/>
      <c r="J257" s="118">
        <f>(G257-F257)*$M$255</f>
        <v>-5525.1820799999996</v>
      </c>
      <c r="K257" s="2647" t="s">
        <v>392</v>
      </c>
      <c r="L257" s="2648"/>
      <c r="M257" s="2648"/>
      <c r="N257" s="2649"/>
      <c r="O257" s="95"/>
      <c r="P257" s="95"/>
      <c r="Q257" s="128">
        <f>'T1.2025'!I182</f>
        <v>0</v>
      </c>
      <c r="R257" s="97"/>
      <c r="S257" s="743"/>
      <c r="T257" s="743"/>
      <c r="U257" s="743"/>
      <c r="V257" s="743"/>
      <c r="W257" s="743"/>
      <c r="X257" s="743"/>
      <c r="Y257" s="97"/>
      <c r="Z257" s="97"/>
      <c r="AA257" s="97"/>
      <c r="AB257" s="97"/>
      <c r="AC257" s="97"/>
      <c r="AD257" s="97"/>
      <c r="AE257" s="97">
        <f t="shared" si="62"/>
        <v>0</v>
      </c>
      <c r="AF257" s="95"/>
      <c r="AG257" s="95"/>
    </row>
    <row r="258" spans="1:37" ht="41" customHeight="1" x14ac:dyDescent="0.2">
      <c r="A258" s="1"/>
      <c r="B258" s="57">
        <v>6</v>
      </c>
      <c r="C258" s="2646" t="s">
        <v>176</v>
      </c>
      <c r="D258" s="2470"/>
      <c r="E258" s="12" t="s">
        <v>195</v>
      </c>
      <c r="F258" s="678">
        <v>0.69699999999999995</v>
      </c>
      <c r="G258" s="685">
        <f t="shared" ref="G258:G264" si="63">H258/$M$253</f>
        <v>0</v>
      </c>
      <c r="H258" s="131">
        <f t="shared" si="61"/>
        <v>0</v>
      </c>
      <c r="I258" s="113">
        <f>-(G258-F258)*$M$254</f>
        <v>69169.359960000002</v>
      </c>
      <c r="J258" s="118"/>
      <c r="K258" s="2650"/>
      <c r="L258" s="2507"/>
      <c r="M258" s="2507"/>
      <c r="N258" s="2651"/>
      <c r="O258" s="95"/>
      <c r="P258" s="95"/>
      <c r="Q258" s="128">
        <f>'T1.2025'!I183</f>
        <v>0</v>
      </c>
      <c r="R258" s="97"/>
      <c r="S258" s="743"/>
      <c r="T258" s="743"/>
      <c r="U258" s="743"/>
      <c r="V258" s="743"/>
      <c r="W258" s="743"/>
      <c r="X258" s="743"/>
      <c r="Y258" s="97"/>
      <c r="Z258" s="97"/>
      <c r="AA258" s="97"/>
      <c r="AB258" s="97"/>
      <c r="AC258" s="97"/>
      <c r="AD258" s="97"/>
      <c r="AE258" s="97">
        <f t="shared" si="62"/>
        <v>0</v>
      </c>
      <c r="AF258" s="95"/>
      <c r="AG258" s="95"/>
    </row>
    <row r="259" spans="1:37" ht="41" customHeight="1" x14ac:dyDescent="0.2">
      <c r="A259" s="1"/>
      <c r="B259" s="57">
        <v>7</v>
      </c>
      <c r="C259" s="2646" t="s">
        <v>177</v>
      </c>
      <c r="D259" s="2470"/>
      <c r="E259" s="12" t="s">
        <v>49</v>
      </c>
      <c r="F259" s="658">
        <v>2.5000000000000001E-2</v>
      </c>
      <c r="G259" s="679">
        <f t="shared" si="63"/>
        <v>0</v>
      </c>
      <c r="H259" s="131">
        <f t="shared" si="61"/>
        <v>0</v>
      </c>
      <c r="I259" s="113">
        <f>-(G259-F259)*$M$254</f>
        <v>2480.9670000000006</v>
      </c>
      <c r="J259" s="118"/>
      <c r="K259" s="2650"/>
      <c r="L259" s="2507"/>
      <c r="M259" s="2507"/>
      <c r="N259" s="2651"/>
      <c r="O259" s="95"/>
      <c r="P259" s="95"/>
      <c r="Q259" s="128">
        <f>'T1.2025'!I184</f>
        <v>0</v>
      </c>
      <c r="R259" s="97"/>
      <c r="S259" s="743"/>
      <c r="T259" s="743"/>
      <c r="U259" s="743"/>
      <c r="V259" s="743"/>
      <c r="W259" s="743"/>
      <c r="X259" s="743"/>
      <c r="Y259" s="97"/>
      <c r="Z259" s="97"/>
      <c r="AA259" s="97"/>
      <c r="AB259" s="97"/>
      <c r="AC259" s="97"/>
      <c r="AD259" s="97"/>
      <c r="AE259" s="97">
        <f t="shared" si="62"/>
        <v>0</v>
      </c>
      <c r="AF259" s="95"/>
      <c r="AG259" s="95"/>
    </row>
    <row r="260" spans="1:37" ht="41" customHeight="1" x14ac:dyDescent="0.2">
      <c r="A260" s="1"/>
      <c r="B260" s="57">
        <v>8</v>
      </c>
      <c r="C260" s="2646" t="s">
        <v>178</v>
      </c>
      <c r="D260" s="2470"/>
      <c r="E260" s="12" t="s">
        <v>49</v>
      </c>
      <c r="F260" s="678">
        <v>1.14E-2</v>
      </c>
      <c r="G260" s="685">
        <f t="shared" si="63"/>
        <v>0</v>
      </c>
      <c r="H260" s="131">
        <f t="shared" si="61"/>
        <v>0</v>
      </c>
      <c r="I260" s="107">
        <f>-(G260-F260)*$M$256</f>
        <v>0</v>
      </c>
      <c r="J260" s="118"/>
      <c r="K260" s="2650"/>
      <c r="L260" s="2507"/>
      <c r="M260" s="2507"/>
      <c r="N260" s="2651"/>
      <c r="O260" s="95"/>
      <c r="P260" s="95"/>
      <c r="Q260" s="128">
        <f>'T1.2025'!I185</f>
        <v>0</v>
      </c>
      <c r="R260" s="97"/>
      <c r="S260" s="743"/>
      <c r="T260" s="743"/>
      <c r="U260" s="743"/>
      <c r="V260" s="743"/>
      <c r="W260" s="743"/>
      <c r="X260" s="743"/>
      <c r="Y260" s="97"/>
      <c r="Z260" s="97"/>
      <c r="AA260" s="97"/>
      <c r="AB260" s="97"/>
      <c r="AC260" s="97"/>
      <c r="AD260" s="97"/>
      <c r="AE260" s="97">
        <f t="shared" si="62"/>
        <v>0</v>
      </c>
      <c r="AF260" s="95"/>
      <c r="AG260" s="95"/>
    </row>
    <row r="261" spans="1:37" ht="41" customHeight="1" x14ac:dyDescent="0.2">
      <c r="A261" s="1"/>
      <c r="B261" s="57">
        <v>9</v>
      </c>
      <c r="C261" s="321" t="s">
        <v>179</v>
      </c>
      <c r="D261" s="321"/>
      <c r="E261" s="12" t="s">
        <v>49</v>
      </c>
      <c r="F261" s="658">
        <v>2.9000000000000001E-2</v>
      </c>
      <c r="G261" s="679">
        <f t="shared" si="63"/>
        <v>0</v>
      </c>
      <c r="H261" s="131">
        <f t="shared" si="61"/>
        <v>0</v>
      </c>
      <c r="I261" s="107"/>
      <c r="J261" s="118">
        <f>(G261-F261)*$M$253</f>
        <v>-3380.2110000000002</v>
      </c>
      <c r="K261" s="2650"/>
      <c r="L261" s="2507"/>
      <c r="M261" s="2507"/>
      <c r="N261" s="2651"/>
      <c r="O261" s="95"/>
      <c r="P261" s="95"/>
      <c r="Q261" s="128">
        <f>'T1.2025'!I186</f>
        <v>0</v>
      </c>
      <c r="R261" s="97"/>
      <c r="S261" s="743"/>
      <c r="T261" s="743"/>
      <c r="U261" s="743"/>
      <c r="V261" s="743"/>
      <c r="W261" s="743"/>
      <c r="X261" s="743"/>
      <c r="Y261" s="97"/>
      <c r="Z261" s="97"/>
      <c r="AA261" s="97"/>
      <c r="AB261" s="97"/>
      <c r="AC261" s="97"/>
      <c r="AD261" s="97"/>
      <c r="AE261" s="97">
        <f t="shared" si="62"/>
        <v>0</v>
      </c>
      <c r="AF261" s="95"/>
      <c r="AG261" s="95"/>
    </row>
    <row r="262" spans="1:37" ht="41" customHeight="1" x14ac:dyDescent="0.2">
      <c r="A262" s="1"/>
      <c r="B262" s="57">
        <v>10</v>
      </c>
      <c r="C262" s="321" t="s">
        <v>206</v>
      </c>
      <c r="D262" s="321"/>
      <c r="E262" s="12" t="s">
        <v>49</v>
      </c>
      <c r="F262" s="678">
        <v>0</v>
      </c>
      <c r="G262" s="679">
        <f t="shared" si="63"/>
        <v>0</v>
      </c>
      <c r="H262" s="131">
        <f t="shared" si="61"/>
        <v>0</v>
      </c>
      <c r="I262" s="107"/>
      <c r="J262" s="118">
        <f>(G262-F262)*$O$293</f>
        <v>0</v>
      </c>
      <c r="K262" s="2650"/>
      <c r="L262" s="2507"/>
      <c r="M262" s="2507"/>
      <c r="N262" s="2651"/>
      <c r="O262" s="95"/>
      <c r="P262" s="95"/>
      <c r="Q262" s="128">
        <f>'T1.2025'!I187</f>
        <v>0</v>
      </c>
      <c r="R262" s="97"/>
      <c r="S262" s="743"/>
      <c r="T262" s="743"/>
      <c r="U262" s="743"/>
      <c r="V262" s="743"/>
      <c r="W262" s="743"/>
      <c r="X262" s="743"/>
      <c r="Y262" s="97"/>
      <c r="Z262" s="97"/>
      <c r="AA262" s="97"/>
      <c r="AB262" s="97"/>
      <c r="AC262" s="97"/>
      <c r="AD262" s="97"/>
      <c r="AE262" s="97">
        <f t="shared" si="62"/>
        <v>0</v>
      </c>
      <c r="AF262" s="95"/>
      <c r="AG262" s="95"/>
    </row>
    <row r="263" spans="1:37" ht="41" customHeight="1" x14ac:dyDescent="0.2">
      <c r="A263" s="1"/>
      <c r="B263" s="57">
        <v>11</v>
      </c>
      <c r="C263" s="2646" t="s">
        <v>197</v>
      </c>
      <c r="D263" s="2470"/>
      <c r="E263" s="12" t="s">
        <v>49</v>
      </c>
      <c r="F263" s="74">
        <v>1.9</v>
      </c>
      <c r="G263" s="685" t="e">
        <f>H263/$M$256</f>
        <v>#DIV/0!</v>
      </c>
      <c r="H263" s="131">
        <f t="shared" si="61"/>
        <v>0</v>
      </c>
      <c r="I263" s="107" t="e">
        <f>-(G263-F263)*$M$256</f>
        <v>#DIV/0!</v>
      </c>
      <c r="J263" s="118"/>
      <c r="K263" s="2650"/>
      <c r="L263" s="2507"/>
      <c r="M263" s="2507"/>
      <c r="N263" s="2651"/>
      <c r="O263" s="95"/>
      <c r="P263" s="95"/>
      <c r="Q263" s="128">
        <f>'T1.2025'!I188</f>
        <v>0</v>
      </c>
      <c r="R263" s="97"/>
      <c r="S263" s="743"/>
      <c r="T263" s="743"/>
      <c r="U263" s="743"/>
      <c r="V263" s="743"/>
      <c r="W263" s="743"/>
      <c r="X263" s="743"/>
      <c r="Y263" s="97"/>
      <c r="Z263" s="97"/>
      <c r="AA263" s="97"/>
      <c r="AB263" s="97"/>
      <c r="AC263" s="97"/>
      <c r="AD263" s="97"/>
      <c r="AE263" s="97">
        <f t="shared" si="62"/>
        <v>0</v>
      </c>
      <c r="AF263" s="95"/>
      <c r="AG263" s="95"/>
    </row>
    <row r="264" spans="1:37" ht="41" customHeight="1" x14ac:dyDescent="0.2">
      <c r="A264" s="1"/>
      <c r="B264" s="57">
        <v>12</v>
      </c>
      <c r="C264" s="2646" t="s">
        <v>198</v>
      </c>
      <c r="D264" s="2470"/>
      <c r="E264" s="12" t="s">
        <v>49</v>
      </c>
      <c r="F264" s="678">
        <v>5.4999999999999997E-3</v>
      </c>
      <c r="G264" s="685">
        <f t="shared" si="63"/>
        <v>0</v>
      </c>
      <c r="H264" s="131">
        <f t="shared" si="61"/>
        <v>0</v>
      </c>
      <c r="I264" s="107">
        <f>-(G264-F264)*$M$252</f>
        <v>0</v>
      </c>
      <c r="J264" s="118"/>
      <c r="K264" s="2652"/>
      <c r="L264" s="2596"/>
      <c r="M264" s="2596"/>
      <c r="N264" s="2653"/>
      <c r="O264" s="95"/>
      <c r="P264" s="103"/>
      <c r="Q264" s="263">
        <f>'T1.2025'!I189</f>
        <v>0</v>
      </c>
      <c r="R264" s="133"/>
      <c r="S264" s="746"/>
      <c r="T264" s="746"/>
      <c r="U264" s="746"/>
      <c r="V264" s="746"/>
      <c r="W264" s="746"/>
      <c r="X264" s="746"/>
      <c r="Y264" s="133"/>
      <c r="Z264" s="133"/>
      <c r="AA264" s="133"/>
      <c r="AB264" s="133"/>
      <c r="AC264" s="133"/>
      <c r="AD264" s="133"/>
      <c r="AE264" s="133">
        <f t="shared" si="62"/>
        <v>0</v>
      </c>
      <c r="AF264" s="95"/>
      <c r="AG264" s="95"/>
    </row>
    <row r="265" spans="1:37" ht="36" customHeight="1" x14ac:dyDescent="0.2">
      <c r="A265" s="1"/>
      <c r="B265" s="57">
        <v>13</v>
      </c>
      <c r="C265" s="2646" t="s">
        <v>185</v>
      </c>
      <c r="D265" s="2470"/>
      <c r="E265" s="12" t="s">
        <v>195</v>
      </c>
      <c r="F265" s="678">
        <v>0</v>
      </c>
      <c r="G265" s="679"/>
      <c r="H265" s="131">
        <f t="shared" si="61"/>
        <v>0</v>
      </c>
      <c r="I265" s="28"/>
      <c r="J265" s="118">
        <f>(G265-F265)*$O$293</f>
        <v>0</v>
      </c>
      <c r="K265" s="2599"/>
      <c r="L265" s="2599"/>
      <c r="M265" s="2599"/>
      <c r="N265" s="2599"/>
      <c r="O265" s="95"/>
      <c r="P265" s="95"/>
      <c r="Q265" s="211">
        <f>'T1.2025'!I190</f>
        <v>0</v>
      </c>
      <c r="R265" s="211"/>
      <c r="S265" s="458"/>
      <c r="T265" s="458"/>
      <c r="U265" s="458"/>
      <c r="V265" s="458"/>
      <c r="W265" s="458"/>
      <c r="X265" s="458"/>
      <c r="Y265" s="211"/>
      <c r="Z265" s="211"/>
      <c r="AA265" s="211"/>
      <c r="AB265" s="211"/>
      <c r="AC265" s="211"/>
      <c r="AD265" s="211"/>
      <c r="AE265" s="211">
        <f t="shared" si="62"/>
        <v>0</v>
      </c>
      <c r="AF265" s="95"/>
      <c r="AG265" s="95"/>
      <c r="AH265" s="2"/>
      <c r="AI265" s="2"/>
      <c r="AJ265" s="2"/>
      <c r="AK265" s="2"/>
    </row>
    <row r="266" spans="1:37" s="636" customFormat="1" ht="35" customHeight="1" x14ac:dyDescent="0.2">
      <c r="A266" s="273"/>
      <c r="O266" s="275"/>
      <c r="P266" s="95"/>
      <c r="Q266" s="95"/>
      <c r="R266" s="95"/>
      <c r="S266" s="742"/>
      <c r="T266" s="742"/>
      <c r="U266" s="742"/>
      <c r="V266" s="742"/>
      <c r="W266" s="742"/>
      <c r="X266" s="742"/>
      <c r="Y266" s="95"/>
      <c r="Z266" s="95"/>
      <c r="AA266" s="95"/>
      <c r="AB266" s="95"/>
      <c r="AC266" s="95"/>
      <c r="AD266" s="95"/>
      <c r="AE266" s="95"/>
      <c r="AF266" s="95"/>
      <c r="AG266" s="95"/>
      <c r="AH266" s="276"/>
      <c r="AI266" s="276"/>
      <c r="AJ266" s="276"/>
      <c r="AK266" s="276"/>
    </row>
    <row r="267" spans="1:37" s="636" customFormat="1" ht="35" customHeight="1" x14ac:dyDescent="0.2">
      <c r="A267" s="273"/>
      <c r="B267" s="2645" t="s">
        <v>211</v>
      </c>
      <c r="C267" s="2494"/>
      <c r="D267" s="2494"/>
      <c r="E267" s="2494"/>
      <c r="F267" s="2494"/>
      <c r="G267" s="2494"/>
      <c r="H267" s="2494"/>
      <c r="I267" s="2494"/>
      <c r="J267" s="2494"/>
      <c r="K267" s="2494"/>
      <c r="L267" s="2494"/>
      <c r="M267" s="2494"/>
      <c r="N267" s="2494"/>
      <c r="O267" s="275"/>
      <c r="P267" s="95"/>
      <c r="Q267" s="95"/>
      <c r="R267" s="95"/>
      <c r="S267" s="742"/>
      <c r="T267" s="742"/>
      <c r="U267" s="742"/>
      <c r="V267" s="742"/>
      <c r="W267" s="742"/>
      <c r="X267" s="742"/>
      <c r="Y267" s="95"/>
      <c r="Z267" s="95"/>
      <c r="AA267" s="95"/>
      <c r="AB267" s="95"/>
      <c r="AC267" s="95"/>
      <c r="AD267" s="95"/>
      <c r="AE267" s="95"/>
      <c r="AF267" s="95"/>
      <c r="AG267" s="95"/>
      <c r="AH267" s="276"/>
      <c r="AI267" s="276"/>
      <c r="AJ267" s="276"/>
      <c r="AK267" s="276"/>
    </row>
    <row r="268" spans="1:37" ht="35" customHeight="1" x14ac:dyDescent="0.2">
      <c r="A268" s="1"/>
      <c r="B268" s="202" t="s">
        <v>39</v>
      </c>
      <c r="C268" s="2604" t="s">
        <v>191</v>
      </c>
      <c r="D268" s="2482"/>
      <c r="E268" s="202" t="s">
        <v>17</v>
      </c>
      <c r="F268" s="638" t="s">
        <v>149</v>
      </c>
      <c r="G268" s="638" t="s">
        <v>150</v>
      </c>
      <c r="H268" s="202" t="s">
        <v>151</v>
      </c>
      <c r="I268" s="638" t="s">
        <v>355</v>
      </c>
      <c r="J268" s="639" t="s">
        <v>356</v>
      </c>
      <c r="K268" s="2604" t="s">
        <v>47</v>
      </c>
      <c r="L268" s="2481"/>
      <c r="M268" s="2481"/>
      <c r="N268" s="2482"/>
      <c r="O268" s="95"/>
      <c r="P268" s="640" t="s">
        <v>351</v>
      </c>
      <c r="Q268" s="210" t="s">
        <v>154</v>
      </c>
      <c r="R268" s="386" t="s">
        <v>155</v>
      </c>
      <c r="S268" s="761" t="s">
        <v>156</v>
      </c>
      <c r="T268" s="761" t="s">
        <v>157</v>
      </c>
      <c r="U268" s="761" t="s">
        <v>158</v>
      </c>
      <c r="V268" s="761" t="s">
        <v>159</v>
      </c>
      <c r="W268" s="761" t="s">
        <v>160</v>
      </c>
      <c r="X268" s="761" t="s">
        <v>161</v>
      </c>
      <c r="Y268" s="139" t="s">
        <v>162</v>
      </c>
      <c r="Z268" s="139" t="s">
        <v>111</v>
      </c>
      <c r="AA268" s="139" t="s">
        <v>29</v>
      </c>
      <c r="AB268" s="139" t="s">
        <v>31</v>
      </c>
      <c r="AC268" s="139"/>
      <c r="AD268" s="139"/>
      <c r="AE268" s="139" t="s">
        <v>33</v>
      </c>
      <c r="AF268" s="103"/>
      <c r="AG268" s="103"/>
      <c r="AH268" s="2"/>
      <c r="AI268" s="2"/>
      <c r="AJ268" s="2"/>
      <c r="AK268" s="2"/>
    </row>
    <row r="269" spans="1:37" ht="35" customHeight="1" x14ac:dyDescent="0.2">
      <c r="A269" s="1"/>
      <c r="B269" s="669">
        <v>1</v>
      </c>
      <c r="C269" s="2641" t="s">
        <v>547</v>
      </c>
      <c r="D269" s="2492"/>
      <c r="E269" s="114" t="s">
        <v>49</v>
      </c>
      <c r="F269" s="686">
        <v>21.12</v>
      </c>
      <c r="G269" s="1223">
        <f t="shared" ref="G269:G279" si="64">H269/$M$269</f>
        <v>20.881309662335681</v>
      </c>
      <c r="H269" s="569">
        <f>AE269</f>
        <v>22183773</v>
      </c>
      <c r="I269" s="108">
        <f t="shared" ref="I269:I279" si="65">-(G269-F269)*$M$269</f>
        <v>253578.55199999653</v>
      </c>
      <c r="J269" s="687" t="s">
        <v>142</v>
      </c>
      <c r="K269" s="2658" t="s">
        <v>165</v>
      </c>
      <c r="L269" s="2492"/>
      <c r="M269" s="2659">
        <f>G206</f>
        <v>1062374.5999999999</v>
      </c>
      <c r="N269" s="2492"/>
      <c r="O269" s="95"/>
      <c r="P269" s="95"/>
      <c r="Q269" s="128">
        <f>'T1.2025'!I193</f>
        <v>0</v>
      </c>
      <c r="R269" s="128"/>
      <c r="S269" s="749">
        <f>'T3.2025 '!I134</f>
        <v>7793396</v>
      </c>
      <c r="T269" s="749">
        <f>'T4.2025 '!I163</f>
        <v>5052686</v>
      </c>
      <c r="U269" s="749">
        <f>'T5.2025'!I247</f>
        <v>441465</v>
      </c>
      <c r="V269" s="749">
        <f>'T6.2025'!I251</f>
        <v>8896226</v>
      </c>
      <c r="W269" s="749"/>
      <c r="X269" s="743"/>
      <c r="Y269" s="97"/>
      <c r="Z269" s="97"/>
      <c r="AA269" s="97"/>
      <c r="AB269" s="97"/>
      <c r="AC269" s="97"/>
      <c r="AD269" s="97"/>
      <c r="AE269" s="97">
        <f>SUM(O269:AB269)</f>
        <v>22183773</v>
      </c>
      <c r="AF269" s="95"/>
      <c r="AG269" s="95"/>
      <c r="AH269" s="2"/>
      <c r="AI269" s="2"/>
      <c r="AJ269" s="2"/>
      <c r="AK269" s="2"/>
    </row>
    <row r="270" spans="1:37" s="636" customFormat="1" ht="35" customHeight="1" x14ac:dyDescent="0.2">
      <c r="A270" s="273"/>
      <c r="B270" s="57">
        <v>2</v>
      </c>
      <c r="C270" s="2646" t="s">
        <v>166</v>
      </c>
      <c r="D270" s="2470"/>
      <c r="E270" s="12" t="s">
        <v>49</v>
      </c>
      <c r="F270" s="658">
        <v>0.50900000000000001</v>
      </c>
      <c r="G270" s="1222">
        <f t="shared" si="64"/>
        <v>0.46272435353781993</v>
      </c>
      <c r="H270" s="569">
        <f t="shared" ref="H270:H280" si="66">AE270</f>
        <v>491586.6</v>
      </c>
      <c r="I270" s="28"/>
      <c r="J270" s="688">
        <f>(G270-F270)*M269</f>
        <v>-49162.071399999964</v>
      </c>
      <c r="K270" s="2599" t="s">
        <v>365</v>
      </c>
      <c r="L270" s="2599"/>
      <c r="M270" s="2599"/>
      <c r="N270" s="2599"/>
      <c r="O270" s="275"/>
      <c r="P270" s="95"/>
      <c r="Q270" s="128">
        <f>'T1.2025'!I194</f>
        <v>0</v>
      </c>
      <c r="R270" s="97"/>
      <c r="S270" s="749">
        <f>'T3.2025 '!I135</f>
        <v>165163</v>
      </c>
      <c r="T270" s="749">
        <f>'T4.2025 '!I164</f>
        <v>109033.4</v>
      </c>
      <c r="U270" s="749">
        <f>'T5.2025'!I248</f>
        <v>10270.6</v>
      </c>
      <c r="V270" s="749">
        <f>'T6.2025'!I252</f>
        <v>207119.6</v>
      </c>
      <c r="W270" s="743"/>
      <c r="X270" s="743"/>
      <c r="Y270" s="97"/>
      <c r="Z270" s="97"/>
      <c r="AA270" s="97"/>
      <c r="AB270" s="97"/>
      <c r="AC270" s="97"/>
      <c r="AD270" s="97"/>
      <c r="AE270" s="97">
        <f t="shared" ref="AE270:AE280" si="67">SUM(Q270:AB270)</f>
        <v>491586.6</v>
      </c>
      <c r="AF270" s="95"/>
      <c r="AG270" s="95"/>
      <c r="AH270" s="276"/>
      <c r="AI270" s="276"/>
      <c r="AJ270" s="276"/>
      <c r="AK270" s="276"/>
    </row>
    <row r="271" spans="1:37" ht="35" customHeight="1" x14ac:dyDescent="0.2">
      <c r="A271" s="1"/>
      <c r="B271" s="57">
        <v>3</v>
      </c>
      <c r="C271" s="2646" t="s">
        <v>173</v>
      </c>
      <c r="D271" s="2470"/>
      <c r="E271" s="12" t="s">
        <v>49</v>
      </c>
      <c r="F271" s="658">
        <v>0.59299999999999997</v>
      </c>
      <c r="G271" s="1222">
        <f t="shared" si="64"/>
        <v>0.58261426807455685</v>
      </c>
      <c r="H271" s="569">
        <f t="shared" si="66"/>
        <v>618954.6</v>
      </c>
      <c r="I271" s="28"/>
      <c r="J271" s="688">
        <f>(G271-F271)*$M$269</f>
        <v>-11033.537799999864</v>
      </c>
      <c r="K271" s="2599"/>
      <c r="L271" s="2599"/>
      <c r="M271" s="2599"/>
      <c r="N271" s="2599"/>
      <c r="O271" s="95"/>
      <c r="P271" s="95"/>
      <c r="Q271" s="128">
        <f>'T1.2025'!I195</f>
        <v>0</v>
      </c>
      <c r="R271" s="97"/>
      <c r="S271" s="749">
        <f>'T3.2025 '!I136</f>
        <v>218202</v>
      </c>
      <c r="T271" s="749">
        <f>'T4.2025 '!I165</f>
        <v>142010</v>
      </c>
      <c r="U271" s="749">
        <f>'T5.2025'!I249</f>
        <v>12933.3</v>
      </c>
      <c r="V271" s="749">
        <f>'T6.2025'!I253</f>
        <v>245809.3</v>
      </c>
      <c r="W271" s="743"/>
      <c r="X271" s="743"/>
      <c r="Y271" s="97"/>
      <c r="Z271" s="97"/>
      <c r="AA271" s="97"/>
      <c r="AB271" s="97"/>
      <c r="AC271" s="97"/>
      <c r="AD271" s="97"/>
      <c r="AE271" s="97">
        <f t="shared" si="67"/>
        <v>618954.6</v>
      </c>
      <c r="AF271" s="95"/>
      <c r="AG271" s="95"/>
      <c r="AH271" s="2"/>
      <c r="AI271" s="2"/>
      <c r="AJ271" s="2"/>
      <c r="AK271" s="2"/>
    </row>
    <row r="272" spans="1:37" ht="35" customHeight="1" x14ac:dyDescent="0.2">
      <c r="A272" s="1"/>
      <c r="B272" s="57">
        <v>4</v>
      </c>
      <c r="C272" s="2646" t="s">
        <v>176</v>
      </c>
      <c r="D272" s="2470"/>
      <c r="E272" s="12" t="s">
        <v>195</v>
      </c>
      <c r="F272" s="678">
        <v>0.78400000000000003</v>
      </c>
      <c r="G272" s="1222">
        <f t="shared" si="64"/>
        <v>0.46324526207610767</v>
      </c>
      <c r="H272" s="569">
        <f t="shared" si="66"/>
        <v>492140</v>
      </c>
      <c r="I272" s="28">
        <f t="shared" si="65"/>
        <v>340761.68639999995</v>
      </c>
      <c r="J272" s="688"/>
      <c r="K272" s="2599"/>
      <c r="L272" s="2599"/>
      <c r="M272" s="2599"/>
      <c r="N272" s="2599"/>
      <c r="O272" s="95"/>
      <c r="P272" s="95"/>
      <c r="Q272" s="128">
        <f>'T1.2025'!I196</f>
        <v>0</v>
      </c>
      <c r="R272" s="97"/>
      <c r="S272" s="749">
        <f>'T3.2025 '!I137</f>
        <v>288390</v>
      </c>
      <c r="T272" s="749">
        <f>'T4.2025 '!I166</f>
        <v>191450</v>
      </c>
      <c r="U272" s="749">
        <f>'T5.2025'!I250</f>
        <v>12300</v>
      </c>
      <c r="V272" s="743"/>
      <c r="W272" s="743"/>
      <c r="X272" s="743"/>
      <c r="Y272" s="97"/>
      <c r="Z272" s="97"/>
      <c r="AA272" s="97"/>
      <c r="AB272" s="97"/>
      <c r="AC272" s="97"/>
      <c r="AD272" s="97"/>
      <c r="AE272" s="97">
        <f t="shared" si="67"/>
        <v>492140</v>
      </c>
      <c r="AF272" s="95"/>
      <c r="AG272" s="95"/>
      <c r="AH272" s="2"/>
      <c r="AI272" s="2"/>
      <c r="AJ272" s="2"/>
      <c r="AK272" s="2"/>
    </row>
    <row r="273" spans="1:37" ht="35" customHeight="1" x14ac:dyDescent="0.2">
      <c r="A273" s="1"/>
      <c r="B273" s="57">
        <v>5</v>
      </c>
      <c r="C273" s="2646" t="s">
        <v>177</v>
      </c>
      <c r="D273" s="2470"/>
      <c r="E273" s="12" t="s">
        <v>49</v>
      </c>
      <c r="F273" s="658">
        <v>2.8000000000000001E-2</v>
      </c>
      <c r="G273" s="1222">
        <f t="shared" si="64"/>
        <v>1.6590193327287759E-2</v>
      </c>
      <c r="H273" s="569">
        <f t="shared" si="66"/>
        <v>17625</v>
      </c>
      <c r="I273" s="28">
        <f t="shared" si="65"/>
        <v>12121.488799999997</v>
      </c>
      <c r="J273" s="688"/>
      <c r="K273" s="2599"/>
      <c r="L273" s="2599"/>
      <c r="M273" s="2599"/>
      <c r="N273" s="2599"/>
      <c r="O273" s="95"/>
      <c r="P273" s="95"/>
      <c r="Q273" s="128">
        <f>'T1.2025'!I197</f>
        <v>0</v>
      </c>
      <c r="R273" s="97"/>
      <c r="S273" s="749">
        <f>'T3.2025 '!I138</f>
        <v>10300</v>
      </c>
      <c r="T273" s="749">
        <f>'T4.2025 '!I167</f>
        <v>6850</v>
      </c>
      <c r="U273" s="749">
        <f>'T5.2025'!I251</f>
        <v>475</v>
      </c>
      <c r="V273" s="743"/>
      <c r="W273" s="743"/>
      <c r="X273" s="743"/>
      <c r="Y273" s="97"/>
      <c r="Z273" s="97"/>
      <c r="AA273" s="97"/>
      <c r="AB273" s="97"/>
      <c r="AC273" s="97"/>
      <c r="AD273" s="97"/>
      <c r="AE273" s="97">
        <f t="shared" si="67"/>
        <v>17625</v>
      </c>
      <c r="AF273" s="95"/>
      <c r="AG273" s="95"/>
      <c r="AH273" s="2"/>
      <c r="AI273" s="2"/>
      <c r="AJ273" s="2"/>
      <c r="AK273" s="2"/>
    </row>
    <row r="274" spans="1:37" ht="35" customHeight="1" x14ac:dyDescent="0.2">
      <c r="A274" s="1"/>
      <c r="B274" s="57">
        <v>6</v>
      </c>
      <c r="C274" s="2646" t="s">
        <v>178</v>
      </c>
      <c r="D274" s="2470"/>
      <c r="E274" s="12" t="s">
        <v>49</v>
      </c>
      <c r="F274" s="678">
        <v>1.2999999999999999E-2</v>
      </c>
      <c r="G274" s="1222">
        <f t="shared" si="64"/>
        <v>7.5208876417037843E-3</v>
      </c>
      <c r="H274" s="569">
        <f t="shared" si="66"/>
        <v>7990</v>
      </c>
      <c r="I274" s="28">
        <f t="shared" si="65"/>
        <v>5820.8697999999977</v>
      </c>
      <c r="J274" s="688"/>
      <c r="K274" s="2599"/>
      <c r="L274" s="2599"/>
      <c r="M274" s="2599"/>
      <c r="N274" s="2599"/>
      <c r="O274" s="95"/>
      <c r="P274" s="95"/>
      <c r="Q274" s="128">
        <f>'T1.2025'!I198</f>
        <v>0</v>
      </c>
      <c r="R274" s="97"/>
      <c r="S274" s="749">
        <f>'T3.2025 '!I139</f>
        <v>4770</v>
      </c>
      <c r="T274" s="749">
        <f>'T4.2025 '!I168</f>
        <v>3060</v>
      </c>
      <c r="U274" s="749">
        <f>'T5.2025'!I252</f>
        <v>160</v>
      </c>
      <c r="V274" s="743"/>
      <c r="W274" s="743"/>
      <c r="X274" s="743"/>
      <c r="Y274" s="97"/>
      <c r="Z274" s="97"/>
      <c r="AA274" s="97"/>
      <c r="AB274" s="97"/>
      <c r="AC274" s="97"/>
      <c r="AD274" s="97"/>
      <c r="AE274" s="97">
        <f t="shared" si="67"/>
        <v>7990</v>
      </c>
      <c r="AF274" s="95"/>
      <c r="AG274" s="95"/>
      <c r="AH274" s="2"/>
      <c r="AI274" s="2"/>
      <c r="AJ274" s="2"/>
      <c r="AK274" s="2"/>
    </row>
    <row r="275" spans="1:37" ht="35" customHeight="1" x14ac:dyDescent="0.2">
      <c r="A275" s="1"/>
      <c r="B275" s="57">
        <v>7</v>
      </c>
      <c r="C275" s="321" t="s">
        <v>179</v>
      </c>
      <c r="D275" s="321"/>
      <c r="E275" s="12" t="s">
        <v>49</v>
      </c>
      <c r="F275" s="658">
        <v>2.5999999999999999E-2</v>
      </c>
      <c r="G275" s="1222">
        <f t="shared" si="64"/>
        <v>6.3301588723977412E-2</v>
      </c>
      <c r="H275" s="569">
        <f t="shared" si="66"/>
        <v>67250</v>
      </c>
      <c r="I275" s="28"/>
      <c r="J275" s="688">
        <f>(G275-F275)*$M$269</f>
        <v>39628.260400000014</v>
      </c>
      <c r="K275" s="2599"/>
      <c r="L275" s="2599"/>
      <c r="M275" s="2599"/>
      <c r="N275" s="2599"/>
      <c r="O275" s="95"/>
      <c r="P275" s="95"/>
      <c r="Q275" s="128">
        <f>'T1.2025'!I199</f>
        <v>0</v>
      </c>
      <c r="R275" s="97"/>
      <c r="S275" s="749">
        <f>'T3.2025 '!I140</f>
        <v>44000</v>
      </c>
      <c r="T275" s="749">
        <f>'T4.2025 '!I169</f>
        <v>4800</v>
      </c>
      <c r="U275" s="749">
        <f>'T5.2025'!I257</f>
        <v>18450</v>
      </c>
      <c r="V275" s="743"/>
      <c r="W275" s="743"/>
      <c r="X275" s="743"/>
      <c r="Y275" s="97"/>
      <c r="Z275" s="97"/>
      <c r="AA275" s="97"/>
      <c r="AB275" s="97"/>
      <c r="AC275" s="97"/>
      <c r="AD275" s="97"/>
      <c r="AE275" s="97">
        <f t="shared" si="67"/>
        <v>67250</v>
      </c>
      <c r="AF275" s="95"/>
      <c r="AG275" s="95"/>
      <c r="AH275" s="2"/>
      <c r="AI275" s="2"/>
      <c r="AJ275" s="2"/>
      <c r="AK275" s="2"/>
    </row>
    <row r="276" spans="1:37" ht="35" customHeight="1" x14ac:dyDescent="0.2">
      <c r="A276" s="1"/>
      <c r="B276" s="57">
        <v>8</v>
      </c>
      <c r="C276" s="321" t="s">
        <v>206</v>
      </c>
      <c r="D276" s="321"/>
      <c r="E276" s="12" t="s">
        <v>49</v>
      </c>
      <c r="F276" s="678">
        <v>2.8999999999999998E-3</v>
      </c>
      <c r="G276" s="1222"/>
      <c r="H276" s="569"/>
      <c r="I276" s="28"/>
      <c r="J276" s="688"/>
      <c r="K276" s="2599"/>
      <c r="L276" s="2599"/>
      <c r="M276" s="2599"/>
      <c r="N276" s="2599"/>
      <c r="O276" s="95"/>
      <c r="P276" s="95"/>
      <c r="Q276" s="128"/>
      <c r="R276" s="97"/>
      <c r="S276" s="749">
        <f>'T3.2025 '!I141</f>
        <v>900</v>
      </c>
      <c r="T276" s="749">
        <f>'T4.2025 '!I170</f>
        <v>600</v>
      </c>
      <c r="U276" s="749"/>
      <c r="V276" s="743"/>
      <c r="W276" s="743"/>
      <c r="X276" s="743"/>
      <c r="Y276" s="97"/>
      <c r="Z276" s="97"/>
      <c r="AA276" s="97"/>
      <c r="AB276" s="97"/>
      <c r="AC276" s="97"/>
      <c r="AD276" s="97"/>
      <c r="AE276" s="97">
        <f t="shared" si="67"/>
        <v>1500</v>
      </c>
      <c r="AF276" s="95"/>
      <c r="AG276" s="95"/>
      <c r="AH276" s="2"/>
      <c r="AI276" s="2"/>
      <c r="AJ276" s="2"/>
      <c r="AK276" s="2"/>
    </row>
    <row r="277" spans="1:37" ht="35" customHeight="1" x14ac:dyDescent="0.2">
      <c r="A277" s="1"/>
      <c r="B277" s="57">
        <v>9</v>
      </c>
      <c r="C277" s="2646" t="s">
        <v>197</v>
      </c>
      <c r="D277" s="2470"/>
      <c r="E277" s="12" t="s">
        <v>49</v>
      </c>
      <c r="F277" s="74">
        <v>1.8</v>
      </c>
      <c r="G277" s="1222">
        <f t="shared" si="64"/>
        <v>1.0708056273182738</v>
      </c>
      <c r="H277" s="569">
        <f t="shared" si="66"/>
        <v>1137596.7</v>
      </c>
      <c r="I277" s="28">
        <f t="shared" si="65"/>
        <v>774677.57999999973</v>
      </c>
      <c r="J277" s="688"/>
      <c r="K277" s="2599"/>
      <c r="L277" s="2599"/>
      <c r="M277" s="2599"/>
      <c r="N277" s="2599"/>
      <c r="O277" s="95"/>
      <c r="P277" s="95"/>
      <c r="Q277" s="128">
        <f>'T1.2025'!I200</f>
        <v>0</v>
      </c>
      <c r="R277" s="97"/>
      <c r="S277" s="749">
        <f>'T3.2025 '!I142</f>
        <v>665011</v>
      </c>
      <c r="T277" s="749">
        <f>'T4.2025 '!I171</f>
        <v>432216.7</v>
      </c>
      <c r="U277" s="749">
        <f>'T5.2025'!I253</f>
        <v>40369</v>
      </c>
      <c r="V277" s="743"/>
      <c r="W277" s="743"/>
      <c r="X277" s="743"/>
      <c r="Y277" s="97"/>
      <c r="Z277" s="97"/>
      <c r="AA277" s="97"/>
      <c r="AB277" s="97"/>
      <c r="AC277" s="97"/>
      <c r="AD277" s="97"/>
      <c r="AE277" s="97">
        <f t="shared" si="67"/>
        <v>1137596.7</v>
      </c>
      <c r="AF277" s="95"/>
      <c r="AG277" s="95"/>
      <c r="AH277" s="2"/>
      <c r="AI277" s="2"/>
      <c r="AJ277" s="2"/>
      <c r="AK277" s="2"/>
    </row>
    <row r="278" spans="1:37" ht="35" customHeight="1" x14ac:dyDescent="0.2">
      <c r="A278" s="1"/>
      <c r="B278" s="57">
        <v>10</v>
      </c>
      <c r="C278" s="2646" t="s">
        <v>198</v>
      </c>
      <c r="D278" s="2470"/>
      <c r="E278" s="12" t="s">
        <v>49</v>
      </c>
      <c r="F278" s="678">
        <v>1.0200000000000001E-2</v>
      </c>
      <c r="G278" s="1222">
        <f t="shared" si="64"/>
        <v>5.9865889112936258E-3</v>
      </c>
      <c r="H278" s="569">
        <f t="shared" si="66"/>
        <v>6360</v>
      </c>
      <c r="I278" s="28">
        <f t="shared" si="65"/>
        <v>4476.2209199999988</v>
      </c>
      <c r="J278" s="688"/>
      <c r="K278" s="2599"/>
      <c r="L278" s="2599"/>
      <c r="M278" s="2599"/>
      <c r="N278" s="2599"/>
      <c r="O278" s="95"/>
      <c r="P278" s="95"/>
      <c r="Q278" s="128">
        <f>'T1.2025'!I201</f>
        <v>0</v>
      </c>
      <c r="R278" s="97"/>
      <c r="S278" s="749">
        <f>'T3.2025 '!I143</f>
        <v>3700</v>
      </c>
      <c r="T278" s="749">
        <f>'T4.2025 '!I172</f>
        <v>2480</v>
      </c>
      <c r="U278" s="749">
        <f>'T5.2025'!I254</f>
        <v>180</v>
      </c>
      <c r="V278" s="743"/>
      <c r="W278" s="743"/>
      <c r="X278" s="743"/>
      <c r="Y278" s="97"/>
      <c r="Z278" s="97"/>
      <c r="AA278" s="97"/>
      <c r="AB278" s="97"/>
      <c r="AC278" s="97"/>
      <c r="AD278" s="97"/>
      <c r="AE278" s="97">
        <f t="shared" si="67"/>
        <v>6360</v>
      </c>
      <c r="AF278" s="95"/>
      <c r="AG278" s="95"/>
      <c r="AH278" s="2"/>
      <c r="AI278" s="2"/>
      <c r="AJ278" s="2"/>
      <c r="AK278" s="2"/>
    </row>
    <row r="279" spans="1:37" ht="35" customHeight="1" x14ac:dyDescent="0.2">
      <c r="A279" s="1"/>
      <c r="B279" s="57">
        <v>11</v>
      </c>
      <c r="C279" s="2646" t="s">
        <v>199</v>
      </c>
      <c r="D279" s="2470"/>
      <c r="E279" s="12" t="s">
        <v>195</v>
      </c>
      <c r="F279" s="678">
        <v>6.5000000000000002E-2</v>
      </c>
      <c r="G279" s="1222">
        <f t="shared" si="64"/>
        <v>3.6263103428865871E-2</v>
      </c>
      <c r="H279" s="569">
        <f t="shared" si="66"/>
        <v>38525</v>
      </c>
      <c r="I279" s="28">
        <f t="shared" si="65"/>
        <v>30529.348999999991</v>
      </c>
      <c r="J279" s="688"/>
      <c r="K279" s="2599"/>
      <c r="L279" s="2599"/>
      <c r="M279" s="2599"/>
      <c r="N279" s="2599"/>
      <c r="O279" s="103"/>
      <c r="P279" s="95"/>
      <c r="Q279" s="128">
        <f>'T1.2025'!I202</f>
        <v>0</v>
      </c>
      <c r="R279" s="133"/>
      <c r="S279" s="749">
        <f>'T3.2025 '!I144</f>
        <v>23170</v>
      </c>
      <c r="T279" s="749">
        <f>'T4.2025 '!I173</f>
        <v>14155</v>
      </c>
      <c r="U279" s="749">
        <f>'T5.2025'!I255</f>
        <v>1200</v>
      </c>
      <c r="V279" s="746"/>
      <c r="W279" s="746"/>
      <c r="X279" s="746"/>
      <c r="Y279" s="133"/>
      <c r="Z279" s="133"/>
      <c r="AA279" s="133"/>
      <c r="AB279" s="133"/>
      <c r="AC279" s="133"/>
      <c r="AD279" s="133"/>
      <c r="AE279" s="133">
        <f t="shared" si="67"/>
        <v>38525</v>
      </c>
      <c r="AF279" s="95"/>
      <c r="AG279" s="95"/>
      <c r="AH279" s="2"/>
      <c r="AI279" s="2"/>
      <c r="AJ279" s="2"/>
      <c r="AK279" s="2"/>
    </row>
    <row r="280" spans="1:37" ht="35" customHeight="1" x14ac:dyDescent="0.2">
      <c r="A280" s="1"/>
      <c r="B280" s="57">
        <v>12</v>
      </c>
      <c r="C280" s="2646" t="s">
        <v>185</v>
      </c>
      <c r="D280" s="2470"/>
      <c r="E280" s="12" t="s">
        <v>195</v>
      </c>
      <c r="F280" s="678">
        <v>0</v>
      </c>
      <c r="G280" s="1222"/>
      <c r="H280" s="150">
        <f t="shared" si="66"/>
        <v>10695</v>
      </c>
      <c r="I280" s="28"/>
      <c r="J280" s="688"/>
      <c r="K280" s="2599" t="s">
        <v>387</v>
      </c>
      <c r="L280" s="2599"/>
      <c r="M280" s="2599"/>
      <c r="N280" s="2599"/>
      <c r="O280" s="95"/>
      <c r="P280" s="95"/>
      <c r="Q280" s="128">
        <f>'T1.2025'!I203</f>
        <v>0</v>
      </c>
      <c r="R280" s="211"/>
      <c r="S280" s="749">
        <f>'T3.2025 '!I145</f>
        <v>6200</v>
      </c>
      <c r="T280" s="749">
        <f>'T4.2025 '!I174</f>
        <v>4180</v>
      </c>
      <c r="U280" s="749">
        <f>'T5.2025'!I256</f>
        <v>315</v>
      </c>
      <c r="V280" s="458"/>
      <c r="W280" s="458"/>
      <c r="X280" s="458"/>
      <c r="Y280" s="211"/>
      <c r="Z280" s="211"/>
      <c r="AA280" s="211"/>
      <c r="AB280" s="211"/>
      <c r="AC280" s="211"/>
      <c r="AD280" s="211"/>
      <c r="AE280" s="211">
        <f t="shared" si="67"/>
        <v>10695</v>
      </c>
      <c r="AF280" s="95"/>
      <c r="AG280" s="95"/>
      <c r="AH280" s="2"/>
      <c r="AI280" s="2"/>
      <c r="AJ280" s="2"/>
      <c r="AK280" s="2"/>
    </row>
    <row r="281" spans="1:37" ht="17" customHeight="1" x14ac:dyDescent="0.2">
      <c r="A281" s="1"/>
      <c r="O281" s="95"/>
      <c r="P281" s="103"/>
      <c r="Q281" s="95"/>
      <c r="R281" s="95"/>
      <c r="AE281" s="95"/>
      <c r="AF281" s="95"/>
      <c r="AG281" s="95"/>
      <c r="AH281" s="2"/>
      <c r="AI281" s="2"/>
      <c r="AJ281" s="2"/>
      <c r="AK281" s="2"/>
    </row>
    <row r="282" spans="1:37" ht="35" customHeight="1" x14ac:dyDescent="0.2">
      <c r="A282" s="1"/>
      <c r="B282" s="5" t="s">
        <v>221</v>
      </c>
      <c r="C282" s="2"/>
      <c r="D282" s="2"/>
      <c r="E282" s="48"/>
      <c r="F282" s="2"/>
      <c r="G282" s="2"/>
      <c r="H282" s="48"/>
      <c r="I282" s="2"/>
      <c r="J282" s="2"/>
      <c r="K282" s="2"/>
      <c r="L282" s="2"/>
      <c r="M282" s="2"/>
      <c r="N282" s="2"/>
      <c r="O282" s="95"/>
      <c r="P282" s="650"/>
      <c r="Q282" s="95"/>
      <c r="R282" s="95"/>
      <c r="AE282" s="95"/>
      <c r="AF282" s="95"/>
      <c r="AG282" s="95"/>
      <c r="AH282" s="2"/>
      <c r="AI282" s="2"/>
      <c r="AJ282" s="2"/>
      <c r="AK282" s="2"/>
    </row>
    <row r="283" spans="1:37" ht="31" customHeight="1" x14ac:dyDescent="0.2">
      <c r="A283" s="1"/>
      <c r="B283" s="5" t="s">
        <v>459</v>
      </c>
      <c r="C283" s="2"/>
      <c r="D283" s="2"/>
      <c r="E283" s="48"/>
      <c r="F283" s="2"/>
      <c r="G283" s="2"/>
      <c r="H283" s="48"/>
      <c r="I283" s="2"/>
      <c r="J283" s="2"/>
      <c r="K283" s="2"/>
      <c r="L283" s="2"/>
      <c r="M283" s="2"/>
      <c r="N283" s="2"/>
      <c r="O283" s="95"/>
      <c r="P283" s="95"/>
      <c r="Q283" s="95"/>
      <c r="R283" s="95"/>
      <c r="AE283" s="95"/>
      <c r="AF283" s="95"/>
      <c r="AG283" s="95"/>
      <c r="AH283" s="2"/>
      <c r="AI283" s="2"/>
      <c r="AJ283" s="2"/>
      <c r="AK283" s="2"/>
    </row>
    <row r="284" spans="1:37" ht="38" customHeight="1" x14ac:dyDescent="0.2">
      <c r="A284" s="1"/>
      <c r="B284" s="2636" t="s">
        <v>222</v>
      </c>
      <c r="C284" s="2657"/>
      <c r="D284" s="2629"/>
      <c r="E284" s="2636" t="s">
        <v>223</v>
      </c>
      <c r="F284" s="2629"/>
      <c r="G284" s="2636" t="s">
        <v>224</v>
      </c>
      <c r="H284" s="2629"/>
      <c r="I284" s="2636" t="s">
        <v>47</v>
      </c>
      <c r="J284" s="2657"/>
      <c r="K284" s="2657"/>
      <c r="L284" s="2657"/>
      <c r="M284" s="2657"/>
      <c r="N284" s="2629"/>
      <c r="O284" s="95"/>
      <c r="P284" s="95"/>
      <c r="Q284" s="95"/>
      <c r="R284" s="95"/>
      <c r="AE284" s="95"/>
      <c r="AF284" s="95"/>
      <c r="AG284" s="95"/>
      <c r="AH284" s="2"/>
      <c r="AI284" s="2"/>
      <c r="AJ284" s="2"/>
      <c r="AK284" s="2"/>
    </row>
    <row r="285" spans="1:37" ht="38" customHeight="1" x14ac:dyDescent="0.2">
      <c r="A285" s="1"/>
      <c r="B285" s="120" t="s">
        <v>225</v>
      </c>
      <c r="C285" s="120"/>
      <c r="D285" s="120"/>
      <c r="E285" s="2694">
        <f>3</f>
        <v>3</v>
      </c>
      <c r="F285" s="2629"/>
      <c r="G285" s="2698">
        <f>457</f>
        <v>457</v>
      </c>
      <c r="H285" s="2699"/>
      <c r="I285" s="2700"/>
      <c r="J285" s="2657"/>
      <c r="K285" s="2657"/>
      <c r="L285" s="2657"/>
      <c r="M285" s="2657"/>
      <c r="N285" s="2629"/>
      <c r="O285" s="95"/>
      <c r="P285" s="95"/>
      <c r="Q285" s="95"/>
      <c r="R285" s="95"/>
      <c r="AE285" s="95"/>
      <c r="AF285" s="95"/>
      <c r="AG285" s="95"/>
      <c r="AH285" s="2"/>
      <c r="AI285" s="2"/>
      <c r="AJ285" s="2"/>
      <c r="AK285" s="2"/>
    </row>
    <row r="286" spans="1:37" ht="38" customHeight="1" x14ac:dyDescent="0.2">
      <c r="A286" s="1"/>
      <c r="B286" s="120" t="s">
        <v>226</v>
      </c>
      <c r="C286" s="120"/>
      <c r="D286" s="120"/>
      <c r="E286" s="2694"/>
      <c r="F286" s="2629"/>
      <c r="G286" s="2698"/>
      <c r="H286" s="2699"/>
      <c r="I286" s="2700"/>
      <c r="J286" s="2657"/>
      <c r="K286" s="2657"/>
      <c r="L286" s="2657"/>
      <c r="M286" s="2657"/>
      <c r="N286" s="2629"/>
      <c r="O286" s="95"/>
      <c r="P286" s="95"/>
      <c r="Q286" s="95"/>
      <c r="R286" s="95"/>
      <c r="AE286" s="95"/>
      <c r="AF286" s="95"/>
      <c r="AG286" s="95"/>
      <c r="AH286" s="2"/>
      <c r="AI286" s="2"/>
      <c r="AJ286" s="2"/>
      <c r="AK286" s="2"/>
    </row>
    <row r="287" spans="1:37" ht="38" customHeight="1" x14ac:dyDescent="0.2">
      <c r="A287" s="1"/>
      <c r="B287" s="120" t="s">
        <v>227</v>
      </c>
      <c r="C287" s="120"/>
      <c r="D287" s="120"/>
      <c r="E287" s="2694"/>
      <c r="F287" s="2629"/>
      <c r="G287" s="2698"/>
      <c r="H287" s="2699"/>
      <c r="I287" s="2700"/>
      <c r="J287" s="2657"/>
      <c r="K287" s="2657"/>
      <c r="L287" s="2657"/>
      <c r="M287" s="2657"/>
      <c r="N287" s="2629"/>
      <c r="O287" s="95"/>
      <c r="P287" s="95"/>
      <c r="Q287" s="95"/>
      <c r="R287" s="95"/>
      <c r="AE287" s="95"/>
      <c r="AF287" s="95"/>
      <c r="AG287" s="95"/>
      <c r="AH287" s="2"/>
      <c r="AI287" s="2"/>
      <c r="AJ287" s="2"/>
      <c r="AK287" s="2"/>
    </row>
    <row r="288" spans="1:37" ht="38" customHeight="1" x14ac:dyDescent="0.2">
      <c r="A288" s="1"/>
      <c r="B288" s="120" t="s">
        <v>228</v>
      </c>
      <c r="C288" s="120"/>
      <c r="D288" s="120"/>
      <c r="E288" s="2694"/>
      <c r="F288" s="2629"/>
      <c r="G288" s="2698"/>
      <c r="H288" s="2699"/>
      <c r="I288" s="2700"/>
      <c r="J288" s="2657"/>
      <c r="K288" s="2657"/>
      <c r="L288" s="2657"/>
      <c r="M288" s="2657"/>
      <c r="N288" s="2629"/>
      <c r="O288" s="95"/>
      <c r="P288" s="95"/>
      <c r="Q288" s="95"/>
      <c r="R288" s="95"/>
      <c r="AE288" s="95"/>
      <c r="AF288" s="95"/>
      <c r="AG288" s="95"/>
      <c r="AH288" s="2"/>
      <c r="AI288" s="2"/>
      <c r="AJ288" s="2"/>
      <c r="AK288" s="2"/>
    </row>
    <row r="289" spans="1:37" ht="38" customHeight="1" x14ac:dyDescent="0.2">
      <c r="A289" s="1"/>
      <c r="B289" s="120" t="s">
        <v>229</v>
      </c>
      <c r="C289" s="120"/>
      <c r="D289" s="120"/>
      <c r="E289" s="2694"/>
      <c r="F289" s="2629"/>
      <c r="G289" s="2698"/>
      <c r="H289" s="2699"/>
      <c r="I289" s="2700"/>
      <c r="J289" s="2657"/>
      <c r="K289" s="2657"/>
      <c r="L289" s="2657"/>
      <c r="M289" s="2657"/>
      <c r="N289" s="2629"/>
      <c r="O289" s="95"/>
      <c r="P289" s="95"/>
      <c r="Q289" s="95"/>
      <c r="R289" s="95"/>
      <c r="AE289" s="95"/>
      <c r="AF289" s="95"/>
      <c r="AG289" s="95"/>
      <c r="AH289" s="2"/>
      <c r="AI289" s="2"/>
      <c r="AJ289" s="2"/>
      <c r="AK289" s="2"/>
    </row>
    <row r="290" spans="1:37" ht="38" customHeight="1" x14ac:dyDescent="0.2">
      <c r="A290" s="1"/>
      <c r="B290" s="120" t="s">
        <v>230</v>
      </c>
      <c r="C290" s="120"/>
      <c r="D290" s="120"/>
      <c r="E290" s="2694"/>
      <c r="F290" s="2706"/>
      <c r="G290" s="2698"/>
      <c r="H290" s="2707"/>
      <c r="I290" s="2700"/>
      <c r="J290" s="2704"/>
      <c r="K290" s="2704"/>
      <c r="L290" s="2704"/>
      <c r="M290" s="2704"/>
      <c r="N290" s="2705"/>
      <c r="O290" s="95"/>
      <c r="P290" s="95"/>
      <c r="Q290" s="95"/>
      <c r="R290" s="95"/>
      <c r="AE290" s="95"/>
      <c r="AF290" s="95"/>
      <c r="AG290" s="95"/>
      <c r="AH290" s="2"/>
      <c r="AI290" s="2"/>
      <c r="AJ290" s="2"/>
      <c r="AK290" s="2"/>
    </row>
    <row r="291" spans="1:37" ht="38" customHeight="1" x14ac:dyDescent="0.2">
      <c r="A291" s="1"/>
      <c r="B291" s="120" t="s">
        <v>231</v>
      </c>
      <c r="C291" s="120"/>
      <c r="D291" s="120"/>
      <c r="E291" s="2694"/>
      <c r="F291" s="2706"/>
      <c r="G291" s="2698"/>
      <c r="H291" s="2707"/>
      <c r="I291" s="2700"/>
      <c r="J291" s="2704"/>
      <c r="K291" s="2704"/>
      <c r="L291" s="2704"/>
      <c r="M291" s="2704"/>
      <c r="N291" s="2705"/>
      <c r="O291" s="95"/>
      <c r="P291" s="95"/>
      <c r="Q291" s="95"/>
      <c r="R291" s="95"/>
      <c r="AE291" s="95"/>
      <c r="AF291" s="95"/>
      <c r="AG291" s="95"/>
      <c r="AH291" s="2"/>
      <c r="AI291" s="2"/>
      <c r="AJ291" s="2"/>
      <c r="AK291" s="2"/>
    </row>
    <row r="292" spans="1:37" ht="38" customHeight="1" x14ac:dyDescent="0.2">
      <c r="A292" s="1"/>
      <c r="B292" s="120" t="s">
        <v>232</v>
      </c>
      <c r="C292" s="120"/>
      <c r="D292" s="120"/>
      <c r="E292" s="2694"/>
      <c r="F292" s="2706"/>
      <c r="G292" s="2698"/>
      <c r="H292" s="2707"/>
      <c r="I292" s="2700"/>
      <c r="J292" s="2704"/>
      <c r="K292" s="2704"/>
      <c r="L292" s="2704"/>
      <c r="M292" s="2704"/>
      <c r="N292" s="2705"/>
      <c r="O292" s="95"/>
      <c r="P292" s="95"/>
      <c r="Q292" s="95"/>
      <c r="R292" s="95"/>
      <c r="AE292" s="95"/>
      <c r="AF292" s="95"/>
      <c r="AG292" s="95"/>
      <c r="AH292" s="2"/>
      <c r="AI292" s="2"/>
      <c r="AJ292" s="2"/>
      <c r="AK292" s="2"/>
    </row>
    <row r="293" spans="1:37" ht="38" customHeight="1" x14ac:dyDescent="0.2">
      <c r="A293" s="1"/>
      <c r="B293" s="120" t="s">
        <v>233</v>
      </c>
      <c r="C293" s="120"/>
      <c r="D293" s="120"/>
      <c r="E293" s="2694"/>
      <c r="F293" s="2706"/>
      <c r="G293" s="2698"/>
      <c r="H293" s="2707"/>
      <c r="I293" s="2700"/>
      <c r="J293" s="2704"/>
      <c r="K293" s="2704"/>
      <c r="L293" s="2704"/>
      <c r="M293" s="2704"/>
      <c r="N293" s="2705"/>
      <c r="O293" s="103"/>
      <c r="P293" s="103"/>
      <c r="Q293" s="103"/>
      <c r="R293" s="95"/>
      <c r="AE293" s="95"/>
      <c r="AF293" s="95"/>
      <c r="AG293" s="95"/>
      <c r="AH293" s="2"/>
      <c r="AI293" s="2"/>
      <c r="AJ293" s="2"/>
      <c r="AK293" s="2"/>
    </row>
    <row r="294" spans="1:37" ht="38" customHeight="1" x14ac:dyDescent="0.2">
      <c r="A294" s="1"/>
      <c r="B294" s="120" t="s">
        <v>234</v>
      </c>
      <c r="C294" s="120"/>
      <c r="D294" s="120"/>
      <c r="E294" s="2694"/>
      <c r="F294" s="2706"/>
      <c r="G294" s="2698"/>
      <c r="H294" s="2707"/>
      <c r="I294" s="2700"/>
      <c r="J294" s="2704"/>
      <c r="K294" s="2704"/>
      <c r="L294" s="2704"/>
      <c r="M294" s="2704"/>
      <c r="N294" s="2705"/>
      <c r="O294" s="95"/>
      <c r="P294" s="95"/>
      <c r="Q294" s="95"/>
      <c r="R294" s="95"/>
      <c r="AE294" s="95"/>
      <c r="AF294" s="95"/>
      <c r="AG294" s="95"/>
      <c r="AH294" s="2"/>
      <c r="AI294" s="2"/>
      <c r="AJ294" s="2"/>
      <c r="AK294" s="2"/>
    </row>
    <row r="295" spans="1:37" ht="38" customHeight="1" x14ac:dyDescent="0.2">
      <c r="A295" s="1"/>
      <c r="B295" s="302" t="s">
        <v>235</v>
      </c>
      <c r="C295" s="302"/>
      <c r="D295" s="302"/>
      <c r="E295" s="2710"/>
      <c r="F295" s="2711"/>
      <c r="G295" s="2716"/>
      <c r="H295" s="2717"/>
      <c r="I295" s="2712"/>
      <c r="J295" s="2713"/>
      <c r="K295" s="2713"/>
      <c r="L295" s="2713"/>
      <c r="M295" s="2713"/>
      <c r="N295" s="2714"/>
      <c r="O295" s="95"/>
      <c r="P295" s="95"/>
      <c r="Q295" s="95"/>
      <c r="R295" s="95"/>
      <c r="AE295" s="95"/>
      <c r="AF295" s="95"/>
      <c r="AG295" s="95"/>
      <c r="AH295" s="2"/>
      <c r="AI295" s="2"/>
      <c r="AJ295" s="2"/>
      <c r="AK295" s="2"/>
    </row>
    <row r="296" spans="1:37" ht="38" customHeight="1" x14ac:dyDescent="0.2">
      <c r="A296" s="1"/>
      <c r="B296" s="2722" t="s">
        <v>236</v>
      </c>
      <c r="C296" s="2690"/>
      <c r="D296" s="2690"/>
      <c r="E296" s="2665">
        <f>SUM(E285:F295)</f>
        <v>3</v>
      </c>
      <c r="F296" s="2718"/>
      <c r="G296" s="2719">
        <f>SUM(G285:H295)</f>
        <v>457</v>
      </c>
      <c r="H296" s="2720"/>
      <c r="I296" s="2656"/>
      <c r="J296" s="2721"/>
      <c r="K296" s="2721"/>
      <c r="L296" s="2721"/>
      <c r="M296" s="2721"/>
      <c r="N296" s="2721"/>
      <c r="O296" s="95"/>
      <c r="P296" s="95"/>
      <c r="Q296" s="95"/>
      <c r="R296" s="95"/>
      <c r="AE296" s="95"/>
      <c r="AF296" s="95"/>
      <c r="AG296" s="95"/>
      <c r="AH296" s="2"/>
      <c r="AI296" s="2"/>
      <c r="AJ296" s="2"/>
      <c r="AK296" s="2"/>
    </row>
    <row r="297" spans="1:37" ht="38" customHeight="1" x14ac:dyDescent="0.2">
      <c r="A297" s="1"/>
      <c r="B297" s="2656" t="s">
        <v>460</v>
      </c>
      <c r="C297" s="2690"/>
      <c r="D297" s="2690"/>
      <c r="E297" s="2768">
        <f>'TH Thương hiệu DC1'!F78</f>
        <v>1702640.4400000002</v>
      </c>
      <c r="F297" s="2768"/>
      <c r="G297" s="2768"/>
      <c r="H297" s="2768"/>
      <c r="I297" s="2722" t="s">
        <v>237</v>
      </c>
      <c r="J297" s="2718"/>
      <c r="K297" s="2718"/>
      <c r="L297" s="2718"/>
      <c r="M297" s="2718"/>
      <c r="N297" s="2718"/>
      <c r="O297" s="95"/>
      <c r="P297" s="95"/>
      <c r="Q297" s="95"/>
      <c r="R297" s="95"/>
      <c r="AE297" s="95"/>
      <c r="AF297" s="95"/>
      <c r="AG297" s="95"/>
      <c r="AH297" s="2"/>
      <c r="AI297" s="2"/>
      <c r="AJ297" s="2"/>
      <c r="AK297" s="2"/>
    </row>
    <row r="298" spans="1:37" ht="28.5" customHeight="1" x14ac:dyDescent="0.2">
      <c r="A298" s="1"/>
      <c r="B298" s="49"/>
      <c r="C298" s="49"/>
      <c r="D298" s="49"/>
      <c r="E298" s="49"/>
      <c r="F298" s="49"/>
      <c r="G298" s="42"/>
      <c r="H298" s="42"/>
      <c r="I298" s="42"/>
      <c r="J298" s="42"/>
      <c r="K298" s="42"/>
      <c r="L298" s="42"/>
      <c r="M298" s="42"/>
      <c r="N298" s="42"/>
      <c r="O298" s="95"/>
      <c r="P298" s="95"/>
      <c r="Q298" s="95"/>
      <c r="R298" s="95"/>
      <c r="AE298" s="95"/>
      <c r="AF298" s="95"/>
      <c r="AG298" s="95"/>
      <c r="AH298" s="2"/>
      <c r="AI298" s="2"/>
      <c r="AJ298" s="2"/>
      <c r="AK298" s="2"/>
    </row>
    <row r="299" spans="1:37" ht="39" customHeight="1" x14ac:dyDescent="0.2">
      <c r="A299" s="1"/>
      <c r="B299" s="5" t="s">
        <v>461</v>
      </c>
      <c r="C299" s="2"/>
      <c r="D299" s="2"/>
      <c r="E299" s="48"/>
      <c r="F299" s="2"/>
      <c r="G299" s="2"/>
      <c r="H299" s="48"/>
      <c r="I299" s="2"/>
      <c r="J299" s="2"/>
      <c r="K299" s="2"/>
      <c r="L299" s="2"/>
      <c r="M299" s="2"/>
      <c r="N299" s="2"/>
      <c r="O299" s="95"/>
      <c r="P299" s="95"/>
      <c r="Q299" s="95"/>
      <c r="R299" s="95"/>
      <c r="AE299" s="95"/>
      <c r="AF299" s="95"/>
      <c r="AG299" s="95"/>
      <c r="AH299" s="2"/>
      <c r="AI299" s="2"/>
      <c r="AJ299" s="2"/>
      <c r="AK299" s="2"/>
    </row>
    <row r="300" spans="1:37" ht="48" customHeight="1" x14ac:dyDescent="0.2">
      <c r="A300" s="1"/>
      <c r="B300" s="2636" t="s">
        <v>238</v>
      </c>
      <c r="C300" s="2769"/>
      <c r="D300" s="2699"/>
      <c r="E300" s="2636" t="s">
        <v>223</v>
      </c>
      <c r="F300" s="2699"/>
      <c r="G300" s="2636" t="s">
        <v>224</v>
      </c>
      <c r="H300" s="2699"/>
      <c r="I300" s="2636" t="s">
        <v>47</v>
      </c>
      <c r="J300" s="2769"/>
      <c r="K300" s="2769"/>
      <c r="L300" s="2769"/>
      <c r="M300" s="2769"/>
      <c r="N300" s="2699"/>
      <c r="O300" s="95"/>
      <c r="P300" s="95"/>
      <c r="Q300" s="95"/>
      <c r="R300" s="95"/>
      <c r="AE300" s="95"/>
      <c r="AF300" s="95"/>
      <c r="AG300" s="95"/>
      <c r="AH300" s="2"/>
      <c r="AI300" s="2"/>
      <c r="AJ300" s="2"/>
      <c r="AK300" s="2"/>
    </row>
    <row r="301" spans="1:37" ht="48" customHeight="1" x14ac:dyDescent="0.2">
      <c r="A301" s="1"/>
      <c r="B301" s="2701" t="s">
        <v>225</v>
      </c>
      <c r="C301" s="2657"/>
      <c r="D301" s="2629"/>
      <c r="E301" s="2694"/>
      <c r="F301" s="2629"/>
      <c r="G301" s="2702"/>
      <c r="H301" s="2703"/>
      <c r="I301" s="2700"/>
      <c r="J301" s="2657"/>
      <c r="K301" s="2657"/>
      <c r="L301" s="2657"/>
      <c r="M301" s="2657"/>
      <c r="N301" s="2629"/>
      <c r="O301" s="95"/>
      <c r="P301" s="95"/>
      <c r="Q301" s="95"/>
      <c r="R301" s="95"/>
      <c r="AE301" s="95"/>
      <c r="AF301" s="95"/>
      <c r="AG301" s="95"/>
      <c r="AH301" s="2"/>
      <c r="AI301" s="2"/>
      <c r="AJ301" s="2"/>
      <c r="AK301" s="2"/>
    </row>
    <row r="302" spans="1:37" ht="48" customHeight="1" x14ac:dyDescent="0.2">
      <c r="A302" s="1"/>
      <c r="B302" s="2701" t="s">
        <v>226</v>
      </c>
      <c r="C302" s="2657"/>
      <c r="D302" s="2629"/>
      <c r="E302" s="2694"/>
      <c r="F302" s="2629"/>
      <c r="G302" s="2702"/>
      <c r="H302" s="2703"/>
      <c r="I302" s="2700"/>
      <c r="J302" s="2657"/>
      <c r="K302" s="2657"/>
      <c r="L302" s="2657"/>
      <c r="M302" s="2657"/>
      <c r="N302" s="2629"/>
      <c r="O302" s="103"/>
      <c r="P302" s="103"/>
      <c r="Q302" s="103"/>
      <c r="R302" s="95"/>
      <c r="AE302" s="95"/>
      <c r="AF302" s="95"/>
      <c r="AG302" s="95"/>
      <c r="AH302" s="2"/>
      <c r="AI302" s="2"/>
      <c r="AJ302" s="2"/>
      <c r="AK302" s="2"/>
    </row>
    <row r="303" spans="1:37" ht="48" customHeight="1" x14ac:dyDescent="0.2">
      <c r="A303" s="1"/>
      <c r="B303" s="2701" t="s">
        <v>227</v>
      </c>
      <c r="C303" s="2657"/>
      <c r="D303" s="2629"/>
      <c r="E303" s="2694"/>
      <c r="F303" s="2629"/>
      <c r="G303" s="2702"/>
      <c r="H303" s="2703"/>
      <c r="I303" s="2700"/>
      <c r="J303" s="2657"/>
      <c r="K303" s="2657"/>
      <c r="L303" s="2657"/>
      <c r="M303" s="2657"/>
      <c r="N303" s="2629"/>
      <c r="O303" s="95"/>
      <c r="P303" s="95"/>
      <c r="Q303" s="95"/>
      <c r="R303" s="95"/>
      <c r="AE303" s="95"/>
      <c r="AF303" s="95"/>
      <c r="AG303" s="95"/>
      <c r="AH303" s="2"/>
      <c r="AI303" s="2"/>
      <c r="AJ303" s="2"/>
      <c r="AK303" s="2"/>
    </row>
    <row r="304" spans="1:37" ht="48" customHeight="1" x14ac:dyDescent="0.2">
      <c r="A304" s="1"/>
      <c r="B304" s="2701" t="s">
        <v>228</v>
      </c>
      <c r="C304" s="2657"/>
      <c r="D304" s="2629"/>
      <c r="E304" s="2694"/>
      <c r="F304" s="2629"/>
      <c r="G304" s="2702"/>
      <c r="H304" s="2703"/>
      <c r="I304" s="2700"/>
      <c r="J304" s="2657"/>
      <c r="K304" s="2657"/>
      <c r="L304" s="2657"/>
      <c r="M304" s="2657"/>
      <c r="N304" s="2629"/>
      <c r="O304" s="95"/>
      <c r="P304" s="95"/>
      <c r="Q304" s="95"/>
      <c r="R304" s="95"/>
      <c r="AE304" s="95"/>
      <c r="AF304" s="95"/>
      <c r="AG304" s="95"/>
      <c r="AH304" s="2"/>
      <c r="AI304" s="2"/>
      <c r="AJ304" s="2"/>
      <c r="AK304" s="2"/>
    </row>
    <row r="305" spans="1:37" ht="48" customHeight="1" x14ac:dyDescent="0.2">
      <c r="A305" s="1"/>
      <c r="B305" s="2701" t="s">
        <v>229</v>
      </c>
      <c r="C305" s="2657"/>
      <c r="D305" s="2629"/>
      <c r="E305" s="2694"/>
      <c r="F305" s="2629"/>
      <c r="G305" s="2702"/>
      <c r="H305" s="2703"/>
      <c r="I305" s="2700"/>
      <c r="J305" s="2657"/>
      <c r="K305" s="2657"/>
      <c r="L305" s="2657"/>
      <c r="M305" s="2657"/>
      <c r="N305" s="2629"/>
      <c r="O305" s="95"/>
      <c r="P305" s="95"/>
      <c r="Q305" s="95"/>
      <c r="R305" s="95"/>
      <c r="AE305" s="95"/>
      <c r="AF305" s="95"/>
      <c r="AG305" s="95"/>
      <c r="AH305" s="2"/>
      <c r="AI305" s="2"/>
      <c r="AJ305" s="2"/>
      <c r="AK305" s="2"/>
    </row>
    <row r="306" spans="1:37" ht="48" customHeight="1" x14ac:dyDescent="0.2">
      <c r="A306" s="1"/>
      <c r="B306" s="2701" t="s">
        <v>230</v>
      </c>
      <c r="C306" s="2657"/>
      <c r="D306" s="2629"/>
      <c r="E306" s="2694"/>
      <c r="F306" s="2706"/>
      <c r="G306" s="2702"/>
      <c r="H306" s="2715"/>
      <c r="I306" s="2700"/>
      <c r="J306" s="2704"/>
      <c r="K306" s="2704"/>
      <c r="L306" s="2704"/>
      <c r="M306" s="2704"/>
      <c r="N306" s="2705"/>
      <c r="O306" s="95"/>
      <c r="P306" s="95"/>
      <c r="Q306" s="95"/>
      <c r="R306" s="95"/>
      <c r="AE306" s="95"/>
      <c r="AF306" s="95"/>
      <c r="AG306" s="95"/>
      <c r="AH306" s="2"/>
      <c r="AI306" s="2"/>
      <c r="AJ306" s="2"/>
      <c r="AK306" s="2"/>
    </row>
    <row r="307" spans="1:37" ht="48" customHeight="1" x14ac:dyDescent="0.2">
      <c r="A307" s="1"/>
      <c r="B307" s="2701" t="s">
        <v>231</v>
      </c>
      <c r="C307" s="2657"/>
      <c r="D307" s="2629"/>
      <c r="E307" s="2694"/>
      <c r="F307" s="2706"/>
      <c r="G307" s="2702"/>
      <c r="H307" s="2715"/>
      <c r="I307" s="2700"/>
      <c r="J307" s="2704"/>
      <c r="K307" s="2704"/>
      <c r="L307" s="2704"/>
      <c r="M307" s="2704"/>
      <c r="N307" s="2705"/>
      <c r="O307" s="95"/>
      <c r="P307" s="95"/>
      <c r="Q307" s="95"/>
      <c r="R307" s="95"/>
      <c r="AE307" s="95"/>
      <c r="AF307" s="95"/>
      <c r="AG307" s="95"/>
      <c r="AH307" s="2"/>
      <c r="AI307" s="2"/>
      <c r="AJ307" s="2"/>
      <c r="AK307" s="2"/>
    </row>
    <row r="308" spans="1:37" ht="48" customHeight="1" x14ac:dyDescent="0.2">
      <c r="A308" s="1"/>
      <c r="B308" s="2701" t="s">
        <v>232</v>
      </c>
      <c r="C308" s="2657"/>
      <c r="D308" s="2629"/>
      <c r="E308" s="2694"/>
      <c r="F308" s="2706"/>
      <c r="G308" s="2702"/>
      <c r="H308" s="2715"/>
      <c r="I308" s="2700"/>
      <c r="J308" s="2704"/>
      <c r="K308" s="2704"/>
      <c r="L308" s="2704"/>
      <c r="M308" s="2704"/>
      <c r="N308" s="2705"/>
      <c r="O308" s="95"/>
      <c r="P308" s="95"/>
      <c r="Q308" s="95"/>
      <c r="R308" s="95"/>
      <c r="AE308" s="95"/>
      <c r="AF308" s="95"/>
      <c r="AG308" s="95"/>
      <c r="AH308" s="2"/>
      <c r="AI308" s="2"/>
      <c r="AJ308" s="2"/>
      <c r="AK308" s="2"/>
    </row>
    <row r="309" spans="1:37" ht="40" customHeight="1" x14ac:dyDescent="0.2">
      <c r="A309" s="1"/>
      <c r="B309" s="2701" t="s">
        <v>233</v>
      </c>
      <c r="C309" s="2657"/>
      <c r="D309" s="2629"/>
      <c r="E309" s="2694"/>
      <c r="F309" s="2706"/>
      <c r="G309" s="2702"/>
      <c r="H309" s="2715"/>
      <c r="I309" s="2700"/>
      <c r="J309" s="2704"/>
      <c r="K309" s="2704"/>
      <c r="L309" s="2704"/>
      <c r="M309" s="2704"/>
      <c r="N309" s="2705"/>
      <c r="O309" s="95"/>
      <c r="P309" s="95"/>
      <c r="Q309" s="95"/>
      <c r="R309" s="95"/>
      <c r="AE309" s="95"/>
      <c r="AF309" s="95"/>
      <c r="AG309" s="95"/>
      <c r="AH309" s="2"/>
      <c r="AI309" s="2"/>
      <c r="AJ309" s="2"/>
      <c r="AK309" s="2"/>
    </row>
    <row r="310" spans="1:37" ht="69" customHeight="1" x14ac:dyDescent="0.2">
      <c r="A310" s="1"/>
      <c r="B310" s="2708" t="s">
        <v>234</v>
      </c>
      <c r="C310" s="2709"/>
      <c r="D310" s="2693"/>
      <c r="E310" s="2710"/>
      <c r="F310" s="2711"/>
      <c r="G310" s="2723"/>
      <c r="H310" s="2724"/>
      <c r="I310" s="2712"/>
      <c r="J310" s="2713"/>
      <c r="K310" s="2713"/>
      <c r="L310" s="2713"/>
      <c r="M310" s="2713"/>
      <c r="N310" s="2714"/>
      <c r="O310" s="42"/>
      <c r="P310" s="42"/>
      <c r="Q310" s="49"/>
      <c r="R310" s="95"/>
      <c r="AE310" s="95"/>
      <c r="AF310" s="95"/>
      <c r="AG310" s="95"/>
      <c r="AH310" s="2"/>
      <c r="AI310" s="2"/>
      <c r="AJ310" s="2"/>
      <c r="AK310" s="2"/>
    </row>
    <row r="311" spans="1:37" ht="50" customHeight="1" x14ac:dyDescent="0.2">
      <c r="A311" s="1"/>
      <c r="B311" s="2747" t="s">
        <v>235</v>
      </c>
      <c r="C311" s="2690"/>
      <c r="D311" s="2690"/>
      <c r="E311" s="2664"/>
      <c r="F311" s="2664"/>
      <c r="G311" s="2748"/>
      <c r="H311" s="2748"/>
      <c r="I311" s="2749"/>
      <c r="J311" s="2749"/>
      <c r="K311" s="2749"/>
      <c r="L311" s="2749"/>
      <c r="M311" s="2749"/>
      <c r="N311" s="2749"/>
      <c r="O311" s="42"/>
      <c r="P311" s="42"/>
      <c r="Q311" s="49"/>
      <c r="R311" s="95"/>
      <c r="AE311" s="95"/>
      <c r="AF311" s="95"/>
      <c r="AG311" s="95"/>
      <c r="AH311" s="2"/>
      <c r="AI311" s="2"/>
      <c r="AJ311" s="2"/>
      <c r="AK311" s="2"/>
    </row>
    <row r="312" spans="1:37" ht="61" customHeight="1" x14ac:dyDescent="0.2">
      <c r="A312" s="1"/>
      <c r="B312" s="2722" t="s">
        <v>239</v>
      </c>
      <c r="C312" s="2690"/>
      <c r="D312" s="2690"/>
      <c r="E312" s="2665">
        <f>SUM(E301:F311)</f>
        <v>0</v>
      </c>
      <c r="F312" s="2718"/>
      <c r="G312" s="2750">
        <f>SUM(G301:H311)</f>
        <v>0</v>
      </c>
      <c r="H312" s="2751"/>
      <c r="I312" s="2722"/>
      <c r="J312" s="2721"/>
      <c r="K312" s="2721"/>
      <c r="L312" s="2721"/>
      <c r="M312" s="2721"/>
      <c r="N312" s="2721"/>
      <c r="O312" s="1"/>
      <c r="P312" s="1"/>
      <c r="R312" s="95"/>
      <c r="AE312" s="95"/>
      <c r="AF312" s="95"/>
      <c r="AG312" s="95"/>
      <c r="AH312" s="2"/>
      <c r="AI312" s="2"/>
      <c r="AJ312" s="2"/>
      <c r="AK312" s="2"/>
    </row>
    <row r="313" spans="1:37" ht="61" customHeight="1" x14ac:dyDescent="0.2">
      <c r="A313" s="1"/>
      <c r="B313" s="2760" t="s">
        <v>462</v>
      </c>
      <c r="C313" s="2761"/>
      <c r="D313" s="2762"/>
      <c r="E313" s="2741">
        <f>'TH Thương hiệu DC2'!F137</f>
        <v>1693710.5999999999</v>
      </c>
      <c r="F313" s="2742"/>
      <c r="G313" s="2742"/>
      <c r="H313" s="2743"/>
      <c r="I313" s="2760" t="s">
        <v>240</v>
      </c>
      <c r="J313" s="2763"/>
      <c r="K313" s="2763"/>
      <c r="L313" s="2763"/>
      <c r="M313" s="2763"/>
      <c r="N313" s="2764"/>
      <c r="O313" s="1"/>
      <c r="P313" s="1"/>
      <c r="R313" s="95"/>
      <c r="AE313" s="95"/>
      <c r="AF313" s="95"/>
      <c r="AG313" s="95"/>
      <c r="AH313" s="2"/>
      <c r="AI313" s="2"/>
      <c r="AJ313" s="2"/>
      <c r="AK313" s="2"/>
    </row>
    <row r="314" spans="1:37" ht="61" customHeight="1" x14ac:dyDescent="0.2">
      <c r="A314" s="1"/>
      <c r="B314" s="2732" t="s">
        <v>241</v>
      </c>
      <c r="C314" s="2765"/>
      <c r="D314" s="2766"/>
      <c r="E314" s="2744">
        <f>G312+G296</f>
        <v>457</v>
      </c>
      <c r="F314" s="2745"/>
      <c r="G314" s="2745"/>
      <c r="H314" s="2746"/>
      <c r="I314" s="2767"/>
      <c r="J314" s="2733"/>
      <c r="K314" s="2733"/>
      <c r="L314" s="2733"/>
      <c r="M314" s="2733"/>
      <c r="N314" s="2734"/>
      <c r="O314" s="1"/>
      <c r="P314" s="1"/>
      <c r="R314" s="95"/>
      <c r="AE314" s="95"/>
      <c r="AF314" s="95"/>
      <c r="AG314" s="95"/>
      <c r="AH314" s="2"/>
      <c r="AI314" s="2"/>
      <c r="AJ314" s="2"/>
      <c r="AK314" s="2"/>
    </row>
    <row r="315" spans="1:37" ht="61" customHeight="1" x14ac:dyDescent="0.2">
      <c r="A315" s="1"/>
      <c r="B315" s="2732" t="s">
        <v>242</v>
      </c>
      <c r="C315" s="2733"/>
      <c r="D315" s="2734"/>
      <c r="E315" s="2735">
        <f>E297+E313</f>
        <v>3396351.04</v>
      </c>
      <c r="F315" s="2736"/>
      <c r="G315" s="2736"/>
      <c r="H315" s="2737"/>
      <c r="I315" s="2732" t="s">
        <v>243</v>
      </c>
      <c r="J315" s="2733"/>
      <c r="K315" s="2733"/>
      <c r="L315" s="2733"/>
      <c r="M315" s="2733"/>
      <c r="N315" s="2734"/>
      <c r="O315" s="71"/>
      <c r="P315" s="71"/>
      <c r="Q315" s="209"/>
      <c r="R315" s="95"/>
      <c r="AE315" s="95"/>
      <c r="AF315" s="95"/>
      <c r="AG315" s="95"/>
      <c r="AH315" s="2"/>
      <c r="AI315" s="2"/>
      <c r="AJ315" s="2"/>
      <c r="AK315" s="2"/>
    </row>
    <row r="316" spans="1:37" ht="23" customHeight="1" x14ac:dyDescent="0.2">
      <c r="A316" s="1"/>
      <c r="B316" s="303"/>
      <c r="C316" s="303"/>
      <c r="D316" s="303"/>
      <c r="E316" s="303"/>
      <c r="F316" s="303"/>
      <c r="G316" s="303"/>
      <c r="H316" s="303"/>
      <c r="I316" s="303"/>
      <c r="J316" s="304"/>
      <c r="K316" s="49"/>
      <c r="L316" s="303"/>
      <c r="M316" s="303"/>
      <c r="N316" s="303"/>
      <c r="O316" s="71"/>
      <c r="P316" s="71"/>
      <c r="Q316" s="209"/>
      <c r="R316" s="95"/>
      <c r="AE316" s="95"/>
      <c r="AF316" s="95"/>
      <c r="AG316" s="95"/>
      <c r="AH316" s="2"/>
      <c r="AI316" s="2"/>
      <c r="AJ316" s="2"/>
      <c r="AK316" s="2"/>
    </row>
    <row r="317" spans="1:37" ht="35" customHeight="1" x14ac:dyDescent="0.2">
      <c r="A317" s="1"/>
      <c r="B317" s="2475" t="s">
        <v>244</v>
      </c>
      <c r="C317" s="2731"/>
      <c r="D317" s="2731"/>
      <c r="E317" s="2731"/>
      <c r="F317" s="2731"/>
      <c r="G317" s="2731"/>
      <c r="H317" s="2731"/>
      <c r="I317" s="2731"/>
      <c r="J317" s="2731"/>
      <c r="K317" s="2731"/>
      <c r="L317" s="2731"/>
      <c r="M317" s="2731"/>
      <c r="N317" s="2731"/>
      <c r="O317" s="301"/>
      <c r="P317" s="301"/>
      <c r="Q317" s="337"/>
      <c r="R317" s="95"/>
      <c r="AE317" s="95"/>
      <c r="AF317" s="95"/>
      <c r="AG317" s="95"/>
      <c r="AH317" s="2"/>
      <c r="AI317" s="2"/>
      <c r="AJ317" s="2"/>
      <c r="AK317" s="2"/>
    </row>
    <row r="318" spans="1:37" ht="61" customHeight="1" x14ac:dyDescent="0.2">
      <c r="A318" s="1"/>
      <c r="B318" s="2663" t="s">
        <v>245</v>
      </c>
      <c r="C318" s="2731"/>
      <c r="D318" s="2731"/>
      <c r="E318" s="2731"/>
      <c r="F318" s="2731"/>
      <c r="G318" s="2731"/>
      <c r="H318" s="2731"/>
      <c r="I318" s="2731"/>
      <c r="J318" s="2731"/>
      <c r="K318" s="2731"/>
      <c r="L318" s="2731"/>
      <c r="M318" s="2731"/>
      <c r="N318" s="2731"/>
      <c r="O318" s="301"/>
      <c r="P318" s="301"/>
      <c r="Q318" s="337"/>
      <c r="R318" s="95"/>
      <c r="AE318" s="95"/>
      <c r="AF318" s="95"/>
      <c r="AG318" s="95"/>
      <c r="AH318" s="2"/>
      <c r="AI318" s="2"/>
      <c r="AJ318" s="2"/>
      <c r="AK318" s="2"/>
    </row>
    <row r="319" spans="1:37" ht="37" customHeight="1" x14ac:dyDescent="0.2">
      <c r="A319" s="1"/>
      <c r="B319" s="2725" t="s">
        <v>246</v>
      </c>
      <c r="C319" s="2725"/>
      <c r="D319" s="2725"/>
      <c r="E319" s="2725"/>
      <c r="F319" s="2725"/>
      <c r="G319" s="2725"/>
      <c r="H319" s="2725"/>
      <c r="I319" s="2725"/>
      <c r="J319" s="2725"/>
      <c r="K319" s="2725"/>
      <c r="L319" s="2725"/>
      <c r="M319" s="2725"/>
      <c r="N319" s="2725"/>
      <c r="O319" s="95"/>
      <c r="P319" s="95"/>
      <c r="Q319" s="95"/>
      <c r="R319" s="95"/>
      <c r="AE319" s="95"/>
      <c r="AF319" s="95"/>
      <c r="AG319" s="95"/>
      <c r="AH319" s="2"/>
      <c r="AI319" s="2"/>
      <c r="AJ319" s="2"/>
      <c r="AK319" s="2"/>
    </row>
    <row r="320" spans="1:37" ht="75" customHeight="1" x14ac:dyDescent="0.2">
      <c r="A320" s="1"/>
      <c r="B320" s="2663" t="s">
        <v>247</v>
      </c>
      <c r="C320" s="2731"/>
      <c r="D320" s="2731"/>
      <c r="E320" s="2731"/>
      <c r="F320" s="2731"/>
      <c r="G320" s="2731"/>
      <c r="H320" s="2731"/>
      <c r="I320" s="2731"/>
      <c r="J320" s="2731"/>
      <c r="K320" s="2731"/>
      <c r="L320" s="2731"/>
      <c r="M320" s="2731"/>
      <c r="N320" s="2731"/>
      <c r="O320" s="95"/>
      <c r="P320" s="95"/>
      <c r="Q320" s="95"/>
      <c r="R320" s="95"/>
      <c r="AE320" s="95"/>
      <c r="AF320" s="95"/>
      <c r="AG320" s="95"/>
      <c r="AH320" s="2"/>
      <c r="AI320" s="2"/>
      <c r="AJ320" s="2"/>
      <c r="AK320" s="2"/>
    </row>
    <row r="321" spans="1:37" ht="56" customHeight="1" x14ac:dyDescent="0.2">
      <c r="A321" s="1"/>
      <c r="B321" s="2663" t="s">
        <v>248</v>
      </c>
      <c r="C321" s="2731"/>
      <c r="D321" s="2731"/>
      <c r="E321" s="2731"/>
      <c r="F321" s="2731"/>
      <c r="G321" s="2731"/>
      <c r="H321" s="2731"/>
      <c r="I321" s="2731"/>
      <c r="J321" s="2731"/>
      <c r="K321" s="2731"/>
      <c r="L321" s="2731"/>
      <c r="M321" s="2731"/>
      <c r="N321" s="2731"/>
      <c r="O321" s="95"/>
      <c r="P321" s="95"/>
      <c r="Q321" s="95"/>
      <c r="R321" s="95"/>
      <c r="AE321" s="95"/>
      <c r="AF321" s="95"/>
      <c r="AG321" s="95"/>
      <c r="AH321" s="2"/>
      <c r="AI321" s="2"/>
      <c r="AJ321" s="2"/>
      <c r="AK321" s="2"/>
    </row>
    <row r="322" spans="1:37" ht="41" customHeight="1" x14ac:dyDescent="0.2">
      <c r="A322" s="1"/>
      <c r="B322" s="79" t="s">
        <v>249</v>
      </c>
      <c r="C322" s="1"/>
      <c r="D322" s="1"/>
      <c r="E322" s="43"/>
      <c r="F322" s="43"/>
      <c r="G322" s="1"/>
      <c r="H322" s="43"/>
      <c r="I322" s="1"/>
      <c r="J322" s="1"/>
      <c r="K322" s="1"/>
      <c r="L322" s="1"/>
      <c r="M322" s="1"/>
      <c r="N322" s="1"/>
      <c r="O322" s="95"/>
      <c r="P322" s="95"/>
      <c r="Q322" s="95"/>
      <c r="R322" s="95"/>
      <c r="AE322" s="95"/>
      <c r="AF322" s="95"/>
      <c r="AG322" s="95"/>
      <c r="AH322" s="2"/>
      <c r="AI322" s="2"/>
      <c r="AJ322" s="2"/>
      <c r="AK322" s="2"/>
    </row>
    <row r="323" spans="1:37" ht="27.75" customHeight="1" x14ac:dyDescent="0.2">
      <c r="A323" s="1"/>
      <c r="B323" s="42" t="s">
        <v>857</v>
      </c>
      <c r="C323" s="42"/>
      <c r="D323" s="42"/>
      <c r="E323" s="42"/>
      <c r="F323" s="42"/>
      <c r="G323" s="42"/>
      <c r="H323" s="42"/>
      <c r="I323" s="42"/>
      <c r="J323" s="42"/>
      <c r="K323" s="42"/>
      <c r="L323" s="42"/>
      <c r="M323" s="42"/>
      <c r="N323" s="42"/>
      <c r="O323" s="95"/>
      <c r="P323" s="95"/>
      <c r="Q323" s="95"/>
      <c r="R323" s="95"/>
      <c r="AE323" s="95"/>
      <c r="AF323" s="95"/>
      <c r="AG323" s="95"/>
      <c r="AH323" s="2"/>
      <c r="AI323" s="2"/>
      <c r="AJ323" s="2"/>
      <c r="AK323" s="2"/>
    </row>
    <row r="324" spans="1:37" ht="34" customHeight="1" x14ac:dyDescent="0.2">
      <c r="A324" s="1"/>
      <c r="B324" s="42" t="s">
        <v>57</v>
      </c>
      <c r="C324" s="1"/>
      <c r="D324" s="1"/>
      <c r="E324" s="1"/>
      <c r="F324" s="1"/>
      <c r="G324" s="1"/>
      <c r="H324" s="1"/>
      <c r="I324" s="1"/>
      <c r="J324" s="1"/>
      <c r="K324" s="1"/>
      <c r="L324" s="1"/>
      <c r="M324" s="1"/>
      <c r="N324" s="1"/>
      <c r="O324" s="95"/>
      <c r="P324" s="95"/>
      <c r="Q324" s="95"/>
      <c r="R324" s="95"/>
      <c r="AE324" s="95"/>
      <c r="AF324" s="95"/>
      <c r="AG324" s="95"/>
      <c r="AH324" s="2"/>
      <c r="AI324" s="2"/>
      <c r="AJ324" s="2"/>
      <c r="AK324" s="2"/>
    </row>
    <row r="325" spans="1:37" ht="36.75" customHeight="1" x14ac:dyDescent="0.2">
      <c r="A325" s="1"/>
      <c r="B325" s="79" t="s">
        <v>856</v>
      </c>
      <c r="C325" s="1"/>
      <c r="D325" s="1"/>
      <c r="E325" s="1"/>
      <c r="F325" s="1"/>
      <c r="G325" s="1"/>
      <c r="H325" s="1"/>
      <c r="I325" s="1"/>
      <c r="J325" s="1"/>
      <c r="K325" s="1"/>
      <c r="L325" s="1"/>
      <c r="M325" s="1"/>
      <c r="N325" s="1"/>
      <c r="O325" s="95"/>
      <c r="P325" s="95"/>
      <c r="Q325" s="95"/>
      <c r="R325" s="95"/>
      <c r="AE325" s="95"/>
      <c r="AF325" s="95"/>
      <c r="AG325" s="95"/>
      <c r="AH325" s="2"/>
      <c r="AI325" s="2"/>
      <c r="AJ325" s="2"/>
      <c r="AK325" s="2"/>
    </row>
    <row r="326" spans="1:37" ht="36.75" customHeight="1" x14ac:dyDescent="0.2">
      <c r="A326" s="1"/>
      <c r="B326" s="79" t="s">
        <v>250</v>
      </c>
      <c r="C326" s="1"/>
      <c r="D326" s="1"/>
      <c r="E326" s="1"/>
      <c r="F326" s="1"/>
      <c r="G326" s="1"/>
      <c r="H326" s="1"/>
      <c r="I326" s="1"/>
      <c r="J326" s="1"/>
      <c r="K326" s="1"/>
      <c r="L326" s="1"/>
      <c r="M326" s="1"/>
      <c r="N326" s="1"/>
      <c r="O326" s="95"/>
      <c r="P326" s="95"/>
      <c r="Q326" s="95"/>
      <c r="R326" s="95"/>
      <c r="AE326" s="95"/>
      <c r="AF326" s="95"/>
      <c r="AG326" s="95"/>
      <c r="AH326" s="2"/>
      <c r="AI326" s="2"/>
      <c r="AJ326" s="2"/>
      <c r="AK326" s="2"/>
    </row>
    <row r="327" spans="1:37" ht="36.75" customHeight="1" x14ac:dyDescent="0.2">
      <c r="A327" s="1"/>
      <c r="B327" s="42" t="s">
        <v>84</v>
      </c>
      <c r="C327" s="1"/>
      <c r="D327" s="1"/>
      <c r="E327" s="1"/>
      <c r="F327" s="1"/>
      <c r="G327" s="1"/>
      <c r="I327" s="1"/>
      <c r="J327" s="1"/>
      <c r="K327" s="1"/>
      <c r="L327" s="1"/>
      <c r="M327" s="1"/>
      <c r="N327" s="1"/>
      <c r="O327" s="95"/>
      <c r="P327" s="95"/>
      <c r="Q327" s="95"/>
      <c r="R327" s="95"/>
      <c r="AE327" s="95"/>
      <c r="AF327" s="95"/>
      <c r="AG327" s="95"/>
      <c r="AH327" s="2"/>
      <c r="AI327" s="2"/>
      <c r="AJ327" s="2"/>
      <c r="AK327" s="2"/>
    </row>
    <row r="328" spans="1:37" ht="36.75" customHeight="1" x14ac:dyDescent="0.2">
      <c r="A328" s="1"/>
      <c r="B328" s="79" t="s">
        <v>251</v>
      </c>
      <c r="C328" s="1"/>
      <c r="D328" s="1"/>
      <c r="E328" s="1"/>
      <c r="F328" s="1"/>
      <c r="G328" s="1"/>
      <c r="H328" s="1"/>
      <c r="I328" s="1"/>
      <c r="J328" s="1"/>
      <c r="K328" s="1"/>
      <c r="L328" s="1"/>
      <c r="M328" s="1"/>
      <c r="N328" s="1"/>
      <c r="O328" s="95"/>
      <c r="P328" s="95"/>
      <c r="Q328" s="95"/>
      <c r="R328" s="95"/>
      <c r="AE328" s="95"/>
      <c r="AF328" s="95"/>
      <c r="AG328" s="95"/>
      <c r="AH328" s="2"/>
      <c r="AI328" s="2"/>
      <c r="AJ328" s="2"/>
      <c r="AK328" s="2"/>
    </row>
    <row r="329" spans="1:37" ht="36.75" customHeight="1" x14ac:dyDescent="0.2">
      <c r="A329" s="1"/>
      <c r="B329" s="2566" t="s">
        <v>34</v>
      </c>
      <c r="C329" s="305" t="s">
        <v>213</v>
      </c>
      <c r="D329" s="2566" t="s">
        <v>252</v>
      </c>
      <c r="E329" s="2566" t="s">
        <v>253</v>
      </c>
      <c r="F329" s="2566" t="s">
        <v>10</v>
      </c>
      <c r="G329" s="305" t="s">
        <v>43</v>
      </c>
      <c r="H329" s="305" t="s">
        <v>254</v>
      </c>
      <c r="I329" s="1227" t="s">
        <v>255</v>
      </c>
      <c r="J329" s="2573" t="s">
        <v>47</v>
      </c>
      <c r="K329" s="2727"/>
      <c r="L329" s="2727"/>
      <c r="M329" s="2727"/>
      <c r="N329" s="2574"/>
      <c r="O329" s="95"/>
      <c r="P329" s="95"/>
      <c r="Q329" s="95"/>
      <c r="R329" s="95"/>
      <c r="AE329" s="95"/>
      <c r="AF329" s="95"/>
      <c r="AG329" s="95"/>
      <c r="AH329" s="2"/>
      <c r="AI329" s="2"/>
      <c r="AJ329" s="2"/>
      <c r="AK329" s="2"/>
    </row>
    <row r="330" spans="1:37" ht="36.75" customHeight="1" thickBot="1" x14ac:dyDescent="0.25">
      <c r="A330" s="1"/>
      <c r="B330" s="2726"/>
      <c r="C330" s="306" t="s">
        <v>256</v>
      </c>
      <c r="D330" s="2726"/>
      <c r="E330" s="2726"/>
      <c r="F330" s="2726"/>
      <c r="G330" s="306" t="s">
        <v>21</v>
      </c>
      <c r="H330" s="306" t="s">
        <v>22</v>
      </c>
      <c r="I330" s="306" t="s">
        <v>257</v>
      </c>
      <c r="J330" s="2728"/>
      <c r="K330" s="2729"/>
      <c r="L330" s="2729"/>
      <c r="M330" s="2729"/>
      <c r="N330" s="2730"/>
      <c r="O330" s="95"/>
      <c r="P330" s="95"/>
      <c r="Q330" s="95"/>
      <c r="R330" s="95"/>
      <c r="AE330" s="95"/>
      <c r="AF330" s="95"/>
      <c r="AG330" s="95"/>
      <c r="AH330" s="2"/>
      <c r="AI330" s="2"/>
      <c r="AJ330" s="2"/>
      <c r="AK330" s="2"/>
    </row>
    <row r="331" spans="1:37" ht="36.75" customHeight="1" thickBot="1" x14ac:dyDescent="0.25">
      <c r="A331" s="1"/>
      <c r="B331" s="307" t="s">
        <v>5</v>
      </c>
      <c r="C331" s="308" t="s">
        <v>115</v>
      </c>
      <c r="D331" s="309">
        <v>45352</v>
      </c>
      <c r="E331" s="309">
        <v>45647</v>
      </c>
      <c r="F331" s="310">
        <f>I13</f>
        <v>111.95000633718044</v>
      </c>
      <c r="G331" s="311">
        <f>H13</f>
        <v>1702641.5999999999</v>
      </c>
      <c r="H331" s="312">
        <f>K14</f>
        <v>98.238806900204594</v>
      </c>
      <c r="I331" s="313">
        <f>N13</f>
        <v>26</v>
      </c>
      <c r="J331" s="2755" t="s">
        <v>258</v>
      </c>
      <c r="K331" s="2756"/>
      <c r="L331" s="2756"/>
      <c r="M331" s="2756"/>
      <c r="N331" s="2757"/>
      <c r="O331" s="95"/>
      <c r="P331" s="95"/>
      <c r="Q331" s="95"/>
      <c r="R331" s="95"/>
      <c r="AE331" s="95"/>
      <c r="AF331" s="95"/>
      <c r="AG331" s="95"/>
      <c r="AH331" s="2"/>
      <c r="AI331" s="2"/>
      <c r="AJ331" s="2"/>
      <c r="AK331" s="2"/>
    </row>
    <row r="332" spans="1:37" ht="36.75" customHeight="1" x14ac:dyDescent="0.2">
      <c r="A332" s="1"/>
      <c r="B332" s="2758" t="s">
        <v>25</v>
      </c>
      <c r="C332" s="37" t="s">
        <v>115</v>
      </c>
      <c r="D332" s="314">
        <v>45292</v>
      </c>
      <c r="E332" s="314">
        <v>45307</v>
      </c>
      <c r="F332" s="315">
        <f>I18</f>
        <v>0</v>
      </c>
      <c r="G332" s="315">
        <f>H20</f>
        <v>0</v>
      </c>
      <c r="H332" s="316">
        <f>K21</f>
        <v>0</v>
      </c>
      <c r="I332" s="317">
        <v>7</v>
      </c>
      <c r="J332" s="2759" t="s">
        <v>258</v>
      </c>
      <c r="K332" s="2759"/>
      <c r="L332" s="2759"/>
      <c r="M332" s="2759"/>
      <c r="N332" s="2759"/>
      <c r="O332" s="95"/>
      <c r="P332" s="95"/>
      <c r="Q332" s="95"/>
      <c r="R332" s="95"/>
      <c r="AE332" s="95"/>
      <c r="AF332" s="95"/>
      <c r="AG332" s="95"/>
      <c r="AH332" s="2"/>
      <c r="AI332" s="2"/>
      <c r="AJ332" s="2"/>
      <c r="AK332" s="2"/>
    </row>
    <row r="333" spans="1:37" ht="36.75" customHeight="1" x14ac:dyDescent="0.2">
      <c r="A333" s="1"/>
      <c r="B333" s="2758"/>
      <c r="C333" s="12" t="s">
        <v>119</v>
      </c>
      <c r="D333" s="318">
        <v>45359</v>
      </c>
      <c r="E333" s="319" t="s">
        <v>142</v>
      </c>
      <c r="F333" s="320">
        <f>I28</f>
        <v>0</v>
      </c>
      <c r="G333" s="320">
        <f>H28</f>
        <v>100</v>
      </c>
      <c r="H333" s="321">
        <v>99.17</v>
      </c>
      <c r="I333" s="321">
        <v>151</v>
      </c>
      <c r="J333" s="2664" t="s">
        <v>258</v>
      </c>
      <c r="K333" s="2664"/>
      <c r="L333" s="2664"/>
      <c r="M333" s="2664"/>
      <c r="N333" s="2664"/>
      <c r="O333" s="95"/>
      <c r="P333" s="95"/>
      <c r="Q333" s="95"/>
      <c r="R333" s="95"/>
      <c r="AE333" s="95"/>
      <c r="AF333" s="95"/>
      <c r="AG333" s="95"/>
      <c r="AH333" s="2"/>
      <c r="AI333" s="2"/>
      <c r="AJ333" s="2"/>
      <c r="AK333" s="2"/>
    </row>
    <row r="334" spans="1:37" ht="36.75" customHeight="1" x14ac:dyDescent="0.2">
      <c r="A334" s="1"/>
      <c r="B334" s="2758"/>
      <c r="C334" s="12" t="s">
        <v>118</v>
      </c>
      <c r="D334" s="318">
        <v>45411</v>
      </c>
      <c r="E334" s="322">
        <v>45418</v>
      </c>
      <c r="F334" s="320">
        <f>I24</f>
        <v>0</v>
      </c>
      <c r="G334" s="323">
        <f>H24</f>
        <v>0</v>
      </c>
      <c r="H334" s="321">
        <v>97.61</v>
      </c>
      <c r="I334" s="321">
        <v>138</v>
      </c>
      <c r="J334" s="2664" t="s">
        <v>258</v>
      </c>
      <c r="K334" s="2664"/>
      <c r="L334" s="2664"/>
      <c r="M334" s="2664"/>
      <c r="N334" s="2664"/>
      <c r="O334" s="95"/>
      <c r="P334" s="95"/>
      <c r="Q334" s="95"/>
      <c r="R334" s="95"/>
      <c r="AE334" s="95"/>
      <c r="AF334" s="95"/>
      <c r="AG334" s="95"/>
      <c r="AH334" s="2"/>
      <c r="AI334" s="2"/>
      <c r="AJ334" s="2"/>
      <c r="AK334" s="2"/>
    </row>
    <row r="335" spans="1:37" ht="34" customHeight="1" x14ac:dyDescent="0.2">
      <c r="A335" s="1"/>
      <c r="B335" s="2758"/>
      <c r="C335" s="12" t="s">
        <v>122</v>
      </c>
      <c r="D335" s="318">
        <v>45480</v>
      </c>
      <c r="E335" s="319" t="s">
        <v>142</v>
      </c>
      <c r="F335" s="320">
        <f>I32</f>
        <v>0</v>
      </c>
      <c r="G335" s="323">
        <f>H32</f>
        <v>100</v>
      </c>
      <c r="H335" s="321">
        <v>97.36</v>
      </c>
      <c r="I335" s="321">
        <v>154</v>
      </c>
      <c r="J335" s="2664" t="s">
        <v>258</v>
      </c>
      <c r="K335" s="2664"/>
      <c r="L335" s="2664"/>
      <c r="M335" s="2664"/>
      <c r="N335" s="2664"/>
      <c r="O335" s="95"/>
      <c r="P335" s="95"/>
      <c r="Q335" s="95"/>
      <c r="R335" s="95"/>
      <c r="AE335" s="95"/>
      <c r="AF335" s="95"/>
      <c r="AG335" s="95"/>
      <c r="AH335" s="2"/>
      <c r="AI335" s="2"/>
      <c r="AJ335" s="2"/>
      <c r="AK335" s="2"/>
    </row>
    <row r="336" spans="1:37" ht="41" customHeight="1" x14ac:dyDescent="0.2">
      <c r="A336" s="1"/>
      <c r="B336" s="2758"/>
      <c r="C336" s="30" t="s">
        <v>116</v>
      </c>
      <c r="D336" s="324">
        <v>45567</v>
      </c>
      <c r="E336" s="325" t="s">
        <v>142</v>
      </c>
      <c r="F336" s="326">
        <f>I36</f>
        <v>0</v>
      </c>
      <c r="G336" s="327">
        <f>H36</f>
        <v>100.00000000000001</v>
      </c>
      <c r="H336" s="328">
        <v>97.75</v>
      </c>
      <c r="I336" s="328">
        <v>51</v>
      </c>
      <c r="J336" s="2664" t="s">
        <v>258</v>
      </c>
      <c r="K336" s="2664"/>
      <c r="L336" s="2664"/>
      <c r="M336" s="2664"/>
      <c r="N336" s="2664"/>
      <c r="O336" s="95"/>
      <c r="P336" s="95"/>
      <c r="Q336" s="95"/>
      <c r="R336" s="95"/>
      <c r="AE336" s="95"/>
      <c r="AF336" s="95"/>
      <c r="AG336" s="95"/>
      <c r="AH336" s="2"/>
      <c r="AI336" s="2"/>
      <c r="AJ336" s="2"/>
      <c r="AK336" s="2"/>
    </row>
    <row r="337" spans="1:37" ht="38" customHeight="1" x14ac:dyDescent="0.2">
      <c r="A337" s="1"/>
      <c r="B337" s="249" t="s">
        <v>259</v>
      </c>
      <c r="C337" s="2670" t="s">
        <v>260</v>
      </c>
      <c r="D337" s="2671"/>
      <c r="E337" s="2672"/>
      <c r="F337" s="326">
        <f>SUM(F332:F336)</f>
        <v>0</v>
      </c>
      <c r="G337" s="326">
        <f>SUM(G332:G336)</f>
        <v>300</v>
      </c>
      <c r="H337" s="329">
        <v>98.36</v>
      </c>
      <c r="I337" s="329">
        <v>123</v>
      </c>
      <c r="J337" s="2665" t="s">
        <v>258</v>
      </c>
      <c r="K337" s="2665"/>
      <c r="L337" s="2665"/>
      <c r="M337" s="2665"/>
      <c r="N337" s="2665"/>
      <c r="O337" s="95"/>
      <c r="P337" s="95"/>
      <c r="Q337" s="95"/>
      <c r="R337" s="95"/>
      <c r="AE337" s="95"/>
      <c r="AF337" s="95"/>
      <c r="AG337" s="95"/>
      <c r="AH337" s="2"/>
      <c r="AI337" s="2"/>
      <c r="AJ337" s="2"/>
      <c r="AK337" s="2"/>
    </row>
    <row r="338" spans="1:37" ht="38" customHeight="1" x14ac:dyDescent="0.2">
      <c r="A338" s="1"/>
      <c r="B338" s="2673" t="s">
        <v>127</v>
      </c>
      <c r="C338" s="2674"/>
      <c r="D338" s="2674"/>
      <c r="E338" s="2675"/>
      <c r="F338" s="330">
        <f>SUM(F331:F336)</f>
        <v>111.95000633718044</v>
      </c>
      <c r="G338" s="331">
        <f>SUM(G331:G336)</f>
        <v>1702941.5999999999</v>
      </c>
      <c r="H338" s="332">
        <v>98.25</v>
      </c>
      <c r="I338" s="332">
        <v>94</v>
      </c>
      <c r="J338" s="2666" t="s">
        <v>258</v>
      </c>
      <c r="K338" s="2666"/>
      <c r="L338" s="2666"/>
      <c r="M338" s="2666"/>
      <c r="N338" s="2666"/>
      <c r="O338" s="95"/>
      <c r="P338" s="95"/>
      <c r="Q338" s="95"/>
      <c r="R338" s="95"/>
      <c r="AE338" s="95"/>
      <c r="AF338" s="95"/>
      <c r="AG338" s="95"/>
      <c r="AH338" s="2"/>
      <c r="AI338" s="2"/>
      <c r="AJ338" s="2"/>
      <c r="AK338" s="2"/>
    </row>
    <row r="339" spans="1:37" ht="16.5" customHeight="1" x14ac:dyDescent="0.2">
      <c r="A339" s="1"/>
      <c r="B339" s="1"/>
      <c r="C339" s="1"/>
      <c r="D339" s="1"/>
      <c r="E339" s="1"/>
      <c r="F339" s="1"/>
      <c r="G339" s="1"/>
      <c r="H339" s="1"/>
      <c r="I339" s="1"/>
      <c r="J339" s="1"/>
      <c r="K339" s="1"/>
      <c r="L339" s="1"/>
      <c r="M339" s="1"/>
      <c r="N339" s="1"/>
      <c r="O339" s="95"/>
      <c r="P339" s="95"/>
      <c r="Q339" s="95"/>
      <c r="R339" s="95"/>
      <c r="AE339" s="95"/>
      <c r="AF339" s="95"/>
      <c r="AG339" s="95"/>
      <c r="AH339" s="2"/>
      <c r="AI339" s="2"/>
      <c r="AJ339" s="2"/>
      <c r="AK339" s="2"/>
    </row>
    <row r="340" spans="1:37" ht="16.5" customHeight="1" x14ac:dyDescent="0.2">
      <c r="A340" s="1"/>
      <c r="B340" s="42" t="s">
        <v>261</v>
      </c>
      <c r="C340" s="1"/>
      <c r="D340" s="1"/>
      <c r="E340" s="1"/>
      <c r="F340" s="1"/>
      <c r="G340" s="1"/>
      <c r="H340" s="1"/>
      <c r="I340" s="1"/>
      <c r="J340" s="1"/>
      <c r="K340" s="1"/>
      <c r="L340" s="1"/>
      <c r="M340" s="1"/>
      <c r="N340" s="1"/>
      <c r="O340" s="95"/>
      <c r="P340" s="95"/>
      <c r="Q340" s="95"/>
      <c r="R340" s="95"/>
      <c r="AE340" s="95"/>
      <c r="AF340" s="95"/>
      <c r="AG340" s="95"/>
      <c r="AH340" s="2"/>
      <c r="AI340" s="2"/>
      <c r="AJ340" s="2"/>
      <c r="AK340" s="2"/>
    </row>
    <row r="341" spans="1:37" ht="34" customHeight="1" x14ac:dyDescent="0.2">
      <c r="A341" s="1"/>
      <c r="B341" s="44" t="s">
        <v>34</v>
      </c>
      <c r="C341" s="2660" t="s">
        <v>262</v>
      </c>
      <c r="D341" s="2661"/>
      <c r="E341" s="44" t="s">
        <v>263</v>
      </c>
      <c r="F341" s="44" t="s">
        <v>264</v>
      </c>
      <c r="G341" s="44" t="s">
        <v>265</v>
      </c>
      <c r="H341" s="2660" t="s">
        <v>47</v>
      </c>
      <c r="I341" s="2662"/>
      <c r="J341" s="2662"/>
      <c r="K341" s="2662"/>
      <c r="L341" s="2662"/>
      <c r="M341" s="2662"/>
      <c r="N341" s="2661"/>
      <c r="O341" s="95"/>
      <c r="P341" s="95"/>
      <c r="Q341" s="95"/>
      <c r="R341" s="95"/>
      <c r="AE341" s="95"/>
      <c r="AF341" s="95"/>
      <c r="AG341" s="95"/>
      <c r="AH341" s="2"/>
      <c r="AI341" s="2"/>
      <c r="AJ341" s="2"/>
      <c r="AK341" s="2"/>
    </row>
    <row r="342" spans="1:37" ht="47" customHeight="1" x14ac:dyDescent="0.2">
      <c r="A342" s="1"/>
      <c r="B342" s="12" t="s">
        <v>5</v>
      </c>
      <c r="C342" s="2676">
        <v>120</v>
      </c>
      <c r="D342" s="2677"/>
      <c r="E342" s="12">
        <v>95</v>
      </c>
      <c r="F342" s="12">
        <v>45</v>
      </c>
      <c r="G342" s="12">
        <v>106</v>
      </c>
      <c r="H342" s="2678" t="s">
        <v>266</v>
      </c>
      <c r="I342" s="2679"/>
      <c r="J342" s="2679"/>
      <c r="K342" s="2679"/>
      <c r="L342" s="2679"/>
      <c r="M342" s="2679"/>
      <c r="N342" s="2680"/>
      <c r="O342" s="95"/>
      <c r="P342" s="95"/>
      <c r="Q342" s="95"/>
      <c r="R342" s="95"/>
      <c r="AE342" s="95"/>
      <c r="AF342" s="95"/>
      <c r="AG342" s="95"/>
      <c r="AH342" s="2"/>
      <c r="AI342" s="2"/>
      <c r="AJ342" s="2"/>
      <c r="AK342" s="2"/>
    </row>
    <row r="343" spans="1:37" ht="47" customHeight="1" x14ac:dyDescent="0.2">
      <c r="A343" s="1"/>
      <c r="B343" s="12" t="s">
        <v>25</v>
      </c>
      <c r="C343" s="2676">
        <v>115</v>
      </c>
      <c r="D343" s="2677"/>
      <c r="E343" s="12">
        <v>61</v>
      </c>
      <c r="F343" s="12">
        <v>43</v>
      </c>
      <c r="G343" s="12">
        <v>96</v>
      </c>
      <c r="H343" s="2678" t="s">
        <v>267</v>
      </c>
      <c r="I343" s="2679"/>
      <c r="J343" s="2679"/>
      <c r="K343" s="2679"/>
      <c r="L343" s="2679"/>
      <c r="M343" s="2679"/>
      <c r="N343" s="2680"/>
      <c r="O343" s="95"/>
      <c r="P343" s="95"/>
      <c r="Q343" s="95"/>
      <c r="R343" s="95"/>
      <c r="AE343" s="95"/>
      <c r="AF343" s="95"/>
      <c r="AG343" s="95"/>
      <c r="AH343" s="2"/>
      <c r="AI343" s="2"/>
      <c r="AJ343" s="2"/>
      <c r="AK343" s="2"/>
    </row>
    <row r="344" spans="1:37" ht="48" customHeight="1" x14ac:dyDescent="0.2">
      <c r="A344" s="1"/>
      <c r="B344" s="333" t="s">
        <v>127</v>
      </c>
      <c r="C344" s="2667">
        <f>SUM(C342:D343)</f>
        <v>235</v>
      </c>
      <c r="D344" s="2668"/>
      <c r="E344" s="333"/>
      <c r="F344" s="333"/>
      <c r="G344" s="334">
        <f>SUM(G342:G343)</f>
        <v>202</v>
      </c>
      <c r="H344" s="2667"/>
      <c r="I344" s="2669"/>
      <c r="J344" s="2669"/>
      <c r="K344" s="2669"/>
      <c r="L344" s="2669"/>
      <c r="M344" s="2669"/>
      <c r="N344" s="2668"/>
      <c r="O344" s="95"/>
      <c r="P344" s="95"/>
      <c r="Q344" s="95"/>
      <c r="R344" s="95"/>
      <c r="AE344" s="95"/>
      <c r="AF344" s="95"/>
      <c r="AG344" s="95"/>
      <c r="AH344" s="2"/>
      <c r="AI344" s="2"/>
      <c r="AJ344" s="2"/>
      <c r="AK344" s="2"/>
    </row>
    <row r="345" spans="1:37" ht="48" customHeight="1" x14ac:dyDescent="0.2">
      <c r="A345" s="1"/>
      <c r="B345" s="335" t="s">
        <v>268</v>
      </c>
      <c r="C345" s="2"/>
      <c r="D345" s="2"/>
      <c r="E345" s="1"/>
      <c r="F345" s="1"/>
      <c r="G345" s="2"/>
      <c r="H345" s="2"/>
      <c r="I345" s="2"/>
      <c r="J345" s="2"/>
      <c r="K345" s="2"/>
      <c r="L345" s="2"/>
      <c r="M345" s="2"/>
      <c r="N345" s="2"/>
      <c r="O345" s="95"/>
      <c r="P345" s="95"/>
      <c r="Q345" s="95"/>
      <c r="R345" s="95"/>
      <c r="AE345" s="95"/>
      <c r="AF345" s="95"/>
      <c r="AG345" s="95"/>
      <c r="AH345" s="2"/>
      <c r="AI345" s="2"/>
      <c r="AJ345" s="2"/>
      <c r="AK345" s="2"/>
    </row>
    <row r="346" spans="1:37" ht="48" customHeight="1" x14ac:dyDescent="0.2">
      <c r="A346" s="1"/>
      <c r="B346" s="79" t="s">
        <v>856</v>
      </c>
      <c r="C346" s="2"/>
      <c r="D346" s="2"/>
      <c r="E346" s="1"/>
      <c r="F346" s="1"/>
      <c r="G346" s="2"/>
      <c r="H346" s="2"/>
      <c r="I346" s="2"/>
      <c r="J346" s="2"/>
      <c r="K346" s="2"/>
      <c r="L346" s="2"/>
      <c r="M346" s="2"/>
      <c r="N346" s="2"/>
      <c r="O346" s="95"/>
      <c r="P346" s="95"/>
      <c r="Q346" s="95"/>
      <c r="R346" s="95"/>
      <c r="AE346" s="95"/>
      <c r="AF346" s="95"/>
      <c r="AG346" s="95"/>
      <c r="AH346" s="2"/>
      <c r="AI346" s="2"/>
      <c r="AJ346" s="2"/>
      <c r="AK346" s="2"/>
    </row>
    <row r="347" spans="1:37" ht="48" customHeight="1" x14ac:dyDescent="0.2">
      <c r="A347" s="1"/>
      <c r="B347" s="79" t="s">
        <v>858</v>
      </c>
      <c r="C347" s="2"/>
      <c r="D347" s="2"/>
      <c r="E347" s="1"/>
      <c r="F347" s="1"/>
      <c r="G347" s="2"/>
      <c r="H347" s="2"/>
      <c r="I347" s="2"/>
      <c r="J347" s="2"/>
      <c r="K347" s="2"/>
      <c r="L347" s="2"/>
      <c r="M347" s="2"/>
      <c r="N347" s="2"/>
      <c r="O347" s="95"/>
      <c r="P347" s="95"/>
      <c r="Q347" s="95"/>
      <c r="R347" s="95"/>
      <c r="AE347" s="95"/>
      <c r="AF347" s="95"/>
      <c r="AG347" s="95"/>
      <c r="AH347" s="2"/>
      <c r="AI347" s="2"/>
      <c r="AJ347" s="2"/>
      <c r="AK347" s="2"/>
    </row>
    <row r="348" spans="1:37" ht="46" customHeight="1" x14ac:dyDescent="0.2">
      <c r="A348" s="1"/>
      <c r="B348" s="79" t="s">
        <v>271</v>
      </c>
      <c r="C348" s="2"/>
      <c r="D348" s="2"/>
      <c r="E348" s="1"/>
      <c r="F348" s="1"/>
      <c r="G348" s="2"/>
      <c r="H348" s="2"/>
      <c r="I348" s="2"/>
      <c r="J348" s="2"/>
      <c r="K348" s="2"/>
      <c r="L348" s="2"/>
      <c r="M348" s="2"/>
      <c r="N348" s="2"/>
      <c r="O348" s="95"/>
      <c r="P348" s="95"/>
      <c r="Q348" s="95"/>
      <c r="R348" s="95"/>
      <c r="AE348" s="95"/>
      <c r="AF348" s="95"/>
      <c r="AG348" s="95"/>
      <c r="AH348" s="2"/>
      <c r="AI348" s="2"/>
      <c r="AJ348" s="2"/>
      <c r="AK348" s="2"/>
    </row>
    <row r="349" spans="1:37" ht="46" customHeight="1" x14ac:dyDescent="0.2">
      <c r="A349" s="1"/>
      <c r="B349" s="335" t="s">
        <v>272</v>
      </c>
      <c r="C349" s="2"/>
      <c r="D349" s="2"/>
      <c r="E349" s="1"/>
      <c r="F349" s="1"/>
      <c r="G349" s="2"/>
      <c r="H349" s="2"/>
      <c r="I349" s="2"/>
      <c r="J349" s="2"/>
      <c r="K349" s="2"/>
      <c r="L349" s="2"/>
      <c r="M349" s="2"/>
      <c r="N349" s="2"/>
      <c r="O349" s="95"/>
      <c r="P349" s="95"/>
      <c r="Q349" s="95"/>
      <c r="R349" s="95"/>
      <c r="AE349" s="95"/>
      <c r="AF349" s="95"/>
      <c r="AG349" s="95"/>
      <c r="AH349" s="2"/>
      <c r="AI349" s="2"/>
      <c r="AJ349" s="2"/>
      <c r="AK349" s="2"/>
    </row>
    <row r="350" spans="1:37" ht="46" customHeight="1" x14ac:dyDescent="0.2">
      <c r="A350" s="1"/>
      <c r="B350" s="79" t="s">
        <v>273</v>
      </c>
      <c r="C350" s="2"/>
      <c r="D350" s="2"/>
      <c r="E350" s="1"/>
      <c r="F350" s="1"/>
      <c r="G350" s="2"/>
      <c r="H350" s="2"/>
      <c r="I350" s="2"/>
      <c r="J350" s="2"/>
      <c r="K350" s="2"/>
      <c r="L350" s="2"/>
      <c r="M350" s="2"/>
      <c r="N350" s="2"/>
      <c r="O350" s="95"/>
      <c r="P350" s="95"/>
      <c r="Q350" s="95"/>
      <c r="R350" s="95"/>
      <c r="AE350" s="95"/>
      <c r="AF350" s="95"/>
      <c r="AG350" s="95"/>
      <c r="AH350" s="2"/>
      <c r="AI350" s="2"/>
      <c r="AJ350" s="2"/>
      <c r="AK350" s="2"/>
    </row>
    <row r="351" spans="1:37" ht="46" customHeight="1" x14ac:dyDescent="0.2">
      <c r="A351" s="1"/>
      <c r="B351" s="2663" t="s">
        <v>274</v>
      </c>
      <c r="C351" s="2663"/>
      <c r="D351" s="2663"/>
      <c r="E351" s="2663"/>
      <c r="F351" s="2663"/>
      <c r="G351" s="2663"/>
      <c r="H351" s="2663"/>
      <c r="I351" s="2663"/>
      <c r="J351" s="2663"/>
      <c r="K351" s="2663"/>
      <c r="L351" s="2663"/>
      <c r="M351" s="2663"/>
      <c r="N351" s="2663"/>
      <c r="O351" s="95"/>
      <c r="P351" s="95"/>
      <c r="Q351" s="95"/>
      <c r="R351" s="95"/>
      <c r="AE351" s="95"/>
      <c r="AF351" s="95"/>
      <c r="AG351" s="95"/>
      <c r="AH351" s="2"/>
      <c r="AI351" s="2"/>
      <c r="AJ351" s="2"/>
      <c r="AK351" s="2"/>
    </row>
    <row r="352" spans="1:37" ht="48" customHeight="1" x14ac:dyDescent="0.2">
      <c r="A352" s="1"/>
      <c r="B352" s="79" t="s">
        <v>275</v>
      </c>
      <c r="C352" s="2"/>
      <c r="D352" s="2"/>
      <c r="E352" s="1"/>
      <c r="F352" s="1"/>
      <c r="G352" s="2"/>
      <c r="H352" s="2"/>
      <c r="I352" s="2"/>
      <c r="J352" s="2"/>
      <c r="K352" s="2"/>
      <c r="L352" s="2"/>
      <c r="M352" s="2"/>
      <c r="N352" s="2"/>
      <c r="O352" s="95"/>
      <c r="P352" s="95"/>
      <c r="Q352" s="95"/>
      <c r="R352" s="95"/>
      <c r="AE352" s="95"/>
      <c r="AF352" s="95"/>
      <c r="AG352" s="95"/>
      <c r="AH352" s="2"/>
      <c r="AI352" s="2"/>
      <c r="AJ352" s="2"/>
      <c r="AK352" s="2"/>
    </row>
    <row r="353" spans="1:37" ht="33" customHeight="1" x14ac:dyDescent="0.2">
      <c r="A353" s="1"/>
      <c r="B353" s="79" t="s">
        <v>276</v>
      </c>
      <c r="C353" s="2"/>
      <c r="D353" s="2"/>
      <c r="E353" s="1"/>
      <c r="F353" s="1"/>
      <c r="G353" s="2"/>
      <c r="H353" s="2"/>
      <c r="I353" s="2"/>
      <c r="J353" s="2"/>
      <c r="K353" s="2"/>
      <c r="L353" s="2"/>
      <c r="M353" s="2"/>
      <c r="N353" s="2"/>
      <c r="O353" s="95"/>
      <c r="P353" s="95"/>
      <c r="Q353" s="95"/>
      <c r="R353" s="95"/>
      <c r="AE353" s="95"/>
      <c r="AF353" s="95"/>
      <c r="AG353" s="95"/>
      <c r="AH353" s="2"/>
      <c r="AI353" s="2"/>
      <c r="AJ353" s="2"/>
      <c r="AK353" s="2"/>
    </row>
    <row r="354" spans="1:37" ht="45" customHeight="1" x14ac:dyDescent="0.2">
      <c r="A354" s="1"/>
      <c r="B354" s="79" t="s">
        <v>271</v>
      </c>
      <c r="C354" s="2"/>
      <c r="D354" s="2"/>
      <c r="E354" s="1"/>
      <c r="F354" s="1"/>
      <c r="G354" s="2"/>
      <c r="H354" s="2"/>
      <c r="I354" s="2"/>
      <c r="J354" s="2"/>
      <c r="K354" s="2"/>
      <c r="L354" s="2"/>
      <c r="M354" s="2"/>
      <c r="N354" s="2"/>
      <c r="O354" s="95"/>
      <c r="P354" s="95"/>
      <c r="Q354" s="95"/>
      <c r="R354" s="95"/>
      <c r="AE354" s="95"/>
      <c r="AF354" s="95"/>
      <c r="AG354" s="95"/>
      <c r="AH354" s="2"/>
      <c r="AI354" s="2"/>
      <c r="AJ354" s="2"/>
      <c r="AK354" s="2"/>
    </row>
    <row r="355" spans="1:37" ht="45" customHeight="1" x14ac:dyDescent="0.2">
      <c r="A355" s="1"/>
      <c r="B355" s="42" t="s">
        <v>277</v>
      </c>
      <c r="C355" s="1"/>
      <c r="D355" s="1"/>
      <c r="E355" s="1"/>
      <c r="F355" s="1"/>
      <c r="G355" s="1"/>
      <c r="H355" s="1"/>
      <c r="I355" s="1"/>
      <c r="J355" s="1"/>
      <c r="K355" s="1"/>
      <c r="L355" s="1"/>
      <c r="M355" s="1"/>
      <c r="N355" s="1"/>
      <c r="O355" s="95"/>
      <c r="P355" s="95"/>
      <c r="Q355" s="95"/>
      <c r="R355" s="95"/>
      <c r="AE355" s="95"/>
      <c r="AF355" s="95"/>
      <c r="AG355" s="95"/>
      <c r="AH355" s="2"/>
      <c r="AI355" s="2"/>
      <c r="AJ355" s="2"/>
      <c r="AK355" s="2"/>
    </row>
    <row r="356" spans="1:37" ht="30" customHeight="1" x14ac:dyDescent="0.2">
      <c r="A356" s="1"/>
      <c r="B356" s="79" t="s">
        <v>278</v>
      </c>
      <c r="C356" s="1"/>
      <c r="D356" s="1"/>
      <c r="E356" s="1"/>
      <c r="F356" s="1"/>
      <c r="G356" s="1"/>
      <c r="H356" s="1"/>
      <c r="I356" s="1"/>
      <c r="J356" s="1"/>
      <c r="K356" s="1"/>
      <c r="L356" s="1"/>
      <c r="M356" s="1"/>
      <c r="N356" s="1"/>
      <c r="O356" s="95"/>
      <c r="P356" s="95"/>
      <c r="Q356" s="95"/>
      <c r="R356" s="95"/>
      <c r="AE356" s="95"/>
      <c r="AF356" s="95"/>
      <c r="AG356" s="95"/>
      <c r="AH356" s="2"/>
      <c r="AI356" s="2"/>
      <c r="AJ356" s="2"/>
      <c r="AK356" s="2"/>
    </row>
    <row r="357" spans="1:37" s="1" customFormat="1" ht="24.75" customHeight="1" x14ac:dyDescent="0.2">
      <c r="B357" s="79" t="s">
        <v>279</v>
      </c>
      <c r="O357" s="95"/>
      <c r="P357" s="95"/>
      <c r="Q357" s="95"/>
      <c r="R357" s="95"/>
      <c r="S357" s="742"/>
      <c r="T357" s="742"/>
      <c r="U357" s="742"/>
      <c r="V357" s="742"/>
      <c r="W357" s="742"/>
      <c r="X357" s="742"/>
      <c r="Y357" s="95"/>
      <c r="Z357" s="95"/>
      <c r="AA357" s="95"/>
      <c r="AB357" s="95"/>
      <c r="AC357" s="95"/>
      <c r="AD357" s="95"/>
      <c r="AE357" s="95"/>
      <c r="AF357" s="95"/>
      <c r="AG357" s="95"/>
      <c r="AH357" s="2"/>
      <c r="AI357" s="2"/>
      <c r="AJ357" s="2"/>
      <c r="AK357" s="2"/>
    </row>
    <row r="358" spans="1:37" s="1" customFormat="1" ht="31" customHeight="1" x14ac:dyDescent="0.2">
      <c r="B358" s="79" t="s">
        <v>280</v>
      </c>
      <c r="O358" s="95"/>
      <c r="P358" s="95"/>
      <c r="Q358" s="95"/>
      <c r="R358" s="95"/>
      <c r="S358" s="742"/>
      <c r="T358" s="742"/>
      <c r="U358" s="742"/>
      <c r="V358" s="742"/>
      <c r="W358" s="742"/>
      <c r="X358" s="742"/>
      <c r="Y358" s="95"/>
      <c r="Z358" s="95"/>
      <c r="AA358" s="95"/>
      <c r="AB358" s="95"/>
      <c r="AC358" s="95"/>
      <c r="AD358" s="95"/>
      <c r="AE358" s="95"/>
      <c r="AF358" s="95"/>
      <c r="AG358" s="95"/>
      <c r="AH358" s="2"/>
      <c r="AI358" s="2"/>
      <c r="AJ358" s="2"/>
      <c r="AK358" s="2"/>
    </row>
    <row r="359" spans="1:37" s="1" customFormat="1" ht="35" customHeight="1" x14ac:dyDescent="0.2">
      <c r="B359" s="79" t="s">
        <v>281</v>
      </c>
      <c r="O359" s="95"/>
      <c r="P359" s="95"/>
      <c r="Q359" s="95"/>
      <c r="R359" s="95"/>
      <c r="S359" s="742"/>
      <c r="T359" s="742"/>
      <c r="U359" s="742"/>
      <c r="V359" s="742"/>
      <c r="W359" s="742"/>
      <c r="X359" s="742"/>
      <c r="Y359" s="95"/>
      <c r="Z359" s="95"/>
      <c r="AA359" s="95"/>
      <c r="AB359" s="95"/>
      <c r="AC359" s="95"/>
      <c r="AD359" s="95"/>
      <c r="AE359" s="95"/>
      <c r="AF359" s="95"/>
      <c r="AG359" s="95"/>
      <c r="AH359" s="2"/>
      <c r="AI359" s="2"/>
      <c r="AJ359" s="2"/>
      <c r="AK359" s="2"/>
    </row>
    <row r="360" spans="1:37" s="1" customFormat="1" ht="34" customHeight="1" x14ac:dyDescent="0.2">
      <c r="B360" s="79" t="s">
        <v>282</v>
      </c>
      <c r="O360" s="95"/>
      <c r="P360" s="95"/>
      <c r="Q360" s="95"/>
      <c r="R360" s="95"/>
      <c r="S360" s="742"/>
      <c r="T360" s="742"/>
      <c r="U360" s="742"/>
      <c r="V360" s="742"/>
      <c r="W360" s="742"/>
      <c r="X360" s="742"/>
      <c r="Y360" s="95"/>
      <c r="Z360" s="95"/>
      <c r="AA360" s="95"/>
      <c r="AB360" s="95"/>
      <c r="AC360" s="95"/>
      <c r="AD360" s="95"/>
      <c r="AE360" s="95"/>
      <c r="AF360" s="95"/>
      <c r="AG360" s="95"/>
      <c r="AH360" s="2"/>
      <c r="AI360" s="2"/>
      <c r="AJ360" s="2"/>
      <c r="AK360" s="2"/>
    </row>
    <row r="361" spans="1:37" s="1" customFormat="1" ht="37.5" customHeight="1" x14ac:dyDescent="0.2">
      <c r="B361" s="79" t="s">
        <v>283</v>
      </c>
      <c r="O361" s="95"/>
      <c r="P361" s="95"/>
      <c r="Q361" s="95"/>
      <c r="R361" s="95"/>
      <c r="S361" s="742"/>
      <c r="T361" s="742"/>
      <c r="U361" s="742"/>
      <c r="V361" s="742"/>
      <c r="W361" s="742"/>
      <c r="X361" s="742"/>
      <c r="Y361" s="95"/>
      <c r="Z361" s="95"/>
      <c r="AA361" s="95"/>
      <c r="AB361" s="95"/>
      <c r="AC361" s="95"/>
      <c r="AD361" s="95"/>
      <c r="AE361" s="95"/>
      <c r="AF361" s="95"/>
      <c r="AG361" s="95"/>
      <c r="AH361" s="2"/>
      <c r="AI361" s="2"/>
      <c r="AJ361" s="2"/>
      <c r="AK361" s="2"/>
    </row>
    <row r="362" spans="1:37" s="1" customFormat="1" ht="25.5" customHeight="1" x14ac:dyDescent="0.2">
      <c r="B362" s="335" t="s">
        <v>284</v>
      </c>
      <c r="O362" s="95"/>
      <c r="P362" s="95"/>
      <c r="Q362" s="95"/>
      <c r="R362" s="95"/>
      <c r="S362" s="742"/>
      <c r="T362" s="742"/>
      <c r="U362" s="742"/>
      <c r="V362" s="742"/>
      <c r="W362" s="742"/>
      <c r="X362" s="742"/>
      <c r="Y362" s="95"/>
      <c r="Z362" s="95"/>
      <c r="AA362" s="95"/>
      <c r="AB362" s="95"/>
      <c r="AC362" s="95"/>
      <c r="AD362" s="95"/>
      <c r="AE362" s="95"/>
      <c r="AF362" s="95"/>
      <c r="AG362" s="95"/>
      <c r="AH362" s="2"/>
      <c r="AI362" s="2"/>
      <c r="AJ362" s="2"/>
      <c r="AK362" s="2"/>
    </row>
    <row r="363" spans="1:37" s="689" customFormat="1" ht="26" customHeight="1" x14ac:dyDescent="0.2">
      <c r="A363" s="42"/>
      <c r="B363" s="79" t="s">
        <v>285</v>
      </c>
      <c r="C363" s="1"/>
      <c r="D363" s="1"/>
      <c r="E363" s="1"/>
      <c r="F363" s="1"/>
      <c r="G363" s="1"/>
      <c r="H363" s="1"/>
      <c r="I363" s="1"/>
      <c r="J363" s="1"/>
      <c r="K363" s="1"/>
      <c r="L363" s="1"/>
      <c r="M363" s="1"/>
      <c r="N363" s="1"/>
      <c r="O363" s="103"/>
      <c r="P363" s="103"/>
      <c r="Q363" s="103"/>
      <c r="R363" s="103"/>
      <c r="S363" s="763"/>
      <c r="T363" s="763"/>
      <c r="U363" s="763"/>
      <c r="V363" s="763"/>
      <c r="W363" s="763"/>
      <c r="X363" s="763"/>
      <c r="Y363" s="103"/>
      <c r="Z363" s="103"/>
      <c r="AA363" s="103"/>
      <c r="AB363" s="103"/>
      <c r="AC363" s="103"/>
      <c r="AD363" s="103"/>
      <c r="AE363" s="103"/>
      <c r="AF363" s="103"/>
      <c r="AG363" s="103"/>
      <c r="AH363" s="49"/>
      <c r="AI363" s="49"/>
      <c r="AJ363" s="49"/>
      <c r="AK363" s="49"/>
    </row>
    <row r="364" spans="1:37" ht="26" customHeight="1" x14ac:dyDescent="0.2">
      <c r="A364" s="1"/>
      <c r="B364" s="79" t="s">
        <v>286</v>
      </c>
      <c r="C364" s="1"/>
      <c r="D364" s="1"/>
      <c r="E364" s="1"/>
      <c r="F364" s="1"/>
      <c r="G364" s="1"/>
      <c r="H364" s="1"/>
      <c r="I364" s="1"/>
      <c r="J364" s="1"/>
      <c r="K364" s="1"/>
      <c r="L364" s="1"/>
      <c r="M364" s="1"/>
      <c r="N364" s="1"/>
      <c r="O364" s="95"/>
      <c r="P364" s="95"/>
      <c r="Q364" s="95"/>
      <c r="R364" s="95"/>
      <c r="AE364" s="95"/>
      <c r="AF364" s="95"/>
      <c r="AG364" s="95"/>
      <c r="AH364" s="2"/>
      <c r="AI364" s="2"/>
      <c r="AJ364" s="2"/>
      <c r="AK364" s="2"/>
    </row>
    <row r="365" spans="1:37" ht="22" hidden="1" customHeight="1" x14ac:dyDescent="0.2">
      <c r="A365" s="1"/>
      <c r="B365" s="79" t="s">
        <v>287</v>
      </c>
      <c r="C365" s="1"/>
      <c r="D365" s="1"/>
      <c r="E365" s="1"/>
      <c r="F365" s="1"/>
      <c r="G365" s="1"/>
      <c r="H365" s="1"/>
      <c r="I365" s="1"/>
      <c r="J365" s="1"/>
      <c r="K365" s="1"/>
      <c r="L365" s="1"/>
      <c r="M365" s="1"/>
      <c r="N365" s="1"/>
      <c r="O365" s="95"/>
      <c r="P365" s="95"/>
      <c r="Q365" s="95"/>
      <c r="R365" s="95"/>
      <c r="AE365" s="95"/>
      <c r="AF365" s="95"/>
      <c r="AG365" s="95"/>
      <c r="AH365" s="2"/>
      <c r="AI365" s="2"/>
      <c r="AJ365" s="2"/>
      <c r="AK365" s="2"/>
    </row>
    <row r="366" spans="1:37" ht="22" hidden="1" customHeight="1" x14ac:dyDescent="0.2">
      <c r="A366" s="1"/>
      <c r="B366" s="79" t="s">
        <v>288</v>
      </c>
      <c r="C366" s="1"/>
      <c r="D366" s="1"/>
      <c r="E366" s="1"/>
      <c r="F366" s="1"/>
      <c r="G366" s="1"/>
      <c r="H366" s="1"/>
      <c r="I366" s="1"/>
      <c r="J366" s="1"/>
      <c r="K366" s="1"/>
      <c r="L366" s="1"/>
      <c r="M366" s="1"/>
      <c r="N366" s="1"/>
      <c r="O366" s="95"/>
      <c r="P366" s="95"/>
      <c r="Q366" s="95"/>
      <c r="R366" s="95"/>
      <c r="AE366" s="95"/>
      <c r="AF366" s="95"/>
      <c r="AG366" s="95"/>
      <c r="AH366" s="2"/>
      <c r="AI366" s="2"/>
      <c r="AJ366" s="2"/>
      <c r="AK366" s="2"/>
    </row>
    <row r="367" spans="1:37" ht="22" hidden="1" customHeight="1" x14ac:dyDescent="0.2">
      <c r="A367" s="1"/>
      <c r="B367" s="79" t="s">
        <v>289</v>
      </c>
      <c r="C367" s="1"/>
      <c r="D367" s="1"/>
      <c r="E367" s="1"/>
      <c r="F367" s="1"/>
      <c r="G367" s="1"/>
      <c r="H367" s="1"/>
      <c r="I367" s="1"/>
      <c r="J367" s="1"/>
      <c r="K367" s="1"/>
      <c r="L367" s="1"/>
      <c r="M367" s="1"/>
      <c r="N367" s="1"/>
      <c r="O367" s="95"/>
      <c r="P367" s="95"/>
      <c r="Q367" s="95"/>
      <c r="R367" s="95"/>
      <c r="AE367" s="95"/>
      <c r="AF367" s="95"/>
      <c r="AG367" s="95"/>
      <c r="AH367" s="2"/>
      <c r="AI367" s="2"/>
      <c r="AJ367" s="2"/>
      <c r="AK367" s="2"/>
    </row>
    <row r="368" spans="1:37" ht="22" hidden="1" customHeight="1" x14ac:dyDescent="0.2">
      <c r="A368" s="1"/>
      <c r="B368" s="335" t="s">
        <v>290</v>
      </c>
      <c r="C368" s="1"/>
      <c r="D368" s="1"/>
      <c r="E368" s="1"/>
      <c r="F368" s="1"/>
      <c r="G368" s="1"/>
      <c r="H368" s="1"/>
      <c r="I368" s="1"/>
      <c r="J368" s="1"/>
      <c r="K368" s="1"/>
      <c r="L368" s="1"/>
      <c r="M368" s="1"/>
      <c r="N368" s="1"/>
      <c r="O368" s="95"/>
      <c r="P368" s="95"/>
      <c r="Q368" s="95"/>
      <c r="R368" s="95"/>
      <c r="AE368" s="95"/>
      <c r="AF368" s="95"/>
      <c r="AG368" s="95"/>
      <c r="AH368" s="2"/>
      <c r="AI368" s="2"/>
      <c r="AJ368" s="2"/>
      <c r="AK368" s="2"/>
    </row>
    <row r="369" spans="1:37" ht="28" customHeight="1" x14ac:dyDescent="0.2">
      <c r="A369" s="1"/>
      <c r="B369" s="79" t="s">
        <v>291</v>
      </c>
      <c r="C369" s="1"/>
      <c r="D369" s="1"/>
      <c r="E369" s="1"/>
      <c r="F369" s="1"/>
      <c r="G369" s="1"/>
      <c r="H369" s="1"/>
      <c r="I369" s="1"/>
      <c r="J369" s="1"/>
      <c r="K369" s="1"/>
      <c r="L369" s="1"/>
      <c r="M369" s="1"/>
      <c r="N369" s="1"/>
      <c r="O369" s="95"/>
      <c r="P369" s="95"/>
      <c r="Q369" s="95"/>
      <c r="R369" s="95"/>
      <c r="AE369" s="95"/>
      <c r="AF369" s="95"/>
      <c r="AG369" s="95"/>
      <c r="AH369" s="2"/>
      <c r="AI369" s="2"/>
      <c r="AJ369" s="2"/>
      <c r="AK369" s="2"/>
    </row>
    <row r="370" spans="1:37" ht="28" customHeight="1" x14ac:dyDescent="0.2">
      <c r="A370" s="1"/>
      <c r="B370" s="79" t="s">
        <v>292</v>
      </c>
      <c r="C370" s="1"/>
      <c r="D370" s="1"/>
      <c r="E370" s="1"/>
      <c r="F370" s="1"/>
      <c r="G370" s="1"/>
      <c r="H370" s="1"/>
      <c r="I370" s="1"/>
      <c r="J370" s="1"/>
      <c r="K370" s="1"/>
      <c r="L370" s="1"/>
      <c r="M370" s="1"/>
      <c r="N370" s="1"/>
      <c r="O370" s="95"/>
      <c r="P370" s="95"/>
      <c r="Q370" s="95"/>
      <c r="R370" s="95"/>
      <c r="AE370" s="95"/>
      <c r="AF370" s="95"/>
      <c r="AG370" s="95"/>
      <c r="AH370" s="2"/>
      <c r="AI370" s="2"/>
      <c r="AJ370" s="2"/>
      <c r="AK370" s="2"/>
    </row>
    <row r="371" spans="1:37" ht="28" customHeight="1" x14ac:dyDescent="0.2">
      <c r="A371" s="1"/>
      <c r="B371" s="79" t="s">
        <v>293</v>
      </c>
      <c r="C371" s="1"/>
      <c r="D371" s="1"/>
      <c r="E371" s="1"/>
      <c r="F371" s="1"/>
      <c r="G371" s="1"/>
      <c r="H371" s="1"/>
      <c r="I371" s="1"/>
      <c r="J371" s="1"/>
      <c r="K371" s="1"/>
      <c r="L371" s="1"/>
      <c r="M371" s="1"/>
      <c r="N371" s="1"/>
      <c r="O371" s="95"/>
      <c r="P371" s="95"/>
      <c r="Q371" s="95"/>
      <c r="R371" s="95"/>
      <c r="AE371" s="95"/>
      <c r="AF371" s="95"/>
      <c r="AG371" s="95"/>
      <c r="AH371" s="2"/>
      <c r="AI371" s="2"/>
      <c r="AJ371" s="2"/>
      <c r="AK371" s="2"/>
    </row>
    <row r="372" spans="1:37" ht="28" customHeight="1" x14ac:dyDescent="0.2">
      <c r="A372" s="1"/>
      <c r="B372" s="79" t="s">
        <v>294</v>
      </c>
      <c r="C372" s="1"/>
      <c r="D372" s="1"/>
      <c r="E372" s="1"/>
      <c r="F372" s="1"/>
      <c r="G372" s="1"/>
      <c r="H372" s="1"/>
      <c r="I372" s="1"/>
      <c r="J372" s="1"/>
      <c r="K372" s="1"/>
      <c r="L372" s="1"/>
      <c r="M372" s="1"/>
      <c r="N372" s="1"/>
      <c r="O372" s="95"/>
      <c r="P372" s="95"/>
      <c r="Q372" s="95"/>
      <c r="R372" s="95"/>
      <c r="AE372" s="95"/>
      <c r="AF372" s="95"/>
      <c r="AG372" s="95"/>
      <c r="AH372" s="2"/>
      <c r="AI372" s="2"/>
      <c r="AJ372" s="2"/>
      <c r="AK372" s="2"/>
    </row>
    <row r="373" spans="1:37" ht="48" customHeight="1" x14ac:dyDescent="0.2">
      <c r="A373" s="1"/>
      <c r="B373" s="2663" t="s">
        <v>295</v>
      </c>
      <c r="C373" s="2663"/>
      <c r="D373" s="2663"/>
      <c r="E373" s="2663"/>
      <c r="F373" s="2663"/>
      <c r="G373" s="2663"/>
      <c r="H373" s="2663"/>
      <c r="I373" s="2663"/>
      <c r="J373" s="2663"/>
      <c r="K373" s="2663"/>
      <c r="L373" s="2663"/>
      <c r="M373" s="2663"/>
      <c r="N373" s="2663"/>
      <c r="O373" s="95"/>
      <c r="P373" s="95"/>
      <c r="Q373" s="95"/>
      <c r="R373" s="95"/>
      <c r="AE373" s="95"/>
      <c r="AF373" s="95"/>
      <c r="AG373" s="95"/>
      <c r="AH373" s="2"/>
      <c r="AI373" s="2"/>
      <c r="AJ373" s="2"/>
      <c r="AK373" s="2"/>
    </row>
    <row r="374" spans="1:37" ht="45" customHeight="1" x14ac:dyDescent="0.2">
      <c r="A374" s="1"/>
      <c r="B374" s="2663" t="s">
        <v>296</v>
      </c>
      <c r="C374" s="2663"/>
      <c r="D374" s="2663"/>
      <c r="E374" s="2663"/>
      <c r="F374" s="2663"/>
      <c r="G374" s="2663"/>
      <c r="H374" s="2663"/>
      <c r="I374" s="2663"/>
      <c r="J374" s="2663"/>
      <c r="K374" s="2663"/>
      <c r="L374" s="2663"/>
      <c r="M374" s="2663"/>
      <c r="N374" s="2663"/>
      <c r="O374" s="95"/>
      <c r="P374" s="95"/>
      <c r="Q374" s="95"/>
      <c r="R374" s="95"/>
      <c r="AE374" s="95"/>
      <c r="AF374" s="95"/>
      <c r="AG374" s="95"/>
      <c r="AH374" s="2"/>
      <c r="AI374" s="2"/>
      <c r="AJ374" s="2"/>
      <c r="AK374" s="2"/>
    </row>
    <row r="375" spans="1:37" ht="28" customHeight="1" x14ac:dyDescent="0.2">
      <c r="A375" s="1"/>
      <c r="B375" s="79" t="s">
        <v>297</v>
      </c>
      <c r="C375" s="1"/>
      <c r="D375" s="1"/>
      <c r="E375" s="1"/>
      <c r="F375" s="1"/>
      <c r="G375" s="1"/>
      <c r="H375" s="1"/>
      <c r="I375" s="1"/>
      <c r="J375" s="1"/>
      <c r="K375" s="1"/>
      <c r="L375" s="1"/>
      <c r="M375" s="1"/>
      <c r="N375" s="1"/>
      <c r="O375" s="95"/>
      <c r="P375" s="95"/>
      <c r="Q375" s="95"/>
      <c r="R375" s="95"/>
      <c r="AE375" s="95"/>
      <c r="AF375" s="95"/>
      <c r="AG375" s="95"/>
      <c r="AH375" s="2"/>
      <c r="AI375" s="2"/>
      <c r="AJ375" s="2"/>
      <c r="AK375" s="2"/>
    </row>
    <row r="376" spans="1:37" ht="28" customHeight="1" x14ac:dyDescent="0.2">
      <c r="A376" s="1"/>
      <c r="B376" s="79"/>
      <c r="C376" s="1"/>
      <c r="D376" s="1"/>
      <c r="E376" s="1"/>
      <c r="F376" s="1"/>
      <c r="G376" s="1"/>
      <c r="H376" s="1"/>
      <c r="I376" s="1"/>
      <c r="J376" s="1"/>
      <c r="K376" s="1"/>
      <c r="L376" s="1"/>
      <c r="M376" s="1"/>
      <c r="N376" s="1"/>
      <c r="O376" s="95"/>
      <c r="P376" s="95"/>
      <c r="Q376" s="95"/>
      <c r="R376" s="95"/>
      <c r="AE376" s="95"/>
      <c r="AF376" s="95"/>
      <c r="AG376" s="95"/>
      <c r="AH376" s="2"/>
      <c r="AI376" s="2"/>
      <c r="AJ376" s="2"/>
      <c r="AK376" s="2"/>
    </row>
    <row r="377" spans="1:37" ht="25" customHeight="1" x14ac:dyDescent="0.2">
      <c r="A377" s="1"/>
      <c r="B377" s="42" t="s">
        <v>261</v>
      </c>
      <c r="C377" s="1"/>
      <c r="D377" s="1"/>
      <c r="E377" s="1"/>
      <c r="F377" s="1"/>
      <c r="G377" s="1"/>
      <c r="H377" s="1"/>
      <c r="I377" s="1"/>
      <c r="J377" s="1"/>
      <c r="K377" s="1"/>
      <c r="L377" s="1"/>
      <c r="M377" s="1"/>
      <c r="N377" s="1"/>
      <c r="O377" s="95"/>
      <c r="P377" s="95"/>
      <c r="Q377" s="95"/>
      <c r="R377" s="95"/>
      <c r="AE377" s="95"/>
      <c r="AF377" s="95"/>
      <c r="AG377" s="95"/>
      <c r="AH377" s="2"/>
      <c r="AI377" s="2"/>
      <c r="AJ377" s="2"/>
      <c r="AK377" s="2"/>
    </row>
    <row r="378" spans="1:37" ht="25" customHeight="1" x14ac:dyDescent="0.2">
      <c r="A378" s="1"/>
      <c r="B378" s="44" t="s">
        <v>34</v>
      </c>
      <c r="C378" s="2660" t="s">
        <v>262</v>
      </c>
      <c r="D378" s="2661"/>
      <c r="E378" s="44" t="s">
        <v>263</v>
      </c>
      <c r="F378" s="44" t="s">
        <v>264</v>
      </c>
      <c r="G378" s="44" t="s">
        <v>265</v>
      </c>
      <c r="H378" s="2660" t="s">
        <v>47</v>
      </c>
      <c r="I378" s="2662"/>
      <c r="J378" s="2662"/>
      <c r="K378" s="2662"/>
      <c r="L378" s="2662"/>
      <c r="M378" s="2662"/>
      <c r="N378" s="2661"/>
      <c r="O378" s="95"/>
      <c r="P378" s="95"/>
      <c r="Q378" s="95"/>
      <c r="R378" s="95"/>
      <c r="AE378" s="95"/>
      <c r="AF378" s="95"/>
      <c r="AG378" s="95"/>
      <c r="AH378" s="2"/>
      <c r="AI378" s="2"/>
      <c r="AJ378" s="2"/>
      <c r="AK378" s="2"/>
    </row>
    <row r="379" spans="1:37" ht="44" customHeight="1" x14ac:dyDescent="0.2">
      <c r="A379" s="1"/>
      <c r="B379" s="12" t="s">
        <v>5</v>
      </c>
      <c r="C379" s="2676">
        <v>120</v>
      </c>
      <c r="D379" s="2677"/>
      <c r="E379" s="12">
        <v>95</v>
      </c>
      <c r="F379" s="12">
        <v>45</v>
      </c>
      <c r="G379" s="12">
        <v>106</v>
      </c>
      <c r="H379" s="2678" t="s">
        <v>266</v>
      </c>
      <c r="I379" s="2679"/>
      <c r="J379" s="2679"/>
      <c r="K379" s="2679"/>
      <c r="L379" s="2679"/>
      <c r="M379" s="2679"/>
      <c r="N379" s="2680"/>
      <c r="O379" s="95"/>
      <c r="P379" s="95"/>
      <c r="Q379" s="95"/>
      <c r="R379" s="95"/>
      <c r="AE379" s="95"/>
      <c r="AF379" s="95"/>
      <c r="AG379" s="95"/>
      <c r="AH379" s="2"/>
      <c r="AI379" s="2"/>
      <c r="AJ379" s="2"/>
      <c r="AK379" s="2"/>
    </row>
    <row r="380" spans="1:37" ht="44" customHeight="1" x14ac:dyDescent="0.2">
      <c r="A380" s="1"/>
      <c r="B380" s="12" t="s">
        <v>25</v>
      </c>
      <c r="C380" s="2676">
        <v>115</v>
      </c>
      <c r="D380" s="2677"/>
      <c r="E380" s="12">
        <v>61</v>
      </c>
      <c r="F380" s="12">
        <v>43</v>
      </c>
      <c r="G380" s="12">
        <v>96</v>
      </c>
      <c r="H380" s="2678" t="s">
        <v>267</v>
      </c>
      <c r="I380" s="2679"/>
      <c r="J380" s="2679"/>
      <c r="K380" s="2679"/>
      <c r="L380" s="2679"/>
      <c r="M380" s="2679"/>
      <c r="N380" s="2680"/>
      <c r="O380" s="95"/>
      <c r="P380" s="95"/>
      <c r="Q380" s="95"/>
      <c r="R380" s="95"/>
      <c r="AE380" s="95"/>
      <c r="AF380" s="95"/>
      <c r="AG380" s="95"/>
      <c r="AH380" s="2"/>
      <c r="AI380" s="2"/>
      <c r="AJ380" s="2"/>
      <c r="AK380" s="2"/>
    </row>
    <row r="381" spans="1:37" ht="44" customHeight="1" x14ac:dyDescent="0.2">
      <c r="A381" s="1"/>
      <c r="B381" s="333" t="s">
        <v>127</v>
      </c>
      <c r="C381" s="2667">
        <f>SUM(C379:D380)</f>
        <v>235</v>
      </c>
      <c r="D381" s="2668"/>
      <c r="E381" s="333"/>
      <c r="F381" s="333"/>
      <c r="G381" s="334">
        <f>SUM(G379:G380)</f>
        <v>202</v>
      </c>
      <c r="H381" s="2667"/>
      <c r="I381" s="2669"/>
      <c r="J381" s="2669"/>
      <c r="K381" s="2669"/>
      <c r="L381" s="2669"/>
      <c r="M381" s="2669"/>
      <c r="N381" s="2668"/>
      <c r="O381" s="95"/>
      <c r="P381" s="95"/>
      <c r="Q381" s="95"/>
      <c r="R381" s="95"/>
      <c r="AE381" s="95"/>
      <c r="AF381" s="95"/>
      <c r="AG381" s="95"/>
      <c r="AH381" s="2"/>
      <c r="AI381" s="2"/>
      <c r="AJ381" s="2"/>
      <c r="AK381" s="2"/>
    </row>
    <row r="382" spans="1:37" ht="23" customHeight="1" x14ac:dyDescent="0.2">
      <c r="A382" s="1"/>
      <c r="B382" s="335" t="s">
        <v>268</v>
      </c>
      <c r="C382" s="2"/>
      <c r="D382" s="2"/>
      <c r="E382" s="1"/>
      <c r="F382" s="1"/>
      <c r="G382" s="2"/>
      <c r="H382" s="2"/>
      <c r="I382" s="2"/>
      <c r="J382" s="2"/>
      <c r="K382" s="2"/>
      <c r="L382" s="2"/>
      <c r="M382" s="2"/>
      <c r="N382" s="2"/>
      <c r="O382" s="95"/>
      <c r="P382" s="95"/>
      <c r="Q382" s="95"/>
      <c r="R382" s="95"/>
      <c r="AE382" s="95"/>
      <c r="AF382" s="95"/>
      <c r="AG382" s="95"/>
      <c r="AH382" s="2"/>
      <c r="AI382" s="2"/>
      <c r="AJ382" s="2"/>
      <c r="AK382" s="2"/>
    </row>
    <row r="383" spans="1:37" ht="23" customHeight="1" x14ac:dyDescent="0.2">
      <c r="A383" s="1"/>
      <c r="B383" s="79" t="s">
        <v>269</v>
      </c>
      <c r="C383" s="2"/>
      <c r="D383" s="2"/>
      <c r="E383" s="1"/>
      <c r="F383" s="1"/>
      <c r="G383" s="2"/>
      <c r="H383" s="2"/>
      <c r="I383" s="2"/>
      <c r="J383" s="2"/>
      <c r="K383" s="2"/>
      <c r="L383" s="2"/>
      <c r="M383" s="2"/>
      <c r="N383" s="2"/>
      <c r="O383" s="95"/>
      <c r="P383" s="95"/>
      <c r="Q383" s="95"/>
      <c r="R383" s="95"/>
      <c r="AE383" s="95"/>
      <c r="AF383" s="95"/>
      <c r="AG383" s="95"/>
      <c r="AH383" s="2"/>
      <c r="AI383" s="2"/>
      <c r="AJ383" s="2"/>
      <c r="AK383" s="2"/>
    </row>
    <row r="384" spans="1:37" ht="23" customHeight="1" x14ac:dyDescent="0.2">
      <c r="A384" s="1"/>
      <c r="B384" s="79" t="s">
        <v>270</v>
      </c>
      <c r="C384" s="2"/>
      <c r="D384" s="2"/>
      <c r="E384" s="1"/>
      <c r="F384" s="1"/>
      <c r="G384" s="2"/>
      <c r="H384" s="2"/>
      <c r="I384" s="2"/>
      <c r="J384" s="2"/>
      <c r="K384" s="2"/>
      <c r="L384" s="2"/>
      <c r="M384" s="2"/>
      <c r="N384" s="2"/>
      <c r="O384" s="95"/>
      <c r="P384" s="95"/>
      <c r="Q384" s="95"/>
      <c r="R384" s="95"/>
      <c r="AE384" s="95"/>
      <c r="AF384" s="95"/>
      <c r="AG384" s="95"/>
      <c r="AH384" s="2"/>
      <c r="AI384" s="2"/>
      <c r="AJ384" s="2"/>
      <c r="AK384" s="2"/>
    </row>
    <row r="385" spans="1:37" ht="23" customHeight="1" x14ac:dyDescent="0.2">
      <c r="A385" s="1"/>
      <c r="B385" s="79" t="s">
        <v>271</v>
      </c>
      <c r="C385" s="2"/>
      <c r="D385" s="2"/>
      <c r="E385" s="1"/>
      <c r="F385" s="1"/>
      <c r="G385" s="2"/>
      <c r="H385" s="2"/>
      <c r="I385" s="2"/>
      <c r="J385" s="2"/>
      <c r="K385" s="2"/>
      <c r="L385" s="2"/>
      <c r="M385" s="2"/>
      <c r="N385" s="2"/>
      <c r="O385" s="95"/>
      <c r="P385" s="95"/>
      <c r="Q385" s="95"/>
      <c r="R385" s="95"/>
      <c r="AE385" s="95"/>
      <c r="AF385" s="95"/>
      <c r="AG385" s="95"/>
      <c r="AH385" s="2"/>
      <c r="AI385" s="2"/>
      <c r="AJ385" s="2"/>
      <c r="AK385" s="2"/>
    </row>
    <row r="386" spans="1:37" ht="23" customHeight="1" x14ac:dyDescent="0.2">
      <c r="A386" s="1"/>
      <c r="B386" s="335" t="s">
        <v>272</v>
      </c>
      <c r="C386" s="2"/>
      <c r="D386" s="2"/>
      <c r="E386" s="1"/>
      <c r="F386" s="1"/>
      <c r="G386" s="2"/>
      <c r="H386" s="2"/>
      <c r="I386" s="2"/>
      <c r="J386" s="2"/>
      <c r="K386" s="2"/>
      <c r="L386" s="2"/>
      <c r="M386" s="2"/>
      <c r="N386" s="2"/>
      <c r="O386" s="95"/>
      <c r="P386" s="95"/>
      <c r="Q386" s="95"/>
      <c r="R386" s="95"/>
      <c r="AE386" s="95"/>
      <c r="AF386" s="95"/>
      <c r="AG386" s="95"/>
      <c r="AH386" s="2"/>
      <c r="AI386" s="2"/>
      <c r="AJ386" s="2"/>
      <c r="AK386" s="2"/>
    </row>
    <row r="387" spans="1:37" ht="23" customHeight="1" x14ac:dyDescent="0.2">
      <c r="A387" s="1"/>
      <c r="B387" s="79" t="s">
        <v>273</v>
      </c>
      <c r="C387" s="2"/>
      <c r="D387" s="2"/>
      <c r="E387" s="1"/>
      <c r="F387" s="1"/>
      <c r="G387" s="2"/>
      <c r="H387" s="2"/>
      <c r="I387" s="2"/>
      <c r="J387" s="2"/>
      <c r="K387" s="2"/>
      <c r="L387" s="2"/>
      <c r="M387" s="2"/>
      <c r="N387" s="2"/>
      <c r="O387" s="95"/>
      <c r="P387" s="95"/>
      <c r="Q387" s="95"/>
      <c r="R387" s="95"/>
      <c r="AE387" s="95"/>
      <c r="AF387" s="95"/>
      <c r="AG387" s="95"/>
      <c r="AH387" s="2"/>
      <c r="AI387" s="2"/>
      <c r="AJ387" s="2"/>
      <c r="AK387" s="2"/>
    </row>
    <row r="388" spans="1:37" ht="43" customHeight="1" x14ac:dyDescent="0.2">
      <c r="A388" s="1"/>
      <c r="B388" s="2663" t="s">
        <v>274</v>
      </c>
      <c r="C388" s="2663"/>
      <c r="D388" s="2663"/>
      <c r="E388" s="2663"/>
      <c r="F388" s="2663"/>
      <c r="G388" s="2663"/>
      <c r="H388" s="2663"/>
      <c r="I388" s="2663"/>
      <c r="J388" s="2663"/>
      <c r="K388" s="2663"/>
      <c r="L388" s="2663"/>
      <c r="M388" s="2663"/>
      <c r="N388" s="2663"/>
      <c r="O388" s="95"/>
      <c r="P388" s="95"/>
      <c r="Q388" s="95"/>
      <c r="R388" s="95"/>
      <c r="AE388" s="95"/>
      <c r="AF388" s="95"/>
      <c r="AG388" s="95"/>
      <c r="AH388" s="2"/>
      <c r="AI388" s="2"/>
      <c r="AJ388" s="2"/>
      <c r="AK388" s="2"/>
    </row>
    <row r="389" spans="1:37" ht="23" customHeight="1" x14ac:dyDescent="0.2">
      <c r="A389" s="1"/>
      <c r="B389" s="79" t="s">
        <v>275</v>
      </c>
      <c r="C389" s="2"/>
      <c r="D389" s="2"/>
      <c r="E389" s="1"/>
      <c r="F389" s="1"/>
      <c r="G389" s="2"/>
      <c r="H389" s="2"/>
      <c r="I389" s="2"/>
      <c r="J389" s="2"/>
      <c r="K389" s="2"/>
      <c r="L389" s="2"/>
      <c r="M389" s="2"/>
      <c r="N389" s="2"/>
      <c r="O389" s="95"/>
      <c r="P389" s="95"/>
      <c r="Q389" s="95"/>
      <c r="R389" s="95"/>
      <c r="AE389" s="95"/>
      <c r="AF389" s="95"/>
      <c r="AG389" s="95"/>
      <c r="AH389" s="2"/>
      <c r="AI389" s="2"/>
      <c r="AJ389" s="2"/>
      <c r="AK389" s="2"/>
    </row>
    <row r="390" spans="1:37" ht="23" customHeight="1" x14ac:dyDescent="0.2">
      <c r="A390" s="1"/>
      <c r="B390" s="79" t="s">
        <v>276</v>
      </c>
      <c r="C390" s="2"/>
      <c r="D390" s="2"/>
      <c r="E390" s="1"/>
      <c r="F390" s="1"/>
      <c r="G390" s="2"/>
      <c r="H390" s="2"/>
      <c r="I390" s="2"/>
      <c r="J390" s="2"/>
      <c r="K390" s="2"/>
      <c r="L390" s="2"/>
      <c r="M390" s="2"/>
      <c r="N390" s="2"/>
      <c r="O390" s="95"/>
      <c r="P390" s="95"/>
      <c r="Q390" s="95"/>
      <c r="R390" s="95"/>
      <c r="AE390" s="95"/>
      <c r="AF390" s="95"/>
      <c r="AG390" s="95"/>
      <c r="AH390" s="2"/>
      <c r="AI390" s="2"/>
      <c r="AJ390" s="2"/>
      <c r="AK390" s="2"/>
    </row>
    <row r="391" spans="1:37" ht="23" customHeight="1" x14ac:dyDescent="0.2">
      <c r="A391" s="1"/>
      <c r="B391" s="79" t="s">
        <v>271</v>
      </c>
      <c r="C391" s="2"/>
      <c r="D391" s="2"/>
      <c r="E391" s="1"/>
      <c r="F391" s="1"/>
      <c r="G391" s="2"/>
      <c r="H391" s="2"/>
      <c r="I391" s="2"/>
      <c r="J391" s="2"/>
      <c r="K391" s="2"/>
      <c r="L391" s="2"/>
      <c r="M391" s="2"/>
      <c r="N391" s="2"/>
      <c r="O391" s="95"/>
      <c r="P391" s="95"/>
      <c r="Q391" s="95"/>
      <c r="R391" s="95"/>
      <c r="AE391" s="95"/>
      <c r="AF391" s="95"/>
      <c r="AG391" s="95"/>
      <c r="AH391" s="2"/>
      <c r="AI391" s="2"/>
      <c r="AJ391" s="2"/>
      <c r="AK391" s="2"/>
    </row>
    <row r="392" spans="1:37" ht="15.75" customHeight="1" x14ac:dyDescent="0.2">
      <c r="A392" s="1"/>
      <c r="B392" s="1"/>
      <c r="C392" s="1"/>
      <c r="D392" s="1"/>
      <c r="E392" s="1"/>
      <c r="F392" s="1"/>
      <c r="G392" s="1"/>
      <c r="H392" s="1"/>
      <c r="I392" s="1"/>
      <c r="J392" s="1"/>
      <c r="K392" s="1"/>
      <c r="L392" s="1"/>
      <c r="M392" s="1"/>
      <c r="N392" s="1"/>
      <c r="O392" s="95"/>
      <c r="P392" s="95"/>
      <c r="Q392" s="95"/>
      <c r="R392" s="95"/>
      <c r="AE392" s="95"/>
      <c r="AF392" s="95"/>
      <c r="AG392" s="95"/>
      <c r="AH392" s="2"/>
      <c r="AI392" s="2"/>
      <c r="AJ392" s="2"/>
      <c r="AK392" s="2"/>
    </row>
    <row r="393" spans="1:37" ht="19" customHeight="1" x14ac:dyDescent="0.2">
      <c r="A393" s="1"/>
      <c r="B393" s="42" t="s">
        <v>277</v>
      </c>
      <c r="C393" s="1"/>
      <c r="D393" s="1"/>
      <c r="E393" s="1"/>
      <c r="F393" s="1"/>
      <c r="G393" s="1"/>
      <c r="H393" s="1"/>
      <c r="I393" s="1"/>
      <c r="J393" s="1"/>
      <c r="K393" s="1"/>
      <c r="L393" s="1"/>
      <c r="M393" s="1"/>
      <c r="N393" s="1"/>
      <c r="O393" s="95"/>
      <c r="P393" s="95"/>
      <c r="Q393" s="95"/>
      <c r="R393" s="95"/>
      <c r="AE393" s="95"/>
      <c r="AF393" s="95"/>
      <c r="AG393" s="95"/>
      <c r="AH393" s="2"/>
      <c r="AI393" s="2"/>
      <c r="AJ393" s="2"/>
      <c r="AK393" s="2"/>
    </row>
    <row r="394" spans="1:37" ht="19" customHeight="1" x14ac:dyDescent="0.2">
      <c r="A394" s="1"/>
      <c r="B394" s="79" t="s">
        <v>278</v>
      </c>
      <c r="C394" s="1"/>
      <c r="D394" s="1"/>
      <c r="E394" s="1"/>
      <c r="F394" s="1"/>
      <c r="G394" s="1"/>
      <c r="H394" s="1"/>
      <c r="I394" s="1"/>
      <c r="J394" s="1"/>
      <c r="K394" s="1"/>
      <c r="L394" s="1"/>
      <c r="M394" s="1"/>
      <c r="N394" s="1"/>
      <c r="O394" s="95"/>
      <c r="P394" s="95"/>
      <c r="Q394" s="95"/>
      <c r="R394" s="95"/>
      <c r="AE394" s="95"/>
      <c r="AF394" s="95"/>
      <c r="AG394" s="95"/>
      <c r="AH394" s="2"/>
      <c r="AI394" s="2"/>
      <c r="AJ394" s="2"/>
      <c r="AK394" s="2"/>
    </row>
    <row r="395" spans="1:37" ht="19" customHeight="1" x14ac:dyDescent="0.2">
      <c r="A395" s="1"/>
      <c r="B395" s="79" t="s">
        <v>279</v>
      </c>
      <c r="C395" s="1"/>
      <c r="D395" s="1"/>
      <c r="E395" s="1"/>
      <c r="F395" s="1"/>
      <c r="G395" s="1"/>
      <c r="H395" s="1"/>
      <c r="I395" s="1"/>
      <c r="J395" s="1"/>
      <c r="K395" s="1"/>
      <c r="L395" s="1"/>
      <c r="M395" s="1"/>
      <c r="N395" s="1"/>
      <c r="O395" s="95"/>
      <c r="P395" s="95"/>
      <c r="Q395" s="95"/>
      <c r="R395" s="95"/>
      <c r="AE395" s="95"/>
      <c r="AF395" s="95"/>
      <c r="AG395" s="95"/>
      <c r="AH395" s="2"/>
      <c r="AI395" s="2"/>
      <c r="AJ395" s="2"/>
      <c r="AK395" s="2"/>
    </row>
    <row r="396" spans="1:37" ht="19" customHeight="1" x14ac:dyDescent="0.2">
      <c r="A396" s="1"/>
      <c r="B396" s="79" t="s">
        <v>280</v>
      </c>
      <c r="C396" s="1"/>
      <c r="D396" s="1"/>
      <c r="E396" s="1"/>
      <c r="F396" s="1"/>
      <c r="G396" s="1"/>
      <c r="H396" s="1"/>
      <c r="I396" s="1"/>
      <c r="J396" s="1"/>
      <c r="K396" s="1"/>
      <c r="L396" s="1"/>
      <c r="M396" s="1"/>
      <c r="N396" s="1"/>
      <c r="O396" s="95"/>
      <c r="P396" s="95"/>
      <c r="Q396" s="95"/>
      <c r="R396" s="95"/>
      <c r="AE396" s="95"/>
      <c r="AF396" s="95"/>
      <c r="AG396" s="95"/>
      <c r="AH396" s="2"/>
      <c r="AI396" s="2"/>
      <c r="AJ396" s="2"/>
      <c r="AK396" s="2"/>
    </row>
    <row r="397" spans="1:37" ht="19" customHeight="1" x14ac:dyDescent="0.2">
      <c r="A397" s="1"/>
      <c r="B397" s="79" t="s">
        <v>281</v>
      </c>
      <c r="C397" s="1"/>
      <c r="D397" s="1"/>
      <c r="E397" s="1"/>
      <c r="F397" s="1"/>
      <c r="G397" s="1"/>
      <c r="H397" s="1"/>
      <c r="I397" s="1"/>
      <c r="J397" s="1"/>
      <c r="K397" s="1"/>
      <c r="L397" s="1"/>
      <c r="M397" s="1"/>
      <c r="N397" s="1"/>
      <c r="O397" s="95"/>
      <c r="P397" s="95"/>
      <c r="Q397" s="95"/>
      <c r="R397" s="95"/>
      <c r="AE397" s="95"/>
      <c r="AF397" s="95"/>
      <c r="AG397" s="95"/>
      <c r="AH397" s="2"/>
      <c r="AI397" s="2"/>
      <c r="AJ397" s="2"/>
      <c r="AK397" s="2"/>
    </row>
    <row r="398" spans="1:37" ht="19" customHeight="1" x14ac:dyDescent="0.2">
      <c r="A398" s="1"/>
      <c r="B398" s="79" t="s">
        <v>282</v>
      </c>
      <c r="C398" s="1"/>
      <c r="D398" s="1"/>
      <c r="E398" s="1"/>
      <c r="F398" s="1"/>
      <c r="G398" s="1"/>
      <c r="H398" s="1"/>
      <c r="I398" s="1"/>
      <c r="J398" s="1"/>
      <c r="K398" s="1"/>
      <c r="L398" s="1"/>
      <c r="M398" s="1"/>
      <c r="N398" s="1"/>
      <c r="O398" s="95"/>
      <c r="P398" s="95"/>
      <c r="Q398" s="95"/>
      <c r="R398" s="95"/>
      <c r="AE398" s="95"/>
      <c r="AF398" s="95"/>
      <c r="AG398" s="95"/>
      <c r="AH398" s="2"/>
      <c r="AI398" s="2"/>
      <c r="AJ398" s="2"/>
      <c r="AK398" s="2"/>
    </row>
    <row r="399" spans="1:37" ht="19" customHeight="1" x14ac:dyDescent="0.2">
      <c r="A399" s="1"/>
      <c r="B399" s="79" t="s">
        <v>283</v>
      </c>
      <c r="C399" s="1"/>
      <c r="D399" s="1"/>
      <c r="E399" s="1"/>
      <c r="F399" s="1"/>
      <c r="G399" s="1"/>
      <c r="H399" s="1"/>
      <c r="I399" s="1"/>
      <c r="J399" s="1"/>
      <c r="K399" s="1"/>
      <c r="L399" s="1"/>
      <c r="M399" s="1"/>
      <c r="N399" s="1"/>
      <c r="O399" s="95"/>
      <c r="P399" s="95"/>
      <c r="Q399" s="95"/>
      <c r="R399" s="95"/>
      <c r="AE399" s="95"/>
      <c r="AF399" s="95"/>
      <c r="AG399" s="95"/>
      <c r="AH399" s="2"/>
      <c r="AI399" s="2"/>
      <c r="AJ399" s="2"/>
      <c r="AK399" s="2"/>
    </row>
    <row r="400" spans="1:37" ht="19" customHeight="1" x14ac:dyDescent="0.2">
      <c r="A400" s="42"/>
      <c r="B400" s="335" t="s">
        <v>284</v>
      </c>
      <c r="C400" s="1"/>
      <c r="D400" s="1"/>
      <c r="E400" s="1"/>
      <c r="F400" s="1"/>
      <c r="G400" s="1"/>
      <c r="H400" s="1"/>
      <c r="I400" s="1"/>
      <c r="J400" s="1"/>
      <c r="K400" s="1"/>
      <c r="L400" s="1"/>
      <c r="M400" s="1"/>
      <c r="N400" s="1"/>
      <c r="O400" s="95"/>
      <c r="P400" s="95"/>
      <c r="Q400" s="95"/>
      <c r="R400" s="95"/>
      <c r="AE400" s="95"/>
      <c r="AF400" s="95"/>
      <c r="AG400" s="95"/>
      <c r="AH400" s="2"/>
      <c r="AI400" s="2"/>
      <c r="AJ400" s="2"/>
      <c r="AK400" s="2"/>
    </row>
    <row r="401" spans="1:37" ht="19" customHeight="1" x14ac:dyDescent="0.2">
      <c r="A401" s="1"/>
      <c r="B401" s="79" t="s">
        <v>285</v>
      </c>
      <c r="C401" s="1"/>
      <c r="D401" s="1"/>
      <c r="E401" s="1"/>
      <c r="F401" s="1"/>
      <c r="G401" s="1"/>
      <c r="H401" s="1"/>
      <c r="I401" s="1"/>
      <c r="J401" s="1"/>
      <c r="K401" s="1"/>
      <c r="L401" s="1"/>
      <c r="M401" s="1"/>
      <c r="N401" s="1"/>
      <c r="O401" s="95"/>
      <c r="P401" s="95"/>
      <c r="Q401" s="95"/>
      <c r="R401" s="95"/>
      <c r="AE401" s="95"/>
      <c r="AF401" s="95"/>
      <c r="AG401" s="95"/>
      <c r="AH401" s="2"/>
      <c r="AI401" s="2"/>
      <c r="AJ401" s="2"/>
      <c r="AK401" s="2"/>
    </row>
    <row r="402" spans="1:37" ht="19" customHeight="1" x14ac:dyDescent="0.2">
      <c r="A402" s="1"/>
      <c r="B402" s="79" t="s">
        <v>286</v>
      </c>
      <c r="C402" s="1"/>
      <c r="D402" s="1"/>
      <c r="E402" s="1"/>
      <c r="F402" s="1"/>
      <c r="G402" s="1"/>
      <c r="H402" s="1"/>
      <c r="I402" s="1"/>
      <c r="J402" s="1"/>
      <c r="K402" s="1"/>
      <c r="L402" s="1"/>
      <c r="M402" s="1"/>
      <c r="N402" s="1"/>
      <c r="O402" s="95"/>
      <c r="P402" s="95"/>
      <c r="Q402" s="95"/>
      <c r="R402" s="95"/>
      <c r="AE402" s="95"/>
      <c r="AF402" s="95"/>
      <c r="AG402" s="95"/>
      <c r="AH402" s="2"/>
      <c r="AI402" s="2"/>
      <c r="AJ402" s="2"/>
      <c r="AK402" s="2"/>
    </row>
    <row r="403" spans="1:37" ht="19" customHeight="1" x14ac:dyDescent="0.2">
      <c r="A403" s="1"/>
      <c r="B403" s="79" t="s">
        <v>287</v>
      </c>
      <c r="C403" s="1"/>
      <c r="D403" s="1"/>
      <c r="E403" s="1"/>
      <c r="F403" s="1"/>
      <c r="G403" s="1"/>
      <c r="H403" s="1"/>
      <c r="I403" s="1"/>
      <c r="J403" s="1"/>
      <c r="K403" s="1"/>
      <c r="L403" s="1"/>
      <c r="M403" s="1"/>
      <c r="N403" s="1"/>
      <c r="O403" s="95"/>
      <c r="P403" s="95"/>
      <c r="Q403" s="95"/>
      <c r="R403" s="95"/>
      <c r="AE403" s="95"/>
      <c r="AF403" s="95"/>
      <c r="AG403" s="95"/>
      <c r="AH403" s="2"/>
      <c r="AI403" s="2"/>
      <c r="AJ403" s="2"/>
      <c r="AK403" s="2"/>
    </row>
    <row r="404" spans="1:37" ht="19" customHeight="1" x14ac:dyDescent="0.2">
      <c r="A404" s="1"/>
      <c r="B404" s="79" t="s">
        <v>288</v>
      </c>
      <c r="C404" s="1"/>
      <c r="D404" s="1"/>
      <c r="E404" s="1"/>
      <c r="F404" s="1"/>
      <c r="G404" s="1"/>
      <c r="H404" s="1"/>
      <c r="I404" s="1"/>
      <c r="J404" s="1"/>
      <c r="K404" s="1"/>
      <c r="L404" s="1"/>
      <c r="M404" s="1"/>
      <c r="N404" s="1"/>
      <c r="O404" s="95"/>
      <c r="P404" s="95"/>
      <c r="Q404" s="95"/>
      <c r="R404" s="95"/>
      <c r="AE404" s="95"/>
      <c r="AF404" s="95"/>
      <c r="AG404" s="95"/>
      <c r="AH404" s="2"/>
      <c r="AI404" s="2"/>
      <c r="AJ404" s="2"/>
      <c r="AK404" s="2"/>
    </row>
    <row r="405" spans="1:37" ht="19" customHeight="1" x14ac:dyDescent="0.2">
      <c r="A405" s="1"/>
      <c r="B405" s="79" t="s">
        <v>289</v>
      </c>
      <c r="C405" s="1"/>
      <c r="D405" s="1"/>
      <c r="E405" s="1"/>
      <c r="F405" s="1"/>
      <c r="G405" s="1"/>
      <c r="H405" s="1"/>
      <c r="I405" s="1"/>
      <c r="J405" s="1"/>
      <c r="K405" s="1"/>
      <c r="L405" s="1"/>
      <c r="M405" s="1"/>
      <c r="N405" s="1"/>
      <c r="O405" s="95"/>
      <c r="P405" s="95"/>
      <c r="Q405" s="95"/>
      <c r="R405" s="95"/>
      <c r="AE405" s="95"/>
      <c r="AF405" s="95"/>
      <c r="AG405" s="95"/>
      <c r="AH405" s="2"/>
      <c r="AI405" s="2"/>
      <c r="AJ405" s="2"/>
      <c r="AK405" s="2"/>
    </row>
    <row r="406" spans="1:37" ht="19" customHeight="1" x14ac:dyDescent="0.2">
      <c r="A406" s="1"/>
      <c r="B406" s="335" t="s">
        <v>290</v>
      </c>
      <c r="C406" s="1"/>
      <c r="D406" s="1"/>
      <c r="E406" s="1"/>
      <c r="F406" s="1"/>
      <c r="G406" s="1"/>
      <c r="H406" s="1"/>
      <c r="I406" s="1"/>
      <c r="J406" s="1"/>
      <c r="K406" s="1"/>
      <c r="L406" s="1"/>
      <c r="M406" s="1"/>
      <c r="N406" s="1"/>
      <c r="O406" s="95"/>
      <c r="P406" s="95"/>
      <c r="Q406" s="95"/>
      <c r="R406" s="95"/>
      <c r="AE406" s="95"/>
      <c r="AF406" s="95"/>
      <c r="AG406" s="95"/>
      <c r="AH406" s="2"/>
      <c r="AI406" s="2"/>
      <c r="AJ406" s="2"/>
      <c r="AK406" s="2"/>
    </row>
    <row r="407" spans="1:37" ht="19" customHeight="1" x14ac:dyDescent="0.2">
      <c r="A407" s="1"/>
      <c r="B407" s="79" t="s">
        <v>291</v>
      </c>
      <c r="C407" s="1"/>
      <c r="D407" s="1"/>
      <c r="E407" s="1"/>
      <c r="F407" s="1"/>
      <c r="G407" s="1"/>
      <c r="H407" s="1"/>
      <c r="I407" s="1"/>
      <c r="J407" s="1"/>
      <c r="K407" s="1"/>
      <c r="L407" s="1"/>
      <c r="M407" s="1"/>
      <c r="N407" s="1"/>
      <c r="O407" s="95"/>
      <c r="P407" s="95"/>
      <c r="Q407" s="95"/>
      <c r="R407" s="95"/>
      <c r="AE407" s="95"/>
      <c r="AF407" s="95"/>
      <c r="AG407" s="95"/>
      <c r="AH407" s="2"/>
      <c r="AI407" s="2"/>
      <c r="AJ407" s="2"/>
      <c r="AK407" s="2"/>
    </row>
    <row r="408" spans="1:37" ht="19" customHeight="1" x14ac:dyDescent="0.2">
      <c r="A408" s="1"/>
      <c r="B408" s="79" t="s">
        <v>292</v>
      </c>
      <c r="C408" s="1"/>
      <c r="D408" s="1"/>
      <c r="E408" s="1"/>
      <c r="F408" s="1"/>
      <c r="G408" s="1"/>
      <c r="H408" s="1"/>
      <c r="I408" s="1"/>
      <c r="J408" s="1"/>
      <c r="K408" s="1"/>
      <c r="L408" s="1"/>
      <c r="M408" s="1"/>
      <c r="N408" s="1"/>
      <c r="O408" s="95"/>
      <c r="P408" s="95"/>
      <c r="Q408" s="95"/>
      <c r="R408" s="95"/>
      <c r="AE408" s="95"/>
      <c r="AF408" s="95"/>
      <c r="AG408" s="95"/>
      <c r="AH408" s="2"/>
      <c r="AI408" s="2"/>
      <c r="AJ408" s="2"/>
      <c r="AK408" s="2"/>
    </row>
    <row r="409" spans="1:37" ht="19" customHeight="1" x14ac:dyDescent="0.2">
      <c r="A409" s="1"/>
      <c r="B409" s="79" t="s">
        <v>293</v>
      </c>
      <c r="C409" s="1"/>
      <c r="D409" s="1"/>
      <c r="E409" s="1"/>
      <c r="F409" s="1"/>
      <c r="G409" s="1"/>
      <c r="H409" s="1"/>
      <c r="I409" s="1"/>
      <c r="J409" s="1"/>
      <c r="K409" s="1"/>
      <c r="L409" s="1"/>
      <c r="M409" s="1"/>
      <c r="N409" s="1"/>
      <c r="O409" s="95"/>
      <c r="P409" s="95"/>
      <c r="Q409" s="95"/>
      <c r="R409" s="95"/>
      <c r="AE409" s="95"/>
      <c r="AF409" s="95"/>
      <c r="AG409" s="95"/>
      <c r="AH409" s="2"/>
      <c r="AI409" s="2"/>
      <c r="AJ409" s="2"/>
      <c r="AK409" s="2"/>
    </row>
    <row r="410" spans="1:37" ht="19" customHeight="1" x14ac:dyDescent="0.2">
      <c r="A410" s="1"/>
      <c r="B410" s="79" t="s">
        <v>294</v>
      </c>
      <c r="C410" s="1"/>
      <c r="D410" s="1"/>
      <c r="E410" s="1"/>
      <c r="F410" s="1"/>
      <c r="G410" s="1"/>
      <c r="H410" s="1"/>
      <c r="I410" s="1"/>
      <c r="J410" s="1"/>
      <c r="K410" s="1"/>
      <c r="L410" s="1"/>
      <c r="M410" s="1"/>
      <c r="N410" s="1"/>
      <c r="O410" s="95"/>
      <c r="P410" s="95"/>
      <c r="Q410" s="95"/>
      <c r="R410" s="95"/>
      <c r="AE410" s="95"/>
      <c r="AF410" s="95"/>
      <c r="AG410" s="95"/>
      <c r="AH410" s="2"/>
      <c r="AI410" s="2"/>
      <c r="AJ410" s="2"/>
      <c r="AK410" s="2"/>
    </row>
    <row r="411" spans="1:37" ht="35" customHeight="1" x14ac:dyDescent="0.2">
      <c r="A411" s="1"/>
      <c r="B411" s="2663" t="s">
        <v>295</v>
      </c>
      <c r="C411" s="2663"/>
      <c r="D411" s="2663"/>
      <c r="E411" s="2663"/>
      <c r="F411" s="2663"/>
      <c r="G411" s="2663"/>
      <c r="H411" s="2663"/>
      <c r="I411" s="2663"/>
      <c r="J411" s="2663"/>
      <c r="K411" s="2663"/>
      <c r="L411" s="2663"/>
      <c r="M411" s="2663"/>
      <c r="N411" s="2663"/>
      <c r="O411" s="95"/>
      <c r="P411" s="95"/>
      <c r="Q411" s="95"/>
      <c r="R411" s="95"/>
      <c r="AE411" s="95"/>
      <c r="AF411" s="95"/>
      <c r="AG411" s="95"/>
      <c r="AH411" s="2"/>
      <c r="AI411" s="2"/>
      <c r="AJ411" s="2"/>
      <c r="AK411" s="2"/>
    </row>
    <row r="412" spans="1:37" ht="35" customHeight="1" x14ac:dyDescent="0.2">
      <c r="A412" s="1"/>
      <c r="B412" s="2663" t="s">
        <v>296</v>
      </c>
      <c r="C412" s="2663"/>
      <c r="D412" s="2663"/>
      <c r="E412" s="2663"/>
      <c r="F412" s="2663"/>
      <c r="G412" s="2663"/>
      <c r="H412" s="2663"/>
      <c r="I412" s="2663"/>
      <c r="J412" s="2663"/>
      <c r="K412" s="2663"/>
      <c r="L412" s="2663"/>
      <c r="M412" s="2663"/>
      <c r="N412" s="2663"/>
      <c r="O412" s="95"/>
      <c r="P412" s="95"/>
      <c r="Q412" s="95"/>
      <c r="R412" s="95"/>
      <c r="AE412" s="95"/>
      <c r="AF412" s="95"/>
      <c r="AG412" s="95"/>
      <c r="AH412" s="2"/>
      <c r="AI412" s="2"/>
      <c r="AJ412" s="2"/>
      <c r="AK412" s="2"/>
    </row>
    <row r="413" spans="1:37" ht="19" customHeight="1" x14ac:dyDescent="0.2">
      <c r="A413" s="1"/>
      <c r="B413" s="79" t="s">
        <v>297</v>
      </c>
      <c r="C413" s="1"/>
      <c r="D413" s="1"/>
      <c r="E413" s="1"/>
      <c r="F413" s="1"/>
      <c r="G413" s="1"/>
      <c r="H413" s="1"/>
      <c r="I413" s="1"/>
      <c r="J413" s="1"/>
      <c r="K413" s="1"/>
      <c r="L413" s="1"/>
      <c r="M413" s="1"/>
      <c r="N413" s="1"/>
      <c r="O413" s="95"/>
      <c r="P413" s="95"/>
      <c r="Q413" s="95"/>
      <c r="R413" s="95"/>
      <c r="AE413" s="95"/>
      <c r="AF413" s="95"/>
      <c r="AG413" s="95"/>
      <c r="AH413" s="2"/>
      <c r="AI413" s="2"/>
      <c r="AJ413" s="2"/>
      <c r="AK413" s="2"/>
    </row>
    <row r="414" spans="1:37" ht="19" customHeight="1" x14ac:dyDescent="0.2">
      <c r="A414" s="1"/>
      <c r="B414" s="79"/>
      <c r="C414" s="1"/>
      <c r="D414" s="1"/>
      <c r="E414" s="1"/>
      <c r="F414" s="1"/>
      <c r="G414" s="1"/>
      <c r="H414" s="1"/>
      <c r="I414" s="1"/>
      <c r="J414" s="1"/>
      <c r="K414" s="1"/>
      <c r="L414" s="1"/>
      <c r="M414" s="1"/>
      <c r="N414" s="1"/>
      <c r="O414" s="95"/>
      <c r="P414" s="95"/>
      <c r="Q414" s="95"/>
      <c r="R414" s="95"/>
      <c r="AE414" s="95"/>
      <c r="AF414" s="95"/>
      <c r="AG414" s="95"/>
      <c r="AH414" s="2"/>
      <c r="AI414" s="2"/>
      <c r="AJ414" s="2"/>
      <c r="AK414" s="2"/>
    </row>
    <row r="415" spans="1:37" ht="30.75" customHeight="1" x14ac:dyDescent="0.2">
      <c r="A415" s="1"/>
      <c r="B415" s="2681" t="s">
        <v>70</v>
      </c>
      <c r="C415" s="2476"/>
      <c r="D415" s="2476"/>
      <c r="E415" s="2476"/>
      <c r="F415" s="336"/>
      <c r="G415" s="337"/>
      <c r="H415" s="336"/>
      <c r="I415" s="337"/>
      <c r="J415" s="338"/>
      <c r="K415" s="336"/>
      <c r="L415" s="337"/>
      <c r="M415" s="337"/>
      <c r="N415" s="337"/>
      <c r="O415" s="95"/>
      <c r="P415" s="95"/>
      <c r="Q415" s="95"/>
      <c r="R415" s="95"/>
      <c r="AE415" s="95"/>
      <c r="AF415" s="95"/>
      <c r="AG415" s="95"/>
      <c r="AH415" s="2"/>
      <c r="AI415" s="2"/>
      <c r="AJ415" s="2"/>
      <c r="AK415" s="2"/>
    </row>
    <row r="416" spans="1:37" ht="39" customHeight="1" x14ac:dyDescent="0.2">
      <c r="A416" s="1"/>
      <c r="B416" s="2"/>
      <c r="C416" s="42"/>
      <c r="D416" s="1"/>
      <c r="E416" s="49"/>
      <c r="F416" s="2"/>
      <c r="G416" s="48"/>
      <c r="H416" s="48"/>
      <c r="I416" s="2"/>
      <c r="J416" s="2682" t="s">
        <v>298</v>
      </c>
      <c r="K416" s="2476"/>
      <c r="L416" s="2476"/>
      <c r="M416" s="2476"/>
      <c r="N416" s="2476"/>
      <c r="O416" s="95"/>
      <c r="P416" s="95"/>
      <c r="Q416" s="95"/>
      <c r="R416" s="95"/>
      <c r="AE416" s="95"/>
      <c r="AF416" s="95"/>
      <c r="AG416" s="95"/>
      <c r="AH416" s="2"/>
      <c r="AI416" s="2"/>
      <c r="AJ416" s="2"/>
      <c r="AK416" s="2"/>
    </row>
    <row r="417" spans="1:37" ht="21.75" customHeight="1" x14ac:dyDescent="0.2">
      <c r="A417" s="1"/>
      <c r="B417" s="68"/>
      <c r="C417" s="339"/>
      <c r="D417" s="84"/>
      <c r="E417" s="87"/>
      <c r="F417" s="87"/>
      <c r="G417" s="2683"/>
      <c r="H417" s="2476"/>
      <c r="I417" s="87"/>
      <c r="J417" s="2683" t="s">
        <v>72</v>
      </c>
      <c r="K417" s="2476"/>
      <c r="L417" s="2476"/>
      <c r="M417" s="2476"/>
      <c r="N417" s="2476"/>
      <c r="O417" s="95"/>
      <c r="P417" s="95"/>
      <c r="Q417" s="95"/>
      <c r="R417" s="95"/>
      <c r="AE417" s="95"/>
      <c r="AF417" s="95"/>
      <c r="AG417" s="95"/>
      <c r="AH417" s="2"/>
      <c r="AI417" s="2"/>
      <c r="AJ417" s="2"/>
      <c r="AK417" s="2"/>
    </row>
    <row r="418" spans="1:37" ht="21.75" customHeight="1" x14ac:dyDescent="0.2">
      <c r="A418" s="1"/>
      <c r="B418" s="1"/>
      <c r="C418" s="1"/>
      <c r="D418" s="1"/>
      <c r="E418" s="1"/>
      <c r="F418" s="1"/>
      <c r="G418" s="1"/>
      <c r="H418" s="1"/>
      <c r="I418" s="1"/>
      <c r="J418" s="1"/>
      <c r="K418" s="1"/>
      <c r="L418" s="1"/>
      <c r="M418" s="1"/>
      <c r="N418" s="1"/>
      <c r="O418" s="95"/>
      <c r="P418" s="95"/>
      <c r="Q418" s="95"/>
      <c r="R418" s="95"/>
      <c r="AE418" s="95"/>
      <c r="AF418" s="95"/>
      <c r="AG418" s="95"/>
      <c r="AH418" s="2"/>
      <c r="AI418" s="2"/>
      <c r="AJ418" s="2"/>
      <c r="AK418" s="2"/>
    </row>
    <row r="419" spans="1:37" ht="21.75" customHeight="1" x14ac:dyDescent="0.2">
      <c r="A419" s="1"/>
      <c r="B419" s="1"/>
      <c r="C419" s="1"/>
      <c r="D419" s="1"/>
      <c r="E419" s="1"/>
      <c r="F419" s="1"/>
      <c r="G419" s="1"/>
      <c r="H419" s="1"/>
      <c r="I419" s="1"/>
      <c r="J419" s="1"/>
      <c r="K419" s="1"/>
      <c r="L419" s="1"/>
      <c r="M419" s="1"/>
      <c r="N419" s="1"/>
      <c r="O419" s="95"/>
      <c r="P419" s="95"/>
      <c r="Q419" s="95"/>
      <c r="R419" s="95"/>
      <c r="AE419" s="95"/>
      <c r="AF419" s="95"/>
      <c r="AG419" s="95"/>
      <c r="AH419" s="2"/>
      <c r="AI419" s="2"/>
      <c r="AJ419" s="2"/>
      <c r="AK419" s="2"/>
    </row>
    <row r="420" spans="1:37" ht="21.75" customHeight="1" x14ac:dyDescent="0.2">
      <c r="A420" s="1"/>
      <c r="B420" s="1"/>
      <c r="C420" s="1"/>
      <c r="D420" s="1"/>
      <c r="E420" s="1"/>
      <c r="F420" s="1"/>
      <c r="G420" s="1"/>
      <c r="H420" s="1"/>
      <c r="I420" s="1"/>
      <c r="J420" s="1"/>
      <c r="K420" s="1"/>
      <c r="L420" s="1"/>
      <c r="M420" s="1"/>
      <c r="N420" s="1"/>
      <c r="O420" s="95"/>
      <c r="P420" s="95"/>
      <c r="Q420" s="95"/>
      <c r="R420" s="95"/>
      <c r="AE420" s="95"/>
      <c r="AF420" s="95"/>
      <c r="AG420" s="95"/>
      <c r="AH420" s="2"/>
      <c r="AI420" s="2"/>
      <c r="AJ420" s="2"/>
      <c r="AK420" s="2"/>
    </row>
    <row r="421" spans="1:37" ht="21.75" customHeight="1" x14ac:dyDescent="0.2">
      <c r="A421" s="1"/>
      <c r="B421" s="1"/>
      <c r="C421" s="1"/>
      <c r="D421" s="1"/>
      <c r="E421" s="1"/>
      <c r="F421" s="1"/>
      <c r="G421" s="1"/>
      <c r="H421" s="1"/>
      <c r="I421" s="1"/>
      <c r="J421" s="1"/>
      <c r="K421" s="1"/>
      <c r="L421" s="1"/>
      <c r="M421" s="1"/>
      <c r="N421" s="1"/>
      <c r="O421" s="95"/>
      <c r="P421" s="95"/>
      <c r="Q421" s="95"/>
      <c r="R421" s="95"/>
      <c r="AE421" s="95"/>
      <c r="AF421" s="95"/>
      <c r="AG421" s="95"/>
      <c r="AH421" s="2"/>
      <c r="AI421" s="2"/>
      <c r="AJ421" s="2"/>
      <c r="AK421" s="2"/>
    </row>
    <row r="422" spans="1:37" ht="21.75" customHeight="1" x14ac:dyDescent="0.2">
      <c r="A422" s="1"/>
      <c r="B422" s="1"/>
      <c r="C422" s="1"/>
      <c r="D422" s="1"/>
      <c r="E422" s="1"/>
      <c r="F422" s="1"/>
      <c r="G422" s="1"/>
      <c r="H422" s="1"/>
      <c r="I422" s="1"/>
      <c r="J422" s="1"/>
      <c r="K422" s="1"/>
      <c r="L422" s="1"/>
      <c r="M422" s="1"/>
      <c r="N422" s="1"/>
      <c r="O422" s="95"/>
      <c r="P422" s="95"/>
      <c r="Q422" s="95"/>
      <c r="R422" s="95"/>
      <c r="AE422" s="95"/>
      <c r="AF422" s="95"/>
      <c r="AG422" s="95"/>
      <c r="AH422" s="2"/>
      <c r="AI422" s="2"/>
      <c r="AJ422" s="2"/>
      <c r="AK422" s="2"/>
    </row>
    <row r="423" spans="1:37" ht="21.75" customHeight="1" x14ac:dyDescent="0.2">
      <c r="A423" s="1"/>
      <c r="B423" s="1"/>
      <c r="C423" s="1"/>
      <c r="D423" s="1"/>
      <c r="E423" s="1"/>
      <c r="F423" s="1"/>
      <c r="G423" s="1"/>
      <c r="H423" s="1"/>
      <c r="I423" s="1"/>
      <c r="J423" s="1"/>
      <c r="K423" s="1"/>
      <c r="L423" s="1"/>
      <c r="M423" s="1"/>
      <c r="N423" s="1"/>
      <c r="O423" s="95"/>
      <c r="P423" s="95"/>
      <c r="Q423" s="95"/>
      <c r="R423" s="95"/>
      <c r="AE423" s="95"/>
      <c r="AF423" s="95"/>
      <c r="AG423" s="95"/>
      <c r="AH423" s="2"/>
      <c r="AI423" s="2"/>
      <c r="AJ423" s="2"/>
      <c r="AK423" s="2"/>
    </row>
    <row r="424" spans="1:37" ht="21.75" customHeight="1" x14ac:dyDescent="0.2">
      <c r="A424" s="1"/>
      <c r="B424" s="1"/>
      <c r="C424" s="1"/>
      <c r="D424" s="1"/>
      <c r="E424" s="1"/>
      <c r="F424" s="1"/>
      <c r="G424" s="1"/>
      <c r="H424" s="1"/>
      <c r="I424" s="1"/>
      <c r="J424" s="1"/>
      <c r="K424" s="1"/>
      <c r="L424" s="1"/>
      <c r="M424" s="1"/>
      <c r="N424" s="1"/>
      <c r="O424" s="95"/>
      <c r="P424" s="95"/>
      <c r="Q424" s="95"/>
      <c r="R424" s="95"/>
      <c r="AE424" s="95"/>
      <c r="AF424" s="95"/>
      <c r="AG424" s="95"/>
      <c r="AH424" s="2"/>
      <c r="AI424" s="2"/>
      <c r="AJ424" s="2"/>
      <c r="AK424" s="2"/>
    </row>
    <row r="425" spans="1:37" ht="21.75" customHeight="1" x14ac:dyDescent="0.2">
      <c r="A425" s="1"/>
      <c r="B425" s="1"/>
      <c r="C425" s="1"/>
      <c r="D425" s="1"/>
      <c r="E425" s="1"/>
      <c r="F425" s="1"/>
      <c r="G425" s="1"/>
      <c r="H425" s="1"/>
      <c r="I425" s="1"/>
      <c r="J425" s="1"/>
      <c r="K425" s="1"/>
      <c r="L425" s="1"/>
      <c r="M425" s="1"/>
      <c r="N425" s="1"/>
      <c r="O425" s="95"/>
      <c r="P425" s="95"/>
      <c r="Q425" s="95"/>
      <c r="R425" s="95"/>
      <c r="AE425" s="95"/>
      <c r="AF425" s="95"/>
      <c r="AG425" s="95"/>
      <c r="AH425" s="2"/>
      <c r="AI425" s="2"/>
      <c r="AJ425" s="2"/>
      <c r="AK425" s="2"/>
    </row>
    <row r="426" spans="1:37" ht="21.75" customHeight="1" x14ac:dyDescent="0.2">
      <c r="A426" s="1"/>
      <c r="B426" s="1"/>
      <c r="C426" s="1"/>
      <c r="D426" s="1"/>
      <c r="E426" s="1"/>
      <c r="F426" s="1"/>
      <c r="G426" s="1"/>
      <c r="H426" s="1"/>
      <c r="I426" s="1"/>
      <c r="J426" s="1"/>
      <c r="K426" s="1"/>
      <c r="L426" s="1"/>
      <c r="M426" s="1"/>
      <c r="N426" s="1"/>
      <c r="O426" s="95"/>
      <c r="P426" s="95"/>
      <c r="Q426" s="95"/>
      <c r="R426" s="95"/>
      <c r="AE426" s="95"/>
      <c r="AF426" s="95"/>
      <c r="AG426" s="95"/>
      <c r="AH426" s="2"/>
      <c r="AI426" s="2"/>
      <c r="AJ426" s="2"/>
      <c r="AK426" s="2"/>
    </row>
    <row r="427" spans="1:37" ht="21.75" customHeight="1" x14ac:dyDescent="0.2">
      <c r="A427" s="1"/>
      <c r="B427" s="1"/>
      <c r="C427" s="1"/>
      <c r="D427" s="1"/>
      <c r="E427" s="1"/>
      <c r="F427" s="1"/>
      <c r="G427" s="1"/>
      <c r="H427" s="1"/>
      <c r="I427" s="1"/>
      <c r="J427" s="1"/>
      <c r="K427" s="1"/>
      <c r="L427" s="1"/>
      <c r="M427" s="1"/>
      <c r="N427" s="1"/>
      <c r="O427" s="95"/>
      <c r="P427" s="95"/>
      <c r="Q427" s="95"/>
      <c r="R427" s="95"/>
      <c r="AE427" s="95"/>
      <c r="AF427" s="95"/>
      <c r="AG427" s="95"/>
      <c r="AH427" s="2"/>
      <c r="AI427" s="2"/>
      <c r="AJ427" s="2"/>
      <c r="AK427" s="2"/>
    </row>
    <row r="428" spans="1:37" ht="21.75" customHeight="1" x14ac:dyDescent="0.2">
      <c r="A428" s="1"/>
      <c r="B428" s="1"/>
      <c r="C428" s="1"/>
      <c r="D428" s="1"/>
      <c r="E428" s="1"/>
      <c r="F428" s="1"/>
      <c r="G428" s="1"/>
      <c r="H428" s="1"/>
      <c r="I428" s="1"/>
      <c r="J428" s="1"/>
      <c r="K428" s="1"/>
      <c r="L428" s="1"/>
      <c r="M428" s="1"/>
      <c r="N428" s="1"/>
      <c r="O428" s="95"/>
      <c r="P428" s="95"/>
      <c r="Q428" s="95"/>
      <c r="R428" s="95"/>
      <c r="AE428" s="95"/>
      <c r="AF428" s="95"/>
      <c r="AG428" s="95"/>
      <c r="AH428" s="2"/>
      <c r="AI428" s="2"/>
      <c r="AJ428" s="2"/>
      <c r="AK428" s="2"/>
    </row>
    <row r="429" spans="1:37" ht="21.75" customHeight="1" x14ac:dyDescent="0.2">
      <c r="A429" s="1"/>
      <c r="B429" s="1"/>
      <c r="C429" s="1"/>
      <c r="D429" s="1"/>
      <c r="E429" s="1"/>
      <c r="F429" s="1"/>
      <c r="G429" s="1"/>
      <c r="H429" s="1"/>
      <c r="I429" s="1"/>
      <c r="J429" s="1"/>
      <c r="K429" s="1"/>
      <c r="L429" s="1"/>
      <c r="M429" s="1"/>
      <c r="N429" s="1"/>
      <c r="O429" s="95"/>
      <c r="P429" s="95"/>
      <c r="Q429" s="95"/>
      <c r="R429" s="95"/>
      <c r="AE429" s="95"/>
      <c r="AF429" s="95"/>
      <c r="AG429" s="95"/>
      <c r="AH429" s="2"/>
      <c r="AI429" s="2"/>
      <c r="AJ429" s="2"/>
      <c r="AK429" s="2"/>
    </row>
    <row r="430" spans="1:37" ht="21.75" customHeight="1" x14ac:dyDescent="0.2">
      <c r="A430" s="1"/>
      <c r="B430" s="1"/>
      <c r="C430" s="1"/>
      <c r="D430" s="1"/>
      <c r="E430" s="1"/>
      <c r="F430" s="1"/>
      <c r="G430" s="1"/>
      <c r="H430" s="1"/>
      <c r="I430" s="1"/>
      <c r="J430" s="1"/>
      <c r="K430" s="1"/>
      <c r="L430" s="1"/>
      <c r="M430" s="1"/>
      <c r="N430" s="1"/>
      <c r="O430" s="95"/>
      <c r="P430" s="95"/>
      <c r="Q430" s="95"/>
      <c r="R430" s="95"/>
      <c r="AE430" s="95"/>
      <c r="AF430" s="95"/>
      <c r="AG430" s="95"/>
      <c r="AH430" s="2"/>
      <c r="AI430" s="2"/>
      <c r="AJ430" s="2"/>
      <c r="AK430" s="2"/>
    </row>
    <row r="431" spans="1:37" ht="21.75" customHeight="1" x14ac:dyDescent="0.2">
      <c r="A431" s="1"/>
      <c r="B431" s="1"/>
      <c r="C431" s="1"/>
      <c r="D431" s="1"/>
      <c r="E431" s="1"/>
      <c r="F431" s="1"/>
      <c r="G431" s="1"/>
      <c r="H431" s="1"/>
      <c r="I431" s="1"/>
      <c r="J431" s="1"/>
      <c r="K431" s="1"/>
      <c r="L431" s="1"/>
      <c r="M431" s="1"/>
      <c r="N431" s="1"/>
      <c r="O431" s="95"/>
      <c r="P431" s="95"/>
      <c r="Q431" s="95"/>
      <c r="R431" s="95"/>
      <c r="AE431" s="95"/>
      <c r="AF431" s="95"/>
      <c r="AG431" s="95"/>
      <c r="AH431" s="2"/>
      <c r="AI431" s="2"/>
      <c r="AJ431" s="2"/>
      <c r="AK431" s="2"/>
    </row>
    <row r="432" spans="1:37" ht="21.75" customHeight="1" x14ac:dyDescent="0.2">
      <c r="A432" s="1"/>
      <c r="B432" s="1"/>
      <c r="C432" s="1"/>
      <c r="D432" s="1"/>
      <c r="E432" s="1"/>
      <c r="F432" s="1"/>
      <c r="G432" s="1"/>
      <c r="H432" s="1"/>
      <c r="I432" s="1"/>
      <c r="J432" s="1"/>
      <c r="K432" s="1"/>
      <c r="L432" s="1"/>
      <c r="M432" s="1"/>
      <c r="N432" s="1"/>
      <c r="O432" s="95"/>
      <c r="P432" s="95"/>
      <c r="Q432" s="95"/>
      <c r="R432" s="95"/>
      <c r="AE432" s="95"/>
      <c r="AF432" s="95"/>
      <c r="AG432" s="95"/>
      <c r="AH432" s="2"/>
      <c r="AI432" s="2"/>
      <c r="AJ432" s="2"/>
      <c r="AK432" s="2"/>
    </row>
    <row r="433" spans="1:37" ht="21.75" customHeight="1" x14ac:dyDescent="0.2">
      <c r="A433" s="1"/>
      <c r="B433" s="1"/>
      <c r="C433" s="1"/>
      <c r="D433" s="1"/>
      <c r="E433" s="1"/>
      <c r="F433" s="1"/>
      <c r="G433" s="1"/>
      <c r="H433" s="1"/>
      <c r="I433" s="1"/>
      <c r="J433" s="1"/>
      <c r="K433" s="1"/>
      <c r="L433" s="1"/>
      <c r="M433" s="1"/>
      <c r="N433" s="1"/>
      <c r="O433" s="95"/>
      <c r="P433" s="95"/>
      <c r="Q433" s="95"/>
      <c r="R433" s="95"/>
      <c r="AE433" s="95"/>
      <c r="AF433" s="95"/>
      <c r="AG433" s="95"/>
      <c r="AH433" s="2"/>
      <c r="AI433" s="2"/>
      <c r="AJ433" s="2"/>
      <c r="AK433" s="2"/>
    </row>
    <row r="434" spans="1:37" ht="21.75" customHeight="1" x14ac:dyDescent="0.2">
      <c r="A434" s="1"/>
      <c r="B434" s="1"/>
      <c r="C434" s="1"/>
      <c r="D434" s="1"/>
      <c r="E434" s="1"/>
      <c r="F434" s="1"/>
      <c r="G434" s="1"/>
      <c r="H434" s="1"/>
      <c r="I434" s="1"/>
      <c r="J434" s="1"/>
      <c r="K434" s="1"/>
      <c r="L434" s="1"/>
      <c r="M434" s="1"/>
      <c r="N434" s="1"/>
      <c r="O434" s="95"/>
      <c r="P434" s="95"/>
      <c r="Q434" s="95"/>
      <c r="R434" s="95"/>
      <c r="AE434" s="95"/>
      <c r="AF434" s="95"/>
      <c r="AG434" s="95"/>
      <c r="AH434" s="2"/>
      <c r="AI434" s="2"/>
      <c r="AJ434" s="2"/>
      <c r="AK434" s="2"/>
    </row>
    <row r="435" spans="1:37" ht="21.75" customHeight="1" x14ac:dyDescent="0.2">
      <c r="A435" s="1"/>
      <c r="B435" s="1"/>
      <c r="C435" s="1"/>
      <c r="D435" s="1"/>
      <c r="E435" s="1"/>
      <c r="F435" s="1"/>
      <c r="G435" s="1"/>
      <c r="H435" s="1"/>
      <c r="I435" s="1"/>
      <c r="J435" s="1"/>
      <c r="K435" s="1"/>
      <c r="L435" s="1"/>
      <c r="M435" s="1"/>
      <c r="N435" s="1"/>
      <c r="O435" s="95"/>
      <c r="P435" s="95"/>
      <c r="Q435" s="95"/>
      <c r="R435" s="95"/>
      <c r="AE435" s="95"/>
      <c r="AF435" s="95"/>
      <c r="AG435" s="95"/>
      <c r="AH435" s="2"/>
      <c r="AI435" s="2"/>
      <c r="AJ435" s="2"/>
      <c r="AK435" s="2"/>
    </row>
    <row r="436" spans="1:37" ht="21.75" customHeight="1" x14ac:dyDescent="0.2">
      <c r="A436" s="1"/>
      <c r="B436" s="1"/>
      <c r="C436" s="1"/>
      <c r="D436" s="1"/>
      <c r="E436" s="1"/>
      <c r="F436" s="1"/>
      <c r="G436" s="1"/>
      <c r="H436" s="1"/>
      <c r="I436" s="1"/>
      <c r="J436" s="1"/>
      <c r="K436" s="1"/>
      <c r="L436" s="1"/>
      <c r="M436" s="1"/>
      <c r="N436" s="1"/>
      <c r="O436" s="95"/>
      <c r="P436" s="95"/>
      <c r="Q436" s="95"/>
      <c r="R436" s="95"/>
      <c r="AE436" s="95"/>
      <c r="AF436" s="95"/>
      <c r="AG436" s="95"/>
      <c r="AH436" s="2"/>
      <c r="AI436" s="2"/>
      <c r="AJ436" s="2"/>
      <c r="AK436" s="2"/>
    </row>
    <row r="437" spans="1:37" ht="21.75" customHeight="1" x14ac:dyDescent="0.2">
      <c r="A437" s="1"/>
      <c r="B437" s="1"/>
      <c r="C437" s="1"/>
      <c r="D437" s="1"/>
      <c r="E437" s="1"/>
      <c r="F437" s="1"/>
      <c r="G437" s="1"/>
      <c r="H437" s="1"/>
      <c r="I437" s="1"/>
      <c r="J437" s="1"/>
      <c r="K437" s="1"/>
      <c r="L437" s="1"/>
      <c r="M437" s="1"/>
      <c r="N437" s="1"/>
      <c r="O437" s="95"/>
      <c r="P437" s="95"/>
      <c r="Q437" s="95"/>
      <c r="R437" s="95"/>
      <c r="AE437" s="95"/>
      <c r="AF437" s="95"/>
      <c r="AG437" s="95"/>
      <c r="AH437" s="2"/>
      <c r="AI437" s="2"/>
      <c r="AJ437" s="2"/>
      <c r="AK437" s="2"/>
    </row>
    <row r="438" spans="1:37" ht="21.75" customHeight="1" x14ac:dyDescent="0.2">
      <c r="A438" s="1"/>
      <c r="B438" s="1"/>
      <c r="C438" s="1"/>
      <c r="D438" s="1"/>
      <c r="E438" s="1"/>
      <c r="F438" s="1"/>
      <c r="G438" s="1"/>
      <c r="H438" s="1"/>
      <c r="I438" s="1"/>
      <c r="J438" s="1"/>
      <c r="K438" s="1"/>
      <c r="L438" s="1"/>
      <c r="M438" s="1"/>
      <c r="N438" s="1"/>
      <c r="O438" s="95"/>
      <c r="P438" s="95"/>
      <c r="Q438" s="95"/>
      <c r="R438" s="95"/>
      <c r="AE438" s="95"/>
      <c r="AF438" s="95"/>
      <c r="AG438" s="95"/>
      <c r="AH438" s="2"/>
      <c r="AI438" s="2"/>
      <c r="AJ438" s="2"/>
      <c r="AK438" s="2"/>
    </row>
    <row r="439" spans="1:37" ht="21.75" customHeight="1" x14ac:dyDescent="0.2">
      <c r="A439" s="1"/>
      <c r="B439" s="1"/>
      <c r="C439" s="1"/>
      <c r="D439" s="1"/>
      <c r="E439" s="1"/>
      <c r="F439" s="1"/>
      <c r="G439" s="1"/>
      <c r="H439" s="1"/>
      <c r="I439" s="1"/>
      <c r="J439" s="1"/>
      <c r="K439" s="1"/>
      <c r="L439" s="1"/>
      <c r="M439" s="1"/>
      <c r="N439" s="1"/>
      <c r="O439" s="95"/>
      <c r="P439" s="95"/>
      <c r="Q439" s="95"/>
      <c r="R439" s="95"/>
      <c r="AE439" s="95"/>
      <c r="AF439" s="95"/>
      <c r="AG439" s="95"/>
      <c r="AH439" s="2"/>
      <c r="AI439" s="2"/>
      <c r="AJ439" s="2"/>
      <c r="AK439" s="2"/>
    </row>
    <row r="440" spans="1:37" ht="21.75" customHeight="1" x14ac:dyDescent="0.2">
      <c r="A440" s="1"/>
      <c r="B440" s="1"/>
      <c r="C440" s="1"/>
      <c r="D440" s="1"/>
      <c r="E440" s="1"/>
      <c r="F440" s="1"/>
      <c r="G440" s="1"/>
      <c r="H440" s="1"/>
      <c r="I440" s="1"/>
      <c r="J440" s="1"/>
      <c r="K440" s="1"/>
      <c r="L440" s="1"/>
      <c r="M440" s="1"/>
      <c r="N440" s="1"/>
      <c r="O440" s="95"/>
      <c r="P440" s="95"/>
      <c r="Q440" s="95"/>
      <c r="R440" s="95"/>
      <c r="AE440" s="95"/>
      <c r="AF440" s="95"/>
      <c r="AG440" s="95"/>
      <c r="AH440" s="2"/>
      <c r="AI440" s="2"/>
      <c r="AJ440" s="2"/>
      <c r="AK440" s="2"/>
    </row>
    <row r="441" spans="1:37" ht="21.75" customHeight="1" x14ac:dyDescent="0.2">
      <c r="A441" s="1"/>
      <c r="B441" s="1"/>
      <c r="C441" s="1"/>
      <c r="D441" s="1"/>
      <c r="E441" s="1"/>
      <c r="F441" s="1"/>
      <c r="G441" s="1"/>
      <c r="H441" s="1"/>
      <c r="I441" s="1"/>
      <c r="J441" s="1"/>
      <c r="K441" s="1"/>
      <c r="L441" s="1"/>
      <c r="M441" s="1"/>
      <c r="N441" s="1"/>
      <c r="O441" s="95"/>
      <c r="P441" s="95"/>
      <c r="Q441" s="95"/>
      <c r="R441" s="95"/>
      <c r="AE441" s="95"/>
      <c r="AF441" s="95"/>
      <c r="AG441" s="95"/>
      <c r="AH441" s="2"/>
      <c r="AI441" s="2"/>
      <c r="AJ441" s="2"/>
      <c r="AK441" s="2"/>
    </row>
    <row r="442" spans="1:37" ht="21.75" customHeight="1" x14ac:dyDescent="0.2">
      <c r="A442" s="1"/>
      <c r="B442" s="1"/>
      <c r="C442" s="1"/>
      <c r="D442" s="1"/>
      <c r="E442" s="1"/>
      <c r="F442" s="1"/>
      <c r="G442" s="1"/>
      <c r="H442" s="1"/>
      <c r="I442" s="1"/>
      <c r="J442" s="1"/>
      <c r="K442" s="1"/>
      <c r="L442" s="1"/>
      <c r="M442" s="1"/>
      <c r="N442" s="1"/>
      <c r="O442" s="95"/>
      <c r="P442" s="95"/>
      <c r="Q442" s="95"/>
      <c r="R442" s="95"/>
      <c r="AE442" s="95"/>
      <c r="AF442" s="95"/>
      <c r="AG442" s="95"/>
      <c r="AH442" s="2"/>
      <c r="AI442" s="2"/>
      <c r="AJ442" s="2"/>
      <c r="AK442" s="2"/>
    </row>
    <row r="443" spans="1:37" ht="21.75" customHeight="1" x14ac:dyDescent="0.2">
      <c r="A443" s="1"/>
      <c r="B443" s="1"/>
      <c r="C443" s="1"/>
      <c r="D443" s="1"/>
      <c r="E443" s="1"/>
      <c r="F443" s="1"/>
      <c r="G443" s="1"/>
      <c r="H443" s="1"/>
      <c r="I443" s="1"/>
      <c r="J443" s="1"/>
      <c r="K443" s="1"/>
      <c r="L443" s="1"/>
      <c r="M443" s="1"/>
      <c r="N443" s="1"/>
      <c r="O443" s="95"/>
      <c r="P443" s="95"/>
      <c r="Q443" s="95"/>
      <c r="R443" s="95"/>
      <c r="AE443" s="95"/>
      <c r="AF443" s="95"/>
      <c r="AG443" s="95"/>
      <c r="AH443" s="2"/>
      <c r="AI443" s="2"/>
      <c r="AJ443" s="2"/>
      <c r="AK443" s="2"/>
    </row>
    <row r="444" spans="1:37" ht="21.75" customHeight="1" x14ac:dyDescent="0.2">
      <c r="A444" s="1"/>
      <c r="B444" s="1"/>
      <c r="C444" s="1"/>
      <c r="D444" s="1"/>
      <c r="E444" s="1"/>
      <c r="F444" s="1"/>
      <c r="G444" s="1"/>
      <c r="H444" s="1"/>
      <c r="I444" s="1"/>
      <c r="J444" s="1"/>
      <c r="K444" s="1"/>
      <c r="L444" s="1"/>
      <c r="M444" s="1"/>
      <c r="N444" s="1"/>
      <c r="O444" s="95"/>
      <c r="P444" s="95"/>
      <c r="Q444" s="95"/>
      <c r="R444" s="95"/>
      <c r="AE444" s="95"/>
      <c r="AF444" s="95"/>
      <c r="AG444" s="95"/>
      <c r="AH444" s="2"/>
      <c r="AI444" s="2"/>
      <c r="AJ444" s="2"/>
      <c r="AK444" s="2"/>
    </row>
    <row r="445" spans="1:37" ht="21.75" customHeight="1" x14ac:dyDescent="0.2">
      <c r="A445" s="1"/>
      <c r="B445" s="1"/>
      <c r="C445" s="1"/>
      <c r="D445" s="1"/>
      <c r="E445" s="1"/>
      <c r="F445" s="1"/>
      <c r="G445" s="1"/>
      <c r="H445" s="1"/>
      <c r="I445" s="1"/>
      <c r="J445" s="1"/>
      <c r="K445" s="1"/>
      <c r="L445" s="1"/>
      <c r="M445" s="1"/>
      <c r="N445" s="1"/>
      <c r="O445" s="95"/>
      <c r="P445" s="95"/>
      <c r="Q445" s="95"/>
      <c r="R445" s="95"/>
      <c r="AE445" s="95"/>
      <c r="AF445" s="95"/>
      <c r="AG445" s="95"/>
      <c r="AH445" s="2"/>
      <c r="AI445" s="2"/>
      <c r="AJ445" s="2"/>
      <c r="AK445" s="2"/>
    </row>
    <row r="446" spans="1:37" ht="21.75" customHeight="1" x14ac:dyDescent="0.2">
      <c r="A446" s="1"/>
      <c r="B446" s="1"/>
      <c r="C446" s="1"/>
      <c r="D446" s="1"/>
      <c r="E446" s="1"/>
      <c r="F446" s="1"/>
      <c r="G446" s="1"/>
      <c r="H446" s="1"/>
      <c r="I446" s="1"/>
      <c r="J446" s="1"/>
      <c r="K446" s="1"/>
      <c r="L446" s="1"/>
      <c r="M446" s="1"/>
      <c r="N446" s="1"/>
      <c r="O446" s="95"/>
      <c r="P446" s="95"/>
      <c r="Q446" s="95"/>
      <c r="R446" s="95"/>
      <c r="AE446" s="95"/>
      <c r="AF446" s="95"/>
      <c r="AG446" s="95"/>
      <c r="AH446" s="2"/>
      <c r="AI446" s="2"/>
      <c r="AJ446" s="2"/>
      <c r="AK446" s="2"/>
    </row>
    <row r="447" spans="1:37" ht="15.75" customHeight="1" x14ac:dyDescent="0.2">
      <c r="A447" s="1"/>
      <c r="B447" s="2"/>
      <c r="C447" s="1"/>
      <c r="D447" s="1"/>
      <c r="E447" s="48"/>
      <c r="F447" s="48"/>
      <c r="G447" s="2"/>
      <c r="H447" s="48"/>
      <c r="I447" s="2"/>
      <c r="J447" s="2"/>
      <c r="K447" s="2"/>
      <c r="L447" s="2"/>
      <c r="M447" s="2"/>
      <c r="N447" s="2"/>
      <c r="O447" s="95"/>
      <c r="P447" s="95"/>
      <c r="Q447" s="95"/>
      <c r="R447" s="95"/>
      <c r="AE447" s="95"/>
      <c r="AF447" s="95"/>
      <c r="AG447" s="95"/>
      <c r="AH447" s="2"/>
      <c r="AI447" s="2"/>
      <c r="AJ447" s="2"/>
      <c r="AK447" s="2"/>
    </row>
    <row r="448" spans="1:37" ht="15.75" customHeight="1" x14ac:dyDescent="0.2">
      <c r="A448" s="1"/>
      <c r="B448" s="2"/>
      <c r="C448" s="1"/>
      <c r="D448" s="1"/>
      <c r="E448" s="48"/>
      <c r="F448" s="48"/>
      <c r="G448" s="2"/>
      <c r="H448" s="48"/>
      <c r="I448" s="2"/>
      <c r="J448" s="2"/>
      <c r="K448" s="2"/>
      <c r="L448" s="2"/>
      <c r="M448" s="2"/>
      <c r="N448" s="2"/>
      <c r="O448" s="95"/>
      <c r="P448" s="95"/>
      <c r="Q448" s="95"/>
      <c r="R448" s="95"/>
      <c r="AE448" s="95"/>
      <c r="AF448" s="95"/>
      <c r="AG448" s="95"/>
      <c r="AH448" s="2"/>
      <c r="AI448" s="2"/>
      <c r="AJ448" s="2"/>
      <c r="AK448" s="2"/>
    </row>
    <row r="449" spans="1:37" ht="15.75" customHeight="1" x14ac:dyDescent="0.2">
      <c r="A449" s="1"/>
      <c r="B449" s="2"/>
      <c r="C449" s="1"/>
      <c r="D449" s="1"/>
      <c r="E449" s="48"/>
      <c r="F449" s="48"/>
      <c r="G449" s="2"/>
      <c r="H449" s="48"/>
      <c r="I449" s="2"/>
      <c r="J449" s="2"/>
      <c r="K449" s="2"/>
      <c r="L449" s="2"/>
      <c r="M449" s="2"/>
      <c r="N449" s="2"/>
      <c r="O449" s="95"/>
      <c r="P449" s="95"/>
      <c r="Q449" s="95"/>
      <c r="R449" s="95"/>
      <c r="AE449" s="95"/>
      <c r="AF449" s="95"/>
      <c r="AG449" s="95"/>
      <c r="AH449" s="2"/>
      <c r="AI449" s="2"/>
      <c r="AJ449" s="2"/>
      <c r="AK449" s="2"/>
    </row>
    <row r="450" spans="1:37" ht="15.75" customHeight="1" x14ac:dyDescent="0.2">
      <c r="A450" s="1"/>
      <c r="B450" s="2"/>
      <c r="C450" s="1"/>
      <c r="D450" s="1"/>
      <c r="E450" s="48"/>
      <c r="F450" s="48"/>
      <c r="G450" s="2"/>
      <c r="H450" s="48"/>
      <c r="I450" s="2"/>
      <c r="J450" s="2"/>
      <c r="K450" s="2"/>
      <c r="L450" s="2"/>
      <c r="M450" s="2"/>
      <c r="N450" s="2"/>
      <c r="O450" s="95"/>
      <c r="P450" s="95"/>
      <c r="Q450" s="95"/>
      <c r="R450" s="95"/>
      <c r="AE450" s="95"/>
      <c r="AF450" s="95"/>
      <c r="AG450" s="95"/>
      <c r="AH450" s="2"/>
      <c r="AI450" s="2"/>
      <c r="AJ450" s="2"/>
      <c r="AK450" s="2"/>
    </row>
    <row r="451" spans="1:37" ht="15.75" customHeight="1" x14ac:dyDescent="0.2">
      <c r="A451" s="1"/>
      <c r="B451" s="2"/>
      <c r="C451" s="1"/>
      <c r="D451" s="1"/>
      <c r="E451" s="48"/>
      <c r="F451" s="48"/>
      <c r="G451" s="2"/>
      <c r="H451" s="48"/>
      <c r="I451" s="2"/>
      <c r="J451" s="2"/>
      <c r="K451" s="2"/>
      <c r="L451" s="2"/>
      <c r="M451" s="2"/>
      <c r="N451" s="2"/>
      <c r="O451" s="95"/>
      <c r="P451" s="95"/>
      <c r="Q451" s="95"/>
      <c r="R451" s="95"/>
      <c r="AE451" s="95"/>
      <c r="AF451" s="95"/>
      <c r="AG451" s="95"/>
      <c r="AH451" s="2"/>
      <c r="AI451" s="2"/>
      <c r="AJ451" s="2"/>
      <c r="AK451" s="2"/>
    </row>
    <row r="452" spans="1:37" ht="15.75" customHeight="1" x14ac:dyDescent="0.2">
      <c r="A452" s="1"/>
      <c r="B452" s="2"/>
      <c r="C452" s="1"/>
      <c r="D452" s="1"/>
      <c r="E452" s="48"/>
      <c r="F452" s="48"/>
      <c r="G452" s="2"/>
      <c r="H452" s="48"/>
      <c r="I452" s="2"/>
      <c r="J452" s="2"/>
      <c r="K452" s="2"/>
      <c r="L452" s="2"/>
      <c r="M452" s="2"/>
      <c r="N452" s="2"/>
      <c r="O452" s="95"/>
      <c r="P452" s="95"/>
      <c r="Q452" s="95"/>
      <c r="R452" s="95"/>
      <c r="AE452" s="95"/>
      <c r="AF452" s="95"/>
      <c r="AG452" s="95"/>
      <c r="AH452" s="2"/>
      <c r="AI452" s="2"/>
      <c r="AJ452" s="2"/>
      <c r="AK452" s="2"/>
    </row>
    <row r="453" spans="1:37" ht="15.75" customHeight="1" x14ac:dyDescent="0.2">
      <c r="A453" s="1"/>
      <c r="B453" s="2"/>
      <c r="C453" s="1"/>
      <c r="D453" s="1"/>
      <c r="E453" s="48"/>
      <c r="F453" s="48"/>
      <c r="G453" s="2"/>
      <c r="H453" s="48"/>
      <c r="I453" s="2"/>
      <c r="J453" s="2"/>
      <c r="K453" s="2"/>
      <c r="L453" s="2"/>
      <c r="M453" s="2"/>
      <c r="N453" s="2"/>
      <c r="O453" s="95"/>
      <c r="P453" s="95"/>
      <c r="Q453" s="95"/>
      <c r="R453" s="95"/>
      <c r="AE453" s="95"/>
      <c r="AF453" s="95"/>
      <c r="AG453" s="95"/>
      <c r="AH453" s="2"/>
      <c r="AI453" s="2"/>
      <c r="AJ453" s="2"/>
      <c r="AK453" s="2"/>
    </row>
    <row r="454" spans="1:37" ht="15.75" customHeight="1" x14ac:dyDescent="0.2">
      <c r="A454" s="1"/>
      <c r="B454" s="2"/>
      <c r="C454" s="1"/>
      <c r="D454" s="1"/>
      <c r="E454" s="48"/>
      <c r="F454" s="48"/>
      <c r="G454" s="2"/>
      <c r="H454" s="48"/>
      <c r="I454" s="2"/>
      <c r="J454" s="2"/>
      <c r="K454" s="2"/>
      <c r="L454" s="2"/>
      <c r="M454" s="2"/>
      <c r="N454" s="2"/>
      <c r="O454" s="95"/>
      <c r="P454" s="95"/>
      <c r="Q454" s="95"/>
      <c r="R454" s="95"/>
      <c r="AE454" s="95"/>
      <c r="AF454" s="95"/>
      <c r="AG454" s="95"/>
      <c r="AH454" s="2"/>
      <c r="AI454" s="2"/>
      <c r="AJ454" s="2"/>
      <c r="AK454" s="2"/>
    </row>
    <row r="455" spans="1:37" ht="15.75" customHeight="1" x14ac:dyDescent="0.2">
      <c r="A455" s="1"/>
      <c r="B455" s="2"/>
      <c r="C455" s="1"/>
      <c r="D455" s="1"/>
      <c r="E455" s="48"/>
      <c r="F455" s="48"/>
      <c r="G455" s="2"/>
      <c r="H455" s="48"/>
      <c r="I455" s="2"/>
      <c r="J455" s="2"/>
      <c r="K455" s="2"/>
      <c r="L455" s="2"/>
      <c r="M455" s="2"/>
      <c r="N455" s="2"/>
      <c r="O455" s="95"/>
      <c r="P455" s="95"/>
      <c r="Q455" s="95"/>
      <c r="R455" s="95"/>
      <c r="AE455" s="95"/>
      <c r="AF455" s="95"/>
      <c r="AG455" s="95"/>
      <c r="AH455" s="2"/>
      <c r="AI455" s="2"/>
      <c r="AJ455" s="2"/>
      <c r="AK455" s="2"/>
    </row>
    <row r="456" spans="1:37" ht="15.75" customHeight="1" x14ac:dyDescent="0.2">
      <c r="A456" s="1"/>
      <c r="B456" s="2"/>
      <c r="C456" s="1"/>
      <c r="D456" s="1"/>
      <c r="E456" s="48"/>
      <c r="F456" s="48"/>
      <c r="G456" s="2"/>
      <c r="H456" s="48"/>
      <c r="I456" s="2"/>
      <c r="J456" s="2"/>
      <c r="K456" s="2"/>
      <c r="L456" s="2"/>
      <c r="M456" s="2"/>
      <c r="N456" s="2"/>
      <c r="O456" s="95"/>
      <c r="P456" s="95"/>
      <c r="Q456" s="95"/>
      <c r="R456" s="95"/>
      <c r="AE456" s="95"/>
      <c r="AF456" s="95"/>
      <c r="AG456" s="95"/>
      <c r="AH456" s="2"/>
      <c r="AI456" s="2"/>
      <c r="AJ456" s="2"/>
      <c r="AK456" s="2"/>
    </row>
    <row r="457" spans="1:37" ht="15.75" customHeight="1" x14ac:dyDescent="0.2">
      <c r="A457" s="1"/>
      <c r="B457" s="2"/>
      <c r="C457" s="1"/>
      <c r="D457" s="1"/>
      <c r="E457" s="48"/>
      <c r="F457" s="48"/>
      <c r="G457" s="2"/>
      <c r="H457" s="48"/>
      <c r="I457" s="2"/>
      <c r="J457" s="2"/>
      <c r="K457" s="2"/>
      <c r="L457" s="2"/>
      <c r="M457" s="2"/>
      <c r="N457" s="2"/>
      <c r="O457" s="95"/>
      <c r="P457" s="95"/>
      <c r="Q457" s="95"/>
      <c r="R457" s="95"/>
      <c r="AE457" s="95"/>
      <c r="AF457" s="95"/>
      <c r="AG457" s="95"/>
      <c r="AH457" s="2"/>
      <c r="AI457" s="2"/>
      <c r="AJ457" s="2"/>
      <c r="AK457" s="2"/>
    </row>
    <row r="458" spans="1:37" ht="15.75" customHeight="1" x14ac:dyDescent="0.2">
      <c r="A458" s="1"/>
      <c r="B458" s="2"/>
      <c r="C458" s="1"/>
      <c r="D458" s="1"/>
      <c r="E458" s="48"/>
      <c r="F458" s="48"/>
      <c r="G458" s="2"/>
      <c r="H458" s="48"/>
      <c r="I458" s="2"/>
      <c r="J458" s="2"/>
      <c r="K458" s="2"/>
      <c r="L458" s="2"/>
      <c r="M458" s="2"/>
      <c r="N458" s="2"/>
      <c r="O458" s="95"/>
      <c r="P458" s="95"/>
      <c r="Q458" s="95"/>
      <c r="R458" s="95"/>
      <c r="AE458" s="95"/>
      <c r="AF458" s="95"/>
      <c r="AG458" s="95"/>
      <c r="AH458" s="2"/>
      <c r="AI458" s="2"/>
      <c r="AJ458" s="2"/>
      <c r="AK458" s="2"/>
    </row>
    <row r="459" spans="1:37" ht="15.75" customHeight="1" x14ac:dyDescent="0.2">
      <c r="A459" s="1"/>
      <c r="B459" s="2"/>
      <c r="C459" s="1"/>
      <c r="D459" s="1"/>
      <c r="E459" s="48"/>
      <c r="F459" s="48"/>
      <c r="G459" s="2"/>
      <c r="H459" s="48"/>
      <c r="I459" s="2"/>
      <c r="J459" s="2"/>
      <c r="K459" s="2"/>
      <c r="L459" s="2"/>
      <c r="M459" s="2"/>
      <c r="N459" s="2"/>
      <c r="O459" s="95"/>
      <c r="P459" s="95"/>
      <c r="Q459" s="95"/>
      <c r="R459" s="95"/>
      <c r="AE459" s="95"/>
      <c r="AF459" s="95"/>
      <c r="AG459" s="95"/>
      <c r="AH459" s="2"/>
      <c r="AI459" s="2"/>
      <c r="AJ459" s="2"/>
      <c r="AK459" s="2"/>
    </row>
    <row r="460" spans="1:37" ht="15.75" customHeight="1" x14ac:dyDescent="0.2">
      <c r="A460" s="1"/>
      <c r="B460" s="2"/>
      <c r="C460" s="1"/>
      <c r="D460" s="1"/>
      <c r="E460" s="48"/>
      <c r="F460" s="48"/>
      <c r="G460" s="2"/>
      <c r="H460" s="48"/>
      <c r="I460" s="2"/>
      <c r="J460" s="2"/>
      <c r="K460" s="2"/>
      <c r="L460" s="2"/>
      <c r="M460" s="2"/>
      <c r="N460" s="2"/>
      <c r="O460" s="95"/>
      <c r="P460" s="95"/>
      <c r="Q460" s="95"/>
      <c r="R460" s="95"/>
      <c r="AE460" s="95"/>
      <c r="AF460" s="95"/>
      <c r="AG460" s="95"/>
      <c r="AH460" s="2"/>
      <c r="AI460" s="2"/>
      <c r="AJ460" s="2"/>
      <c r="AK460" s="2"/>
    </row>
    <row r="461" spans="1:37" ht="15.75" customHeight="1" x14ac:dyDescent="0.2">
      <c r="A461" s="1"/>
      <c r="B461" s="2"/>
      <c r="C461" s="1"/>
      <c r="D461" s="1"/>
      <c r="E461" s="48"/>
      <c r="F461" s="48"/>
      <c r="G461" s="2"/>
      <c r="H461" s="48"/>
      <c r="I461" s="2"/>
      <c r="J461" s="2"/>
      <c r="K461" s="2"/>
      <c r="L461" s="2"/>
      <c r="M461" s="2"/>
      <c r="N461" s="2"/>
      <c r="O461" s="95"/>
      <c r="P461" s="95"/>
      <c r="Q461" s="95"/>
      <c r="R461" s="95"/>
      <c r="AE461" s="95"/>
      <c r="AF461" s="95"/>
      <c r="AG461" s="95"/>
      <c r="AH461" s="2"/>
      <c r="AI461" s="2"/>
      <c r="AJ461" s="2"/>
      <c r="AK461" s="2"/>
    </row>
    <row r="462" spans="1:37" ht="15.75" customHeight="1" x14ac:dyDescent="0.2">
      <c r="A462" s="1"/>
      <c r="B462" s="2"/>
      <c r="C462" s="1"/>
      <c r="D462" s="1"/>
      <c r="E462" s="48"/>
      <c r="F462" s="48"/>
      <c r="G462" s="2"/>
      <c r="H462" s="48"/>
      <c r="I462" s="2"/>
      <c r="J462" s="2"/>
      <c r="K462" s="2"/>
      <c r="L462" s="2"/>
      <c r="M462" s="2"/>
      <c r="N462" s="2"/>
      <c r="O462" s="95"/>
      <c r="P462" s="95"/>
      <c r="Q462" s="95"/>
      <c r="R462" s="95"/>
      <c r="AE462" s="95"/>
      <c r="AF462" s="95"/>
      <c r="AG462" s="95"/>
      <c r="AH462" s="2"/>
      <c r="AI462" s="2"/>
      <c r="AJ462" s="2"/>
      <c r="AK462" s="2"/>
    </row>
    <row r="463" spans="1:37" ht="15.75" customHeight="1" x14ac:dyDescent="0.2">
      <c r="A463" s="1"/>
      <c r="B463" s="2"/>
      <c r="C463" s="1"/>
      <c r="D463" s="1"/>
      <c r="E463" s="48"/>
      <c r="F463" s="48"/>
      <c r="G463" s="2"/>
      <c r="H463" s="48"/>
      <c r="I463" s="2"/>
      <c r="J463" s="2"/>
      <c r="K463" s="2"/>
      <c r="L463" s="2"/>
      <c r="M463" s="2"/>
      <c r="N463" s="2"/>
      <c r="O463" s="95"/>
      <c r="P463" s="95"/>
      <c r="Q463" s="95"/>
      <c r="R463" s="95"/>
      <c r="AE463" s="95"/>
      <c r="AF463" s="95"/>
      <c r="AG463" s="95"/>
      <c r="AH463" s="2"/>
      <c r="AI463" s="2"/>
      <c r="AJ463" s="2"/>
      <c r="AK463" s="2"/>
    </row>
    <row r="464" spans="1:37" ht="15.75" customHeight="1" x14ac:dyDescent="0.2">
      <c r="A464" s="1"/>
      <c r="B464" s="2"/>
      <c r="C464" s="1"/>
      <c r="D464" s="1"/>
      <c r="E464" s="48"/>
      <c r="F464" s="48"/>
      <c r="G464" s="2"/>
      <c r="H464" s="48"/>
      <c r="I464" s="2"/>
      <c r="J464" s="2"/>
      <c r="K464" s="2"/>
      <c r="L464" s="2"/>
      <c r="M464" s="2"/>
      <c r="N464" s="2"/>
      <c r="O464" s="95"/>
      <c r="P464" s="95"/>
      <c r="Q464" s="95"/>
      <c r="R464" s="95"/>
      <c r="AE464" s="95"/>
      <c r="AF464" s="95"/>
      <c r="AG464" s="95"/>
      <c r="AH464" s="2"/>
      <c r="AI464" s="2"/>
      <c r="AJ464" s="2"/>
      <c r="AK464" s="2"/>
    </row>
    <row r="465" spans="1:37" ht="15.75" customHeight="1" x14ac:dyDescent="0.2">
      <c r="A465" s="1"/>
      <c r="B465" s="2"/>
      <c r="C465" s="1"/>
      <c r="D465" s="1"/>
      <c r="E465" s="48"/>
      <c r="F465" s="48"/>
      <c r="G465" s="2"/>
      <c r="H465" s="48"/>
      <c r="I465" s="2"/>
      <c r="J465" s="2"/>
      <c r="K465" s="2"/>
      <c r="L465" s="2"/>
      <c r="M465" s="2"/>
      <c r="N465" s="2"/>
      <c r="O465" s="95"/>
      <c r="P465" s="95"/>
      <c r="Q465" s="95"/>
      <c r="R465" s="95"/>
      <c r="AE465" s="95"/>
      <c r="AF465" s="95"/>
      <c r="AG465" s="95"/>
      <c r="AH465" s="2"/>
      <c r="AI465" s="2"/>
      <c r="AJ465" s="2"/>
      <c r="AK465" s="2"/>
    </row>
    <row r="466" spans="1:37" ht="15.75" customHeight="1" x14ac:dyDescent="0.2">
      <c r="A466" s="1"/>
      <c r="B466" s="2"/>
      <c r="C466" s="1"/>
      <c r="D466" s="1"/>
      <c r="E466" s="48"/>
      <c r="F466" s="48"/>
      <c r="G466" s="2"/>
      <c r="H466" s="48"/>
      <c r="I466" s="2"/>
      <c r="J466" s="2"/>
      <c r="K466" s="2"/>
      <c r="L466" s="2"/>
      <c r="M466" s="2"/>
      <c r="N466" s="2"/>
      <c r="O466" s="95"/>
      <c r="P466" s="95"/>
      <c r="Q466" s="95"/>
      <c r="R466" s="95"/>
      <c r="AE466" s="95"/>
      <c r="AF466" s="95"/>
      <c r="AG466" s="95"/>
      <c r="AH466" s="2"/>
      <c r="AI466" s="2"/>
      <c r="AJ466" s="2"/>
      <c r="AK466" s="2"/>
    </row>
    <row r="467" spans="1:37" ht="15.75" customHeight="1" x14ac:dyDescent="0.2">
      <c r="A467" s="1"/>
      <c r="B467" s="2"/>
      <c r="C467" s="1"/>
      <c r="D467" s="1"/>
      <c r="E467" s="48"/>
      <c r="F467" s="48"/>
      <c r="G467" s="2"/>
      <c r="H467" s="48"/>
      <c r="I467" s="2"/>
      <c r="J467" s="2"/>
      <c r="K467" s="2"/>
      <c r="L467" s="2"/>
      <c r="M467" s="2"/>
      <c r="N467" s="2"/>
      <c r="O467" s="95"/>
      <c r="P467" s="95"/>
      <c r="Q467" s="95"/>
      <c r="R467" s="95"/>
      <c r="AE467" s="95"/>
      <c r="AF467" s="95"/>
      <c r="AG467" s="95"/>
      <c r="AH467" s="2"/>
      <c r="AI467" s="2"/>
      <c r="AJ467" s="2"/>
      <c r="AK467" s="2"/>
    </row>
    <row r="468" spans="1:37" ht="15.75" customHeight="1" x14ac:dyDescent="0.2">
      <c r="A468" s="1"/>
      <c r="B468" s="2"/>
      <c r="C468" s="1"/>
      <c r="D468" s="1"/>
      <c r="E468" s="48"/>
      <c r="F468" s="48"/>
      <c r="G468" s="2"/>
      <c r="H468" s="48"/>
      <c r="I468" s="2"/>
      <c r="J468" s="2"/>
      <c r="K468" s="2"/>
      <c r="L468" s="2"/>
      <c r="M468" s="2"/>
      <c r="N468" s="2"/>
      <c r="O468" s="95"/>
      <c r="P468" s="95"/>
      <c r="Q468" s="95"/>
      <c r="R468" s="95"/>
      <c r="AE468" s="95"/>
      <c r="AF468" s="95"/>
      <c r="AG468" s="95"/>
      <c r="AH468" s="2"/>
      <c r="AI468" s="2"/>
      <c r="AJ468" s="2"/>
      <c r="AK468" s="2"/>
    </row>
    <row r="469" spans="1:37" ht="15.75" customHeight="1" x14ac:dyDescent="0.2">
      <c r="A469" s="1"/>
      <c r="B469" s="2"/>
      <c r="C469" s="1"/>
      <c r="D469" s="1"/>
      <c r="E469" s="48"/>
      <c r="F469" s="48"/>
      <c r="G469" s="2"/>
      <c r="H469" s="48"/>
      <c r="I469" s="2"/>
      <c r="J469" s="2"/>
      <c r="K469" s="2"/>
      <c r="L469" s="2"/>
      <c r="M469" s="2"/>
      <c r="N469" s="2"/>
      <c r="O469" s="95"/>
      <c r="P469" s="95"/>
      <c r="Q469" s="95"/>
      <c r="R469" s="95"/>
      <c r="AE469" s="95"/>
      <c r="AF469" s="95"/>
      <c r="AG469" s="95"/>
      <c r="AH469" s="2"/>
      <c r="AI469" s="2"/>
      <c r="AJ469" s="2"/>
      <c r="AK469" s="2"/>
    </row>
    <row r="470" spans="1:37" ht="15.75" customHeight="1" x14ac:dyDescent="0.2">
      <c r="A470" s="1"/>
      <c r="B470" s="2"/>
      <c r="C470" s="1"/>
      <c r="D470" s="1"/>
      <c r="E470" s="48"/>
      <c r="F470" s="48"/>
      <c r="G470" s="2"/>
      <c r="H470" s="48"/>
      <c r="I470" s="2"/>
      <c r="J470" s="2"/>
      <c r="K470" s="2"/>
      <c r="L470" s="2"/>
      <c r="M470" s="2"/>
      <c r="N470" s="2"/>
      <c r="O470" s="95"/>
      <c r="P470" s="95"/>
      <c r="Q470" s="95"/>
      <c r="R470" s="95"/>
      <c r="AE470" s="95"/>
      <c r="AF470" s="95"/>
      <c r="AG470" s="95"/>
      <c r="AH470" s="2"/>
      <c r="AI470" s="2"/>
      <c r="AJ470" s="2"/>
      <c r="AK470" s="2"/>
    </row>
    <row r="471" spans="1:37" ht="15.75" customHeight="1" x14ac:dyDescent="0.2">
      <c r="A471" s="1"/>
      <c r="B471" s="2"/>
      <c r="C471" s="1"/>
      <c r="D471" s="1"/>
      <c r="E471" s="48"/>
      <c r="F471" s="48"/>
      <c r="G471" s="2"/>
      <c r="H471" s="48"/>
      <c r="I471" s="2"/>
      <c r="J471" s="2"/>
      <c r="K471" s="2"/>
      <c r="L471" s="2"/>
      <c r="M471" s="2"/>
      <c r="N471" s="2"/>
      <c r="O471" s="95"/>
      <c r="P471" s="95"/>
      <c r="Q471" s="95"/>
      <c r="R471" s="95"/>
      <c r="AE471" s="95"/>
      <c r="AF471" s="95"/>
      <c r="AG471" s="95"/>
      <c r="AH471" s="2"/>
      <c r="AI471" s="2"/>
      <c r="AJ471" s="2"/>
      <c r="AK471" s="2"/>
    </row>
    <row r="472" spans="1:37" ht="15.75" customHeight="1" x14ac:dyDescent="0.2">
      <c r="A472" s="1"/>
      <c r="B472" s="2"/>
      <c r="C472" s="1"/>
      <c r="D472" s="1"/>
      <c r="E472" s="48"/>
      <c r="F472" s="48"/>
      <c r="G472" s="2"/>
      <c r="H472" s="48"/>
      <c r="I472" s="2"/>
      <c r="J472" s="2"/>
      <c r="K472" s="2"/>
      <c r="L472" s="2"/>
      <c r="M472" s="2"/>
      <c r="N472" s="2"/>
      <c r="O472" s="95"/>
      <c r="P472" s="95"/>
      <c r="Q472" s="95"/>
      <c r="R472" s="95"/>
      <c r="AE472" s="95"/>
      <c r="AF472" s="95"/>
      <c r="AG472" s="95"/>
      <c r="AH472" s="2"/>
      <c r="AI472" s="2"/>
      <c r="AJ472" s="2"/>
      <c r="AK472" s="2"/>
    </row>
    <row r="473" spans="1:37" ht="15.75" customHeight="1" x14ac:dyDescent="0.2">
      <c r="A473" s="1"/>
      <c r="B473" s="2"/>
      <c r="C473" s="1"/>
      <c r="D473" s="1"/>
      <c r="E473" s="48"/>
      <c r="F473" s="48"/>
      <c r="G473" s="2"/>
      <c r="H473" s="48"/>
      <c r="I473" s="2"/>
      <c r="J473" s="2"/>
      <c r="K473" s="2"/>
      <c r="L473" s="2"/>
      <c r="M473" s="2"/>
      <c r="N473" s="2"/>
      <c r="O473" s="95"/>
      <c r="P473" s="95"/>
      <c r="Q473" s="95"/>
      <c r="R473" s="95"/>
      <c r="AE473" s="95"/>
      <c r="AF473" s="95"/>
      <c r="AG473" s="95"/>
      <c r="AH473" s="2"/>
      <c r="AI473" s="2"/>
      <c r="AJ473" s="2"/>
      <c r="AK473" s="2"/>
    </row>
    <row r="474" spans="1:37" ht="15.75" customHeight="1" x14ac:dyDescent="0.2">
      <c r="A474" s="1"/>
      <c r="B474" s="2"/>
      <c r="C474" s="1"/>
      <c r="D474" s="1"/>
      <c r="E474" s="48"/>
      <c r="F474" s="48"/>
      <c r="G474" s="2"/>
      <c r="H474" s="48"/>
      <c r="I474" s="2"/>
      <c r="J474" s="2"/>
      <c r="K474" s="2"/>
      <c r="L474" s="2"/>
      <c r="M474" s="2"/>
      <c r="N474" s="2"/>
      <c r="O474" s="95"/>
      <c r="P474" s="95"/>
      <c r="Q474" s="95"/>
      <c r="R474" s="95"/>
      <c r="AE474" s="95"/>
      <c r="AF474" s="95"/>
      <c r="AG474" s="95"/>
      <c r="AH474" s="2"/>
      <c r="AI474" s="2"/>
      <c r="AJ474" s="2"/>
      <c r="AK474" s="2"/>
    </row>
    <row r="475" spans="1:37" ht="15.75" customHeight="1" x14ac:dyDescent="0.2">
      <c r="A475" s="1"/>
      <c r="B475" s="2"/>
      <c r="C475" s="1"/>
      <c r="D475" s="1"/>
      <c r="E475" s="48"/>
      <c r="F475" s="48"/>
      <c r="G475" s="2"/>
      <c r="H475" s="48"/>
      <c r="I475" s="2"/>
      <c r="J475" s="2"/>
      <c r="K475" s="2"/>
      <c r="L475" s="2"/>
      <c r="M475" s="2"/>
      <c r="N475" s="2"/>
      <c r="O475" s="95"/>
      <c r="P475" s="95"/>
      <c r="Q475" s="95"/>
      <c r="R475" s="95"/>
      <c r="AE475" s="95"/>
      <c r="AF475" s="95"/>
      <c r="AG475" s="95"/>
      <c r="AH475" s="2"/>
      <c r="AI475" s="2"/>
      <c r="AJ475" s="2"/>
      <c r="AK475" s="2"/>
    </row>
    <row r="476" spans="1:37" ht="15.75" customHeight="1" x14ac:dyDescent="0.2">
      <c r="A476" s="1"/>
      <c r="B476" s="2"/>
      <c r="C476" s="1"/>
      <c r="D476" s="1"/>
      <c r="E476" s="48"/>
      <c r="F476" s="48"/>
      <c r="G476" s="2"/>
      <c r="H476" s="48"/>
      <c r="I476" s="2"/>
      <c r="J476" s="2"/>
      <c r="K476" s="2"/>
      <c r="L476" s="2"/>
      <c r="M476" s="2"/>
      <c r="N476" s="2"/>
      <c r="O476" s="95"/>
      <c r="P476" s="95"/>
      <c r="Q476" s="95"/>
      <c r="R476" s="95"/>
      <c r="AE476" s="95"/>
      <c r="AF476" s="95"/>
      <c r="AG476" s="95"/>
      <c r="AH476" s="2"/>
      <c r="AI476" s="2"/>
      <c r="AJ476" s="2"/>
      <c r="AK476" s="2"/>
    </row>
    <row r="477" spans="1:37" ht="15.75" customHeight="1" x14ac:dyDescent="0.2">
      <c r="A477" s="1"/>
      <c r="B477" s="2"/>
      <c r="C477" s="1"/>
      <c r="D477" s="1"/>
      <c r="E477" s="48"/>
      <c r="F477" s="48"/>
      <c r="G477" s="2"/>
      <c r="H477" s="48"/>
      <c r="I477" s="2"/>
      <c r="J477" s="2"/>
      <c r="K477" s="2"/>
      <c r="L477" s="2"/>
      <c r="M477" s="2"/>
      <c r="N477" s="2"/>
      <c r="O477" s="95"/>
      <c r="P477" s="95"/>
      <c r="Q477" s="95"/>
      <c r="R477" s="95"/>
      <c r="AE477" s="95"/>
      <c r="AF477" s="95"/>
      <c r="AG477" s="95"/>
      <c r="AH477" s="2"/>
      <c r="AI477" s="2"/>
      <c r="AJ477" s="2"/>
      <c r="AK477" s="2"/>
    </row>
    <row r="478" spans="1:37" ht="15.75" customHeight="1" x14ac:dyDescent="0.2">
      <c r="A478" s="1"/>
      <c r="B478" s="2"/>
      <c r="C478" s="1"/>
      <c r="D478" s="1"/>
      <c r="E478" s="48"/>
      <c r="F478" s="48"/>
      <c r="G478" s="2"/>
      <c r="H478" s="48"/>
      <c r="I478" s="2"/>
      <c r="J478" s="2"/>
      <c r="K478" s="2"/>
      <c r="L478" s="2"/>
      <c r="M478" s="2"/>
      <c r="N478" s="2"/>
      <c r="O478" s="95"/>
      <c r="P478" s="95"/>
      <c r="Q478" s="95"/>
      <c r="R478" s="95"/>
      <c r="AE478" s="95"/>
      <c r="AF478" s="95"/>
      <c r="AG478" s="95"/>
      <c r="AH478" s="2"/>
      <c r="AI478" s="2"/>
      <c r="AJ478" s="2"/>
      <c r="AK478" s="2"/>
    </row>
    <row r="479" spans="1:37" ht="15.75" customHeight="1" x14ac:dyDescent="0.2">
      <c r="A479" s="1"/>
      <c r="B479" s="2"/>
      <c r="C479" s="1"/>
      <c r="D479" s="1"/>
      <c r="E479" s="48"/>
      <c r="F479" s="48"/>
      <c r="G479" s="2"/>
      <c r="H479" s="48"/>
      <c r="I479" s="2"/>
      <c r="J479" s="2"/>
      <c r="K479" s="2"/>
      <c r="L479" s="2"/>
      <c r="M479" s="2"/>
      <c r="N479" s="2"/>
      <c r="O479" s="95"/>
      <c r="P479" s="95"/>
      <c r="Q479" s="95"/>
      <c r="R479" s="95"/>
      <c r="AE479" s="95"/>
      <c r="AF479" s="95"/>
      <c r="AG479" s="95"/>
      <c r="AH479" s="2"/>
      <c r="AI479" s="2"/>
      <c r="AJ479" s="2"/>
      <c r="AK479" s="2"/>
    </row>
    <row r="480" spans="1:37" ht="15.75" customHeight="1" x14ac:dyDescent="0.2">
      <c r="A480" s="1"/>
      <c r="B480" s="2"/>
      <c r="C480" s="1"/>
      <c r="D480" s="1"/>
      <c r="E480" s="48"/>
      <c r="F480" s="48"/>
      <c r="G480" s="2"/>
      <c r="H480" s="48"/>
      <c r="I480" s="2"/>
      <c r="J480" s="2"/>
      <c r="K480" s="2"/>
      <c r="L480" s="2"/>
      <c r="M480" s="2"/>
      <c r="N480" s="2"/>
      <c r="O480" s="95"/>
      <c r="P480" s="95"/>
      <c r="Q480" s="95"/>
      <c r="R480" s="95"/>
      <c r="AE480" s="95"/>
      <c r="AF480" s="95"/>
      <c r="AG480" s="95"/>
      <c r="AH480" s="2"/>
      <c r="AI480" s="2"/>
      <c r="AJ480" s="2"/>
      <c r="AK480" s="2"/>
    </row>
    <row r="481" spans="1:37" ht="15.75" customHeight="1" x14ac:dyDescent="0.2">
      <c r="A481" s="1"/>
      <c r="B481" s="2"/>
      <c r="C481" s="1"/>
      <c r="D481" s="1"/>
      <c r="E481" s="48"/>
      <c r="F481" s="48"/>
      <c r="G481" s="2"/>
      <c r="H481" s="48"/>
      <c r="I481" s="2"/>
      <c r="J481" s="2"/>
      <c r="K481" s="2"/>
      <c r="L481" s="2"/>
      <c r="M481" s="2"/>
      <c r="N481" s="2"/>
      <c r="O481" s="95"/>
      <c r="P481" s="95"/>
      <c r="Q481" s="95"/>
      <c r="R481" s="95"/>
      <c r="AE481" s="95"/>
      <c r="AF481" s="95"/>
      <c r="AG481" s="95"/>
      <c r="AH481" s="2"/>
      <c r="AI481" s="2"/>
      <c r="AJ481" s="2"/>
      <c r="AK481" s="2"/>
    </row>
    <row r="482" spans="1:37" ht="15.75" customHeight="1" x14ac:dyDescent="0.2">
      <c r="A482" s="1"/>
      <c r="B482" s="2"/>
      <c r="C482" s="1"/>
      <c r="D482" s="1"/>
      <c r="E482" s="48"/>
      <c r="F482" s="48"/>
      <c r="G482" s="2"/>
      <c r="H482" s="48"/>
      <c r="I482" s="2"/>
      <c r="J482" s="2"/>
      <c r="K482" s="2"/>
      <c r="L482" s="2"/>
      <c r="M482" s="2"/>
      <c r="N482" s="2"/>
      <c r="O482" s="95"/>
      <c r="P482" s="95"/>
      <c r="Q482" s="95"/>
      <c r="R482" s="95"/>
      <c r="AE482" s="95"/>
      <c r="AF482" s="95"/>
      <c r="AG482" s="95"/>
      <c r="AH482" s="2"/>
      <c r="AI482" s="2"/>
      <c r="AJ482" s="2"/>
      <c r="AK482" s="2"/>
    </row>
    <row r="483" spans="1:37" ht="15.75" customHeight="1" x14ac:dyDescent="0.2">
      <c r="A483" s="1"/>
      <c r="B483" s="2"/>
      <c r="C483" s="1"/>
      <c r="D483" s="1"/>
      <c r="E483" s="48"/>
      <c r="F483" s="48"/>
      <c r="G483" s="2"/>
      <c r="H483" s="48"/>
      <c r="I483" s="2"/>
      <c r="J483" s="2"/>
      <c r="K483" s="2"/>
      <c r="L483" s="2"/>
      <c r="M483" s="2"/>
      <c r="N483" s="2"/>
      <c r="O483" s="95"/>
      <c r="P483" s="95"/>
      <c r="Q483" s="95"/>
      <c r="R483" s="95"/>
      <c r="AE483" s="95"/>
      <c r="AF483" s="95"/>
      <c r="AG483" s="95"/>
      <c r="AH483" s="2"/>
      <c r="AI483" s="2"/>
      <c r="AJ483" s="2"/>
      <c r="AK483" s="2"/>
    </row>
    <row r="484" spans="1:37" ht="15.75" customHeight="1" x14ac:dyDescent="0.2">
      <c r="A484" s="1"/>
      <c r="B484" s="2"/>
      <c r="C484" s="1"/>
      <c r="D484" s="1"/>
      <c r="E484" s="48"/>
      <c r="F484" s="48"/>
      <c r="G484" s="2"/>
      <c r="H484" s="48"/>
      <c r="I484" s="2"/>
      <c r="J484" s="2"/>
      <c r="K484" s="2"/>
      <c r="L484" s="2"/>
      <c r="M484" s="2"/>
      <c r="N484" s="2"/>
      <c r="O484" s="95"/>
      <c r="P484" s="95"/>
      <c r="Q484" s="95"/>
      <c r="R484" s="95"/>
      <c r="AE484" s="95"/>
      <c r="AF484" s="95"/>
      <c r="AG484" s="95"/>
      <c r="AH484" s="2"/>
      <c r="AI484" s="2"/>
      <c r="AJ484" s="2"/>
      <c r="AK484" s="2"/>
    </row>
    <row r="485" spans="1:37" ht="15.75" customHeight="1" x14ac:dyDescent="0.2">
      <c r="A485" s="1"/>
      <c r="B485" s="2"/>
      <c r="C485" s="1"/>
      <c r="D485" s="1"/>
      <c r="E485" s="48"/>
      <c r="F485" s="48"/>
      <c r="G485" s="2"/>
      <c r="H485" s="48"/>
      <c r="I485" s="2"/>
      <c r="J485" s="2"/>
      <c r="K485" s="2"/>
      <c r="L485" s="2"/>
      <c r="M485" s="2"/>
      <c r="N485" s="2"/>
      <c r="O485" s="95"/>
      <c r="P485" s="95"/>
      <c r="Q485" s="95"/>
      <c r="R485" s="95"/>
      <c r="AE485" s="95"/>
      <c r="AF485" s="95"/>
      <c r="AG485" s="95"/>
      <c r="AH485" s="2"/>
      <c r="AI485" s="2"/>
      <c r="AJ485" s="2"/>
      <c r="AK485" s="2"/>
    </row>
    <row r="486" spans="1:37" ht="15.75" customHeight="1" x14ac:dyDescent="0.2">
      <c r="A486" s="1"/>
      <c r="B486" s="2"/>
      <c r="C486" s="1"/>
      <c r="D486" s="1"/>
      <c r="E486" s="48"/>
      <c r="F486" s="48"/>
      <c r="G486" s="2"/>
      <c r="H486" s="48"/>
      <c r="I486" s="2"/>
      <c r="J486" s="2"/>
      <c r="K486" s="2"/>
      <c r="L486" s="2"/>
      <c r="M486" s="2"/>
      <c r="N486" s="2"/>
      <c r="O486" s="95"/>
      <c r="P486" s="95"/>
      <c r="Q486" s="95"/>
      <c r="R486" s="95"/>
      <c r="AE486" s="95"/>
      <c r="AF486" s="95"/>
      <c r="AG486" s="95"/>
      <c r="AH486" s="2"/>
      <c r="AI486" s="2"/>
      <c r="AJ486" s="2"/>
      <c r="AK486" s="2"/>
    </row>
    <row r="487" spans="1:37" ht="15.75" customHeight="1" x14ac:dyDescent="0.2">
      <c r="A487" s="1"/>
      <c r="B487" s="2"/>
      <c r="C487" s="1"/>
      <c r="D487" s="1"/>
      <c r="E487" s="48"/>
      <c r="F487" s="48"/>
      <c r="G487" s="2"/>
      <c r="H487" s="48"/>
      <c r="I487" s="2"/>
      <c r="J487" s="2"/>
      <c r="K487" s="2"/>
      <c r="L487" s="2"/>
      <c r="M487" s="2"/>
      <c r="N487" s="2"/>
      <c r="O487" s="95"/>
      <c r="P487" s="95"/>
      <c r="Q487" s="95"/>
      <c r="R487" s="95"/>
      <c r="AE487" s="95"/>
      <c r="AF487" s="95"/>
      <c r="AG487" s="95"/>
      <c r="AH487" s="2"/>
      <c r="AI487" s="2"/>
      <c r="AJ487" s="2"/>
      <c r="AK487" s="2"/>
    </row>
    <row r="488" spans="1:37" ht="15.75" customHeight="1" x14ac:dyDescent="0.2">
      <c r="A488" s="1"/>
      <c r="B488" s="2"/>
      <c r="C488" s="1"/>
      <c r="D488" s="1"/>
      <c r="E488" s="48"/>
      <c r="F488" s="48"/>
      <c r="G488" s="2"/>
      <c r="H488" s="48"/>
      <c r="I488" s="2"/>
      <c r="J488" s="2"/>
      <c r="K488" s="2"/>
      <c r="L488" s="2"/>
      <c r="M488" s="2"/>
      <c r="N488" s="2"/>
      <c r="O488" s="95"/>
      <c r="P488" s="95"/>
      <c r="Q488" s="95"/>
      <c r="R488" s="95"/>
      <c r="AE488" s="95"/>
      <c r="AF488" s="95"/>
      <c r="AG488" s="95"/>
      <c r="AH488" s="2"/>
      <c r="AI488" s="2"/>
      <c r="AJ488" s="2"/>
      <c r="AK488" s="2"/>
    </row>
    <row r="489" spans="1:37" ht="15.75" customHeight="1" x14ac:dyDescent="0.2">
      <c r="A489" s="1"/>
      <c r="B489" s="2"/>
      <c r="C489" s="1"/>
      <c r="D489" s="1"/>
      <c r="E489" s="48"/>
      <c r="F489" s="48"/>
      <c r="G489" s="2"/>
      <c r="H489" s="48"/>
      <c r="I489" s="2"/>
      <c r="J489" s="2"/>
      <c r="K489" s="2"/>
      <c r="L489" s="2"/>
      <c r="M489" s="2"/>
      <c r="N489" s="2"/>
      <c r="O489" s="95"/>
      <c r="P489" s="95"/>
      <c r="Q489" s="95"/>
      <c r="R489" s="95"/>
      <c r="AE489" s="95"/>
      <c r="AF489" s="95"/>
      <c r="AG489" s="95"/>
      <c r="AH489" s="2"/>
      <c r="AI489" s="2"/>
      <c r="AJ489" s="2"/>
      <c r="AK489" s="2"/>
    </row>
    <row r="490" spans="1:37" ht="15.75" customHeight="1" x14ac:dyDescent="0.2">
      <c r="A490" s="1"/>
      <c r="B490" s="2"/>
      <c r="C490" s="1"/>
      <c r="D490" s="1"/>
      <c r="E490" s="48"/>
      <c r="F490" s="48"/>
      <c r="G490" s="2"/>
      <c r="H490" s="48"/>
      <c r="I490" s="2"/>
      <c r="J490" s="2"/>
      <c r="K490" s="2"/>
      <c r="L490" s="2"/>
      <c r="M490" s="2"/>
      <c r="N490" s="2"/>
      <c r="O490" s="95"/>
      <c r="P490" s="95"/>
      <c r="Q490" s="95"/>
      <c r="R490" s="95"/>
      <c r="AE490" s="95"/>
      <c r="AF490" s="95"/>
      <c r="AG490" s="95"/>
      <c r="AH490" s="2"/>
      <c r="AI490" s="2"/>
      <c r="AJ490" s="2"/>
      <c r="AK490" s="2"/>
    </row>
    <row r="491" spans="1:37" ht="15.75" customHeight="1" x14ac:dyDescent="0.2">
      <c r="A491" s="1"/>
      <c r="B491" s="2"/>
      <c r="C491" s="1"/>
      <c r="D491" s="1"/>
      <c r="E491" s="48"/>
      <c r="F491" s="48"/>
      <c r="G491" s="2"/>
      <c r="H491" s="48"/>
      <c r="I491" s="2"/>
      <c r="J491" s="2"/>
      <c r="K491" s="2"/>
      <c r="L491" s="2"/>
      <c r="M491" s="2"/>
      <c r="N491" s="2"/>
      <c r="O491" s="95"/>
      <c r="P491" s="95"/>
      <c r="Q491" s="95"/>
      <c r="R491" s="95"/>
      <c r="AE491" s="95"/>
      <c r="AF491" s="95"/>
      <c r="AG491" s="95"/>
      <c r="AH491" s="2"/>
      <c r="AI491" s="2"/>
      <c r="AJ491" s="2"/>
      <c r="AK491" s="2"/>
    </row>
    <row r="492" spans="1:37" ht="15.75" customHeight="1" x14ac:dyDescent="0.2">
      <c r="A492" s="1"/>
      <c r="B492" s="2"/>
      <c r="C492" s="1"/>
      <c r="D492" s="1"/>
      <c r="E492" s="48"/>
      <c r="F492" s="48"/>
      <c r="G492" s="2"/>
      <c r="H492" s="48"/>
      <c r="I492" s="2"/>
      <c r="J492" s="2"/>
      <c r="K492" s="2"/>
      <c r="L492" s="2"/>
      <c r="M492" s="2"/>
      <c r="N492" s="2"/>
      <c r="O492" s="95"/>
      <c r="P492" s="95"/>
      <c r="Q492" s="95"/>
      <c r="R492" s="95"/>
      <c r="AE492" s="95"/>
      <c r="AF492" s="95"/>
      <c r="AG492" s="95"/>
      <c r="AH492" s="2"/>
      <c r="AI492" s="2"/>
      <c r="AJ492" s="2"/>
      <c r="AK492" s="2"/>
    </row>
    <row r="493" spans="1:37" ht="15.75" customHeight="1" x14ac:dyDescent="0.2">
      <c r="A493" s="1"/>
      <c r="B493" s="2"/>
      <c r="C493" s="1"/>
      <c r="D493" s="1"/>
      <c r="E493" s="48"/>
      <c r="F493" s="48"/>
      <c r="G493" s="2"/>
      <c r="H493" s="48"/>
      <c r="I493" s="2"/>
      <c r="J493" s="2"/>
      <c r="K493" s="2"/>
      <c r="L493" s="2"/>
      <c r="M493" s="2"/>
      <c r="N493" s="2"/>
      <c r="O493" s="95"/>
      <c r="P493" s="95"/>
      <c r="Q493" s="95"/>
      <c r="R493" s="95"/>
      <c r="AE493" s="95"/>
      <c r="AF493" s="95"/>
      <c r="AG493" s="95"/>
      <c r="AH493" s="2"/>
      <c r="AI493" s="2"/>
      <c r="AJ493" s="2"/>
      <c r="AK493" s="2"/>
    </row>
    <row r="494" spans="1:37" ht="15.75" customHeight="1" x14ac:dyDescent="0.2">
      <c r="A494" s="1"/>
      <c r="B494" s="2"/>
      <c r="C494" s="1"/>
      <c r="D494" s="1"/>
      <c r="E494" s="48"/>
      <c r="F494" s="48"/>
      <c r="G494" s="2"/>
      <c r="H494" s="48"/>
      <c r="I494" s="2"/>
      <c r="J494" s="2"/>
      <c r="K494" s="2"/>
      <c r="L494" s="2"/>
      <c r="M494" s="2"/>
      <c r="N494" s="2"/>
      <c r="O494" s="95"/>
      <c r="P494" s="95"/>
      <c r="Q494" s="95"/>
      <c r="R494" s="95"/>
      <c r="AE494" s="95"/>
      <c r="AF494" s="95"/>
      <c r="AG494" s="95"/>
      <c r="AH494" s="2"/>
      <c r="AI494" s="2"/>
      <c r="AJ494" s="2"/>
      <c r="AK494" s="2"/>
    </row>
    <row r="495" spans="1:37" ht="15.75" customHeight="1" x14ac:dyDescent="0.2">
      <c r="A495" s="1"/>
      <c r="B495" s="2"/>
      <c r="C495" s="1"/>
      <c r="D495" s="1"/>
      <c r="E495" s="48"/>
      <c r="F495" s="48"/>
      <c r="G495" s="2"/>
      <c r="H495" s="48"/>
      <c r="I495" s="2"/>
      <c r="J495" s="2"/>
      <c r="K495" s="2"/>
      <c r="L495" s="2"/>
      <c r="M495" s="2"/>
      <c r="N495" s="2"/>
      <c r="O495" s="95"/>
      <c r="P495" s="95"/>
      <c r="Q495" s="95"/>
      <c r="R495" s="95"/>
      <c r="AE495" s="95"/>
      <c r="AF495" s="95"/>
      <c r="AG495" s="95"/>
      <c r="AH495" s="2"/>
      <c r="AI495" s="2"/>
      <c r="AJ495" s="2"/>
      <c r="AK495" s="2"/>
    </row>
    <row r="496" spans="1:37" ht="15.75" customHeight="1" x14ac:dyDescent="0.2">
      <c r="A496" s="1"/>
      <c r="B496" s="2"/>
      <c r="C496" s="1"/>
      <c r="D496" s="1"/>
      <c r="E496" s="48"/>
      <c r="F496" s="48"/>
      <c r="G496" s="2"/>
      <c r="H496" s="48"/>
      <c r="I496" s="2"/>
      <c r="J496" s="2"/>
      <c r="K496" s="2"/>
      <c r="L496" s="2"/>
      <c r="M496" s="2"/>
      <c r="N496" s="2"/>
      <c r="O496" s="95"/>
      <c r="P496" s="95"/>
      <c r="Q496" s="95"/>
      <c r="R496" s="95"/>
      <c r="AE496" s="95"/>
      <c r="AF496" s="95"/>
      <c r="AG496" s="95"/>
      <c r="AH496" s="2"/>
      <c r="AI496" s="2"/>
      <c r="AJ496" s="2"/>
      <c r="AK496" s="2"/>
    </row>
    <row r="497" spans="1:37" ht="15.75" customHeight="1" x14ac:dyDescent="0.2">
      <c r="A497" s="1"/>
      <c r="B497" s="2"/>
      <c r="C497" s="1"/>
      <c r="D497" s="1"/>
      <c r="E497" s="48"/>
      <c r="F497" s="48"/>
      <c r="G497" s="2"/>
      <c r="H497" s="48"/>
      <c r="I497" s="2"/>
      <c r="J497" s="2"/>
      <c r="K497" s="2"/>
      <c r="L497" s="2"/>
      <c r="M497" s="2"/>
      <c r="N497" s="2"/>
      <c r="O497" s="95"/>
      <c r="P497" s="95"/>
      <c r="Q497" s="95"/>
      <c r="R497" s="95"/>
      <c r="AE497" s="95"/>
      <c r="AF497" s="95"/>
      <c r="AG497" s="95"/>
      <c r="AH497" s="2"/>
      <c r="AI497" s="2"/>
      <c r="AJ497" s="2"/>
      <c r="AK497" s="2"/>
    </row>
    <row r="498" spans="1:37" ht="15.75" customHeight="1" x14ac:dyDescent="0.2">
      <c r="A498" s="1"/>
      <c r="B498" s="2"/>
      <c r="C498" s="1"/>
      <c r="D498" s="1"/>
      <c r="E498" s="48"/>
      <c r="F498" s="48"/>
      <c r="G498" s="2"/>
      <c r="H498" s="48"/>
      <c r="I498" s="2"/>
      <c r="J498" s="2"/>
      <c r="K498" s="2"/>
      <c r="L498" s="2"/>
      <c r="M498" s="2"/>
      <c r="N498" s="2"/>
      <c r="O498" s="95"/>
      <c r="P498" s="95"/>
      <c r="Q498" s="95"/>
      <c r="R498" s="95"/>
      <c r="AE498" s="95"/>
      <c r="AF498" s="95"/>
      <c r="AG498" s="95"/>
      <c r="AH498" s="2"/>
      <c r="AI498" s="2"/>
      <c r="AJ498" s="2"/>
      <c r="AK498" s="2"/>
    </row>
    <row r="499" spans="1:37" ht="15.75" customHeight="1" x14ac:dyDescent="0.2">
      <c r="A499" s="1"/>
      <c r="B499" s="2"/>
      <c r="C499" s="1"/>
      <c r="D499" s="1"/>
      <c r="E499" s="48"/>
      <c r="F499" s="48"/>
      <c r="G499" s="2"/>
      <c r="H499" s="48"/>
      <c r="I499" s="2"/>
      <c r="J499" s="2"/>
      <c r="K499" s="2"/>
      <c r="L499" s="2"/>
      <c r="M499" s="2"/>
      <c r="N499" s="2"/>
      <c r="O499" s="95"/>
      <c r="P499" s="95"/>
      <c r="Q499" s="95"/>
      <c r="R499" s="95"/>
      <c r="AE499" s="95"/>
      <c r="AF499" s="95"/>
      <c r="AG499" s="95"/>
      <c r="AH499" s="2"/>
      <c r="AI499" s="2"/>
      <c r="AJ499" s="2"/>
      <c r="AK499" s="2"/>
    </row>
    <row r="500" spans="1:37" ht="15.75" customHeight="1" x14ac:dyDescent="0.2">
      <c r="A500" s="1"/>
      <c r="B500" s="2"/>
      <c r="C500" s="1"/>
      <c r="D500" s="1"/>
      <c r="E500" s="48"/>
      <c r="F500" s="48"/>
      <c r="G500" s="2"/>
      <c r="H500" s="48"/>
      <c r="I500" s="2"/>
      <c r="J500" s="2"/>
      <c r="K500" s="2"/>
      <c r="L500" s="2"/>
      <c r="M500" s="2"/>
      <c r="N500" s="2"/>
      <c r="O500" s="95"/>
      <c r="P500" s="95"/>
      <c r="Q500" s="95"/>
      <c r="R500" s="95"/>
      <c r="AE500" s="95"/>
      <c r="AF500" s="95"/>
      <c r="AG500" s="95"/>
      <c r="AH500" s="2"/>
      <c r="AI500" s="2"/>
      <c r="AJ500" s="2"/>
      <c r="AK500" s="2"/>
    </row>
    <row r="501" spans="1:37" ht="15.75" customHeight="1" x14ac:dyDescent="0.2">
      <c r="A501" s="1"/>
      <c r="B501" s="2"/>
      <c r="C501" s="1"/>
      <c r="D501" s="1"/>
      <c r="E501" s="48"/>
      <c r="F501" s="48"/>
      <c r="G501" s="2"/>
      <c r="H501" s="48"/>
      <c r="I501" s="2"/>
      <c r="J501" s="2"/>
      <c r="K501" s="2"/>
      <c r="L501" s="2"/>
      <c r="M501" s="2"/>
      <c r="N501" s="2"/>
      <c r="O501" s="95"/>
      <c r="P501" s="95"/>
      <c r="Q501" s="95"/>
      <c r="R501" s="95"/>
      <c r="AE501" s="95"/>
      <c r="AF501" s="95"/>
      <c r="AG501" s="95"/>
      <c r="AH501" s="2"/>
      <c r="AI501" s="2"/>
      <c r="AJ501" s="2"/>
      <c r="AK501" s="2"/>
    </row>
    <row r="502" spans="1:37" ht="15.75" customHeight="1" x14ac:dyDescent="0.2">
      <c r="A502" s="1"/>
      <c r="B502" s="2"/>
      <c r="C502" s="1"/>
      <c r="D502" s="1"/>
      <c r="E502" s="48"/>
      <c r="F502" s="48"/>
      <c r="G502" s="2"/>
      <c r="H502" s="48"/>
      <c r="I502" s="2"/>
      <c r="J502" s="2"/>
      <c r="K502" s="2"/>
      <c r="L502" s="2"/>
      <c r="M502" s="2"/>
      <c r="N502" s="2"/>
      <c r="O502" s="95"/>
      <c r="P502" s="95"/>
      <c r="Q502" s="95"/>
      <c r="R502" s="95"/>
      <c r="AE502" s="95"/>
      <c r="AF502" s="95"/>
      <c r="AG502" s="95"/>
      <c r="AH502" s="2"/>
      <c r="AI502" s="2"/>
      <c r="AJ502" s="2"/>
      <c r="AK502" s="2"/>
    </row>
    <row r="503" spans="1:37" ht="15.75" customHeight="1" x14ac:dyDescent="0.2">
      <c r="A503" s="1"/>
      <c r="B503" s="2"/>
      <c r="C503" s="1"/>
      <c r="D503" s="1"/>
      <c r="E503" s="48"/>
      <c r="F503" s="48"/>
      <c r="G503" s="2"/>
      <c r="H503" s="48"/>
      <c r="I503" s="2"/>
      <c r="J503" s="2"/>
      <c r="K503" s="2"/>
      <c r="L503" s="2"/>
      <c r="M503" s="2"/>
      <c r="N503" s="2"/>
      <c r="O503" s="95"/>
      <c r="P503" s="95"/>
      <c r="Q503" s="95"/>
      <c r="R503" s="95"/>
      <c r="AE503" s="95"/>
      <c r="AF503" s="95"/>
      <c r="AG503" s="95"/>
      <c r="AH503" s="2"/>
      <c r="AI503" s="2"/>
      <c r="AJ503" s="2"/>
      <c r="AK503" s="2"/>
    </row>
    <row r="504" spans="1:37" ht="15.75" customHeight="1" x14ac:dyDescent="0.2">
      <c r="A504" s="1"/>
      <c r="B504" s="2"/>
      <c r="C504" s="1"/>
      <c r="D504" s="1"/>
      <c r="E504" s="48"/>
      <c r="F504" s="48"/>
      <c r="G504" s="2"/>
      <c r="H504" s="48"/>
      <c r="I504" s="2"/>
      <c r="J504" s="2"/>
      <c r="K504" s="2"/>
      <c r="L504" s="2"/>
      <c r="M504" s="2"/>
      <c r="N504" s="2"/>
      <c r="O504" s="95"/>
      <c r="P504" s="95"/>
      <c r="Q504" s="95"/>
      <c r="R504" s="95"/>
      <c r="AE504" s="95"/>
      <c r="AF504" s="95"/>
      <c r="AG504" s="95"/>
      <c r="AH504" s="2"/>
      <c r="AI504" s="2"/>
      <c r="AJ504" s="2"/>
      <c r="AK504" s="2"/>
    </row>
    <row r="505" spans="1:37" ht="15.75" customHeight="1" x14ac:dyDescent="0.2">
      <c r="A505" s="1"/>
      <c r="B505" s="2"/>
      <c r="C505" s="1"/>
      <c r="D505" s="1"/>
      <c r="E505" s="48"/>
      <c r="F505" s="48"/>
      <c r="G505" s="2"/>
      <c r="H505" s="48"/>
      <c r="I505" s="2"/>
      <c r="J505" s="2"/>
      <c r="K505" s="2"/>
      <c r="L505" s="2"/>
      <c r="M505" s="2"/>
      <c r="N505" s="2"/>
      <c r="O505" s="95"/>
      <c r="P505" s="95"/>
      <c r="Q505" s="95"/>
      <c r="R505" s="95"/>
      <c r="AE505" s="95"/>
      <c r="AF505" s="95"/>
      <c r="AG505" s="95"/>
      <c r="AH505" s="2"/>
      <c r="AI505" s="2"/>
      <c r="AJ505" s="2"/>
      <c r="AK505" s="2"/>
    </row>
    <row r="506" spans="1:37" ht="15.75" customHeight="1" x14ac:dyDescent="0.2">
      <c r="A506" s="1"/>
      <c r="B506" s="2"/>
      <c r="C506" s="1"/>
      <c r="D506" s="1"/>
      <c r="E506" s="48"/>
      <c r="F506" s="48"/>
      <c r="G506" s="2"/>
      <c r="H506" s="48"/>
      <c r="I506" s="2"/>
      <c r="J506" s="2"/>
      <c r="K506" s="2"/>
      <c r="L506" s="2"/>
      <c r="M506" s="2"/>
      <c r="N506" s="2"/>
      <c r="O506" s="95"/>
      <c r="P506" s="95"/>
      <c r="Q506" s="95"/>
      <c r="R506" s="95"/>
      <c r="AE506" s="95"/>
      <c r="AF506" s="95"/>
      <c r="AG506" s="95"/>
      <c r="AH506" s="2"/>
      <c r="AI506" s="2"/>
      <c r="AJ506" s="2"/>
      <c r="AK506" s="2"/>
    </row>
    <row r="507" spans="1:37" ht="15.75" customHeight="1" x14ac:dyDescent="0.2">
      <c r="A507" s="1"/>
      <c r="B507" s="2"/>
      <c r="C507" s="1"/>
      <c r="D507" s="1"/>
      <c r="E507" s="48"/>
      <c r="F507" s="48"/>
      <c r="G507" s="2"/>
      <c r="H507" s="48"/>
      <c r="I507" s="2"/>
      <c r="J507" s="2"/>
      <c r="K507" s="2"/>
      <c r="L507" s="2"/>
      <c r="M507" s="2"/>
      <c r="N507" s="2"/>
      <c r="O507" s="95"/>
      <c r="P507" s="95"/>
      <c r="Q507" s="95"/>
      <c r="R507" s="95"/>
      <c r="AE507" s="95"/>
      <c r="AF507" s="95"/>
      <c r="AG507" s="95"/>
      <c r="AH507" s="2"/>
      <c r="AI507" s="2"/>
      <c r="AJ507" s="2"/>
      <c r="AK507" s="2"/>
    </row>
    <row r="508" spans="1:37" ht="15.75" customHeight="1" x14ac:dyDescent="0.2">
      <c r="A508" s="1"/>
      <c r="B508" s="2"/>
      <c r="C508" s="1"/>
      <c r="D508" s="1"/>
      <c r="E508" s="48"/>
      <c r="F508" s="48"/>
      <c r="G508" s="2"/>
      <c r="H508" s="48"/>
      <c r="I508" s="2"/>
      <c r="J508" s="2"/>
      <c r="K508" s="2"/>
      <c r="L508" s="2"/>
      <c r="M508" s="2"/>
      <c r="N508" s="2"/>
      <c r="O508" s="95"/>
      <c r="P508" s="95"/>
      <c r="Q508" s="95"/>
      <c r="R508" s="95"/>
      <c r="AE508" s="95"/>
      <c r="AF508" s="95"/>
      <c r="AG508" s="95"/>
      <c r="AH508" s="2"/>
      <c r="AI508" s="2"/>
      <c r="AJ508" s="2"/>
      <c r="AK508" s="2"/>
    </row>
    <row r="509" spans="1:37" ht="15.75" customHeight="1" x14ac:dyDescent="0.2">
      <c r="A509" s="1"/>
      <c r="B509" s="2"/>
      <c r="C509" s="1"/>
      <c r="D509" s="1"/>
      <c r="E509" s="48"/>
      <c r="F509" s="48"/>
      <c r="G509" s="2"/>
      <c r="H509" s="48"/>
      <c r="I509" s="2"/>
      <c r="J509" s="2"/>
      <c r="K509" s="2"/>
      <c r="L509" s="2"/>
      <c r="M509" s="2"/>
      <c r="N509" s="2"/>
      <c r="O509" s="95"/>
      <c r="P509" s="95"/>
      <c r="Q509" s="95"/>
      <c r="R509" s="95"/>
      <c r="AE509" s="95"/>
      <c r="AF509" s="95"/>
      <c r="AG509" s="95"/>
      <c r="AH509" s="2"/>
      <c r="AI509" s="2"/>
      <c r="AJ509" s="2"/>
      <c r="AK509" s="2"/>
    </row>
    <row r="510" spans="1:37" ht="15.75" customHeight="1" x14ac:dyDescent="0.2">
      <c r="A510" s="1"/>
      <c r="B510" s="2"/>
      <c r="C510" s="1"/>
      <c r="D510" s="1"/>
      <c r="E510" s="48"/>
      <c r="F510" s="48"/>
      <c r="G510" s="2"/>
      <c r="H510" s="48"/>
      <c r="I510" s="2"/>
      <c r="J510" s="2"/>
      <c r="K510" s="2"/>
      <c r="L510" s="2"/>
      <c r="M510" s="2"/>
      <c r="N510" s="2"/>
      <c r="O510" s="95"/>
      <c r="P510" s="95"/>
      <c r="Q510" s="95"/>
      <c r="R510" s="95"/>
      <c r="AE510" s="95"/>
      <c r="AF510" s="95"/>
      <c r="AG510" s="95"/>
      <c r="AH510" s="2"/>
      <c r="AI510" s="2"/>
      <c r="AJ510" s="2"/>
      <c r="AK510" s="2"/>
    </row>
    <row r="511" spans="1:37" ht="15.75" customHeight="1" x14ac:dyDescent="0.2">
      <c r="A511" s="1"/>
      <c r="B511" s="2"/>
      <c r="C511" s="1"/>
      <c r="D511" s="1"/>
      <c r="E511" s="48"/>
      <c r="F511" s="48"/>
      <c r="G511" s="2"/>
      <c r="H511" s="48"/>
      <c r="I511" s="2"/>
      <c r="J511" s="2"/>
      <c r="K511" s="2"/>
      <c r="L511" s="2"/>
      <c r="M511" s="2"/>
      <c r="N511" s="2"/>
      <c r="O511" s="95"/>
      <c r="P511" s="95"/>
      <c r="Q511" s="95"/>
      <c r="R511" s="95"/>
      <c r="AE511" s="95"/>
      <c r="AF511" s="95"/>
      <c r="AG511" s="95"/>
      <c r="AH511" s="2"/>
      <c r="AI511" s="2"/>
      <c r="AJ511" s="2"/>
      <c r="AK511" s="2"/>
    </row>
    <row r="512" spans="1:37" ht="15.75" customHeight="1" x14ac:dyDescent="0.2">
      <c r="A512" s="1"/>
      <c r="B512" s="2"/>
      <c r="C512" s="1"/>
      <c r="D512" s="1"/>
      <c r="E512" s="48"/>
      <c r="F512" s="48"/>
      <c r="G512" s="2"/>
      <c r="H512" s="48"/>
      <c r="I512" s="2"/>
      <c r="J512" s="2"/>
      <c r="K512" s="2"/>
      <c r="L512" s="2"/>
      <c r="M512" s="2"/>
      <c r="N512" s="2"/>
      <c r="O512" s="95"/>
      <c r="P512" s="95"/>
      <c r="Q512" s="95"/>
      <c r="R512" s="95"/>
      <c r="AE512" s="95"/>
      <c r="AF512" s="95"/>
      <c r="AG512" s="95"/>
      <c r="AH512" s="2"/>
      <c r="AI512" s="2"/>
      <c r="AJ512" s="2"/>
      <c r="AK512" s="2"/>
    </row>
    <row r="513" spans="1:37" ht="15.75" customHeight="1" x14ac:dyDescent="0.2">
      <c r="A513" s="1"/>
      <c r="B513" s="2"/>
      <c r="C513" s="1"/>
      <c r="D513" s="1"/>
      <c r="E513" s="48"/>
      <c r="F513" s="48"/>
      <c r="G513" s="2"/>
      <c r="H513" s="48"/>
      <c r="I513" s="2"/>
      <c r="J513" s="2"/>
      <c r="K513" s="2"/>
      <c r="L513" s="2"/>
      <c r="M513" s="2"/>
      <c r="N513" s="2"/>
      <c r="O513" s="95"/>
      <c r="P513" s="95"/>
      <c r="Q513" s="95"/>
      <c r="R513" s="95"/>
      <c r="AE513" s="95"/>
      <c r="AF513" s="95"/>
      <c r="AG513" s="95"/>
      <c r="AH513" s="2"/>
      <c r="AI513" s="2"/>
      <c r="AJ513" s="2"/>
      <c r="AK513" s="2"/>
    </row>
    <row r="514" spans="1:37" ht="15.75" customHeight="1" x14ac:dyDescent="0.2">
      <c r="A514" s="1"/>
      <c r="B514" s="2"/>
      <c r="C514" s="1"/>
      <c r="D514" s="1"/>
      <c r="E514" s="48"/>
      <c r="F514" s="48"/>
      <c r="G514" s="2"/>
      <c r="H514" s="48"/>
      <c r="I514" s="2"/>
      <c r="J514" s="2"/>
      <c r="K514" s="2"/>
      <c r="L514" s="2"/>
      <c r="M514" s="2"/>
      <c r="N514" s="2"/>
      <c r="O514" s="95"/>
      <c r="P514" s="95"/>
      <c r="Q514" s="95"/>
      <c r="R514" s="95"/>
      <c r="AE514" s="95"/>
      <c r="AF514" s="95"/>
      <c r="AG514" s="95"/>
      <c r="AH514" s="2"/>
      <c r="AI514" s="2"/>
      <c r="AJ514" s="2"/>
      <c r="AK514" s="2"/>
    </row>
    <row r="515" spans="1:37" ht="15.75" customHeight="1" x14ac:dyDescent="0.2">
      <c r="A515" s="1"/>
      <c r="B515" s="2"/>
      <c r="C515" s="1"/>
      <c r="D515" s="1"/>
      <c r="E515" s="48"/>
      <c r="F515" s="48"/>
      <c r="G515" s="2"/>
      <c r="H515" s="48"/>
      <c r="I515" s="2"/>
      <c r="J515" s="2"/>
      <c r="K515" s="2"/>
      <c r="L515" s="2"/>
      <c r="M515" s="2"/>
      <c r="N515" s="2"/>
      <c r="O515" s="95"/>
      <c r="P515" s="95"/>
      <c r="Q515" s="95"/>
      <c r="R515" s="95"/>
      <c r="AE515" s="95"/>
      <c r="AF515" s="95"/>
      <c r="AG515" s="95"/>
      <c r="AH515" s="2"/>
      <c r="AI515" s="2"/>
      <c r="AJ515" s="2"/>
      <c r="AK515" s="2"/>
    </row>
    <row r="516" spans="1:37" ht="15.75" customHeight="1" x14ac:dyDescent="0.2">
      <c r="A516" s="1"/>
      <c r="B516" s="2"/>
      <c r="C516" s="1"/>
      <c r="D516" s="1"/>
      <c r="E516" s="48"/>
      <c r="F516" s="48"/>
      <c r="G516" s="2"/>
      <c r="H516" s="48"/>
      <c r="I516" s="2"/>
      <c r="J516" s="2"/>
      <c r="K516" s="2"/>
      <c r="L516" s="2"/>
      <c r="M516" s="2"/>
      <c r="N516" s="2"/>
      <c r="O516" s="95"/>
      <c r="P516" s="95"/>
      <c r="Q516" s="95"/>
      <c r="R516" s="95"/>
      <c r="AE516" s="95"/>
      <c r="AF516" s="95"/>
      <c r="AG516" s="95"/>
      <c r="AH516" s="2"/>
      <c r="AI516" s="2"/>
      <c r="AJ516" s="2"/>
      <c r="AK516" s="2"/>
    </row>
    <row r="517" spans="1:37" ht="15.75" customHeight="1" x14ac:dyDescent="0.2">
      <c r="A517" s="1"/>
      <c r="B517" s="2"/>
      <c r="C517" s="1"/>
      <c r="D517" s="1"/>
      <c r="E517" s="48"/>
      <c r="F517" s="48"/>
      <c r="G517" s="2"/>
      <c r="H517" s="48"/>
      <c r="I517" s="2"/>
      <c r="J517" s="2"/>
      <c r="K517" s="2"/>
      <c r="L517" s="2"/>
      <c r="M517" s="2"/>
      <c r="N517" s="2"/>
      <c r="O517" s="95"/>
      <c r="P517" s="95"/>
      <c r="Q517" s="95"/>
      <c r="R517" s="95"/>
      <c r="AE517" s="95"/>
      <c r="AF517" s="95"/>
      <c r="AG517" s="95"/>
      <c r="AH517" s="2"/>
      <c r="AI517" s="2"/>
      <c r="AJ517" s="2"/>
      <c r="AK517" s="2"/>
    </row>
    <row r="518" spans="1:37" ht="15.75" customHeight="1" x14ac:dyDescent="0.2">
      <c r="A518" s="1"/>
      <c r="B518" s="2"/>
      <c r="C518" s="1"/>
      <c r="D518" s="1"/>
      <c r="E518" s="48"/>
      <c r="F518" s="48"/>
      <c r="G518" s="2"/>
      <c r="H518" s="48"/>
      <c r="I518" s="2"/>
      <c r="J518" s="2"/>
      <c r="K518" s="2"/>
      <c r="L518" s="2"/>
      <c r="M518" s="2"/>
      <c r="N518" s="2"/>
      <c r="O518" s="95"/>
      <c r="P518" s="95"/>
      <c r="Q518" s="95"/>
      <c r="R518" s="95"/>
      <c r="AE518" s="95"/>
      <c r="AF518" s="95"/>
      <c r="AG518" s="95"/>
      <c r="AH518" s="2"/>
      <c r="AI518" s="2"/>
      <c r="AJ518" s="2"/>
      <c r="AK518" s="2"/>
    </row>
    <row r="519" spans="1:37" ht="15.75" customHeight="1" x14ac:dyDescent="0.2">
      <c r="A519" s="1"/>
      <c r="B519" s="2"/>
      <c r="C519" s="1"/>
      <c r="D519" s="1"/>
      <c r="E519" s="48"/>
      <c r="F519" s="48"/>
      <c r="G519" s="2"/>
      <c r="H519" s="48"/>
      <c r="I519" s="2"/>
      <c r="J519" s="2"/>
      <c r="K519" s="2"/>
      <c r="L519" s="2"/>
      <c r="M519" s="2"/>
      <c r="N519" s="2"/>
      <c r="O519" s="95"/>
      <c r="P519" s="95"/>
      <c r="Q519" s="95"/>
      <c r="R519" s="95"/>
      <c r="AE519" s="95"/>
      <c r="AF519" s="95"/>
      <c r="AG519" s="95"/>
      <c r="AH519" s="2"/>
      <c r="AI519" s="2"/>
      <c r="AJ519" s="2"/>
      <c r="AK519" s="2"/>
    </row>
    <row r="520" spans="1:37" ht="15.75" customHeight="1" x14ac:dyDescent="0.2">
      <c r="A520" s="1"/>
      <c r="B520" s="2"/>
      <c r="C520" s="1"/>
      <c r="D520" s="1"/>
      <c r="E520" s="48"/>
      <c r="F520" s="48"/>
      <c r="G520" s="2"/>
      <c r="H520" s="48"/>
      <c r="I520" s="2"/>
      <c r="J520" s="2"/>
      <c r="K520" s="2"/>
      <c r="L520" s="2"/>
      <c r="M520" s="2"/>
      <c r="N520" s="2"/>
      <c r="O520" s="95"/>
      <c r="P520" s="95"/>
      <c r="Q520" s="95"/>
      <c r="R520" s="95"/>
      <c r="AE520" s="95"/>
      <c r="AF520" s="95"/>
      <c r="AG520" s="95"/>
      <c r="AH520" s="2"/>
      <c r="AI520" s="2"/>
      <c r="AJ520" s="2"/>
      <c r="AK520" s="2"/>
    </row>
    <row r="521" spans="1:37" ht="15.75" customHeight="1" x14ac:dyDescent="0.2">
      <c r="A521" s="1"/>
      <c r="B521" s="2"/>
      <c r="C521" s="1"/>
      <c r="D521" s="1"/>
      <c r="E521" s="48"/>
      <c r="F521" s="48"/>
      <c r="G521" s="2"/>
      <c r="H521" s="48"/>
      <c r="I521" s="2"/>
      <c r="J521" s="2"/>
      <c r="K521" s="2"/>
      <c r="L521" s="2"/>
      <c r="M521" s="2"/>
      <c r="N521" s="2"/>
      <c r="O521" s="95"/>
      <c r="P521" s="95"/>
      <c r="Q521" s="95"/>
      <c r="R521" s="95"/>
      <c r="AE521" s="95"/>
      <c r="AF521" s="95"/>
      <c r="AG521" s="95"/>
      <c r="AH521" s="2"/>
      <c r="AI521" s="2"/>
      <c r="AJ521" s="2"/>
      <c r="AK521" s="2"/>
    </row>
    <row r="522" spans="1:37" ht="15.75" customHeight="1" x14ac:dyDescent="0.2">
      <c r="A522" s="1"/>
      <c r="B522" s="2"/>
      <c r="C522" s="1"/>
      <c r="D522" s="1"/>
      <c r="E522" s="48"/>
      <c r="F522" s="48"/>
      <c r="G522" s="2"/>
      <c r="H522" s="48"/>
      <c r="I522" s="2"/>
      <c r="J522" s="2"/>
      <c r="K522" s="2"/>
      <c r="L522" s="2"/>
      <c r="M522" s="2"/>
      <c r="N522" s="2"/>
      <c r="O522" s="95"/>
      <c r="P522" s="95"/>
      <c r="Q522" s="95"/>
      <c r="R522" s="95"/>
      <c r="AE522" s="95"/>
      <c r="AF522" s="95"/>
      <c r="AG522" s="95"/>
      <c r="AH522" s="2"/>
      <c r="AI522" s="2"/>
      <c r="AJ522" s="2"/>
      <c r="AK522" s="2"/>
    </row>
    <row r="523" spans="1:37" ht="15.75" customHeight="1" x14ac:dyDescent="0.2">
      <c r="A523" s="1"/>
      <c r="B523" s="2"/>
      <c r="C523" s="1"/>
      <c r="D523" s="1"/>
      <c r="E523" s="48"/>
      <c r="F523" s="48"/>
      <c r="G523" s="2"/>
      <c r="H523" s="48"/>
      <c r="I523" s="2"/>
      <c r="J523" s="2"/>
      <c r="K523" s="2"/>
      <c r="L523" s="2"/>
      <c r="M523" s="2"/>
      <c r="N523" s="2"/>
      <c r="O523" s="95"/>
      <c r="P523" s="95"/>
      <c r="Q523" s="95"/>
      <c r="R523" s="95"/>
      <c r="AE523" s="95"/>
      <c r="AF523" s="95"/>
      <c r="AG523" s="95"/>
      <c r="AH523" s="2"/>
      <c r="AI523" s="2"/>
      <c r="AJ523" s="2"/>
      <c r="AK523" s="2"/>
    </row>
    <row r="524" spans="1:37" ht="15.75" customHeight="1" x14ac:dyDescent="0.2">
      <c r="A524" s="1"/>
      <c r="B524" s="2"/>
      <c r="C524" s="1"/>
      <c r="D524" s="1"/>
      <c r="E524" s="48"/>
      <c r="F524" s="48"/>
      <c r="G524" s="2"/>
      <c r="H524" s="48"/>
      <c r="I524" s="2"/>
      <c r="J524" s="2"/>
      <c r="K524" s="2"/>
      <c r="L524" s="2"/>
      <c r="M524" s="2"/>
      <c r="N524" s="2"/>
      <c r="O524" s="95"/>
      <c r="P524" s="95"/>
      <c r="Q524" s="95"/>
      <c r="R524" s="95"/>
      <c r="AE524" s="95"/>
      <c r="AF524" s="95"/>
      <c r="AG524" s="95"/>
      <c r="AH524" s="2"/>
      <c r="AI524" s="2"/>
      <c r="AJ524" s="2"/>
      <c r="AK524" s="2"/>
    </row>
    <row r="525" spans="1:37" ht="15.75" customHeight="1" x14ac:dyDescent="0.2">
      <c r="A525" s="1"/>
      <c r="B525" s="2"/>
      <c r="C525" s="1"/>
      <c r="D525" s="1"/>
      <c r="E525" s="48"/>
      <c r="F525" s="48"/>
      <c r="G525" s="2"/>
      <c r="H525" s="48"/>
      <c r="I525" s="2"/>
      <c r="J525" s="2"/>
      <c r="K525" s="2"/>
      <c r="L525" s="2"/>
      <c r="M525" s="2"/>
      <c r="N525" s="2"/>
      <c r="O525" s="95"/>
      <c r="P525" s="95"/>
      <c r="Q525" s="95"/>
      <c r="R525" s="95"/>
      <c r="AE525" s="95"/>
      <c r="AF525" s="95"/>
      <c r="AG525" s="95"/>
      <c r="AH525" s="2"/>
      <c r="AI525" s="2"/>
      <c r="AJ525" s="2"/>
      <c r="AK525" s="2"/>
    </row>
    <row r="526" spans="1:37" ht="15.75" customHeight="1" x14ac:dyDescent="0.2">
      <c r="A526" s="1"/>
      <c r="B526" s="2"/>
      <c r="C526" s="1"/>
      <c r="D526" s="1"/>
      <c r="E526" s="48"/>
      <c r="F526" s="48"/>
      <c r="G526" s="2"/>
      <c r="H526" s="48"/>
      <c r="I526" s="2"/>
      <c r="J526" s="2"/>
      <c r="K526" s="2"/>
      <c r="L526" s="2"/>
      <c r="M526" s="2"/>
      <c r="N526" s="2"/>
      <c r="O526" s="95"/>
      <c r="P526" s="95"/>
      <c r="Q526" s="95"/>
      <c r="R526" s="95"/>
      <c r="AE526" s="95"/>
      <c r="AF526" s="95"/>
      <c r="AG526" s="95"/>
      <c r="AH526" s="2"/>
      <c r="AI526" s="2"/>
      <c r="AJ526" s="2"/>
      <c r="AK526" s="2"/>
    </row>
    <row r="527" spans="1:37" ht="15.75" customHeight="1" x14ac:dyDescent="0.2">
      <c r="A527" s="1"/>
      <c r="B527" s="2"/>
      <c r="C527" s="1"/>
      <c r="D527" s="1"/>
      <c r="E527" s="48"/>
      <c r="F527" s="48"/>
      <c r="G527" s="2"/>
      <c r="H527" s="48"/>
      <c r="I527" s="2"/>
      <c r="J527" s="2"/>
      <c r="K527" s="2"/>
      <c r="L527" s="2"/>
      <c r="M527" s="2"/>
      <c r="N527" s="2"/>
      <c r="O527" s="95"/>
      <c r="P527" s="95"/>
      <c r="Q527" s="95"/>
      <c r="R527" s="95"/>
      <c r="AE527" s="95"/>
      <c r="AF527" s="95"/>
      <c r="AG527" s="95"/>
      <c r="AH527" s="2"/>
      <c r="AI527" s="2"/>
      <c r="AJ527" s="2"/>
      <c r="AK527" s="2"/>
    </row>
    <row r="528" spans="1:37" ht="15.75" customHeight="1" x14ac:dyDescent="0.2">
      <c r="A528" s="1"/>
      <c r="B528" s="2"/>
      <c r="C528" s="1"/>
      <c r="D528" s="1"/>
      <c r="E528" s="48"/>
      <c r="F528" s="48"/>
      <c r="G528" s="2"/>
      <c r="H528" s="48"/>
      <c r="I528" s="2"/>
      <c r="J528" s="2"/>
      <c r="K528" s="2"/>
      <c r="L528" s="2"/>
      <c r="M528" s="2"/>
      <c r="N528" s="2"/>
      <c r="O528" s="95"/>
      <c r="P528" s="95"/>
      <c r="Q528" s="95"/>
      <c r="R528" s="95"/>
      <c r="AE528" s="95"/>
      <c r="AF528" s="95"/>
      <c r="AG528" s="95"/>
      <c r="AH528" s="2"/>
      <c r="AI528" s="2"/>
      <c r="AJ528" s="2"/>
      <c r="AK528" s="2"/>
    </row>
    <row r="529" spans="1:37" ht="15.75" customHeight="1" x14ac:dyDescent="0.2">
      <c r="A529" s="1"/>
      <c r="B529" s="2"/>
      <c r="C529" s="1"/>
      <c r="D529" s="1"/>
      <c r="E529" s="48"/>
      <c r="F529" s="48"/>
      <c r="G529" s="2"/>
      <c r="H529" s="48"/>
      <c r="I529" s="2"/>
      <c r="J529" s="2"/>
      <c r="K529" s="2"/>
      <c r="L529" s="2"/>
      <c r="M529" s="2"/>
      <c r="N529" s="2"/>
      <c r="O529" s="95"/>
      <c r="P529" s="95"/>
      <c r="Q529" s="95"/>
      <c r="R529" s="95"/>
      <c r="AE529" s="95"/>
      <c r="AF529" s="95"/>
      <c r="AG529" s="95"/>
      <c r="AH529" s="2"/>
      <c r="AI529" s="2"/>
      <c r="AJ529" s="2"/>
      <c r="AK529" s="2"/>
    </row>
    <row r="530" spans="1:37" ht="15.75" customHeight="1" x14ac:dyDescent="0.2">
      <c r="A530" s="1"/>
      <c r="B530" s="2"/>
      <c r="C530" s="1"/>
      <c r="D530" s="1"/>
      <c r="E530" s="48"/>
      <c r="F530" s="48"/>
      <c r="G530" s="2"/>
      <c r="H530" s="48"/>
      <c r="I530" s="2"/>
      <c r="J530" s="2"/>
      <c r="K530" s="2"/>
      <c r="L530" s="2"/>
      <c r="M530" s="2"/>
      <c r="N530" s="2"/>
      <c r="O530" s="95"/>
      <c r="P530" s="95"/>
      <c r="Q530" s="95"/>
      <c r="R530" s="95"/>
      <c r="AE530" s="95"/>
      <c r="AF530" s="95"/>
      <c r="AG530" s="95"/>
      <c r="AH530" s="2"/>
      <c r="AI530" s="2"/>
      <c r="AJ530" s="2"/>
      <c r="AK530" s="2"/>
    </row>
    <row r="531" spans="1:37" ht="15.75" customHeight="1" x14ac:dyDescent="0.2">
      <c r="A531" s="1"/>
      <c r="B531" s="2"/>
      <c r="C531" s="1"/>
      <c r="D531" s="1"/>
      <c r="E531" s="48"/>
      <c r="F531" s="48"/>
      <c r="G531" s="2"/>
      <c r="H531" s="48"/>
      <c r="I531" s="2"/>
      <c r="J531" s="2"/>
      <c r="K531" s="2"/>
      <c r="L531" s="2"/>
      <c r="M531" s="2"/>
      <c r="N531" s="2"/>
      <c r="O531" s="95"/>
      <c r="P531" s="95"/>
      <c r="Q531" s="95"/>
      <c r="R531" s="95"/>
      <c r="AE531" s="95"/>
      <c r="AF531" s="95"/>
      <c r="AG531" s="95"/>
      <c r="AH531" s="2"/>
      <c r="AI531" s="2"/>
      <c r="AJ531" s="2"/>
      <c r="AK531" s="2"/>
    </row>
    <row r="532" spans="1:37" ht="15.75" customHeight="1" x14ac:dyDescent="0.2">
      <c r="A532" s="1"/>
      <c r="B532" s="2"/>
      <c r="C532" s="1"/>
      <c r="D532" s="1"/>
      <c r="E532" s="48"/>
      <c r="F532" s="48"/>
      <c r="G532" s="2"/>
      <c r="H532" s="48"/>
      <c r="I532" s="2"/>
      <c r="J532" s="2"/>
      <c r="K532" s="2"/>
      <c r="L532" s="2"/>
      <c r="M532" s="2"/>
      <c r="N532" s="2"/>
      <c r="O532" s="95"/>
      <c r="P532" s="95"/>
      <c r="Q532" s="95"/>
      <c r="R532" s="95"/>
      <c r="AE532" s="95"/>
      <c r="AF532" s="95"/>
      <c r="AG532" s="95"/>
      <c r="AH532" s="2"/>
      <c r="AI532" s="2"/>
      <c r="AJ532" s="2"/>
      <c r="AK532" s="2"/>
    </row>
    <row r="533" spans="1:37" ht="15.75" customHeight="1" x14ac:dyDescent="0.2">
      <c r="A533" s="1"/>
      <c r="B533" s="2"/>
      <c r="C533" s="1"/>
      <c r="D533" s="1"/>
      <c r="E533" s="48"/>
      <c r="F533" s="48"/>
      <c r="G533" s="2"/>
      <c r="H533" s="48"/>
      <c r="I533" s="2"/>
      <c r="J533" s="2"/>
      <c r="K533" s="2"/>
      <c r="L533" s="2"/>
      <c r="M533" s="2"/>
      <c r="N533" s="2"/>
      <c r="O533" s="95"/>
      <c r="P533" s="95"/>
      <c r="Q533" s="95"/>
      <c r="R533" s="95"/>
      <c r="AE533" s="95"/>
      <c r="AF533" s="95"/>
      <c r="AG533" s="95"/>
      <c r="AH533" s="2"/>
      <c r="AI533" s="2"/>
      <c r="AJ533" s="2"/>
      <c r="AK533" s="2"/>
    </row>
    <row r="534" spans="1:37" ht="15.75" customHeight="1" x14ac:dyDescent="0.2">
      <c r="A534" s="1"/>
      <c r="B534" s="2"/>
      <c r="C534" s="1"/>
      <c r="D534" s="1"/>
      <c r="E534" s="48"/>
      <c r="F534" s="48"/>
      <c r="G534" s="2"/>
      <c r="H534" s="48"/>
      <c r="I534" s="2"/>
      <c r="J534" s="2"/>
      <c r="K534" s="2"/>
      <c r="L534" s="2"/>
      <c r="M534" s="2"/>
      <c r="N534" s="2"/>
      <c r="O534" s="95"/>
      <c r="P534" s="95"/>
      <c r="Q534" s="95"/>
      <c r="R534" s="95"/>
      <c r="AE534" s="95"/>
      <c r="AF534" s="95"/>
      <c r="AG534" s="95"/>
      <c r="AH534" s="2"/>
      <c r="AI534" s="2"/>
      <c r="AJ534" s="2"/>
      <c r="AK534" s="2"/>
    </row>
    <row r="535" spans="1:37" ht="15.75" customHeight="1" x14ac:dyDescent="0.2">
      <c r="A535" s="1"/>
      <c r="B535" s="2"/>
      <c r="C535" s="1"/>
      <c r="D535" s="1"/>
      <c r="E535" s="48"/>
      <c r="F535" s="48"/>
      <c r="G535" s="2"/>
      <c r="H535" s="48"/>
      <c r="I535" s="2"/>
      <c r="J535" s="2"/>
      <c r="K535" s="2"/>
      <c r="L535" s="2"/>
      <c r="M535" s="2"/>
      <c r="N535" s="2"/>
      <c r="O535" s="95"/>
      <c r="P535" s="95"/>
      <c r="Q535" s="95"/>
      <c r="R535" s="95"/>
      <c r="AE535" s="95"/>
      <c r="AF535" s="95"/>
      <c r="AG535" s="95"/>
      <c r="AH535" s="2"/>
      <c r="AI535" s="2"/>
      <c r="AJ535" s="2"/>
      <c r="AK535" s="2"/>
    </row>
    <row r="536" spans="1:37" ht="15.75" customHeight="1" x14ac:dyDescent="0.2">
      <c r="A536" s="1"/>
      <c r="B536" s="2"/>
      <c r="C536" s="1"/>
      <c r="D536" s="1"/>
      <c r="E536" s="48"/>
      <c r="F536" s="48"/>
      <c r="G536" s="2"/>
      <c r="H536" s="48"/>
      <c r="I536" s="2"/>
      <c r="J536" s="2"/>
      <c r="K536" s="2"/>
      <c r="L536" s="2"/>
      <c r="M536" s="2"/>
      <c r="N536" s="2"/>
      <c r="O536" s="95"/>
      <c r="P536" s="95"/>
      <c r="Q536" s="95"/>
      <c r="R536" s="95"/>
      <c r="AE536" s="95"/>
      <c r="AF536" s="95"/>
      <c r="AG536" s="95"/>
      <c r="AH536" s="2"/>
      <c r="AI536" s="2"/>
      <c r="AJ536" s="2"/>
      <c r="AK536" s="2"/>
    </row>
    <row r="537" spans="1:37" ht="15.75" customHeight="1" x14ac:dyDescent="0.2">
      <c r="A537" s="1"/>
      <c r="B537" s="2"/>
      <c r="C537" s="1"/>
      <c r="D537" s="1"/>
      <c r="E537" s="48"/>
      <c r="F537" s="48"/>
      <c r="G537" s="2"/>
      <c r="H537" s="48"/>
      <c r="I537" s="2"/>
      <c r="J537" s="2"/>
      <c r="K537" s="2"/>
      <c r="L537" s="2"/>
      <c r="M537" s="2"/>
      <c r="N537" s="2"/>
      <c r="O537" s="95"/>
      <c r="P537" s="95"/>
      <c r="Q537" s="95"/>
      <c r="R537" s="95"/>
      <c r="AE537" s="95"/>
      <c r="AF537" s="95"/>
      <c r="AG537" s="95"/>
      <c r="AH537" s="2"/>
      <c r="AI537" s="2"/>
      <c r="AJ537" s="2"/>
      <c r="AK537" s="2"/>
    </row>
    <row r="538" spans="1:37" ht="15.75" customHeight="1" x14ac:dyDescent="0.2">
      <c r="A538" s="1"/>
      <c r="B538" s="2"/>
      <c r="C538" s="1"/>
      <c r="D538" s="1"/>
      <c r="E538" s="48"/>
      <c r="F538" s="48"/>
      <c r="G538" s="2"/>
      <c r="H538" s="48"/>
      <c r="I538" s="2"/>
      <c r="J538" s="2"/>
      <c r="K538" s="2"/>
      <c r="L538" s="2"/>
      <c r="M538" s="2"/>
      <c r="N538" s="2"/>
      <c r="O538" s="95"/>
      <c r="P538" s="95"/>
      <c r="Q538" s="95"/>
      <c r="R538" s="95"/>
      <c r="AE538" s="95"/>
      <c r="AF538" s="95"/>
      <c r="AG538" s="95"/>
      <c r="AH538" s="2"/>
      <c r="AI538" s="2"/>
      <c r="AJ538" s="2"/>
      <c r="AK538" s="2"/>
    </row>
    <row r="539" spans="1:37" ht="15.75" customHeight="1" x14ac:dyDescent="0.2">
      <c r="A539" s="1"/>
      <c r="B539" s="2"/>
      <c r="C539" s="1"/>
      <c r="D539" s="1"/>
      <c r="E539" s="48"/>
      <c r="F539" s="48"/>
      <c r="G539" s="2"/>
      <c r="H539" s="48"/>
      <c r="I539" s="2"/>
      <c r="J539" s="2"/>
      <c r="K539" s="2"/>
      <c r="L539" s="2"/>
      <c r="M539" s="2"/>
      <c r="N539" s="2"/>
      <c r="O539" s="95"/>
      <c r="P539" s="95"/>
      <c r="Q539" s="95"/>
      <c r="R539" s="95"/>
      <c r="AE539" s="95"/>
      <c r="AF539" s="95"/>
      <c r="AG539" s="95"/>
      <c r="AH539" s="2"/>
      <c r="AI539" s="2"/>
      <c r="AJ539" s="2"/>
      <c r="AK539" s="2"/>
    </row>
    <row r="540" spans="1:37" ht="15.75" customHeight="1" x14ac:dyDescent="0.2">
      <c r="A540" s="1"/>
      <c r="B540" s="2"/>
      <c r="C540" s="1"/>
      <c r="D540" s="1"/>
      <c r="E540" s="48"/>
      <c r="F540" s="48"/>
      <c r="G540" s="2"/>
      <c r="H540" s="48"/>
      <c r="I540" s="2"/>
      <c r="J540" s="2"/>
      <c r="K540" s="2"/>
      <c r="L540" s="2"/>
      <c r="M540" s="2"/>
      <c r="N540" s="2"/>
      <c r="O540" s="95"/>
      <c r="P540" s="95"/>
      <c r="Q540" s="95"/>
      <c r="R540" s="95"/>
      <c r="AE540" s="95"/>
      <c r="AF540" s="95"/>
      <c r="AG540" s="95"/>
      <c r="AH540" s="2"/>
      <c r="AI540" s="2"/>
      <c r="AJ540" s="2"/>
      <c r="AK540" s="2"/>
    </row>
    <row r="541" spans="1:37" ht="15.75" customHeight="1" x14ac:dyDescent="0.2">
      <c r="A541" s="1"/>
      <c r="B541" s="2"/>
      <c r="C541" s="1"/>
      <c r="D541" s="1"/>
      <c r="E541" s="48"/>
      <c r="F541" s="48"/>
      <c r="G541" s="2"/>
      <c r="H541" s="48"/>
      <c r="I541" s="2"/>
      <c r="J541" s="2"/>
      <c r="K541" s="2"/>
      <c r="L541" s="2"/>
      <c r="M541" s="2"/>
      <c r="N541" s="2"/>
      <c r="O541" s="95"/>
      <c r="P541" s="95"/>
      <c r="Q541" s="95"/>
      <c r="R541" s="95"/>
      <c r="AE541" s="95"/>
      <c r="AF541" s="95"/>
      <c r="AG541" s="95"/>
      <c r="AH541" s="2"/>
      <c r="AI541" s="2"/>
      <c r="AJ541" s="2"/>
      <c r="AK541" s="2"/>
    </row>
    <row r="542" spans="1:37" ht="15.75" customHeight="1" x14ac:dyDescent="0.2">
      <c r="A542" s="1"/>
      <c r="B542" s="2"/>
      <c r="C542" s="1"/>
      <c r="D542" s="1"/>
      <c r="E542" s="48"/>
      <c r="F542" s="48"/>
      <c r="G542" s="2"/>
      <c r="H542" s="48"/>
      <c r="I542" s="2"/>
      <c r="J542" s="2"/>
      <c r="K542" s="2"/>
      <c r="L542" s="2"/>
      <c r="M542" s="2"/>
      <c r="N542" s="2"/>
      <c r="O542" s="95"/>
      <c r="P542" s="95"/>
      <c r="Q542" s="95"/>
      <c r="R542" s="95"/>
      <c r="AE542" s="95"/>
      <c r="AF542" s="95"/>
      <c r="AG542" s="95"/>
      <c r="AH542" s="2"/>
      <c r="AI542" s="2"/>
      <c r="AJ542" s="2"/>
      <c r="AK542" s="2"/>
    </row>
    <row r="543" spans="1:37" ht="15.75" customHeight="1" x14ac:dyDescent="0.2">
      <c r="A543" s="1"/>
      <c r="B543" s="2"/>
      <c r="C543" s="1"/>
      <c r="D543" s="1"/>
      <c r="E543" s="48"/>
      <c r="F543" s="48"/>
      <c r="G543" s="2"/>
      <c r="H543" s="48"/>
      <c r="I543" s="2"/>
      <c r="J543" s="2"/>
      <c r="K543" s="2"/>
      <c r="L543" s="2"/>
      <c r="M543" s="2"/>
      <c r="N543" s="2"/>
      <c r="O543" s="95"/>
      <c r="P543" s="95"/>
      <c r="Q543" s="95"/>
      <c r="R543" s="95"/>
      <c r="AE543" s="95"/>
      <c r="AF543" s="95"/>
      <c r="AG543" s="95"/>
      <c r="AH543" s="2"/>
      <c r="AI543" s="2"/>
      <c r="AJ543" s="2"/>
      <c r="AK543" s="2"/>
    </row>
    <row r="544" spans="1:37" ht="15.75" customHeight="1" x14ac:dyDescent="0.2">
      <c r="A544" s="1"/>
      <c r="B544" s="2"/>
      <c r="C544" s="1"/>
      <c r="D544" s="1"/>
      <c r="E544" s="48"/>
      <c r="F544" s="48"/>
      <c r="G544" s="2"/>
      <c r="H544" s="48"/>
      <c r="I544" s="2"/>
      <c r="J544" s="2"/>
      <c r="K544" s="2"/>
      <c r="L544" s="2"/>
      <c r="M544" s="2"/>
      <c r="N544" s="2"/>
      <c r="O544" s="95"/>
      <c r="P544" s="95"/>
      <c r="Q544" s="95"/>
      <c r="R544" s="95"/>
      <c r="AE544" s="95"/>
      <c r="AF544" s="95"/>
      <c r="AG544" s="95"/>
      <c r="AH544" s="2"/>
      <c r="AI544" s="2"/>
      <c r="AJ544" s="2"/>
      <c r="AK544" s="2"/>
    </row>
    <row r="545" spans="1:37" ht="15.75" customHeight="1" x14ac:dyDescent="0.2">
      <c r="A545" s="1"/>
      <c r="B545" s="2"/>
      <c r="C545" s="1"/>
      <c r="D545" s="1"/>
      <c r="E545" s="48"/>
      <c r="F545" s="48"/>
      <c r="G545" s="2"/>
      <c r="H545" s="48"/>
      <c r="I545" s="2"/>
      <c r="J545" s="2"/>
      <c r="K545" s="2"/>
      <c r="L545" s="2"/>
      <c r="M545" s="2"/>
      <c r="N545" s="2"/>
      <c r="O545" s="95"/>
      <c r="P545" s="95"/>
      <c r="Q545" s="95"/>
      <c r="R545" s="95"/>
      <c r="AE545" s="95"/>
      <c r="AF545" s="95"/>
      <c r="AG545" s="95"/>
      <c r="AH545" s="2"/>
      <c r="AI545" s="2"/>
      <c r="AJ545" s="2"/>
      <c r="AK545" s="2"/>
    </row>
    <row r="546" spans="1:37" ht="15.75" customHeight="1" x14ac:dyDescent="0.2">
      <c r="A546" s="1"/>
      <c r="B546" s="2"/>
      <c r="C546" s="1"/>
      <c r="D546" s="1"/>
      <c r="E546" s="48"/>
      <c r="F546" s="48"/>
      <c r="G546" s="2"/>
      <c r="H546" s="48"/>
      <c r="I546" s="2"/>
      <c r="J546" s="2"/>
      <c r="K546" s="2"/>
      <c r="L546" s="2"/>
      <c r="M546" s="2"/>
      <c r="N546" s="2"/>
      <c r="O546" s="95"/>
      <c r="P546" s="95"/>
      <c r="Q546" s="95"/>
      <c r="R546" s="95"/>
      <c r="AE546" s="95"/>
      <c r="AF546" s="95"/>
      <c r="AG546" s="95"/>
      <c r="AH546" s="2"/>
      <c r="AI546" s="2"/>
      <c r="AJ546" s="2"/>
      <c r="AK546" s="2"/>
    </row>
    <row r="547" spans="1:37" ht="15.75" customHeight="1" x14ac:dyDescent="0.2">
      <c r="A547" s="1"/>
      <c r="B547" s="2"/>
      <c r="C547" s="1"/>
      <c r="D547" s="1"/>
      <c r="E547" s="48"/>
      <c r="F547" s="48"/>
      <c r="G547" s="2"/>
      <c r="H547" s="48"/>
      <c r="I547" s="2"/>
      <c r="J547" s="2"/>
      <c r="K547" s="2"/>
      <c r="L547" s="2"/>
      <c r="M547" s="2"/>
      <c r="N547" s="2"/>
      <c r="O547" s="95"/>
      <c r="P547" s="95"/>
      <c r="Q547" s="95"/>
      <c r="R547" s="95"/>
      <c r="AE547" s="95"/>
      <c r="AF547" s="95"/>
      <c r="AG547" s="95"/>
      <c r="AH547" s="2"/>
      <c r="AI547" s="2"/>
      <c r="AJ547" s="2"/>
      <c r="AK547" s="2"/>
    </row>
    <row r="548" spans="1:37" ht="15.75" customHeight="1" x14ac:dyDescent="0.2">
      <c r="A548" s="1"/>
      <c r="B548" s="2"/>
      <c r="C548" s="1"/>
      <c r="D548" s="1"/>
      <c r="E548" s="48"/>
      <c r="F548" s="48"/>
      <c r="G548" s="2"/>
      <c r="H548" s="48"/>
      <c r="I548" s="2"/>
      <c r="J548" s="2"/>
      <c r="K548" s="2"/>
      <c r="L548" s="2"/>
      <c r="M548" s="2"/>
      <c r="N548" s="2"/>
      <c r="O548" s="95"/>
      <c r="P548" s="95"/>
      <c r="Q548" s="95"/>
      <c r="R548" s="95"/>
      <c r="AE548" s="95"/>
      <c r="AF548" s="95"/>
      <c r="AG548" s="95"/>
      <c r="AH548" s="2"/>
      <c r="AI548" s="2"/>
      <c r="AJ548" s="2"/>
      <c r="AK548" s="2"/>
    </row>
    <row r="549" spans="1:37" ht="15.75" customHeight="1" x14ac:dyDescent="0.2">
      <c r="A549" s="1"/>
      <c r="B549" s="2"/>
      <c r="C549" s="1"/>
      <c r="D549" s="1"/>
      <c r="E549" s="48"/>
      <c r="F549" s="48"/>
      <c r="G549" s="2"/>
      <c r="H549" s="48"/>
      <c r="I549" s="2"/>
      <c r="J549" s="2"/>
      <c r="K549" s="2"/>
      <c r="L549" s="2"/>
      <c r="M549" s="2"/>
      <c r="N549" s="2"/>
      <c r="O549" s="95"/>
      <c r="P549" s="95"/>
      <c r="Q549" s="95"/>
      <c r="R549" s="95"/>
      <c r="AE549" s="95"/>
      <c r="AF549" s="95"/>
      <c r="AG549" s="95"/>
      <c r="AH549" s="2"/>
      <c r="AI549" s="2"/>
      <c r="AJ549" s="2"/>
      <c r="AK549" s="2"/>
    </row>
    <row r="550" spans="1:37" ht="15.75" customHeight="1" x14ac:dyDescent="0.2">
      <c r="A550" s="1"/>
      <c r="B550" s="2"/>
      <c r="C550" s="1"/>
      <c r="D550" s="1"/>
      <c r="E550" s="48"/>
      <c r="F550" s="48"/>
      <c r="G550" s="2"/>
      <c r="H550" s="48"/>
      <c r="I550" s="2"/>
      <c r="J550" s="2"/>
      <c r="K550" s="2"/>
      <c r="L550" s="2"/>
      <c r="M550" s="2"/>
      <c r="N550" s="2"/>
      <c r="O550" s="95"/>
      <c r="P550" s="95"/>
      <c r="Q550" s="95"/>
      <c r="R550" s="95"/>
      <c r="AE550" s="95"/>
      <c r="AF550" s="95"/>
      <c r="AG550" s="95"/>
      <c r="AH550" s="2"/>
      <c r="AI550" s="2"/>
      <c r="AJ550" s="2"/>
      <c r="AK550" s="2"/>
    </row>
    <row r="551" spans="1:37" ht="15.75" customHeight="1" x14ac:dyDescent="0.2">
      <c r="A551" s="1"/>
      <c r="B551" s="2"/>
      <c r="C551" s="1"/>
      <c r="D551" s="1"/>
      <c r="E551" s="48"/>
      <c r="F551" s="48"/>
      <c r="G551" s="2"/>
      <c r="H551" s="48"/>
      <c r="I551" s="2"/>
      <c r="J551" s="2"/>
      <c r="K551" s="2"/>
      <c r="L551" s="2"/>
      <c r="M551" s="2"/>
      <c r="N551" s="2"/>
      <c r="O551" s="95"/>
      <c r="P551" s="95"/>
      <c r="Q551" s="95"/>
      <c r="R551" s="95"/>
      <c r="AE551" s="95"/>
      <c r="AF551" s="95"/>
      <c r="AG551" s="95"/>
      <c r="AH551" s="2"/>
      <c r="AI551" s="2"/>
      <c r="AJ551" s="2"/>
      <c r="AK551" s="2"/>
    </row>
    <row r="552" spans="1:37" ht="15.75" customHeight="1" x14ac:dyDescent="0.2">
      <c r="A552" s="1"/>
      <c r="B552" s="2"/>
      <c r="C552" s="1"/>
      <c r="D552" s="1"/>
      <c r="E552" s="48"/>
      <c r="F552" s="48"/>
      <c r="G552" s="2"/>
      <c r="H552" s="48"/>
      <c r="I552" s="2"/>
      <c r="J552" s="2"/>
      <c r="K552" s="2"/>
      <c r="L552" s="2"/>
      <c r="M552" s="2"/>
      <c r="N552" s="2"/>
      <c r="O552" s="95"/>
      <c r="P552" s="95"/>
      <c r="Q552" s="95"/>
      <c r="R552" s="95"/>
      <c r="AE552" s="95"/>
      <c r="AF552" s="95"/>
      <c r="AG552" s="95"/>
      <c r="AH552" s="2"/>
      <c r="AI552" s="2"/>
      <c r="AJ552" s="2"/>
      <c r="AK552" s="2"/>
    </row>
    <row r="553" spans="1:37" ht="15.75" customHeight="1" x14ac:dyDescent="0.2">
      <c r="A553" s="1"/>
      <c r="B553" s="2"/>
      <c r="C553" s="1"/>
      <c r="D553" s="1"/>
      <c r="E553" s="48"/>
      <c r="F553" s="48"/>
      <c r="G553" s="2"/>
      <c r="H553" s="48"/>
      <c r="I553" s="2"/>
      <c r="J553" s="2"/>
      <c r="K553" s="2"/>
      <c r="L553" s="2"/>
      <c r="M553" s="2"/>
      <c r="N553" s="2"/>
      <c r="O553" s="95"/>
      <c r="P553" s="95"/>
      <c r="Q553" s="95"/>
      <c r="R553" s="95"/>
      <c r="AE553" s="95"/>
      <c r="AF553" s="95"/>
      <c r="AG553" s="95"/>
      <c r="AH553" s="2"/>
      <c r="AI553" s="2"/>
      <c r="AJ553" s="2"/>
      <c r="AK553" s="2"/>
    </row>
    <row r="554" spans="1:37" ht="15.75" customHeight="1" x14ac:dyDescent="0.2">
      <c r="A554" s="1"/>
      <c r="B554" s="2"/>
      <c r="C554" s="1"/>
      <c r="D554" s="1"/>
      <c r="E554" s="48"/>
      <c r="F554" s="48"/>
      <c r="G554" s="2"/>
      <c r="H554" s="48"/>
      <c r="I554" s="2"/>
      <c r="J554" s="2"/>
      <c r="K554" s="2"/>
      <c r="L554" s="2"/>
      <c r="M554" s="2"/>
      <c r="N554" s="2"/>
      <c r="O554" s="95"/>
      <c r="P554" s="95"/>
      <c r="Q554" s="95"/>
      <c r="R554" s="95"/>
      <c r="AE554" s="95"/>
      <c r="AF554" s="95"/>
      <c r="AG554" s="95"/>
      <c r="AH554" s="2"/>
      <c r="AI554" s="2"/>
      <c r="AJ554" s="2"/>
      <c r="AK554" s="2"/>
    </row>
    <row r="555" spans="1:37" ht="15.75" customHeight="1" x14ac:dyDescent="0.2">
      <c r="A555" s="1"/>
      <c r="B555" s="2"/>
      <c r="C555" s="1"/>
      <c r="D555" s="1"/>
      <c r="E555" s="48"/>
      <c r="F555" s="48"/>
      <c r="G555" s="2"/>
      <c r="H555" s="48"/>
      <c r="I555" s="2"/>
      <c r="J555" s="2"/>
      <c r="K555" s="2"/>
      <c r="L555" s="2"/>
      <c r="M555" s="2"/>
      <c r="N555" s="2"/>
      <c r="O555" s="95"/>
      <c r="P555" s="95"/>
      <c r="Q555" s="95"/>
      <c r="R555" s="95"/>
      <c r="AE555" s="95"/>
      <c r="AF555" s="95"/>
      <c r="AG555" s="95"/>
      <c r="AH555" s="2"/>
      <c r="AI555" s="2"/>
      <c r="AJ555" s="2"/>
      <c r="AK555" s="2"/>
    </row>
    <row r="556" spans="1:37" ht="15.75" customHeight="1" x14ac:dyDescent="0.2">
      <c r="A556" s="1"/>
      <c r="B556" s="2"/>
      <c r="C556" s="1"/>
      <c r="D556" s="1"/>
      <c r="E556" s="48"/>
      <c r="F556" s="48"/>
      <c r="G556" s="2"/>
      <c r="H556" s="48"/>
      <c r="I556" s="2"/>
      <c r="J556" s="2"/>
      <c r="K556" s="2"/>
      <c r="L556" s="2"/>
      <c r="M556" s="2"/>
      <c r="N556" s="2"/>
      <c r="O556" s="95"/>
      <c r="P556" s="95"/>
      <c r="Q556" s="95"/>
      <c r="R556" s="95"/>
      <c r="AE556" s="95"/>
      <c r="AF556" s="95"/>
      <c r="AG556" s="95"/>
      <c r="AH556" s="2"/>
      <c r="AI556" s="2"/>
      <c r="AJ556" s="2"/>
      <c r="AK556" s="2"/>
    </row>
    <row r="557" spans="1:37" ht="15.75" customHeight="1" x14ac:dyDescent="0.2">
      <c r="A557" s="1"/>
      <c r="B557" s="2"/>
      <c r="C557" s="1"/>
      <c r="D557" s="1"/>
      <c r="E557" s="48"/>
      <c r="F557" s="48"/>
      <c r="G557" s="2"/>
      <c r="H557" s="48"/>
      <c r="I557" s="2"/>
      <c r="J557" s="2"/>
      <c r="K557" s="2"/>
      <c r="L557" s="2"/>
      <c r="M557" s="2"/>
      <c r="N557" s="2"/>
      <c r="O557" s="95"/>
      <c r="P557" s="95"/>
      <c r="Q557" s="95"/>
      <c r="R557" s="95"/>
      <c r="AE557" s="95"/>
      <c r="AF557" s="95"/>
      <c r="AG557" s="95"/>
      <c r="AH557" s="2"/>
      <c r="AI557" s="2"/>
      <c r="AJ557" s="2"/>
      <c r="AK557" s="2"/>
    </row>
    <row r="558" spans="1:37" ht="15.75" customHeight="1" x14ac:dyDescent="0.2">
      <c r="A558" s="1"/>
      <c r="B558" s="2"/>
      <c r="C558" s="1"/>
      <c r="D558" s="1"/>
      <c r="E558" s="48"/>
      <c r="F558" s="48"/>
      <c r="G558" s="2"/>
      <c r="H558" s="48"/>
      <c r="I558" s="2"/>
      <c r="J558" s="2"/>
      <c r="K558" s="2"/>
      <c r="L558" s="2"/>
      <c r="M558" s="2"/>
      <c r="N558" s="2"/>
      <c r="O558" s="95"/>
      <c r="P558" s="95"/>
      <c r="Q558" s="95"/>
      <c r="R558" s="95"/>
      <c r="AE558" s="95"/>
      <c r="AF558" s="95"/>
      <c r="AG558" s="95"/>
      <c r="AH558" s="2"/>
      <c r="AI558" s="2"/>
      <c r="AJ558" s="2"/>
      <c r="AK558" s="2"/>
    </row>
    <row r="559" spans="1:37" ht="15.75" customHeight="1" x14ac:dyDescent="0.2">
      <c r="A559" s="1"/>
      <c r="B559" s="2"/>
      <c r="C559" s="1"/>
      <c r="D559" s="1"/>
      <c r="E559" s="48"/>
      <c r="F559" s="48"/>
      <c r="G559" s="2"/>
      <c r="H559" s="48"/>
      <c r="I559" s="2"/>
      <c r="J559" s="2"/>
      <c r="K559" s="2"/>
      <c r="L559" s="2"/>
      <c r="M559" s="2"/>
      <c r="N559" s="2"/>
      <c r="O559" s="95"/>
      <c r="P559" s="95"/>
      <c r="Q559" s="95"/>
      <c r="R559" s="95"/>
      <c r="AE559" s="95"/>
      <c r="AF559" s="95"/>
      <c r="AG559" s="95"/>
      <c r="AH559" s="2"/>
      <c r="AI559" s="2"/>
      <c r="AJ559" s="2"/>
      <c r="AK559" s="2"/>
    </row>
    <row r="560" spans="1:37" ht="15.75" customHeight="1" x14ac:dyDescent="0.2">
      <c r="A560" s="1"/>
      <c r="B560" s="2"/>
      <c r="C560" s="1"/>
      <c r="D560" s="1"/>
      <c r="E560" s="48"/>
      <c r="F560" s="48"/>
      <c r="G560" s="2"/>
      <c r="H560" s="48"/>
      <c r="I560" s="2"/>
      <c r="J560" s="2"/>
      <c r="K560" s="2"/>
      <c r="L560" s="2"/>
      <c r="M560" s="2"/>
      <c r="N560" s="2"/>
      <c r="O560" s="95"/>
      <c r="P560" s="95"/>
      <c r="Q560" s="95"/>
      <c r="R560" s="95"/>
      <c r="AE560" s="95"/>
      <c r="AF560" s="95"/>
      <c r="AG560" s="95"/>
      <c r="AH560" s="2"/>
      <c r="AI560" s="2"/>
      <c r="AJ560" s="2"/>
      <c r="AK560" s="2"/>
    </row>
    <row r="561" spans="1:37" ht="15.75" customHeight="1" x14ac:dyDescent="0.2">
      <c r="A561" s="1"/>
      <c r="B561" s="2"/>
      <c r="C561" s="1"/>
      <c r="D561" s="1"/>
      <c r="E561" s="48"/>
      <c r="F561" s="48"/>
      <c r="G561" s="2"/>
      <c r="H561" s="48"/>
      <c r="I561" s="2"/>
      <c r="J561" s="2"/>
      <c r="K561" s="2"/>
      <c r="L561" s="2"/>
      <c r="M561" s="2"/>
      <c r="N561" s="2"/>
      <c r="O561" s="95"/>
      <c r="P561" s="95"/>
      <c r="Q561" s="95"/>
      <c r="R561" s="95"/>
      <c r="AE561" s="95"/>
      <c r="AF561" s="95"/>
      <c r="AG561" s="95"/>
      <c r="AH561" s="2"/>
      <c r="AI561" s="2"/>
      <c r="AJ561" s="2"/>
      <c r="AK561" s="2"/>
    </row>
    <row r="562" spans="1:37" ht="15.75" customHeight="1" x14ac:dyDescent="0.2">
      <c r="A562" s="1"/>
      <c r="B562" s="2"/>
      <c r="C562" s="1"/>
      <c r="D562" s="1"/>
      <c r="E562" s="48"/>
      <c r="F562" s="48"/>
      <c r="G562" s="2"/>
      <c r="H562" s="48"/>
      <c r="I562" s="2"/>
      <c r="J562" s="2"/>
      <c r="K562" s="2"/>
      <c r="L562" s="2"/>
      <c r="M562" s="2"/>
      <c r="N562" s="2"/>
      <c r="O562" s="95"/>
      <c r="P562" s="95"/>
      <c r="Q562" s="95"/>
      <c r="R562" s="95"/>
      <c r="AE562" s="95"/>
      <c r="AF562" s="95"/>
      <c r="AG562" s="95"/>
      <c r="AH562" s="2"/>
      <c r="AI562" s="2"/>
      <c r="AJ562" s="2"/>
      <c r="AK562" s="2"/>
    </row>
    <row r="563" spans="1:37" ht="15.75" customHeight="1" x14ac:dyDescent="0.2">
      <c r="A563" s="1"/>
      <c r="B563" s="2"/>
      <c r="C563" s="1"/>
      <c r="D563" s="1"/>
      <c r="E563" s="48"/>
      <c r="F563" s="48"/>
      <c r="G563" s="2"/>
      <c r="H563" s="48"/>
      <c r="I563" s="2"/>
      <c r="J563" s="2"/>
      <c r="K563" s="2"/>
      <c r="L563" s="2"/>
      <c r="M563" s="2"/>
      <c r="N563" s="2"/>
      <c r="O563" s="95"/>
      <c r="P563" s="95"/>
      <c r="Q563" s="95"/>
      <c r="R563" s="95"/>
      <c r="AE563" s="95"/>
      <c r="AF563" s="95"/>
      <c r="AG563" s="95"/>
      <c r="AH563" s="2"/>
      <c r="AI563" s="2"/>
      <c r="AJ563" s="2"/>
      <c r="AK563" s="2"/>
    </row>
    <row r="564" spans="1:37" ht="15.75" customHeight="1" x14ac:dyDescent="0.2">
      <c r="A564" s="1"/>
      <c r="B564" s="2"/>
      <c r="C564" s="1"/>
      <c r="D564" s="1"/>
      <c r="E564" s="48"/>
      <c r="F564" s="48"/>
      <c r="G564" s="2"/>
      <c r="H564" s="48"/>
      <c r="I564" s="2"/>
      <c r="J564" s="2"/>
      <c r="K564" s="2"/>
      <c r="L564" s="2"/>
      <c r="M564" s="2"/>
      <c r="N564" s="2"/>
      <c r="O564" s="95"/>
      <c r="P564" s="95"/>
      <c r="Q564" s="95"/>
      <c r="R564" s="95"/>
      <c r="AE564" s="95"/>
      <c r="AF564" s="95"/>
      <c r="AG564" s="95"/>
      <c r="AH564" s="2"/>
      <c r="AI564" s="2"/>
      <c r="AJ564" s="2"/>
      <c r="AK564" s="2"/>
    </row>
    <row r="565" spans="1:37" ht="15.75" customHeight="1" x14ac:dyDescent="0.2">
      <c r="A565" s="1"/>
      <c r="B565" s="2"/>
      <c r="C565" s="1"/>
      <c r="D565" s="1"/>
      <c r="E565" s="48"/>
      <c r="F565" s="48"/>
      <c r="G565" s="2"/>
      <c r="H565" s="48"/>
      <c r="I565" s="2"/>
      <c r="J565" s="2"/>
      <c r="K565" s="2"/>
      <c r="L565" s="2"/>
      <c r="M565" s="2"/>
      <c r="N565" s="2"/>
      <c r="O565" s="95"/>
      <c r="P565" s="95"/>
      <c r="Q565" s="95"/>
      <c r="R565" s="95"/>
      <c r="AE565" s="95"/>
      <c r="AF565" s="95"/>
      <c r="AG565" s="95"/>
      <c r="AH565" s="2"/>
      <c r="AI565" s="2"/>
      <c r="AJ565" s="2"/>
      <c r="AK565" s="2"/>
    </row>
    <row r="566" spans="1:37" ht="15.75" customHeight="1" x14ac:dyDescent="0.2">
      <c r="A566" s="1"/>
      <c r="B566" s="2"/>
      <c r="C566" s="1"/>
      <c r="D566" s="1"/>
      <c r="E566" s="48"/>
      <c r="F566" s="48"/>
      <c r="G566" s="2"/>
      <c r="H566" s="48"/>
      <c r="I566" s="2"/>
      <c r="J566" s="2"/>
      <c r="K566" s="2"/>
      <c r="L566" s="2"/>
      <c r="M566" s="2"/>
      <c r="N566" s="2"/>
      <c r="O566" s="95"/>
      <c r="P566" s="95"/>
      <c r="Q566" s="95"/>
      <c r="R566" s="95"/>
      <c r="AE566" s="95"/>
      <c r="AF566" s="95"/>
      <c r="AG566" s="95"/>
      <c r="AH566" s="2"/>
      <c r="AI566" s="2"/>
      <c r="AJ566" s="2"/>
      <c r="AK566" s="2"/>
    </row>
    <row r="567" spans="1:37" ht="15.75" customHeight="1" x14ac:dyDescent="0.2">
      <c r="A567" s="1"/>
      <c r="B567" s="2"/>
      <c r="C567" s="1"/>
      <c r="D567" s="1"/>
      <c r="E567" s="48"/>
      <c r="F567" s="48"/>
      <c r="G567" s="2"/>
      <c r="H567" s="48"/>
      <c r="I567" s="2"/>
      <c r="J567" s="2"/>
      <c r="K567" s="2"/>
      <c r="L567" s="2"/>
      <c r="M567" s="2"/>
      <c r="N567" s="2"/>
      <c r="O567" s="95"/>
      <c r="P567" s="95"/>
      <c r="Q567" s="95"/>
      <c r="R567" s="95"/>
      <c r="AE567" s="95"/>
      <c r="AF567" s="95"/>
      <c r="AG567" s="95"/>
      <c r="AH567" s="2"/>
      <c r="AI567" s="2"/>
      <c r="AJ567" s="2"/>
      <c r="AK567" s="2"/>
    </row>
    <row r="568" spans="1:37" ht="15.75" customHeight="1" x14ac:dyDescent="0.2">
      <c r="A568" s="1"/>
      <c r="B568" s="2"/>
      <c r="C568" s="1"/>
      <c r="D568" s="1"/>
      <c r="E568" s="48"/>
      <c r="F568" s="48"/>
      <c r="G568" s="2"/>
      <c r="H568" s="48"/>
      <c r="I568" s="2"/>
      <c r="J568" s="2"/>
      <c r="K568" s="2"/>
      <c r="L568" s="2"/>
      <c r="M568" s="2"/>
      <c r="N568" s="2"/>
      <c r="O568" s="95"/>
      <c r="P568" s="95"/>
      <c r="Q568" s="95"/>
      <c r="R568" s="95"/>
      <c r="AE568" s="95"/>
      <c r="AF568" s="95"/>
      <c r="AG568" s="95"/>
      <c r="AH568" s="2"/>
      <c r="AI568" s="2"/>
      <c r="AJ568" s="2"/>
      <c r="AK568" s="2"/>
    </row>
    <row r="569" spans="1:37" ht="15.75" customHeight="1" x14ac:dyDescent="0.2">
      <c r="A569" s="1"/>
      <c r="B569" s="2"/>
      <c r="C569" s="1"/>
      <c r="D569" s="1"/>
      <c r="E569" s="48"/>
      <c r="F569" s="48"/>
      <c r="G569" s="2"/>
      <c r="H569" s="48"/>
      <c r="I569" s="2"/>
      <c r="J569" s="2"/>
      <c r="K569" s="2"/>
      <c r="L569" s="2"/>
      <c r="M569" s="2"/>
      <c r="N569" s="2"/>
      <c r="O569" s="95"/>
      <c r="P569" s="95"/>
      <c r="Q569" s="95"/>
      <c r="R569" s="95"/>
      <c r="AE569" s="95"/>
      <c r="AF569" s="95"/>
      <c r="AG569" s="95"/>
      <c r="AH569" s="2"/>
      <c r="AI569" s="2"/>
      <c r="AJ569" s="2"/>
      <c r="AK569" s="2"/>
    </row>
    <row r="570" spans="1:37" ht="15.75" customHeight="1" x14ac:dyDescent="0.2">
      <c r="A570" s="1"/>
      <c r="B570" s="2"/>
      <c r="C570" s="1"/>
      <c r="D570" s="1"/>
      <c r="E570" s="48"/>
      <c r="F570" s="48"/>
      <c r="G570" s="2"/>
      <c r="H570" s="48"/>
      <c r="I570" s="2"/>
      <c r="J570" s="2"/>
      <c r="K570" s="2"/>
      <c r="L570" s="2"/>
      <c r="M570" s="2"/>
      <c r="N570" s="2"/>
      <c r="O570" s="95"/>
      <c r="P570" s="95"/>
      <c r="Q570" s="95"/>
      <c r="R570" s="95"/>
      <c r="AE570" s="95"/>
      <c r="AF570" s="95"/>
      <c r="AG570" s="95"/>
      <c r="AH570" s="2"/>
      <c r="AI570" s="2"/>
      <c r="AJ570" s="2"/>
      <c r="AK570" s="2"/>
    </row>
    <row r="571" spans="1:37" ht="15.75" customHeight="1" x14ac:dyDescent="0.2">
      <c r="A571" s="1"/>
      <c r="B571" s="2"/>
      <c r="C571" s="1"/>
      <c r="D571" s="1"/>
      <c r="E571" s="48"/>
      <c r="F571" s="48"/>
      <c r="G571" s="2"/>
      <c r="H571" s="48"/>
      <c r="I571" s="2"/>
      <c r="J571" s="2"/>
      <c r="K571" s="2"/>
      <c r="L571" s="2"/>
      <c r="M571" s="2"/>
      <c r="N571" s="2"/>
      <c r="O571" s="95"/>
      <c r="P571" s="95"/>
      <c r="Q571" s="95"/>
      <c r="R571" s="95"/>
      <c r="AE571" s="95"/>
      <c r="AF571" s="95"/>
      <c r="AG571" s="95"/>
      <c r="AH571" s="2"/>
      <c r="AI571" s="2"/>
      <c r="AJ571" s="2"/>
      <c r="AK571" s="2"/>
    </row>
    <row r="572" spans="1:37" ht="15.75" customHeight="1" x14ac:dyDescent="0.2">
      <c r="A572" s="1"/>
      <c r="B572" s="2"/>
      <c r="C572" s="1"/>
      <c r="D572" s="1"/>
      <c r="E572" s="48"/>
      <c r="F572" s="48"/>
      <c r="G572" s="2"/>
      <c r="H572" s="48"/>
      <c r="I572" s="2"/>
      <c r="J572" s="2"/>
      <c r="K572" s="2"/>
      <c r="L572" s="2"/>
      <c r="M572" s="2"/>
      <c r="N572" s="2"/>
      <c r="O572" s="95"/>
      <c r="P572" s="95"/>
      <c r="Q572" s="95"/>
      <c r="R572" s="95"/>
      <c r="AE572" s="95"/>
      <c r="AF572" s="95"/>
      <c r="AG572" s="95"/>
      <c r="AH572" s="2"/>
      <c r="AI572" s="2"/>
      <c r="AJ572" s="2"/>
      <c r="AK572" s="2"/>
    </row>
    <row r="573" spans="1:37" ht="15.75" customHeight="1" x14ac:dyDescent="0.2">
      <c r="A573" s="1"/>
      <c r="B573" s="2"/>
      <c r="C573" s="1"/>
      <c r="D573" s="1"/>
      <c r="E573" s="48"/>
      <c r="F573" s="48"/>
      <c r="G573" s="2"/>
      <c r="H573" s="48"/>
      <c r="I573" s="2"/>
      <c r="J573" s="2"/>
      <c r="K573" s="2"/>
      <c r="L573" s="2"/>
      <c r="M573" s="2"/>
      <c r="N573" s="2"/>
      <c r="O573" s="95"/>
      <c r="P573" s="95"/>
      <c r="Q573" s="95"/>
      <c r="R573" s="95"/>
      <c r="AE573" s="95"/>
      <c r="AF573" s="95"/>
      <c r="AG573" s="95"/>
      <c r="AH573" s="2"/>
      <c r="AI573" s="2"/>
      <c r="AJ573" s="2"/>
      <c r="AK573" s="2"/>
    </row>
    <row r="574" spans="1:37" ht="15.75" customHeight="1" x14ac:dyDescent="0.2">
      <c r="A574" s="1"/>
      <c r="B574" s="2"/>
      <c r="C574" s="1"/>
      <c r="D574" s="1"/>
      <c r="E574" s="48"/>
      <c r="F574" s="48"/>
      <c r="G574" s="2"/>
      <c r="H574" s="48"/>
      <c r="I574" s="2"/>
      <c r="J574" s="2"/>
      <c r="K574" s="2"/>
      <c r="L574" s="2"/>
      <c r="M574" s="2"/>
      <c r="N574" s="2"/>
      <c r="O574" s="95"/>
      <c r="P574" s="95"/>
      <c r="Q574" s="95"/>
      <c r="R574" s="95"/>
      <c r="AE574" s="95"/>
      <c r="AF574" s="95"/>
      <c r="AG574" s="95"/>
      <c r="AH574" s="2"/>
      <c r="AI574" s="2"/>
      <c r="AJ574" s="2"/>
      <c r="AK574" s="2"/>
    </row>
    <row r="575" spans="1:37" ht="15.75" customHeight="1" x14ac:dyDescent="0.2">
      <c r="A575" s="1"/>
      <c r="B575" s="2"/>
      <c r="C575" s="1"/>
      <c r="D575" s="1"/>
      <c r="E575" s="48"/>
      <c r="F575" s="48"/>
      <c r="G575" s="2"/>
      <c r="H575" s="48"/>
      <c r="I575" s="2"/>
      <c r="J575" s="2"/>
      <c r="K575" s="2"/>
      <c r="L575" s="2"/>
      <c r="M575" s="2"/>
      <c r="N575" s="2"/>
      <c r="O575" s="95"/>
      <c r="P575" s="95"/>
      <c r="Q575" s="95"/>
      <c r="R575" s="95"/>
      <c r="AE575" s="95"/>
      <c r="AF575" s="95"/>
      <c r="AG575" s="95"/>
      <c r="AH575" s="2"/>
      <c r="AI575" s="2"/>
      <c r="AJ575" s="2"/>
      <c r="AK575" s="2"/>
    </row>
    <row r="576" spans="1:37" ht="15.75" customHeight="1" x14ac:dyDescent="0.2">
      <c r="A576" s="1"/>
      <c r="B576" s="2"/>
      <c r="C576" s="1"/>
      <c r="D576" s="1"/>
      <c r="E576" s="48"/>
      <c r="F576" s="48"/>
      <c r="G576" s="2"/>
      <c r="H576" s="48"/>
      <c r="I576" s="2"/>
      <c r="J576" s="2"/>
      <c r="K576" s="2"/>
      <c r="L576" s="2"/>
      <c r="M576" s="2"/>
      <c r="N576" s="2"/>
      <c r="O576" s="95"/>
      <c r="P576" s="95"/>
      <c r="Q576" s="95"/>
      <c r="R576" s="95"/>
      <c r="AE576" s="95"/>
      <c r="AF576" s="95"/>
      <c r="AG576" s="95"/>
      <c r="AH576" s="2"/>
      <c r="AI576" s="2"/>
      <c r="AJ576" s="2"/>
      <c r="AK576" s="2"/>
    </row>
    <row r="577" spans="1:37" ht="15.75" customHeight="1" x14ac:dyDescent="0.2">
      <c r="A577" s="1"/>
      <c r="B577" s="2"/>
      <c r="C577" s="1"/>
      <c r="D577" s="1"/>
      <c r="E577" s="48"/>
      <c r="F577" s="48"/>
      <c r="G577" s="2"/>
      <c r="H577" s="48"/>
      <c r="I577" s="2"/>
      <c r="J577" s="2"/>
      <c r="K577" s="2"/>
      <c r="L577" s="2"/>
      <c r="M577" s="2"/>
      <c r="N577" s="2"/>
      <c r="O577" s="95"/>
      <c r="P577" s="95"/>
      <c r="Q577" s="95"/>
      <c r="R577" s="95"/>
      <c r="AE577" s="95"/>
      <c r="AF577" s="95"/>
      <c r="AG577" s="95"/>
      <c r="AH577" s="2"/>
      <c r="AI577" s="2"/>
      <c r="AJ577" s="2"/>
      <c r="AK577" s="2"/>
    </row>
    <row r="578" spans="1:37" ht="15.75" customHeight="1" x14ac:dyDescent="0.2">
      <c r="A578" s="1"/>
      <c r="B578" s="2"/>
      <c r="C578" s="1"/>
      <c r="D578" s="1"/>
      <c r="E578" s="48"/>
      <c r="F578" s="48"/>
      <c r="G578" s="2"/>
      <c r="H578" s="48"/>
      <c r="I578" s="2"/>
      <c r="J578" s="2"/>
      <c r="K578" s="2"/>
      <c r="L578" s="2"/>
      <c r="M578" s="2"/>
      <c r="N578" s="2"/>
      <c r="O578" s="95"/>
      <c r="P578" s="95"/>
      <c r="Q578" s="95"/>
      <c r="R578" s="95"/>
      <c r="AE578" s="95"/>
      <c r="AF578" s="95"/>
      <c r="AG578" s="95"/>
      <c r="AH578" s="2"/>
      <c r="AI578" s="2"/>
      <c r="AJ578" s="2"/>
      <c r="AK578" s="2"/>
    </row>
    <row r="579" spans="1:37" ht="15.75" customHeight="1" x14ac:dyDescent="0.2">
      <c r="A579" s="1"/>
      <c r="B579" s="2"/>
      <c r="C579" s="1"/>
      <c r="D579" s="1"/>
      <c r="E579" s="48"/>
      <c r="F579" s="48"/>
      <c r="G579" s="2"/>
      <c r="H579" s="48"/>
      <c r="I579" s="2"/>
      <c r="J579" s="2"/>
      <c r="K579" s="2"/>
      <c r="L579" s="2"/>
      <c r="M579" s="2"/>
      <c r="N579" s="2"/>
      <c r="O579" s="95"/>
      <c r="P579" s="95"/>
      <c r="Q579" s="95"/>
      <c r="R579" s="95"/>
      <c r="AE579" s="95"/>
      <c r="AF579" s="95"/>
      <c r="AG579" s="95"/>
      <c r="AH579" s="2"/>
      <c r="AI579" s="2"/>
      <c r="AJ579" s="2"/>
      <c r="AK579" s="2"/>
    </row>
    <row r="580" spans="1:37" ht="15.75" customHeight="1" x14ac:dyDescent="0.2">
      <c r="A580" s="1"/>
      <c r="B580" s="2"/>
      <c r="C580" s="1"/>
      <c r="D580" s="1"/>
      <c r="E580" s="48"/>
      <c r="F580" s="48"/>
      <c r="G580" s="2"/>
      <c r="H580" s="48"/>
      <c r="I580" s="2"/>
      <c r="J580" s="2"/>
      <c r="K580" s="2"/>
      <c r="L580" s="2"/>
      <c r="M580" s="2"/>
      <c r="N580" s="2"/>
      <c r="O580" s="95"/>
      <c r="P580" s="95"/>
      <c r="Q580" s="95"/>
      <c r="R580" s="95"/>
      <c r="AE580" s="95"/>
      <c r="AF580" s="95"/>
      <c r="AG580" s="95"/>
      <c r="AH580" s="2"/>
      <c r="AI580" s="2"/>
      <c r="AJ580" s="2"/>
      <c r="AK580" s="2"/>
    </row>
    <row r="581" spans="1:37" ht="15.75" customHeight="1" x14ac:dyDescent="0.2">
      <c r="A581" s="1"/>
      <c r="B581" s="2"/>
      <c r="C581" s="1"/>
      <c r="D581" s="1"/>
      <c r="E581" s="48"/>
      <c r="F581" s="48"/>
      <c r="G581" s="2"/>
      <c r="H581" s="48"/>
      <c r="I581" s="2"/>
      <c r="J581" s="2"/>
      <c r="K581" s="2"/>
      <c r="L581" s="2"/>
      <c r="M581" s="2"/>
      <c r="N581" s="2"/>
      <c r="O581" s="95"/>
      <c r="P581" s="95"/>
      <c r="Q581" s="95"/>
      <c r="R581" s="95"/>
      <c r="AE581" s="95"/>
      <c r="AF581" s="95"/>
      <c r="AG581" s="95"/>
      <c r="AH581" s="2"/>
      <c r="AI581" s="2"/>
      <c r="AJ581" s="2"/>
      <c r="AK581" s="2"/>
    </row>
    <row r="582" spans="1:37" ht="15.75" customHeight="1" x14ac:dyDescent="0.2">
      <c r="A582" s="1"/>
      <c r="B582" s="2"/>
      <c r="C582" s="1"/>
      <c r="D582" s="1"/>
      <c r="E582" s="48"/>
      <c r="F582" s="48"/>
      <c r="G582" s="2"/>
      <c r="H582" s="48"/>
      <c r="I582" s="2"/>
      <c r="J582" s="2"/>
      <c r="K582" s="2"/>
      <c r="L582" s="2"/>
      <c r="M582" s="2"/>
      <c r="N582" s="2"/>
      <c r="O582" s="95"/>
      <c r="P582" s="95"/>
      <c r="Q582" s="95"/>
      <c r="R582" s="95"/>
      <c r="AE582" s="95"/>
      <c r="AF582" s="95"/>
      <c r="AG582" s="95"/>
      <c r="AH582" s="2"/>
      <c r="AI582" s="2"/>
      <c r="AJ582" s="2"/>
      <c r="AK582" s="2"/>
    </row>
    <row r="583" spans="1:37" ht="15.75" customHeight="1" x14ac:dyDescent="0.2">
      <c r="A583" s="1"/>
      <c r="B583" s="2"/>
      <c r="C583" s="1"/>
      <c r="D583" s="1"/>
      <c r="E583" s="48"/>
      <c r="F583" s="48"/>
      <c r="G583" s="2"/>
      <c r="H583" s="48"/>
      <c r="I583" s="2"/>
      <c r="J583" s="2"/>
      <c r="K583" s="2"/>
      <c r="L583" s="2"/>
      <c r="M583" s="2"/>
      <c r="N583" s="2"/>
      <c r="O583" s="95"/>
      <c r="P583" s="95"/>
      <c r="Q583" s="95"/>
      <c r="R583" s="95"/>
      <c r="AE583" s="95"/>
      <c r="AF583" s="95"/>
      <c r="AG583" s="95"/>
      <c r="AH583" s="2"/>
      <c r="AI583" s="2"/>
      <c r="AJ583" s="2"/>
      <c r="AK583" s="2"/>
    </row>
    <row r="584" spans="1:37" ht="15.75" customHeight="1" x14ac:dyDescent="0.2">
      <c r="A584" s="1"/>
      <c r="B584" s="2"/>
      <c r="C584" s="1"/>
      <c r="D584" s="1"/>
      <c r="E584" s="48"/>
      <c r="F584" s="48"/>
      <c r="G584" s="2"/>
      <c r="H584" s="48"/>
      <c r="I584" s="2"/>
      <c r="J584" s="2"/>
      <c r="K584" s="2"/>
      <c r="L584" s="2"/>
      <c r="M584" s="2"/>
      <c r="N584" s="2"/>
      <c r="O584" s="95"/>
      <c r="P584" s="95"/>
      <c r="Q584" s="95"/>
      <c r="R584" s="95"/>
      <c r="AE584" s="95"/>
      <c r="AF584" s="95"/>
      <c r="AG584" s="95"/>
      <c r="AH584" s="2"/>
      <c r="AI584" s="2"/>
      <c r="AJ584" s="2"/>
      <c r="AK584" s="2"/>
    </row>
    <row r="585" spans="1:37" ht="15.75" customHeight="1" x14ac:dyDescent="0.2">
      <c r="A585" s="1"/>
      <c r="B585" s="2"/>
      <c r="C585" s="1"/>
      <c r="D585" s="1"/>
      <c r="E585" s="48"/>
      <c r="F585" s="48"/>
      <c r="G585" s="2"/>
      <c r="H585" s="48"/>
      <c r="I585" s="2"/>
      <c r="J585" s="2"/>
      <c r="K585" s="2"/>
      <c r="L585" s="2"/>
      <c r="M585" s="2"/>
      <c r="N585" s="2"/>
      <c r="O585" s="95"/>
      <c r="P585" s="95"/>
      <c r="Q585" s="95"/>
      <c r="R585" s="95"/>
      <c r="AE585" s="95"/>
      <c r="AF585" s="95"/>
      <c r="AG585" s="95"/>
      <c r="AH585" s="2"/>
      <c r="AI585" s="2"/>
      <c r="AJ585" s="2"/>
      <c r="AK585" s="2"/>
    </row>
    <row r="586" spans="1:37" ht="15.75" customHeight="1" x14ac:dyDescent="0.2">
      <c r="A586" s="1"/>
      <c r="B586" s="2"/>
      <c r="C586" s="1"/>
      <c r="D586" s="1"/>
      <c r="E586" s="48"/>
      <c r="F586" s="48"/>
      <c r="G586" s="2"/>
      <c r="H586" s="48"/>
      <c r="I586" s="2"/>
      <c r="J586" s="2"/>
      <c r="K586" s="2"/>
      <c r="L586" s="2"/>
      <c r="M586" s="2"/>
      <c r="N586" s="2"/>
      <c r="O586" s="95"/>
      <c r="P586" s="95"/>
      <c r="Q586" s="95"/>
      <c r="R586" s="95"/>
      <c r="AE586" s="95"/>
      <c r="AF586" s="95"/>
      <c r="AG586" s="95"/>
      <c r="AH586" s="2"/>
      <c r="AI586" s="2"/>
      <c r="AJ586" s="2"/>
      <c r="AK586" s="2"/>
    </row>
    <row r="587" spans="1:37" ht="15.75" customHeight="1" x14ac:dyDescent="0.2">
      <c r="A587" s="1"/>
      <c r="B587" s="2"/>
      <c r="C587" s="1"/>
      <c r="D587" s="1"/>
      <c r="E587" s="48"/>
      <c r="F587" s="48"/>
      <c r="G587" s="2"/>
      <c r="H587" s="48"/>
      <c r="I587" s="2"/>
      <c r="J587" s="2"/>
      <c r="K587" s="2"/>
      <c r="L587" s="2"/>
      <c r="M587" s="2"/>
      <c r="N587" s="2"/>
      <c r="O587" s="95"/>
      <c r="P587" s="95"/>
      <c r="Q587" s="95"/>
      <c r="R587" s="95"/>
      <c r="AE587" s="95"/>
      <c r="AF587" s="95"/>
      <c r="AG587" s="95"/>
      <c r="AH587" s="2"/>
      <c r="AI587" s="2"/>
      <c r="AJ587" s="2"/>
      <c r="AK587" s="2"/>
    </row>
    <row r="588" spans="1:37" ht="15.75" customHeight="1" x14ac:dyDescent="0.2">
      <c r="A588" s="1"/>
      <c r="B588" s="2"/>
      <c r="C588" s="1"/>
      <c r="D588" s="1"/>
      <c r="E588" s="48"/>
      <c r="F588" s="48"/>
      <c r="G588" s="2"/>
      <c r="H588" s="48"/>
      <c r="I588" s="2"/>
      <c r="J588" s="2"/>
      <c r="K588" s="2"/>
      <c r="L588" s="2"/>
      <c r="M588" s="2"/>
      <c r="N588" s="2"/>
      <c r="O588" s="95"/>
      <c r="P588" s="95"/>
      <c r="Q588" s="95"/>
      <c r="R588" s="95"/>
      <c r="AE588" s="95"/>
      <c r="AF588" s="95"/>
      <c r="AG588" s="95"/>
      <c r="AH588" s="2"/>
      <c r="AI588" s="2"/>
      <c r="AJ588" s="2"/>
      <c r="AK588" s="2"/>
    </row>
    <row r="589" spans="1:37" ht="15.75" customHeight="1" x14ac:dyDescent="0.2">
      <c r="A589" s="1"/>
      <c r="B589" s="2"/>
      <c r="C589" s="1"/>
      <c r="D589" s="1"/>
      <c r="E589" s="48"/>
      <c r="F589" s="48"/>
      <c r="G589" s="2"/>
      <c r="H589" s="48"/>
      <c r="I589" s="2"/>
      <c r="J589" s="2"/>
      <c r="K589" s="2"/>
      <c r="L589" s="2"/>
      <c r="M589" s="2"/>
      <c r="N589" s="2"/>
      <c r="O589" s="95"/>
      <c r="P589" s="95"/>
      <c r="Q589" s="95"/>
      <c r="R589" s="95"/>
      <c r="AE589" s="95"/>
      <c r="AF589" s="95"/>
      <c r="AG589" s="95"/>
      <c r="AH589" s="2"/>
      <c r="AI589" s="2"/>
      <c r="AJ589" s="2"/>
      <c r="AK589" s="2"/>
    </row>
    <row r="590" spans="1:37" ht="15.75" customHeight="1" x14ac:dyDescent="0.2">
      <c r="A590" s="1"/>
      <c r="B590" s="2"/>
      <c r="C590" s="1"/>
      <c r="D590" s="1"/>
      <c r="E590" s="48"/>
      <c r="F590" s="48"/>
      <c r="G590" s="2"/>
      <c r="H590" s="48"/>
      <c r="I590" s="2"/>
      <c r="J590" s="2"/>
      <c r="K590" s="2"/>
      <c r="L590" s="2"/>
      <c r="M590" s="2"/>
      <c r="N590" s="2"/>
      <c r="O590" s="95"/>
      <c r="P590" s="95"/>
      <c r="Q590" s="95"/>
      <c r="R590" s="95"/>
      <c r="AE590" s="95"/>
      <c r="AF590" s="95"/>
      <c r="AG590" s="95"/>
      <c r="AH590" s="2"/>
      <c r="AI590" s="2"/>
      <c r="AJ590" s="2"/>
      <c r="AK590" s="2"/>
    </row>
    <row r="591" spans="1:37" ht="15.75" customHeight="1" x14ac:dyDescent="0.2">
      <c r="A591" s="1"/>
      <c r="B591" s="2"/>
      <c r="C591" s="1"/>
      <c r="D591" s="1"/>
      <c r="E591" s="48"/>
      <c r="F591" s="48"/>
      <c r="G591" s="2"/>
      <c r="H591" s="48"/>
      <c r="I591" s="2"/>
      <c r="J591" s="2"/>
      <c r="K591" s="2"/>
      <c r="L591" s="2"/>
      <c r="M591" s="2"/>
      <c r="N591" s="2"/>
      <c r="O591" s="95"/>
      <c r="P591" s="95"/>
      <c r="Q591" s="95"/>
      <c r="R591" s="95"/>
      <c r="AE591" s="95"/>
      <c r="AF591" s="95"/>
      <c r="AG591" s="95"/>
      <c r="AH591" s="2"/>
      <c r="AI591" s="2"/>
      <c r="AJ591" s="2"/>
      <c r="AK591" s="2"/>
    </row>
    <row r="592" spans="1:37" ht="15.75" customHeight="1" x14ac:dyDescent="0.2">
      <c r="A592" s="1"/>
      <c r="B592" s="2"/>
      <c r="C592" s="1"/>
      <c r="D592" s="1"/>
      <c r="E592" s="48"/>
      <c r="F592" s="48"/>
      <c r="G592" s="2"/>
      <c r="H592" s="48"/>
      <c r="I592" s="2"/>
      <c r="J592" s="2"/>
      <c r="K592" s="2"/>
      <c r="L592" s="2"/>
      <c r="M592" s="2"/>
      <c r="N592" s="2"/>
      <c r="O592" s="95"/>
      <c r="P592" s="95"/>
      <c r="Q592" s="95"/>
      <c r="R592" s="95"/>
      <c r="AE592" s="95"/>
      <c r="AF592" s="95"/>
      <c r="AG592" s="95"/>
      <c r="AH592" s="2"/>
      <c r="AI592" s="2"/>
      <c r="AJ592" s="2"/>
      <c r="AK592" s="2"/>
    </row>
    <row r="593" spans="1:37" ht="15.75" customHeight="1" x14ac:dyDescent="0.2">
      <c r="A593" s="1"/>
      <c r="B593" s="2"/>
      <c r="C593" s="1"/>
      <c r="D593" s="1"/>
      <c r="E593" s="48"/>
      <c r="F593" s="48"/>
      <c r="G593" s="2"/>
      <c r="H593" s="48"/>
      <c r="I593" s="2"/>
      <c r="J593" s="2"/>
      <c r="K593" s="2"/>
      <c r="L593" s="2"/>
      <c r="M593" s="2"/>
      <c r="N593" s="2"/>
      <c r="O593" s="95"/>
      <c r="P593" s="95"/>
      <c r="Q593" s="95"/>
      <c r="R593" s="95"/>
      <c r="AE593" s="95"/>
      <c r="AF593" s="95"/>
      <c r="AG593" s="95"/>
      <c r="AH593" s="2"/>
      <c r="AI593" s="2"/>
      <c r="AJ593" s="2"/>
      <c r="AK593" s="2"/>
    </row>
    <row r="594" spans="1:37" ht="15.75" customHeight="1" x14ac:dyDescent="0.2">
      <c r="A594" s="1"/>
      <c r="B594" s="2"/>
      <c r="C594" s="1"/>
      <c r="D594" s="1"/>
      <c r="E594" s="48"/>
      <c r="F594" s="48"/>
      <c r="G594" s="2"/>
      <c r="H594" s="48"/>
      <c r="I594" s="2"/>
      <c r="J594" s="2"/>
      <c r="K594" s="2"/>
      <c r="L594" s="2"/>
      <c r="M594" s="2"/>
      <c r="N594" s="2"/>
      <c r="O594" s="95"/>
      <c r="P594" s="95"/>
      <c r="Q594" s="95"/>
      <c r="R594" s="95"/>
      <c r="AE594" s="95"/>
      <c r="AF594" s="95"/>
      <c r="AG594" s="95"/>
      <c r="AH594" s="2"/>
      <c r="AI594" s="2"/>
      <c r="AJ594" s="2"/>
      <c r="AK594" s="2"/>
    </row>
    <row r="595" spans="1:37" ht="15.75" customHeight="1" x14ac:dyDescent="0.2">
      <c r="A595" s="1"/>
      <c r="B595" s="2"/>
      <c r="C595" s="1"/>
      <c r="D595" s="1"/>
      <c r="E595" s="48"/>
      <c r="F595" s="48"/>
      <c r="G595" s="2"/>
      <c r="H595" s="48"/>
      <c r="I595" s="2"/>
      <c r="J595" s="2"/>
      <c r="K595" s="2"/>
      <c r="L595" s="2"/>
      <c r="M595" s="2"/>
      <c r="N595" s="2"/>
      <c r="O595" s="95"/>
      <c r="P595" s="95"/>
      <c r="Q595" s="95"/>
      <c r="R595" s="95"/>
      <c r="AE595" s="95"/>
      <c r="AF595" s="95"/>
      <c r="AG595" s="95"/>
      <c r="AH595" s="2"/>
      <c r="AI595" s="2"/>
      <c r="AJ595" s="2"/>
      <c r="AK595" s="2"/>
    </row>
    <row r="596" spans="1:37" ht="15.75" customHeight="1" x14ac:dyDescent="0.2">
      <c r="A596" s="1"/>
      <c r="B596" s="2"/>
      <c r="C596" s="1"/>
      <c r="D596" s="1"/>
      <c r="E596" s="48"/>
      <c r="F596" s="48"/>
      <c r="G596" s="2"/>
      <c r="H596" s="48"/>
      <c r="I596" s="2"/>
      <c r="J596" s="2"/>
      <c r="K596" s="2"/>
      <c r="L596" s="2"/>
      <c r="M596" s="2"/>
      <c r="N596" s="2"/>
      <c r="O596" s="95"/>
      <c r="P596" s="95"/>
      <c r="Q596" s="95"/>
      <c r="R596" s="95"/>
      <c r="AE596" s="95"/>
      <c r="AF596" s="95"/>
      <c r="AG596" s="95"/>
      <c r="AH596" s="2"/>
      <c r="AI596" s="2"/>
      <c r="AJ596" s="2"/>
      <c r="AK596" s="2"/>
    </row>
    <row r="597" spans="1:37" ht="15.75" customHeight="1" x14ac:dyDescent="0.2">
      <c r="A597" s="1"/>
      <c r="B597" s="2"/>
      <c r="C597" s="1"/>
      <c r="D597" s="1"/>
      <c r="E597" s="48"/>
      <c r="F597" s="48"/>
      <c r="G597" s="2"/>
      <c r="H597" s="48"/>
      <c r="I597" s="2"/>
      <c r="J597" s="2"/>
      <c r="K597" s="2"/>
      <c r="L597" s="2"/>
      <c r="M597" s="2"/>
      <c r="N597" s="2"/>
      <c r="O597" s="95"/>
      <c r="P597" s="95"/>
      <c r="Q597" s="95"/>
      <c r="R597" s="95"/>
      <c r="AE597" s="95"/>
      <c r="AF597" s="95"/>
      <c r="AG597" s="95"/>
      <c r="AH597" s="2"/>
      <c r="AI597" s="2"/>
      <c r="AJ597" s="2"/>
      <c r="AK597" s="2"/>
    </row>
    <row r="598" spans="1:37" ht="15.75" customHeight="1" x14ac:dyDescent="0.2">
      <c r="A598" s="1"/>
      <c r="B598" s="2"/>
      <c r="C598" s="1"/>
      <c r="D598" s="1"/>
      <c r="E598" s="48"/>
      <c r="F598" s="48"/>
      <c r="G598" s="2"/>
      <c r="H598" s="48"/>
      <c r="I598" s="2"/>
      <c r="J598" s="2"/>
      <c r="K598" s="2"/>
      <c r="L598" s="2"/>
      <c r="M598" s="2"/>
      <c r="N598" s="2"/>
      <c r="O598" s="95"/>
      <c r="P598" s="95"/>
      <c r="Q598" s="95"/>
      <c r="R598" s="95"/>
      <c r="AE598" s="95"/>
      <c r="AF598" s="95"/>
      <c r="AG598" s="95"/>
      <c r="AH598" s="2"/>
      <c r="AI598" s="2"/>
      <c r="AJ598" s="2"/>
      <c r="AK598" s="2"/>
    </row>
    <row r="599" spans="1:37" ht="15.75" customHeight="1" x14ac:dyDescent="0.2">
      <c r="A599" s="1"/>
      <c r="B599" s="2"/>
      <c r="C599" s="1"/>
      <c r="D599" s="1"/>
      <c r="E599" s="48"/>
      <c r="F599" s="48"/>
      <c r="G599" s="2"/>
      <c r="H599" s="48"/>
      <c r="I599" s="2"/>
      <c r="J599" s="2"/>
      <c r="K599" s="2"/>
      <c r="L599" s="2"/>
      <c r="M599" s="2"/>
      <c r="N599" s="2"/>
      <c r="O599" s="95"/>
      <c r="P599" s="95"/>
      <c r="Q599" s="95"/>
      <c r="R599" s="95"/>
      <c r="AE599" s="95"/>
      <c r="AF599" s="95"/>
      <c r="AG599" s="95"/>
      <c r="AH599" s="2"/>
      <c r="AI599" s="2"/>
      <c r="AJ599" s="2"/>
      <c r="AK599" s="2"/>
    </row>
    <row r="600" spans="1:37" ht="15.75" customHeight="1" x14ac:dyDescent="0.2">
      <c r="A600" s="1"/>
      <c r="B600" s="2"/>
      <c r="C600" s="1"/>
      <c r="D600" s="1"/>
      <c r="E600" s="48"/>
      <c r="F600" s="48"/>
      <c r="G600" s="2"/>
      <c r="H600" s="48"/>
      <c r="I600" s="2"/>
      <c r="J600" s="2"/>
      <c r="K600" s="2"/>
      <c r="L600" s="2"/>
      <c r="M600" s="2"/>
      <c r="N600" s="2"/>
      <c r="O600" s="95"/>
      <c r="P600" s="95"/>
      <c r="Q600" s="95"/>
      <c r="R600" s="95"/>
      <c r="AE600" s="95"/>
      <c r="AF600" s="95"/>
      <c r="AG600" s="95"/>
      <c r="AH600" s="2"/>
      <c r="AI600" s="2"/>
      <c r="AJ600" s="2"/>
      <c r="AK600" s="2"/>
    </row>
    <row r="601" spans="1:37" ht="15.75" customHeight="1" x14ac:dyDescent="0.2">
      <c r="A601" s="1"/>
      <c r="B601" s="2"/>
      <c r="C601" s="1"/>
      <c r="D601" s="1"/>
      <c r="E601" s="48"/>
      <c r="F601" s="48"/>
      <c r="G601" s="2"/>
      <c r="H601" s="48"/>
      <c r="I601" s="2"/>
      <c r="J601" s="2"/>
      <c r="K601" s="2"/>
      <c r="L601" s="2"/>
      <c r="M601" s="2"/>
      <c r="N601" s="2"/>
      <c r="O601" s="95"/>
      <c r="P601" s="95"/>
      <c r="Q601" s="95"/>
      <c r="R601" s="95"/>
      <c r="AE601" s="95"/>
      <c r="AF601" s="95"/>
      <c r="AG601" s="95"/>
      <c r="AH601" s="2"/>
      <c r="AI601" s="2"/>
      <c r="AJ601" s="2"/>
      <c r="AK601" s="2"/>
    </row>
    <row r="602" spans="1:37" ht="15.75" customHeight="1" x14ac:dyDescent="0.2">
      <c r="A602" s="1"/>
      <c r="B602" s="2"/>
      <c r="C602" s="1"/>
      <c r="D602" s="1"/>
      <c r="E602" s="48"/>
      <c r="F602" s="48"/>
      <c r="G602" s="2"/>
      <c r="H602" s="48"/>
      <c r="I602" s="2"/>
      <c r="J602" s="2"/>
      <c r="K602" s="2"/>
      <c r="L602" s="2"/>
      <c r="M602" s="2"/>
      <c r="N602" s="2"/>
      <c r="O602" s="95"/>
      <c r="P602" s="95"/>
      <c r="Q602" s="95"/>
      <c r="R602" s="95"/>
      <c r="AE602" s="95"/>
      <c r="AF602" s="95"/>
      <c r="AG602" s="95"/>
      <c r="AH602" s="2"/>
      <c r="AI602" s="2"/>
      <c r="AJ602" s="2"/>
      <c r="AK602" s="2"/>
    </row>
    <row r="603" spans="1:37" ht="15.75" customHeight="1" x14ac:dyDescent="0.2">
      <c r="A603" s="1"/>
      <c r="B603" s="2"/>
      <c r="C603" s="1"/>
      <c r="D603" s="1"/>
      <c r="E603" s="48"/>
      <c r="F603" s="48"/>
      <c r="G603" s="2"/>
      <c r="H603" s="48"/>
      <c r="I603" s="2"/>
      <c r="J603" s="2"/>
      <c r="K603" s="2"/>
      <c r="L603" s="2"/>
      <c r="M603" s="2"/>
      <c r="N603" s="2"/>
      <c r="O603" s="95"/>
      <c r="P603" s="95"/>
      <c r="Q603" s="95"/>
      <c r="R603" s="95"/>
      <c r="AE603" s="95"/>
      <c r="AF603" s="95"/>
      <c r="AG603" s="95"/>
      <c r="AH603" s="2"/>
      <c r="AI603" s="2"/>
      <c r="AJ603" s="2"/>
      <c r="AK603" s="2"/>
    </row>
    <row r="604" spans="1:37" ht="15.75" customHeight="1" x14ac:dyDescent="0.2">
      <c r="A604" s="1"/>
      <c r="B604" s="2"/>
      <c r="C604" s="1"/>
      <c r="D604" s="1"/>
      <c r="E604" s="48"/>
      <c r="F604" s="48"/>
      <c r="G604" s="2"/>
      <c r="H604" s="48"/>
      <c r="I604" s="2"/>
      <c r="J604" s="2"/>
      <c r="K604" s="2"/>
      <c r="L604" s="2"/>
      <c r="M604" s="2"/>
      <c r="N604" s="2"/>
      <c r="O604" s="95"/>
      <c r="P604" s="95"/>
      <c r="Q604" s="95"/>
      <c r="R604" s="95"/>
      <c r="AE604" s="95"/>
      <c r="AF604" s="95"/>
      <c r="AG604" s="95"/>
      <c r="AH604" s="2"/>
      <c r="AI604" s="2"/>
      <c r="AJ604" s="2"/>
      <c r="AK604" s="2"/>
    </row>
    <row r="605" spans="1:37" ht="15.75" customHeight="1" x14ac:dyDescent="0.2">
      <c r="A605" s="1"/>
      <c r="B605" s="2"/>
      <c r="C605" s="1"/>
      <c r="D605" s="1"/>
      <c r="E605" s="48"/>
      <c r="F605" s="48"/>
      <c r="G605" s="2"/>
      <c r="H605" s="48"/>
      <c r="I605" s="2"/>
      <c r="J605" s="2"/>
      <c r="K605" s="2"/>
      <c r="L605" s="2"/>
      <c r="M605" s="2"/>
      <c r="N605" s="2"/>
      <c r="O605" s="95"/>
      <c r="P605" s="95"/>
      <c r="Q605" s="95"/>
      <c r="R605" s="95"/>
      <c r="AE605" s="95"/>
      <c r="AF605" s="95"/>
      <c r="AG605" s="95"/>
      <c r="AH605" s="2"/>
      <c r="AI605" s="2"/>
      <c r="AJ605" s="2"/>
      <c r="AK605" s="2"/>
    </row>
    <row r="606" spans="1:37" ht="15.75" customHeight="1" x14ac:dyDescent="0.2">
      <c r="A606" s="1"/>
      <c r="B606" s="2"/>
      <c r="C606" s="1"/>
      <c r="D606" s="1"/>
      <c r="E606" s="48"/>
      <c r="F606" s="48"/>
      <c r="G606" s="2"/>
      <c r="H606" s="48"/>
      <c r="I606" s="2"/>
      <c r="J606" s="2"/>
      <c r="K606" s="2"/>
      <c r="L606" s="2"/>
      <c r="M606" s="2"/>
      <c r="N606" s="2"/>
      <c r="O606" s="95"/>
      <c r="P606" s="95"/>
      <c r="Q606" s="95"/>
      <c r="R606" s="95"/>
      <c r="AE606" s="95"/>
      <c r="AF606" s="95"/>
      <c r="AG606" s="95"/>
      <c r="AH606" s="2"/>
      <c r="AI606" s="2"/>
      <c r="AJ606" s="2"/>
      <c r="AK606" s="2"/>
    </row>
    <row r="607" spans="1:37" ht="15.75" customHeight="1" x14ac:dyDescent="0.2">
      <c r="A607" s="1"/>
      <c r="B607" s="2"/>
      <c r="C607" s="1"/>
      <c r="D607" s="1"/>
      <c r="E607" s="48"/>
      <c r="F607" s="48"/>
      <c r="G607" s="2"/>
      <c r="H607" s="48"/>
      <c r="I607" s="2"/>
      <c r="J607" s="2"/>
      <c r="K607" s="2"/>
      <c r="L607" s="2"/>
      <c r="M607" s="2"/>
      <c r="N607" s="2"/>
      <c r="O607" s="95"/>
      <c r="P607" s="95"/>
      <c r="Q607" s="95"/>
      <c r="R607" s="95"/>
      <c r="AE607" s="95"/>
      <c r="AF607" s="95"/>
      <c r="AG607" s="95"/>
      <c r="AH607" s="2"/>
      <c r="AI607" s="2"/>
      <c r="AJ607" s="2"/>
      <c r="AK607" s="2"/>
    </row>
    <row r="608" spans="1:37" ht="15.75" customHeight="1" x14ac:dyDescent="0.2">
      <c r="A608" s="1"/>
      <c r="B608" s="2"/>
      <c r="C608" s="1"/>
      <c r="D608" s="1"/>
      <c r="E608" s="48"/>
      <c r="F608" s="48"/>
      <c r="G608" s="2"/>
      <c r="H608" s="48"/>
      <c r="I608" s="2"/>
      <c r="J608" s="2"/>
      <c r="K608" s="2"/>
      <c r="L608" s="2"/>
      <c r="M608" s="2"/>
      <c r="N608" s="2"/>
      <c r="O608" s="95"/>
      <c r="P608" s="95"/>
      <c r="Q608" s="95"/>
      <c r="R608" s="95"/>
      <c r="AE608" s="95"/>
      <c r="AF608" s="95"/>
      <c r="AG608" s="95"/>
      <c r="AH608" s="2"/>
      <c r="AI608" s="2"/>
      <c r="AJ608" s="2"/>
      <c r="AK608" s="2"/>
    </row>
    <row r="609" spans="1:37" ht="15.75" customHeight="1" x14ac:dyDescent="0.2">
      <c r="A609" s="1"/>
      <c r="B609" s="2"/>
      <c r="C609" s="1"/>
      <c r="D609" s="1"/>
      <c r="E609" s="48"/>
      <c r="F609" s="48"/>
      <c r="G609" s="2"/>
      <c r="H609" s="48"/>
      <c r="I609" s="2"/>
      <c r="J609" s="2"/>
      <c r="K609" s="2"/>
      <c r="L609" s="2"/>
      <c r="M609" s="2"/>
      <c r="N609" s="2"/>
      <c r="O609" s="95"/>
      <c r="P609" s="95"/>
      <c r="Q609" s="95"/>
      <c r="R609" s="95"/>
      <c r="AE609" s="95"/>
      <c r="AF609" s="95"/>
      <c r="AG609" s="95"/>
      <c r="AH609" s="2"/>
      <c r="AI609" s="2"/>
      <c r="AJ609" s="2"/>
      <c r="AK609" s="2"/>
    </row>
    <row r="610" spans="1:37" ht="15.75" customHeight="1" x14ac:dyDescent="0.2">
      <c r="A610" s="1"/>
      <c r="B610" s="2"/>
      <c r="C610" s="1"/>
      <c r="D610" s="1"/>
      <c r="E610" s="48"/>
      <c r="F610" s="48"/>
      <c r="G610" s="2"/>
      <c r="H610" s="48"/>
      <c r="I610" s="2"/>
      <c r="J610" s="2"/>
      <c r="K610" s="2"/>
      <c r="L610" s="2"/>
      <c r="M610" s="2"/>
      <c r="N610" s="2"/>
      <c r="O610" s="95"/>
      <c r="P610" s="95"/>
      <c r="Q610" s="95"/>
      <c r="R610" s="95"/>
      <c r="AE610" s="95"/>
      <c r="AF610" s="95"/>
      <c r="AG610" s="95"/>
      <c r="AH610" s="2"/>
      <c r="AI610" s="2"/>
      <c r="AJ610" s="2"/>
      <c r="AK610" s="2"/>
    </row>
    <row r="611" spans="1:37" ht="15.75" customHeight="1" x14ac:dyDescent="0.2">
      <c r="A611" s="1"/>
      <c r="B611" s="2"/>
      <c r="C611" s="1"/>
      <c r="D611" s="1"/>
      <c r="E611" s="48"/>
      <c r="F611" s="48"/>
      <c r="G611" s="2"/>
      <c r="H611" s="48"/>
      <c r="I611" s="2"/>
      <c r="J611" s="2"/>
      <c r="K611" s="2"/>
      <c r="L611" s="2"/>
      <c r="M611" s="2"/>
      <c r="N611" s="2"/>
      <c r="O611" s="95"/>
      <c r="P611" s="95"/>
      <c r="Q611" s="95"/>
      <c r="R611" s="95"/>
      <c r="AE611" s="95"/>
      <c r="AF611" s="95"/>
      <c r="AG611" s="95"/>
      <c r="AH611" s="2"/>
      <c r="AI611" s="2"/>
      <c r="AJ611" s="2"/>
      <c r="AK611" s="2"/>
    </row>
    <row r="612" spans="1:37" ht="15.75" customHeight="1" x14ac:dyDescent="0.2">
      <c r="A612" s="1"/>
      <c r="B612" s="2"/>
      <c r="C612" s="1"/>
      <c r="D612" s="1"/>
      <c r="E612" s="48"/>
      <c r="F612" s="48"/>
      <c r="G612" s="2"/>
      <c r="H612" s="48"/>
      <c r="I612" s="2"/>
      <c r="J612" s="2"/>
      <c r="K612" s="2"/>
      <c r="L612" s="2"/>
      <c r="M612" s="2"/>
      <c r="N612" s="2"/>
      <c r="O612" s="95"/>
      <c r="P612" s="95"/>
      <c r="Q612" s="95"/>
      <c r="R612" s="95"/>
      <c r="AE612" s="95"/>
      <c r="AF612" s="95"/>
      <c r="AG612" s="95"/>
      <c r="AH612" s="2"/>
      <c r="AI612" s="2"/>
      <c r="AJ612" s="2"/>
      <c r="AK612" s="2"/>
    </row>
    <row r="613" spans="1:37" ht="15.75" customHeight="1" x14ac:dyDescent="0.2">
      <c r="A613" s="1"/>
      <c r="B613" s="2"/>
      <c r="C613" s="1"/>
      <c r="D613" s="1"/>
      <c r="E613" s="48"/>
      <c r="F613" s="48"/>
      <c r="G613" s="2"/>
      <c r="H613" s="48"/>
      <c r="I613" s="2"/>
      <c r="J613" s="2"/>
      <c r="K613" s="2"/>
      <c r="L613" s="2"/>
      <c r="M613" s="2"/>
      <c r="N613" s="2"/>
      <c r="O613" s="95"/>
      <c r="P613" s="95"/>
      <c r="Q613" s="95"/>
      <c r="R613" s="95"/>
      <c r="AE613" s="95"/>
      <c r="AF613" s="95"/>
      <c r="AG613" s="95"/>
      <c r="AH613" s="2"/>
      <c r="AI613" s="2"/>
      <c r="AJ613" s="2"/>
      <c r="AK613" s="2"/>
    </row>
    <row r="614" spans="1:37" ht="15.75" customHeight="1" x14ac:dyDescent="0.2">
      <c r="A614" s="1"/>
      <c r="B614" s="2"/>
      <c r="C614" s="1"/>
      <c r="D614" s="1"/>
      <c r="E614" s="48"/>
      <c r="F614" s="48"/>
      <c r="G614" s="2"/>
      <c r="H614" s="48"/>
      <c r="I614" s="2"/>
      <c r="J614" s="2"/>
      <c r="K614" s="2"/>
      <c r="L614" s="2"/>
      <c r="M614" s="2"/>
      <c r="N614" s="2"/>
      <c r="O614" s="95"/>
      <c r="P614" s="95"/>
      <c r="Q614" s="95"/>
      <c r="R614" s="95"/>
      <c r="AE614" s="95"/>
      <c r="AF614" s="95"/>
      <c r="AG614" s="95"/>
      <c r="AH614" s="2"/>
      <c r="AI614" s="2"/>
      <c r="AJ614" s="2"/>
      <c r="AK614" s="2"/>
    </row>
    <row r="615" spans="1:37" ht="15.75" customHeight="1" x14ac:dyDescent="0.2">
      <c r="A615" s="1"/>
      <c r="B615" s="2"/>
      <c r="C615" s="1"/>
      <c r="D615" s="1"/>
      <c r="E615" s="48"/>
      <c r="F615" s="48"/>
      <c r="G615" s="2"/>
      <c r="H615" s="48"/>
      <c r="I615" s="2"/>
      <c r="J615" s="2"/>
      <c r="K615" s="2"/>
      <c r="L615" s="2"/>
      <c r="M615" s="2"/>
      <c r="N615" s="2"/>
      <c r="O615" s="95"/>
      <c r="P615" s="95"/>
      <c r="Q615" s="95"/>
      <c r="R615" s="95"/>
      <c r="AE615" s="95"/>
      <c r="AF615" s="95"/>
      <c r="AG615" s="95"/>
      <c r="AH615" s="2"/>
      <c r="AI615" s="2"/>
      <c r="AJ615" s="2"/>
      <c r="AK615" s="2"/>
    </row>
    <row r="616" spans="1:37" ht="15.75" customHeight="1" x14ac:dyDescent="0.2">
      <c r="A616" s="1"/>
      <c r="B616" s="2"/>
      <c r="C616" s="1"/>
      <c r="D616" s="1"/>
      <c r="E616" s="48"/>
      <c r="F616" s="48"/>
      <c r="G616" s="2"/>
      <c r="H616" s="48"/>
      <c r="I616" s="2"/>
      <c r="J616" s="2"/>
      <c r="K616" s="2"/>
      <c r="L616" s="2"/>
      <c r="M616" s="2"/>
      <c r="N616" s="2"/>
      <c r="O616" s="95"/>
      <c r="P616" s="95"/>
      <c r="Q616" s="95"/>
      <c r="R616" s="95"/>
      <c r="AE616" s="95"/>
      <c r="AF616" s="95"/>
      <c r="AG616" s="95"/>
      <c r="AH616" s="2"/>
      <c r="AI616" s="2"/>
      <c r="AJ616" s="2"/>
      <c r="AK616" s="2"/>
    </row>
    <row r="617" spans="1:37" ht="15.75" customHeight="1" x14ac:dyDescent="0.2">
      <c r="A617" s="1"/>
      <c r="B617" s="2"/>
      <c r="C617" s="1"/>
      <c r="D617" s="1"/>
      <c r="E617" s="48"/>
      <c r="F617" s="48"/>
      <c r="G617" s="2"/>
      <c r="H617" s="48"/>
      <c r="I617" s="2"/>
      <c r="J617" s="2"/>
      <c r="K617" s="2"/>
      <c r="L617" s="2"/>
      <c r="M617" s="2"/>
      <c r="N617" s="2"/>
      <c r="O617" s="95"/>
      <c r="P617" s="95"/>
      <c r="Q617" s="95"/>
      <c r="R617" s="95"/>
      <c r="AE617" s="95"/>
      <c r="AF617" s="95"/>
      <c r="AG617" s="95"/>
      <c r="AH617" s="2"/>
      <c r="AI617" s="2"/>
      <c r="AJ617" s="2"/>
      <c r="AK617" s="2"/>
    </row>
    <row r="618" spans="1:37" ht="15.75" customHeight="1" x14ac:dyDescent="0.2">
      <c r="A618" s="1"/>
      <c r="B618" s="2"/>
      <c r="C618" s="1"/>
      <c r="D618" s="1"/>
      <c r="E618" s="48"/>
      <c r="F618" s="48"/>
      <c r="G618" s="2"/>
      <c r="H618" s="48"/>
      <c r="I618" s="2"/>
      <c r="J618" s="2"/>
      <c r="K618" s="2"/>
      <c r="L618" s="2"/>
      <c r="M618" s="2"/>
      <c r="N618" s="2"/>
      <c r="O618" s="95"/>
      <c r="P618" s="95"/>
      <c r="Q618" s="95"/>
      <c r="R618" s="95"/>
      <c r="AE618" s="95"/>
      <c r="AF618" s="95"/>
      <c r="AG618" s="95"/>
      <c r="AH618" s="2"/>
      <c r="AI618" s="2"/>
      <c r="AJ618" s="2"/>
      <c r="AK618" s="2"/>
    </row>
    <row r="619" spans="1:37" ht="15.75" customHeight="1" x14ac:dyDescent="0.2">
      <c r="A619" s="1"/>
      <c r="B619" s="2"/>
      <c r="C619" s="1"/>
      <c r="D619" s="1"/>
      <c r="E619" s="48"/>
      <c r="F619" s="48"/>
      <c r="G619" s="2"/>
      <c r="H619" s="48"/>
      <c r="I619" s="2"/>
      <c r="J619" s="2"/>
      <c r="K619" s="2"/>
      <c r="L619" s="2"/>
      <c r="M619" s="2"/>
      <c r="N619" s="2"/>
      <c r="O619" s="95"/>
      <c r="P619" s="95"/>
      <c r="Q619" s="95"/>
      <c r="R619" s="95"/>
      <c r="AE619" s="95"/>
      <c r="AF619" s="95"/>
      <c r="AG619" s="95"/>
      <c r="AH619" s="2"/>
      <c r="AI619" s="2"/>
      <c r="AJ619" s="2"/>
      <c r="AK619" s="2"/>
    </row>
    <row r="620" spans="1:37" ht="15.75" customHeight="1" x14ac:dyDescent="0.2">
      <c r="A620" s="1"/>
      <c r="B620" s="2"/>
      <c r="C620" s="1"/>
      <c r="D620" s="1"/>
      <c r="E620" s="48"/>
      <c r="F620" s="48"/>
      <c r="G620" s="2"/>
      <c r="H620" s="48"/>
      <c r="I620" s="2"/>
      <c r="J620" s="2"/>
      <c r="K620" s="2"/>
      <c r="L620" s="2"/>
      <c r="M620" s="2"/>
      <c r="N620" s="2"/>
      <c r="O620" s="95"/>
      <c r="P620" s="95"/>
      <c r="Q620" s="95"/>
      <c r="R620" s="95"/>
      <c r="AE620" s="95"/>
      <c r="AF620" s="95"/>
      <c r="AG620" s="95"/>
      <c r="AH620" s="2"/>
      <c r="AI620" s="2"/>
      <c r="AJ620" s="2"/>
      <c r="AK620" s="2"/>
    </row>
    <row r="621" spans="1:37" ht="15.75" customHeight="1" x14ac:dyDescent="0.2">
      <c r="A621" s="1"/>
      <c r="B621" s="2"/>
      <c r="C621" s="1"/>
      <c r="D621" s="1"/>
      <c r="E621" s="48"/>
      <c r="F621" s="48"/>
      <c r="G621" s="2"/>
      <c r="H621" s="48"/>
      <c r="I621" s="2"/>
      <c r="J621" s="2"/>
      <c r="K621" s="2"/>
      <c r="L621" s="2"/>
      <c r="M621" s="2"/>
      <c r="N621" s="2"/>
      <c r="O621" s="95"/>
      <c r="P621" s="95"/>
      <c r="Q621" s="95"/>
      <c r="R621" s="95"/>
      <c r="AE621" s="95"/>
      <c r="AF621" s="95"/>
      <c r="AG621" s="95"/>
      <c r="AH621" s="2"/>
      <c r="AI621" s="2"/>
      <c r="AJ621" s="2"/>
      <c r="AK621" s="2"/>
    </row>
    <row r="622" spans="1:37" ht="15.75" customHeight="1" x14ac:dyDescent="0.2">
      <c r="A622" s="1"/>
      <c r="B622" s="2"/>
      <c r="C622" s="1"/>
      <c r="D622" s="1"/>
      <c r="E622" s="48"/>
      <c r="F622" s="48"/>
      <c r="G622" s="2"/>
      <c r="H622" s="48"/>
      <c r="I622" s="2"/>
      <c r="J622" s="2"/>
      <c r="K622" s="2"/>
      <c r="L622" s="2"/>
      <c r="M622" s="2"/>
      <c r="N622" s="2"/>
      <c r="O622" s="95"/>
      <c r="P622" s="95"/>
      <c r="Q622" s="95"/>
      <c r="R622" s="95"/>
      <c r="AE622" s="95"/>
      <c r="AF622" s="95"/>
      <c r="AG622" s="95"/>
      <c r="AH622" s="2"/>
      <c r="AI622" s="2"/>
      <c r="AJ622" s="2"/>
      <c r="AK622" s="2"/>
    </row>
    <row r="623" spans="1:37" ht="15.75" customHeight="1" x14ac:dyDescent="0.2">
      <c r="A623" s="1"/>
      <c r="B623" s="2"/>
      <c r="C623" s="1"/>
      <c r="D623" s="1"/>
      <c r="E623" s="48"/>
      <c r="F623" s="48"/>
      <c r="G623" s="2"/>
      <c r="H623" s="48"/>
      <c r="I623" s="2"/>
      <c r="J623" s="2"/>
      <c r="K623" s="2"/>
      <c r="L623" s="2"/>
      <c r="M623" s="2"/>
      <c r="N623" s="2"/>
      <c r="O623" s="95"/>
      <c r="P623" s="95"/>
      <c r="Q623" s="95"/>
      <c r="R623" s="95"/>
      <c r="AE623" s="95"/>
      <c r="AF623" s="95"/>
      <c r="AG623" s="95"/>
      <c r="AH623" s="2"/>
      <c r="AI623" s="2"/>
      <c r="AJ623" s="2"/>
      <c r="AK623" s="2"/>
    </row>
    <row r="624" spans="1:37" ht="15.75" customHeight="1" x14ac:dyDescent="0.2">
      <c r="A624" s="1"/>
      <c r="B624" s="2"/>
      <c r="C624" s="1"/>
      <c r="D624" s="1"/>
      <c r="E624" s="48"/>
      <c r="F624" s="48"/>
      <c r="G624" s="2"/>
      <c r="H624" s="48"/>
      <c r="I624" s="2"/>
      <c r="J624" s="2"/>
      <c r="K624" s="2"/>
      <c r="L624" s="2"/>
      <c r="M624" s="2"/>
      <c r="N624" s="2"/>
      <c r="O624" s="95"/>
      <c r="P624" s="95"/>
      <c r="Q624" s="95"/>
      <c r="R624" s="95"/>
      <c r="AE624" s="95"/>
      <c r="AF624" s="95"/>
      <c r="AG624" s="95"/>
      <c r="AH624" s="2"/>
      <c r="AI624" s="2"/>
      <c r="AJ624" s="2"/>
      <c r="AK624" s="2"/>
    </row>
    <row r="625" spans="1:37" ht="15.75" customHeight="1" x14ac:dyDescent="0.2">
      <c r="A625" s="1"/>
      <c r="B625" s="2"/>
      <c r="C625" s="1"/>
      <c r="D625" s="1"/>
      <c r="E625" s="48"/>
      <c r="F625" s="48"/>
      <c r="G625" s="2"/>
      <c r="H625" s="48"/>
      <c r="I625" s="2"/>
      <c r="J625" s="2"/>
      <c r="K625" s="2"/>
      <c r="L625" s="2"/>
      <c r="M625" s="2"/>
      <c r="N625" s="2"/>
      <c r="O625" s="95"/>
      <c r="P625" s="95"/>
      <c r="Q625" s="95"/>
      <c r="R625" s="95"/>
      <c r="AE625" s="95"/>
      <c r="AF625" s="95"/>
      <c r="AG625" s="95"/>
      <c r="AH625" s="2"/>
      <c r="AI625" s="2"/>
      <c r="AJ625" s="2"/>
      <c r="AK625" s="2"/>
    </row>
    <row r="626" spans="1:37" ht="15.75" customHeight="1" x14ac:dyDescent="0.2">
      <c r="A626" s="1"/>
      <c r="B626" s="2"/>
      <c r="C626" s="1"/>
      <c r="D626" s="1"/>
      <c r="E626" s="48"/>
      <c r="F626" s="48"/>
      <c r="G626" s="2"/>
      <c r="H626" s="48"/>
      <c r="I626" s="2"/>
      <c r="J626" s="2"/>
      <c r="K626" s="2"/>
      <c r="L626" s="2"/>
      <c r="M626" s="2"/>
      <c r="N626" s="2"/>
      <c r="O626" s="95"/>
      <c r="P626" s="95"/>
      <c r="Q626" s="95"/>
      <c r="R626" s="95"/>
      <c r="AE626" s="95"/>
      <c r="AF626" s="95"/>
      <c r="AG626" s="95"/>
      <c r="AH626" s="2"/>
      <c r="AI626" s="2"/>
      <c r="AJ626" s="2"/>
      <c r="AK626" s="2"/>
    </row>
    <row r="627" spans="1:37" ht="15.75" customHeight="1" x14ac:dyDescent="0.2">
      <c r="A627" s="1"/>
      <c r="B627" s="2"/>
      <c r="C627" s="1"/>
      <c r="D627" s="1"/>
      <c r="E627" s="48"/>
      <c r="F627" s="48"/>
      <c r="G627" s="2"/>
      <c r="H627" s="48"/>
      <c r="I627" s="2"/>
      <c r="J627" s="2"/>
      <c r="K627" s="2"/>
      <c r="L627" s="2"/>
      <c r="M627" s="2"/>
      <c r="N627" s="2"/>
      <c r="O627" s="95"/>
      <c r="P627" s="95"/>
      <c r="Q627" s="95"/>
      <c r="R627" s="95"/>
      <c r="AE627" s="95"/>
      <c r="AF627" s="95"/>
      <c r="AG627" s="95"/>
      <c r="AH627" s="2"/>
      <c r="AI627" s="2"/>
      <c r="AJ627" s="2"/>
      <c r="AK627" s="2"/>
    </row>
    <row r="628" spans="1:37" ht="15.75" customHeight="1" x14ac:dyDescent="0.2">
      <c r="A628" s="1"/>
      <c r="B628" s="2"/>
      <c r="C628" s="1"/>
      <c r="D628" s="1"/>
      <c r="E628" s="48"/>
      <c r="F628" s="48"/>
      <c r="G628" s="2"/>
      <c r="H628" s="48"/>
      <c r="I628" s="2"/>
      <c r="J628" s="2"/>
      <c r="K628" s="2"/>
      <c r="L628" s="2"/>
      <c r="M628" s="2"/>
      <c r="N628" s="2"/>
      <c r="O628" s="95"/>
      <c r="P628" s="95"/>
      <c r="Q628" s="95"/>
      <c r="R628" s="95"/>
      <c r="AE628" s="95"/>
      <c r="AF628" s="95"/>
      <c r="AG628" s="95"/>
      <c r="AH628" s="2"/>
      <c r="AI628" s="2"/>
      <c r="AJ628" s="2"/>
      <c r="AK628" s="2"/>
    </row>
    <row r="629" spans="1:37" ht="15.75" customHeight="1" x14ac:dyDescent="0.2">
      <c r="A629" s="1"/>
      <c r="B629" s="2"/>
      <c r="C629" s="1"/>
      <c r="D629" s="1"/>
      <c r="E629" s="48"/>
      <c r="F629" s="48"/>
      <c r="G629" s="2"/>
      <c r="H629" s="48"/>
      <c r="I629" s="2"/>
      <c r="J629" s="2"/>
      <c r="K629" s="2"/>
      <c r="L629" s="2"/>
      <c r="M629" s="2"/>
      <c r="N629" s="2"/>
      <c r="O629" s="95"/>
      <c r="P629" s="95"/>
      <c r="Q629" s="95"/>
      <c r="R629" s="95"/>
      <c r="AE629" s="95"/>
      <c r="AF629" s="95"/>
      <c r="AG629" s="95"/>
      <c r="AH629" s="2"/>
      <c r="AI629" s="2"/>
      <c r="AJ629" s="2"/>
      <c r="AK629" s="2"/>
    </row>
    <row r="630" spans="1:37" ht="15.75" customHeight="1" x14ac:dyDescent="0.2">
      <c r="A630" s="1"/>
      <c r="B630" s="2"/>
      <c r="C630" s="1"/>
      <c r="D630" s="1"/>
      <c r="E630" s="48"/>
      <c r="F630" s="48"/>
      <c r="G630" s="2"/>
      <c r="H630" s="48"/>
      <c r="I630" s="2"/>
      <c r="J630" s="2"/>
      <c r="K630" s="2"/>
      <c r="L630" s="2"/>
      <c r="M630" s="2"/>
      <c r="N630" s="2"/>
      <c r="O630" s="95"/>
      <c r="P630" s="95"/>
      <c r="Q630" s="95"/>
      <c r="R630" s="95"/>
      <c r="AE630" s="95"/>
      <c r="AF630" s="95"/>
      <c r="AG630" s="95"/>
      <c r="AH630" s="2"/>
      <c r="AI630" s="2"/>
      <c r="AJ630" s="2"/>
      <c r="AK630" s="2"/>
    </row>
    <row r="631" spans="1:37" ht="15.75" customHeight="1" x14ac:dyDescent="0.2">
      <c r="A631" s="1"/>
      <c r="B631" s="2"/>
      <c r="C631" s="1"/>
      <c r="D631" s="1"/>
      <c r="E631" s="48"/>
      <c r="F631" s="48"/>
      <c r="G631" s="2"/>
      <c r="H631" s="48"/>
      <c r="I631" s="2"/>
      <c r="J631" s="2"/>
      <c r="K631" s="2"/>
      <c r="L631" s="2"/>
      <c r="M631" s="2"/>
      <c r="N631" s="2"/>
      <c r="O631" s="95"/>
      <c r="P631" s="95"/>
      <c r="Q631" s="95"/>
      <c r="R631" s="95"/>
      <c r="AE631" s="95"/>
      <c r="AF631" s="95"/>
      <c r="AG631" s="95"/>
      <c r="AH631" s="2"/>
      <c r="AI631" s="2"/>
      <c r="AJ631" s="2"/>
      <c r="AK631" s="2"/>
    </row>
    <row r="632" spans="1:37" ht="15.75" customHeight="1" x14ac:dyDescent="0.2">
      <c r="A632" s="1"/>
      <c r="B632" s="2"/>
      <c r="C632" s="1"/>
      <c r="D632" s="1"/>
      <c r="E632" s="48"/>
      <c r="F632" s="48"/>
      <c r="G632" s="2"/>
      <c r="H632" s="48"/>
      <c r="I632" s="2"/>
      <c r="J632" s="2"/>
      <c r="K632" s="2"/>
      <c r="L632" s="2"/>
      <c r="M632" s="2"/>
      <c r="N632" s="2"/>
      <c r="O632" s="95"/>
      <c r="P632" s="95"/>
      <c r="Q632" s="95"/>
      <c r="R632" s="95"/>
      <c r="AE632" s="95"/>
      <c r="AF632" s="95"/>
      <c r="AG632" s="95"/>
      <c r="AH632" s="2"/>
      <c r="AI632" s="2"/>
      <c r="AJ632" s="2"/>
      <c r="AK632" s="2"/>
    </row>
    <row r="633" spans="1:37" ht="15.75" customHeight="1" x14ac:dyDescent="0.2">
      <c r="A633" s="1"/>
      <c r="B633" s="2"/>
      <c r="C633" s="1"/>
      <c r="D633" s="1"/>
      <c r="E633" s="48"/>
      <c r="F633" s="48"/>
      <c r="G633" s="2"/>
      <c r="H633" s="48"/>
      <c r="I633" s="2"/>
      <c r="J633" s="2"/>
      <c r="K633" s="2"/>
      <c r="L633" s="2"/>
      <c r="M633" s="2"/>
      <c r="N633" s="2"/>
      <c r="O633" s="95"/>
      <c r="P633" s="95"/>
      <c r="Q633" s="95"/>
      <c r="R633" s="95"/>
      <c r="AE633" s="95"/>
      <c r="AF633" s="95"/>
      <c r="AG633" s="95"/>
      <c r="AH633" s="2"/>
      <c r="AI633" s="2"/>
      <c r="AJ633" s="2"/>
      <c r="AK633" s="2"/>
    </row>
    <row r="634" spans="1:37" ht="15.75" customHeight="1" x14ac:dyDescent="0.2">
      <c r="A634" s="1"/>
      <c r="B634" s="2"/>
      <c r="C634" s="1"/>
      <c r="D634" s="1"/>
      <c r="E634" s="48"/>
      <c r="F634" s="48"/>
      <c r="G634" s="2"/>
      <c r="H634" s="48"/>
      <c r="I634" s="2"/>
      <c r="J634" s="2"/>
      <c r="K634" s="2"/>
      <c r="L634" s="2"/>
      <c r="M634" s="2"/>
      <c r="N634" s="2"/>
      <c r="O634" s="95"/>
      <c r="P634" s="95"/>
      <c r="Q634" s="95"/>
      <c r="R634" s="95"/>
      <c r="AE634" s="95"/>
      <c r="AF634" s="95"/>
      <c r="AG634" s="95"/>
      <c r="AH634" s="2"/>
      <c r="AI634" s="2"/>
      <c r="AJ634" s="2"/>
      <c r="AK634" s="2"/>
    </row>
    <row r="635" spans="1:37" ht="15.75" customHeight="1" x14ac:dyDescent="0.2">
      <c r="A635" s="1"/>
      <c r="B635" s="2"/>
      <c r="C635" s="1"/>
      <c r="D635" s="1"/>
      <c r="E635" s="48"/>
      <c r="F635" s="48"/>
      <c r="G635" s="2"/>
      <c r="H635" s="48"/>
      <c r="I635" s="2"/>
      <c r="J635" s="2"/>
      <c r="K635" s="2"/>
      <c r="L635" s="2"/>
      <c r="M635" s="2"/>
      <c r="N635" s="2"/>
      <c r="O635" s="95"/>
      <c r="P635" s="95"/>
      <c r="Q635" s="95"/>
      <c r="R635" s="95"/>
      <c r="AE635" s="95"/>
      <c r="AF635" s="95"/>
      <c r="AG635" s="95"/>
      <c r="AH635" s="2"/>
      <c r="AI635" s="2"/>
      <c r="AJ635" s="2"/>
      <c r="AK635" s="2"/>
    </row>
    <row r="636" spans="1:37" ht="15.75" customHeight="1" x14ac:dyDescent="0.2">
      <c r="A636" s="1"/>
      <c r="B636" s="2"/>
      <c r="C636" s="1"/>
      <c r="D636" s="1"/>
      <c r="E636" s="48"/>
      <c r="F636" s="48"/>
      <c r="G636" s="2"/>
      <c r="H636" s="48"/>
      <c r="I636" s="2"/>
      <c r="J636" s="2"/>
      <c r="K636" s="2"/>
      <c r="L636" s="2"/>
      <c r="M636" s="2"/>
      <c r="N636" s="2"/>
      <c r="O636" s="95"/>
      <c r="P636" s="95"/>
      <c r="Q636" s="95"/>
      <c r="R636" s="95"/>
      <c r="AE636" s="95"/>
      <c r="AF636" s="95"/>
      <c r="AG636" s="95"/>
      <c r="AH636" s="2"/>
      <c r="AI636" s="2"/>
      <c r="AJ636" s="2"/>
      <c r="AK636" s="2"/>
    </row>
    <row r="637" spans="1:37" ht="15.75" customHeight="1" x14ac:dyDescent="0.2">
      <c r="A637" s="1"/>
      <c r="B637" s="2"/>
      <c r="C637" s="1"/>
      <c r="D637" s="1"/>
      <c r="E637" s="48"/>
      <c r="F637" s="48"/>
      <c r="G637" s="2"/>
      <c r="H637" s="48"/>
      <c r="I637" s="2"/>
      <c r="J637" s="2"/>
      <c r="K637" s="2"/>
      <c r="L637" s="2"/>
      <c r="M637" s="2"/>
      <c r="N637" s="2"/>
      <c r="O637" s="95"/>
      <c r="P637" s="95"/>
      <c r="Q637" s="95"/>
      <c r="R637" s="95"/>
      <c r="AE637" s="95"/>
      <c r="AF637" s="95"/>
      <c r="AG637" s="95"/>
      <c r="AH637" s="2"/>
      <c r="AI637" s="2"/>
      <c r="AJ637" s="2"/>
      <c r="AK637" s="2"/>
    </row>
    <row r="638" spans="1:37" ht="15.75" customHeight="1" x14ac:dyDescent="0.2">
      <c r="A638" s="1"/>
      <c r="B638" s="2"/>
      <c r="C638" s="1"/>
      <c r="D638" s="1"/>
      <c r="E638" s="48"/>
      <c r="F638" s="48"/>
      <c r="G638" s="2"/>
      <c r="H638" s="48"/>
      <c r="I638" s="2"/>
      <c r="J638" s="2"/>
      <c r="K638" s="2"/>
      <c r="L638" s="2"/>
      <c r="M638" s="2"/>
      <c r="N638" s="2"/>
      <c r="O638" s="95"/>
      <c r="P638" s="95"/>
      <c r="Q638" s="95"/>
      <c r="R638" s="95"/>
      <c r="AE638" s="95"/>
      <c r="AF638" s="95"/>
      <c r="AG638" s="95"/>
      <c r="AH638" s="2"/>
      <c r="AI638" s="2"/>
      <c r="AJ638" s="2"/>
      <c r="AK638" s="2"/>
    </row>
    <row r="639" spans="1:37" ht="15.75" customHeight="1" x14ac:dyDescent="0.2">
      <c r="A639" s="1"/>
      <c r="B639" s="2"/>
      <c r="C639" s="1"/>
      <c r="D639" s="1"/>
      <c r="E639" s="48"/>
      <c r="F639" s="48"/>
      <c r="G639" s="2"/>
      <c r="H639" s="48"/>
      <c r="I639" s="2"/>
      <c r="J639" s="2"/>
      <c r="K639" s="2"/>
      <c r="L639" s="2"/>
      <c r="M639" s="2"/>
      <c r="N639" s="2"/>
      <c r="O639" s="95"/>
      <c r="P639" s="95"/>
      <c r="Q639" s="95"/>
      <c r="R639" s="95"/>
      <c r="AE639" s="95"/>
      <c r="AF639" s="95"/>
      <c r="AG639" s="95"/>
      <c r="AH639" s="2"/>
      <c r="AI639" s="2"/>
      <c r="AJ639" s="2"/>
      <c r="AK639" s="2"/>
    </row>
    <row r="640" spans="1:37" ht="15.75" customHeight="1" x14ac:dyDescent="0.2">
      <c r="A640" s="1"/>
      <c r="B640" s="2"/>
      <c r="C640" s="1"/>
      <c r="D640" s="1"/>
      <c r="E640" s="48"/>
      <c r="F640" s="48"/>
      <c r="G640" s="2"/>
      <c r="H640" s="48"/>
      <c r="I640" s="2"/>
      <c r="J640" s="2"/>
      <c r="K640" s="2"/>
      <c r="L640" s="2"/>
      <c r="M640" s="2"/>
      <c r="N640" s="2"/>
      <c r="O640" s="95"/>
      <c r="P640" s="95"/>
      <c r="Q640" s="95"/>
      <c r="R640" s="95"/>
      <c r="AE640" s="95"/>
      <c r="AF640" s="95"/>
      <c r="AG640" s="95"/>
      <c r="AH640" s="2"/>
      <c r="AI640" s="2"/>
      <c r="AJ640" s="2"/>
      <c r="AK640" s="2"/>
    </row>
    <row r="641" spans="1:37" ht="15.75" customHeight="1" x14ac:dyDescent="0.2">
      <c r="A641" s="1"/>
      <c r="B641" s="2"/>
      <c r="C641" s="1"/>
      <c r="D641" s="1"/>
      <c r="E641" s="48"/>
      <c r="F641" s="48"/>
      <c r="G641" s="2"/>
      <c r="H641" s="48"/>
      <c r="I641" s="2"/>
      <c r="J641" s="2"/>
      <c r="K641" s="2"/>
      <c r="L641" s="2"/>
      <c r="M641" s="2"/>
      <c r="N641" s="2"/>
      <c r="O641" s="95"/>
      <c r="P641" s="95"/>
      <c r="Q641" s="95"/>
      <c r="R641" s="95"/>
      <c r="AE641" s="95"/>
      <c r="AF641" s="95"/>
      <c r="AG641" s="95"/>
      <c r="AH641" s="2"/>
      <c r="AI641" s="2"/>
      <c r="AJ641" s="2"/>
      <c r="AK641" s="2"/>
    </row>
    <row r="642" spans="1:37" ht="15.75" customHeight="1" x14ac:dyDescent="0.2">
      <c r="A642" s="1"/>
      <c r="B642" s="2"/>
      <c r="C642" s="1"/>
      <c r="D642" s="1"/>
      <c r="E642" s="48"/>
      <c r="F642" s="48"/>
      <c r="G642" s="2"/>
      <c r="H642" s="48"/>
      <c r="I642" s="2"/>
      <c r="J642" s="2"/>
      <c r="K642" s="2"/>
      <c r="L642" s="2"/>
      <c r="M642" s="2"/>
      <c r="N642" s="2"/>
      <c r="O642" s="95"/>
      <c r="P642" s="95"/>
      <c r="Q642" s="95"/>
      <c r="R642" s="95"/>
      <c r="AE642" s="95"/>
      <c r="AF642" s="95"/>
      <c r="AG642" s="95"/>
      <c r="AH642" s="2"/>
      <c r="AI642" s="2"/>
      <c r="AJ642" s="2"/>
      <c r="AK642" s="2"/>
    </row>
    <row r="643" spans="1:37" ht="15.75" customHeight="1" x14ac:dyDescent="0.2">
      <c r="A643" s="1"/>
      <c r="B643" s="2"/>
      <c r="C643" s="1"/>
      <c r="D643" s="1"/>
      <c r="E643" s="48"/>
      <c r="F643" s="48"/>
      <c r="G643" s="2"/>
      <c r="H643" s="48"/>
      <c r="I643" s="2"/>
      <c r="J643" s="2"/>
      <c r="K643" s="2"/>
      <c r="L643" s="2"/>
      <c r="M643" s="2"/>
      <c r="N643" s="2"/>
      <c r="O643" s="95"/>
      <c r="P643" s="95"/>
      <c r="Q643" s="95"/>
      <c r="R643" s="95"/>
      <c r="AE643" s="95"/>
      <c r="AF643" s="95"/>
      <c r="AG643" s="95"/>
      <c r="AH643" s="2"/>
      <c r="AI643" s="2"/>
      <c r="AJ643" s="2"/>
      <c r="AK643" s="2"/>
    </row>
    <row r="644" spans="1:37" ht="15.75" customHeight="1" x14ac:dyDescent="0.2">
      <c r="A644" s="1"/>
      <c r="B644" s="2"/>
      <c r="C644" s="1"/>
      <c r="D644" s="1"/>
      <c r="E644" s="48"/>
      <c r="F644" s="48"/>
      <c r="G644" s="2"/>
      <c r="H644" s="48"/>
      <c r="I644" s="2"/>
      <c r="J644" s="2"/>
      <c r="K644" s="2"/>
      <c r="L644" s="2"/>
      <c r="M644" s="2"/>
      <c r="N644" s="2"/>
      <c r="O644" s="95"/>
      <c r="P644" s="95"/>
      <c r="Q644" s="95"/>
      <c r="R644" s="95"/>
      <c r="AE644" s="95"/>
      <c r="AF644" s="95"/>
      <c r="AG644" s="95"/>
      <c r="AH644" s="2"/>
      <c r="AI644" s="2"/>
      <c r="AJ644" s="2"/>
      <c r="AK644" s="2"/>
    </row>
    <row r="645" spans="1:37" ht="15.75" customHeight="1" x14ac:dyDescent="0.2">
      <c r="A645" s="1"/>
      <c r="B645" s="2"/>
      <c r="C645" s="1"/>
      <c r="D645" s="1"/>
      <c r="E645" s="48"/>
      <c r="F645" s="48"/>
      <c r="G645" s="2"/>
      <c r="H645" s="48"/>
      <c r="I645" s="2"/>
      <c r="J645" s="2"/>
      <c r="K645" s="2"/>
      <c r="L645" s="2"/>
      <c r="M645" s="2"/>
      <c r="N645" s="2"/>
      <c r="O645" s="95"/>
      <c r="P645" s="95"/>
      <c r="Q645" s="95"/>
      <c r="R645" s="95"/>
      <c r="AE645" s="95"/>
      <c r="AF645" s="95"/>
      <c r="AG645" s="95"/>
      <c r="AH645" s="2"/>
      <c r="AI645" s="2"/>
      <c r="AJ645" s="2"/>
      <c r="AK645" s="2"/>
    </row>
    <row r="646" spans="1:37" ht="15.75" customHeight="1" x14ac:dyDescent="0.2">
      <c r="A646" s="1"/>
      <c r="B646" s="2"/>
      <c r="C646" s="1"/>
      <c r="D646" s="1"/>
      <c r="E646" s="48"/>
      <c r="F646" s="48"/>
      <c r="G646" s="2"/>
      <c r="H646" s="48"/>
      <c r="I646" s="2"/>
      <c r="J646" s="2"/>
      <c r="K646" s="2"/>
      <c r="L646" s="2"/>
      <c r="M646" s="2"/>
      <c r="N646" s="2"/>
      <c r="O646" s="95"/>
      <c r="P646" s="95"/>
      <c r="Q646" s="95"/>
      <c r="R646" s="95"/>
      <c r="AE646" s="95"/>
      <c r="AF646" s="95"/>
      <c r="AG646" s="95"/>
      <c r="AH646" s="2"/>
      <c r="AI646" s="2"/>
      <c r="AJ646" s="2"/>
      <c r="AK646" s="2"/>
    </row>
    <row r="647" spans="1:37" ht="15.75" customHeight="1" x14ac:dyDescent="0.2">
      <c r="A647" s="1"/>
      <c r="B647" s="2"/>
      <c r="C647" s="1"/>
      <c r="D647" s="1"/>
      <c r="E647" s="48"/>
      <c r="F647" s="48"/>
      <c r="G647" s="2"/>
      <c r="H647" s="48"/>
      <c r="I647" s="2"/>
      <c r="J647" s="2"/>
      <c r="K647" s="2"/>
      <c r="L647" s="2"/>
      <c r="M647" s="2"/>
      <c r="N647" s="2"/>
      <c r="O647" s="95"/>
      <c r="P647" s="95"/>
      <c r="Q647" s="95"/>
      <c r="R647" s="95"/>
      <c r="AE647" s="95"/>
      <c r="AF647" s="95"/>
      <c r="AG647" s="95"/>
      <c r="AH647" s="2"/>
      <c r="AI647" s="2"/>
      <c r="AJ647" s="2"/>
      <c r="AK647" s="2"/>
    </row>
    <row r="648" spans="1:37" ht="15.75" customHeight="1" x14ac:dyDescent="0.2">
      <c r="A648" s="1"/>
      <c r="B648" s="2"/>
      <c r="C648" s="1"/>
      <c r="D648" s="1"/>
      <c r="E648" s="48"/>
      <c r="F648" s="48"/>
      <c r="G648" s="2"/>
      <c r="H648" s="48"/>
      <c r="I648" s="2"/>
      <c r="J648" s="2"/>
      <c r="K648" s="2"/>
      <c r="L648" s="2"/>
      <c r="M648" s="2"/>
      <c r="N648" s="2"/>
      <c r="O648" s="95"/>
      <c r="P648" s="95"/>
      <c r="Q648" s="95"/>
      <c r="R648" s="95"/>
      <c r="AE648" s="95"/>
      <c r="AF648" s="95"/>
      <c r="AG648" s="95"/>
      <c r="AH648" s="2"/>
      <c r="AI648" s="2"/>
      <c r="AJ648" s="2"/>
      <c r="AK648" s="2"/>
    </row>
    <row r="649" spans="1:37" ht="15.75" customHeight="1" x14ac:dyDescent="0.2">
      <c r="A649" s="1"/>
      <c r="B649" s="2"/>
      <c r="C649" s="1"/>
      <c r="D649" s="1"/>
      <c r="E649" s="48"/>
      <c r="F649" s="48"/>
      <c r="G649" s="2"/>
      <c r="H649" s="48"/>
      <c r="I649" s="2"/>
      <c r="J649" s="2"/>
      <c r="K649" s="2"/>
      <c r="L649" s="2"/>
      <c r="M649" s="2"/>
      <c r="N649" s="2"/>
      <c r="O649" s="95"/>
      <c r="P649" s="95"/>
      <c r="Q649" s="95"/>
      <c r="R649" s="95"/>
      <c r="AE649" s="95"/>
      <c r="AF649" s="95"/>
      <c r="AG649" s="95"/>
      <c r="AH649" s="2"/>
      <c r="AI649" s="2"/>
      <c r="AJ649" s="2"/>
      <c r="AK649" s="2"/>
    </row>
    <row r="650" spans="1:37" ht="15.75" customHeight="1" x14ac:dyDescent="0.2">
      <c r="A650" s="1"/>
      <c r="B650" s="2"/>
      <c r="C650" s="1"/>
      <c r="D650" s="1"/>
      <c r="E650" s="48"/>
      <c r="F650" s="48"/>
      <c r="G650" s="2"/>
      <c r="H650" s="48"/>
      <c r="I650" s="2"/>
      <c r="J650" s="2"/>
      <c r="K650" s="2"/>
      <c r="L650" s="2"/>
      <c r="M650" s="2"/>
      <c r="N650" s="2"/>
      <c r="O650" s="95"/>
      <c r="P650" s="95"/>
      <c r="Q650" s="95"/>
      <c r="R650" s="95"/>
      <c r="AE650" s="95"/>
      <c r="AF650" s="95"/>
      <c r="AG650" s="95"/>
      <c r="AH650" s="2"/>
      <c r="AI650" s="2"/>
      <c r="AJ650" s="2"/>
      <c r="AK650" s="2"/>
    </row>
    <row r="651" spans="1:37" ht="15.75" customHeight="1" x14ac:dyDescent="0.2">
      <c r="A651" s="1"/>
      <c r="B651" s="2"/>
      <c r="C651" s="1"/>
      <c r="D651" s="1"/>
      <c r="E651" s="48"/>
      <c r="F651" s="48"/>
      <c r="G651" s="2"/>
      <c r="H651" s="48"/>
      <c r="I651" s="2"/>
      <c r="J651" s="2"/>
      <c r="K651" s="2"/>
      <c r="L651" s="2"/>
      <c r="M651" s="2"/>
      <c r="N651" s="2"/>
      <c r="O651" s="95"/>
      <c r="P651" s="95"/>
      <c r="Q651" s="95"/>
      <c r="R651" s="95"/>
      <c r="AE651" s="95"/>
      <c r="AF651" s="95"/>
      <c r="AG651" s="95"/>
      <c r="AH651" s="2"/>
      <c r="AI651" s="2"/>
      <c r="AJ651" s="2"/>
      <c r="AK651" s="2"/>
    </row>
    <row r="652" spans="1:37" ht="15.75" customHeight="1" x14ac:dyDescent="0.2">
      <c r="A652" s="1"/>
      <c r="B652" s="2"/>
      <c r="C652" s="1"/>
      <c r="D652" s="1"/>
      <c r="E652" s="48"/>
      <c r="F652" s="48"/>
      <c r="G652" s="2"/>
      <c r="H652" s="48"/>
      <c r="I652" s="2"/>
      <c r="J652" s="2"/>
      <c r="K652" s="2"/>
      <c r="L652" s="2"/>
      <c r="M652" s="2"/>
      <c r="N652" s="2"/>
      <c r="O652" s="95"/>
      <c r="P652" s="95"/>
      <c r="Q652" s="95"/>
      <c r="R652" s="95"/>
      <c r="AE652" s="95"/>
      <c r="AF652" s="95"/>
      <c r="AG652" s="95"/>
      <c r="AH652" s="2"/>
      <c r="AI652" s="2"/>
      <c r="AJ652" s="2"/>
      <c r="AK652" s="2"/>
    </row>
    <row r="653" spans="1:37" ht="15.75" customHeight="1" x14ac:dyDescent="0.2">
      <c r="A653" s="1"/>
      <c r="B653" s="2"/>
      <c r="C653" s="1"/>
      <c r="D653" s="1"/>
      <c r="E653" s="48"/>
      <c r="F653" s="48"/>
      <c r="G653" s="2"/>
      <c r="H653" s="48"/>
      <c r="I653" s="2"/>
      <c r="J653" s="2"/>
      <c r="K653" s="2"/>
      <c r="L653" s="2"/>
      <c r="M653" s="2"/>
      <c r="N653" s="2"/>
      <c r="O653" s="95"/>
      <c r="P653" s="95"/>
      <c r="Q653" s="95"/>
      <c r="R653" s="95"/>
      <c r="AE653" s="95"/>
      <c r="AF653" s="95"/>
      <c r="AG653" s="95"/>
      <c r="AH653" s="2"/>
      <c r="AI653" s="2"/>
      <c r="AJ653" s="2"/>
      <c r="AK653" s="2"/>
    </row>
    <row r="654" spans="1:37" ht="15.75" customHeight="1" x14ac:dyDescent="0.2">
      <c r="A654" s="1"/>
      <c r="B654" s="2"/>
      <c r="C654" s="1"/>
      <c r="D654" s="1"/>
      <c r="E654" s="48"/>
      <c r="F654" s="48"/>
      <c r="G654" s="2"/>
      <c r="H654" s="48"/>
      <c r="I654" s="2"/>
      <c r="J654" s="2"/>
      <c r="K654" s="2"/>
      <c r="L654" s="2"/>
      <c r="M654" s="2"/>
      <c r="N654" s="2"/>
      <c r="O654" s="95"/>
      <c r="P654" s="95"/>
      <c r="Q654" s="95"/>
      <c r="R654" s="95"/>
      <c r="AE654" s="95"/>
      <c r="AF654" s="95"/>
      <c r="AG654" s="95"/>
      <c r="AH654" s="2"/>
      <c r="AI654" s="2"/>
      <c r="AJ654" s="2"/>
      <c r="AK654" s="2"/>
    </row>
    <row r="655" spans="1:37" ht="15.75" customHeight="1" x14ac:dyDescent="0.2">
      <c r="A655" s="1"/>
      <c r="B655" s="2"/>
      <c r="C655" s="1"/>
      <c r="D655" s="1"/>
      <c r="E655" s="48"/>
      <c r="F655" s="48"/>
      <c r="G655" s="2"/>
      <c r="H655" s="48"/>
      <c r="I655" s="2"/>
      <c r="J655" s="2"/>
      <c r="K655" s="2"/>
      <c r="L655" s="2"/>
      <c r="M655" s="2"/>
      <c r="N655" s="2"/>
      <c r="O655" s="95"/>
      <c r="P655" s="95"/>
      <c r="Q655" s="95"/>
      <c r="R655" s="95"/>
      <c r="AE655" s="95"/>
      <c r="AF655" s="95"/>
      <c r="AG655" s="95"/>
      <c r="AH655" s="2"/>
      <c r="AI655" s="2"/>
      <c r="AJ655" s="2"/>
      <c r="AK655" s="2"/>
    </row>
    <row r="656" spans="1:37" ht="15.75" customHeight="1" x14ac:dyDescent="0.2">
      <c r="A656" s="1"/>
      <c r="B656" s="2"/>
      <c r="C656" s="1"/>
      <c r="D656" s="1"/>
      <c r="E656" s="48"/>
      <c r="F656" s="48"/>
      <c r="G656" s="2"/>
      <c r="H656" s="48"/>
      <c r="I656" s="2"/>
      <c r="J656" s="2"/>
      <c r="K656" s="2"/>
      <c r="L656" s="2"/>
      <c r="M656" s="2"/>
      <c r="N656" s="2"/>
      <c r="O656" s="95"/>
      <c r="P656" s="95"/>
      <c r="Q656" s="95"/>
      <c r="R656" s="95"/>
      <c r="AE656" s="95"/>
      <c r="AF656" s="95"/>
      <c r="AG656" s="95"/>
      <c r="AH656" s="2"/>
      <c r="AI656" s="2"/>
      <c r="AJ656" s="2"/>
      <c r="AK656" s="2"/>
    </row>
    <row r="657" spans="1:37" ht="15.75" customHeight="1" x14ac:dyDescent="0.2">
      <c r="A657" s="1"/>
      <c r="B657" s="2"/>
      <c r="C657" s="1"/>
      <c r="D657" s="1"/>
      <c r="E657" s="48"/>
      <c r="F657" s="48"/>
      <c r="G657" s="2"/>
      <c r="H657" s="48"/>
      <c r="I657" s="2"/>
      <c r="J657" s="2"/>
      <c r="K657" s="2"/>
      <c r="L657" s="2"/>
      <c r="M657" s="2"/>
      <c r="N657" s="2"/>
      <c r="O657" s="95"/>
      <c r="P657" s="95"/>
      <c r="Q657" s="95"/>
      <c r="R657" s="95"/>
      <c r="AE657" s="95"/>
      <c r="AF657" s="95"/>
      <c r="AG657" s="95"/>
      <c r="AH657" s="2"/>
      <c r="AI657" s="2"/>
      <c r="AJ657" s="2"/>
      <c r="AK657" s="2"/>
    </row>
    <row r="658" spans="1:37" ht="15.75" customHeight="1" x14ac:dyDescent="0.2">
      <c r="A658" s="1"/>
      <c r="B658" s="2"/>
      <c r="C658" s="1"/>
      <c r="D658" s="1"/>
      <c r="E658" s="48"/>
      <c r="F658" s="48"/>
      <c r="G658" s="2"/>
      <c r="H658" s="48"/>
      <c r="I658" s="2"/>
      <c r="J658" s="2"/>
      <c r="K658" s="2"/>
      <c r="L658" s="2"/>
      <c r="M658" s="2"/>
      <c r="N658" s="2"/>
      <c r="O658" s="95"/>
      <c r="P658" s="95"/>
      <c r="Q658" s="95"/>
      <c r="R658" s="95"/>
      <c r="AE658" s="95"/>
      <c r="AF658" s="95"/>
      <c r="AG658" s="95"/>
      <c r="AH658" s="2"/>
      <c r="AI658" s="2"/>
      <c r="AJ658" s="2"/>
      <c r="AK658" s="2"/>
    </row>
    <row r="659" spans="1:37" ht="15.75" customHeight="1" x14ac:dyDescent="0.2">
      <c r="A659" s="1"/>
      <c r="B659" s="2"/>
      <c r="C659" s="1"/>
      <c r="D659" s="1"/>
      <c r="E659" s="48"/>
      <c r="F659" s="48"/>
      <c r="G659" s="2"/>
      <c r="H659" s="48"/>
      <c r="I659" s="2"/>
      <c r="J659" s="2"/>
      <c r="K659" s="2"/>
      <c r="L659" s="2"/>
      <c r="M659" s="2"/>
      <c r="N659" s="2"/>
      <c r="O659" s="95"/>
      <c r="P659" s="95"/>
      <c r="Q659" s="95"/>
      <c r="R659" s="95"/>
      <c r="AE659" s="95"/>
      <c r="AF659" s="95"/>
      <c r="AG659" s="95"/>
      <c r="AH659" s="2"/>
      <c r="AI659" s="2"/>
      <c r="AJ659" s="2"/>
      <c r="AK659" s="2"/>
    </row>
    <row r="660" spans="1:37" ht="15.75" customHeight="1" x14ac:dyDescent="0.2">
      <c r="A660" s="1"/>
      <c r="B660" s="2"/>
      <c r="C660" s="1"/>
      <c r="D660" s="1"/>
      <c r="E660" s="48"/>
      <c r="F660" s="48"/>
      <c r="G660" s="2"/>
      <c r="H660" s="48"/>
      <c r="I660" s="2"/>
      <c r="J660" s="2"/>
      <c r="K660" s="2"/>
      <c r="L660" s="2"/>
      <c r="M660" s="2"/>
      <c r="N660" s="2"/>
      <c r="O660" s="95"/>
      <c r="P660" s="95"/>
      <c r="Q660" s="95"/>
      <c r="R660" s="95"/>
      <c r="AE660" s="95"/>
      <c r="AF660" s="95"/>
      <c r="AG660" s="95"/>
      <c r="AH660" s="2"/>
      <c r="AI660" s="2"/>
      <c r="AJ660" s="2"/>
      <c r="AK660" s="2"/>
    </row>
    <row r="661" spans="1:37" ht="15.75" customHeight="1" x14ac:dyDescent="0.2">
      <c r="A661" s="1"/>
      <c r="B661" s="2"/>
      <c r="C661" s="1"/>
      <c r="D661" s="1"/>
      <c r="E661" s="48"/>
      <c r="F661" s="48"/>
      <c r="G661" s="2"/>
      <c r="H661" s="48"/>
      <c r="I661" s="2"/>
      <c r="J661" s="2"/>
      <c r="K661" s="2"/>
      <c r="L661" s="2"/>
      <c r="M661" s="2"/>
      <c r="N661" s="2"/>
      <c r="O661" s="95"/>
      <c r="P661" s="95"/>
      <c r="Q661" s="95"/>
      <c r="R661" s="95"/>
      <c r="AE661" s="95"/>
      <c r="AF661" s="95"/>
      <c r="AG661" s="95"/>
      <c r="AH661" s="2"/>
      <c r="AI661" s="2"/>
      <c r="AJ661" s="2"/>
      <c r="AK661" s="2"/>
    </row>
    <row r="662" spans="1:37" ht="15.75" customHeight="1" x14ac:dyDescent="0.2">
      <c r="A662" s="1"/>
      <c r="B662" s="2"/>
      <c r="C662" s="1"/>
      <c r="D662" s="1"/>
      <c r="E662" s="48"/>
      <c r="F662" s="48"/>
      <c r="G662" s="2"/>
      <c r="H662" s="48"/>
      <c r="I662" s="2"/>
      <c r="J662" s="2"/>
      <c r="K662" s="2"/>
      <c r="L662" s="2"/>
      <c r="M662" s="2"/>
      <c r="N662" s="2"/>
      <c r="O662" s="95"/>
      <c r="P662" s="95"/>
      <c r="Q662" s="95"/>
      <c r="R662" s="95"/>
      <c r="AE662" s="95"/>
      <c r="AF662" s="95"/>
      <c r="AG662" s="95"/>
      <c r="AH662" s="2"/>
      <c r="AI662" s="2"/>
      <c r="AJ662" s="2"/>
      <c r="AK662" s="2"/>
    </row>
    <row r="663" spans="1:37" ht="15.75" customHeight="1" x14ac:dyDescent="0.2">
      <c r="A663" s="1"/>
      <c r="B663" s="2"/>
      <c r="C663" s="1"/>
      <c r="D663" s="1"/>
      <c r="E663" s="48"/>
      <c r="F663" s="48"/>
      <c r="G663" s="2"/>
      <c r="H663" s="48"/>
      <c r="I663" s="2"/>
      <c r="J663" s="2"/>
      <c r="K663" s="2"/>
      <c r="L663" s="2"/>
      <c r="M663" s="2"/>
      <c r="N663" s="2"/>
      <c r="O663" s="95"/>
      <c r="P663" s="95"/>
      <c r="Q663" s="95"/>
      <c r="R663" s="95"/>
      <c r="AE663" s="95"/>
      <c r="AF663" s="95"/>
      <c r="AG663" s="95"/>
      <c r="AH663" s="2"/>
      <c r="AI663" s="2"/>
      <c r="AJ663" s="2"/>
      <c r="AK663" s="2"/>
    </row>
    <row r="664" spans="1:37" ht="15.75" customHeight="1" x14ac:dyDescent="0.2">
      <c r="A664" s="1"/>
      <c r="B664" s="2"/>
      <c r="C664" s="1"/>
      <c r="D664" s="1"/>
      <c r="E664" s="48"/>
      <c r="F664" s="48"/>
      <c r="G664" s="2"/>
      <c r="H664" s="48"/>
      <c r="I664" s="2"/>
      <c r="J664" s="2"/>
      <c r="K664" s="2"/>
      <c r="L664" s="2"/>
      <c r="M664" s="2"/>
      <c r="N664" s="2"/>
      <c r="O664" s="95"/>
      <c r="P664" s="95"/>
      <c r="Q664" s="95"/>
      <c r="R664" s="95"/>
      <c r="AE664" s="95"/>
      <c r="AF664" s="95"/>
      <c r="AG664" s="95"/>
      <c r="AH664" s="2"/>
      <c r="AI664" s="2"/>
      <c r="AJ664" s="2"/>
      <c r="AK664" s="2"/>
    </row>
    <row r="665" spans="1:37" ht="15.75" customHeight="1" x14ac:dyDescent="0.2">
      <c r="A665" s="1"/>
      <c r="B665" s="2"/>
      <c r="C665" s="1"/>
      <c r="D665" s="1"/>
      <c r="E665" s="48"/>
      <c r="F665" s="48"/>
      <c r="G665" s="2"/>
      <c r="H665" s="48"/>
      <c r="I665" s="2"/>
      <c r="J665" s="2"/>
      <c r="K665" s="2"/>
      <c r="L665" s="2"/>
      <c r="M665" s="2"/>
      <c r="N665" s="2"/>
      <c r="O665" s="95"/>
      <c r="P665" s="95"/>
      <c r="Q665" s="95"/>
      <c r="R665" s="95"/>
      <c r="AE665" s="95"/>
      <c r="AF665" s="95"/>
      <c r="AG665" s="95"/>
      <c r="AH665" s="2"/>
      <c r="AI665" s="2"/>
      <c r="AJ665" s="2"/>
      <c r="AK665" s="2"/>
    </row>
    <row r="666" spans="1:37" ht="15.75" customHeight="1" x14ac:dyDescent="0.2">
      <c r="A666" s="1"/>
      <c r="B666" s="2"/>
      <c r="C666" s="1"/>
      <c r="D666" s="1"/>
      <c r="E666" s="48"/>
      <c r="F666" s="48"/>
      <c r="G666" s="2"/>
      <c r="H666" s="48"/>
      <c r="I666" s="2"/>
      <c r="J666" s="2"/>
      <c r="K666" s="2"/>
      <c r="L666" s="2"/>
      <c r="M666" s="2"/>
      <c r="N666" s="2"/>
      <c r="O666" s="95"/>
      <c r="P666" s="95"/>
      <c r="Q666" s="95"/>
      <c r="R666" s="95"/>
      <c r="AE666" s="95"/>
      <c r="AF666" s="95"/>
      <c r="AG666" s="95"/>
      <c r="AH666" s="2"/>
      <c r="AI666" s="2"/>
      <c r="AJ666" s="2"/>
      <c r="AK666" s="2"/>
    </row>
    <row r="667" spans="1:37" ht="15.75" customHeight="1" x14ac:dyDescent="0.2">
      <c r="A667" s="1"/>
      <c r="B667" s="2"/>
      <c r="C667" s="1"/>
      <c r="D667" s="1"/>
      <c r="E667" s="48"/>
      <c r="F667" s="48"/>
      <c r="G667" s="2"/>
      <c r="H667" s="48"/>
      <c r="I667" s="2"/>
      <c r="J667" s="2"/>
      <c r="K667" s="2"/>
      <c r="L667" s="2"/>
      <c r="M667" s="2"/>
      <c r="N667" s="2"/>
      <c r="O667" s="95"/>
      <c r="P667" s="95"/>
      <c r="Q667" s="95"/>
      <c r="R667" s="95"/>
      <c r="AE667" s="95"/>
      <c r="AF667" s="95"/>
      <c r="AG667" s="95"/>
      <c r="AH667" s="2"/>
      <c r="AI667" s="2"/>
      <c r="AJ667" s="2"/>
      <c r="AK667" s="2"/>
    </row>
    <row r="668" spans="1:37" ht="15.75" customHeight="1" x14ac:dyDescent="0.2">
      <c r="A668" s="1"/>
      <c r="B668" s="2"/>
      <c r="C668" s="1"/>
      <c r="D668" s="1"/>
      <c r="E668" s="48"/>
      <c r="F668" s="48"/>
      <c r="G668" s="2"/>
      <c r="H668" s="48"/>
      <c r="I668" s="2"/>
      <c r="J668" s="2"/>
      <c r="K668" s="2"/>
      <c r="L668" s="2"/>
      <c r="M668" s="2"/>
      <c r="N668" s="2"/>
      <c r="O668" s="95"/>
      <c r="P668" s="95"/>
      <c r="Q668" s="95"/>
      <c r="R668" s="95"/>
      <c r="AE668" s="95"/>
      <c r="AF668" s="95"/>
      <c r="AG668" s="95"/>
      <c r="AH668" s="2"/>
      <c r="AI668" s="2"/>
      <c r="AJ668" s="2"/>
      <c r="AK668" s="2"/>
    </row>
    <row r="669" spans="1:37" ht="15.75" customHeight="1" x14ac:dyDescent="0.2">
      <c r="A669" s="1"/>
      <c r="B669" s="2"/>
      <c r="C669" s="1"/>
      <c r="D669" s="1"/>
      <c r="E669" s="48"/>
      <c r="F669" s="48"/>
      <c r="G669" s="2"/>
      <c r="H669" s="48"/>
      <c r="I669" s="2"/>
      <c r="J669" s="2"/>
      <c r="K669" s="2"/>
      <c r="L669" s="2"/>
      <c r="M669" s="2"/>
      <c r="N669" s="2"/>
      <c r="O669" s="95"/>
      <c r="P669" s="95"/>
      <c r="Q669" s="95"/>
      <c r="R669" s="95"/>
      <c r="AE669" s="95"/>
      <c r="AF669" s="95"/>
      <c r="AG669" s="95"/>
      <c r="AH669" s="2"/>
      <c r="AI669" s="2"/>
      <c r="AJ669" s="2"/>
      <c r="AK669" s="2"/>
    </row>
    <row r="670" spans="1:37" ht="15.75" customHeight="1" x14ac:dyDescent="0.2">
      <c r="A670" s="1"/>
      <c r="B670" s="2"/>
      <c r="C670" s="1"/>
      <c r="D670" s="1"/>
      <c r="E670" s="48"/>
      <c r="F670" s="48"/>
      <c r="G670" s="2"/>
      <c r="H670" s="48"/>
      <c r="I670" s="2"/>
      <c r="J670" s="2"/>
      <c r="K670" s="2"/>
      <c r="L670" s="2"/>
      <c r="M670" s="2"/>
      <c r="N670" s="2"/>
      <c r="O670" s="95"/>
      <c r="P670" s="95"/>
      <c r="Q670" s="95"/>
      <c r="R670" s="95"/>
      <c r="AE670" s="95"/>
      <c r="AF670" s="95"/>
      <c r="AG670" s="95"/>
      <c r="AH670" s="2"/>
      <c r="AI670" s="2"/>
      <c r="AJ670" s="2"/>
      <c r="AK670" s="2"/>
    </row>
    <row r="671" spans="1:37" ht="15.75" customHeight="1" x14ac:dyDescent="0.2">
      <c r="A671" s="1"/>
      <c r="B671" s="2"/>
      <c r="C671" s="1"/>
      <c r="D671" s="1"/>
      <c r="E671" s="48"/>
      <c r="F671" s="48"/>
      <c r="G671" s="2"/>
      <c r="H671" s="48"/>
      <c r="I671" s="2"/>
      <c r="J671" s="2"/>
      <c r="K671" s="2"/>
      <c r="L671" s="2"/>
      <c r="M671" s="2"/>
      <c r="N671" s="2"/>
      <c r="O671" s="95"/>
      <c r="P671" s="95"/>
      <c r="Q671" s="95"/>
      <c r="R671" s="95"/>
      <c r="AE671" s="95"/>
      <c r="AF671" s="95"/>
      <c r="AG671" s="95"/>
      <c r="AH671" s="2"/>
      <c r="AI671" s="2"/>
      <c r="AJ671" s="2"/>
      <c r="AK671" s="2"/>
    </row>
    <row r="672" spans="1:37" ht="15.75" customHeight="1" x14ac:dyDescent="0.2">
      <c r="A672" s="1"/>
      <c r="B672" s="2"/>
      <c r="C672" s="1"/>
      <c r="D672" s="1"/>
      <c r="E672" s="48"/>
      <c r="F672" s="48"/>
      <c r="G672" s="2"/>
      <c r="H672" s="48"/>
      <c r="I672" s="2"/>
      <c r="J672" s="2"/>
      <c r="K672" s="2"/>
      <c r="L672" s="2"/>
      <c r="M672" s="2"/>
      <c r="N672" s="2"/>
      <c r="O672" s="95"/>
      <c r="P672" s="95"/>
      <c r="Q672" s="95"/>
      <c r="R672" s="95"/>
      <c r="AE672" s="95"/>
      <c r="AF672" s="95"/>
      <c r="AG672" s="95"/>
      <c r="AH672" s="2"/>
      <c r="AI672" s="2"/>
      <c r="AJ672" s="2"/>
      <c r="AK672" s="2"/>
    </row>
    <row r="673" spans="1:37" ht="15.75" customHeight="1" x14ac:dyDescent="0.2">
      <c r="A673" s="1"/>
      <c r="B673" s="2"/>
      <c r="C673" s="1"/>
      <c r="D673" s="1"/>
      <c r="E673" s="48"/>
      <c r="F673" s="48"/>
      <c r="G673" s="2"/>
      <c r="H673" s="48"/>
      <c r="I673" s="2"/>
      <c r="J673" s="2"/>
      <c r="K673" s="2"/>
      <c r="L673" s="2"/>
      <c r="M673" s="2"/>
      <c r="N673" s="2"/>
      <c r="O673" s="95"/>
      <c r="P673" s="95"/>
      <c r="Q673" s="95"/>
      <c r="R673" s="95"/>
      <c r="AE673" s="95"/>
      <c r="AF673" s="95"/>
      <c r="AG673" s="95"/>
      <c r="AH673" s="2"/>
      <c r="AI673" s="2"/>
      <c r="AJ673" s="2"/>
      <c r="AK673" s="2"/>
    </row>
    <row r="674" spans="1:37" ht="15.75" customHeight="1" x14ac:dyDescent="0.2">
      <c r="A674" s="1"/>
      <c r="B674" s="2"/>
      <c r="C674" s="1"/>
      <c r="D674" s="1"/>
      <c r="E674" s="48"/>
      <c r="F674" s="48"/>
      <c r="G674" s="2"/>
      <c r="H674" s="48"/>
      <c r="I674" s="2"/>
      <c r="J674" s="2"/>
      <c r="K674" s="2"/>
      <c r="L674" s="2"/>
      <c r="M674" s="2"/>
      <c r="N674" s="2"/>
      <c r="O674" s="95"/>
      <c r="P674" s="95"/>
      <c r="Q674" s="95"/>
      <c r="R674" s="95"/>
      <c r="AE674" s="95"/>
      <c r="AF674" s="95"/>
      <c r="AG674" s="95"/>
      <c r="AH674" s="2"/>
      <c r="AI674" s="2"/>
      <c r="AJ674" s="2"/>
      <c r="AK674" s="2"/>
    </row>
    <row r="675" spans="1:37" ht="15.75" customHeight="1" x14ac:dyDescent="0.2">
      <c r="A675" s="1"/>
      <c r="B675" s="2"/>
      <c r="C675" s="1"/>
      <c r="D675" s="1"/>
      <c r="E675" s="48"/>
      <c r="F675" s="48"/>
      <c r="G675" s="2"/>
      <c r="H675" s="48"/>
      <c r="I675" s="2"/>
      <c r="J675" s="2"/>
      <c r="K675" s="2"/>
      <c r="L675" s="2"/>
      <c r="M675" s="2"/>
      <c r="N675" s="2"/>
      <c r="O675" s="95"/>
      <c r="P675" s="95"/>
      <c r="Q675" s="95"/>
      <c r="R675" s="95"/>
      <c r="AE675" s="95"/>
      <c r="AF675" s="95"/>
      <c r="AG675" s="95"/>
      <c r="AH675" s="2"/>
      <c r="AI675" s="2"/>
      <c r="AJ675" s="2"/>
      <c r="AK675" s="2"/>
    </row>
    <row r="676" spans="1:37" ht="15.75" customHeight="1" x14ac:dyDescent="0.2">
      <c r="A676" s="1"/>
      <c r="B676" s="2"/>
      <c r="C676" s="1"/>
      <c r="D676" s="1"/>
      <c r="E676" s="48"/>
      <c r="F676" s="48"/>
      <c r="G676" s="2"/>
      <c r="H676" s="48"/>
      <c r="I676" s="2"/>
      <c r="J676" s="2"/>
      <c r="K676" s="2"/>
      <c r="L676" s="2"/>
      <c r="M676" s="2"/>
      <c r="N676" s="2"/>
      <c r="O676" s="95"/>
      <c r="P676" s="95"/>
      <c r="Q676" s="95"/>
      <c r="R676" s="95"/>
      <c r="AE676" s="95"/>
      <c r="AF676" s="95"/>
      <c r="AG676" s="95"/>
      <c r="AH676" s="2"/>
      <c r="AI676" s="2"/>
      <c r="AJ676" s="2"/>
      <c r="AK676" s="2"/>
    </row>
    <row r="677" spans="1:37" ht="15.75" customHeight="1" x14ac:dyDescent="0.2">
      <c r="A677" s="1"/>
      <c r="B677" s="2"/>
      <c r="C677" s="1"/>
      <c r="D677" s="1"/>
      <c r="E677" s="48"/>
      <c r="F677" s="48"/>
      <c r="G677" s="2"/>
      <c r="H677" s="48"/>
      <c r="I677" s="2"/>
      <c r="J677" s="2"/>
      <c r="K677" s="2"/>
      <c r="L677" s="2"/>
      <c r="M677" s="2"/>
      <c r="N677" s="2"/>
      <c r="O677" s="95"/>
      <c r="P677" s="95"/>
      <c r="Q677" s="95"/>
      <c r="R677" s="95"/>
      <c r="AE677" s="95"/>
      <c r="AF677" s="95"/>
      <c r="AG677" s="95"/>
      <c r="AH677" s="2"/>
      <c r="AI677" s="2"/>
      <c r="AJ677" s="2"/>
      <c r="AK677" s="2"/>
    </row>
    <row r="678" spans="1:37" ht="15.75" customHeight="1" x14ac:dyDescent="0.2">
      <c r="A678" s="1"/>
      <c r="B678" s="2"/>
      <c r="C678" s="1"/>
      <c r="D678" s="1"/>
      <c r="E678" s="48"/>
      <c r="F678" s="48"/>
      <c r="G678" s="2"/>
      <c r="H678" s="48"/>
      <c r="I678" s="2"/>
      <c r="J678" s="2"/>
      <c r="K678" s="2"/>
      <c r="L678" s="2"/>
      <c r="M678" s="2"/>
      <c r="N678" s="2"/>
      <c r="O678" s="95"/>
      <c r="P678" s="95"/>
      <c r="Q678" s="95"/>
      <c r="R678" s="95"/>
      <c r="AE678" s="95"/>
      <c r="AF678" s="95"/>
      <c r="AG678" s="95"/>
      <c r="AH678" s="2"/>
      <c r="AI678" s="2"/>
      <c r="AJ678" s="2"/>
      <c r="AK678" s="2"/>
    </row>
    <row r="679" spans="1:37" ht="15.75" customHeight="1" x14ac:dyDescent="0.2">
      <c r="A679" s="1"/>
      <c r="B679" s="2"/>
      <c r="C679" s="1"/>
      <c r="D679" s="1"/>
      <c r="E679" s="48"/>
      <c r="F679" s="48"/>
      <c r="G679" s="2"/>
      <c r="H679" s="48"/>
      <c r="I679" s="2"/>
      <c r="J679" s="2"/>
      <c r="K679" s="2"/>
      <c r="L679" s="2"/>
      <c r="M679" s="2"/>
      <c r="N679" s="2"/>
      <c r="O679" s="95"/>
      <c r="P679" s="95"/>
      <c r="Q679" s="95"/>
      <c r="R679" s="95"/>
      <c r="AE679" s="95"/>
      <c r="AF679" s="95"/>
      <c r="AG679" s="95"/>
      <c r="AH679" s="2"/>
      <c r="AI679" s="2"/>
      <c r="AJ679" s="2"/>
      <c r="AK679" s="2"/>
    </row>
    <row r="680" spans="1:37" ht="15.75" customHeight="1" x14ac:dyDescent="0.2">
      <c r="A680" s="1"/>
      <c r="B680" s="2"/>
      <c r="C680" s="1"/>
      <c r="D680" s="1"/>
      <c r="E680" s="48"/>
      <c r="F680" s="48"/>
      <c r="G680" s="2"/>
      <c r="H680" s="48"/>
      <c r="I680" s="2"/>
      <c r="J680" s="2"/>
      <c r="K680" s="2"/>
      <c r="L680" s="2"/>
      <c r="M680" s="2"/>
      <c r="N680" s="2"/>
      <c r="O680" s="95"/>
      <c r="P680" s="95"/>
      <c r="Q680" s="95"/>
      <c r="R680" s="95"/>
      <c r="AE680" s="95"/>
      <c r="AF680" s="95"/>
      <c r="AG680" s="95"/>
      <c r="AH680" s="2"/>
      <c r="AI680" s="2"/>
      <c r="AJ680" s="2"/>
      <c r="AK680" s="2"/>
    </row>
    <row r="681" spans="1:37" ht="15.75" customHeight="1" x14ac:dyDescent="0.2">
      <c r="A681" s="1"/>
      <c r="B681" s="2"/>
      <c r="C681" s="1"/>
      <c r="D681" s="1"/>
      <c r="E681" s="48"/>
      <c r="F681" s="48"/>
      <c r="G681" s="2"/>
      <c r="H681" s="48"/>
      <c r="I681" s="2"/>
      <c r="J681" s="2"/>
      <c r="K681" s="2"/>
      <c r="L681" s="2"/>
      <c r="M681" s="2"/>
      <c r="N681" s="2"/>
      <c r="O681" s="95"/>
      <c r="P681" s="95"/>
      <c r="Q681" s="95"/>
      <c r="R681" s="95"/>
      <c r="AE681" s="95"/>
      <c r="AF681" s="95"/>
      <c r="AG681" s="95"/>
      <c r="AH681" s="2"/>
      <c r="AI681" s="2"/>
      <c r="AJ681" s="2"/>
      <c r="AK681" s="2"/>
    </row>
    <row r="682" spans="1:37" ht="15.75" customHeight="1" x14ac:dyDescent="0.2">
      <c r="A682" s="1"/>
      <c r="B682" s="2"/>
      <c r="C682" s="1"/>
      <c r="D682" s="1"/>
      <c r="E682" s="48"/>
      <c r="F682" s="48"/>
      <c r="G682" s="2"/>
      <c r="H682" s="48"/>
      <c r="I682" s="2"/>
      <c r="J682" s="2"/>
      <c r="K682" s="2"/>
      <c r="L682" s="2"/>
      <c r="M682" s="2"/>
      <c r="N682" s="2"/>
      <c r="O682" s="95"/>
      <c r="P682" s="95"/>
      <c r="Q682" s="95"/>
      <c r="R682" s="95"/>
      <c r="AE682" s="95"/>
      <c r="AF682" s="95"/>
      <c r="AG682" s="95"/>
      <c r="AH682" s="2"/>
      <c r="AI682" s="2"/>
      <c r="AJ682" s="2"/>
      <c r="AK682" s="2"/>
    </row>
    <row r="683" spans="1:37" ht="15.75" customHeight="1" x14ac:dyDescent="0.2">
      <c r="A683" s="1"/>
      <c r="B683" s="2"/>
      <c r="C683" s="1"/>
      <c r="D683" s="1"/>
      <c r="E683" s="48"/>
      <c r="F683" s="48"/>
      <c r="G683" s="2"/>
      <c r="H683" s="48"/>
      <c r="I683" s="2"/>
      <c r="J683" s="2"/>
      <c r="K683" s="2"/>
      <c r="L683" s="2"/>
      <c r="M683" s="2"/>
      <c r="N683" s="2"/>
      <c r="O683" s="95"/>
      <c r="P683" s="95"/>
      <c r="Q683" s="95"/>
      <c r="R683" s="95"/>
      <c r="AE683" s="95"/>
      <c r="AF683" s="95"/>
      <c r="AG683" s="95"/>
      <c r="AH683" s="2"/>
      <c r="AI683" s="2"/>
      <c r="AJ683" s="2"/>
      <c r="AK683" s="2"/>
    </row>
    <row r="684" spans="1:37" ht="15.75" customHeight="1" x14ac:dyDescent="0.2">
      <c r="A684" s="1"/>
      <c r="B684" s="2"/>
      <c r="C684" s="1"/>
      <c r="D684" s="1"/>
      <c r="E684" s="48"/>
      <c r="F684" s="48"/>
      <c r="G684" s="2"/>
      <c r="H684" s="48"/>
      <c r="I684" s="2"/>
      <c r="J684" s="2"/>
      <c r="K684" s="2"/>
      <c r="L684" s="2"/>
      <c r="M684" s="2"/>
      <c r="N684" s="2"/>
      <c r="O684" s="95"/>
      <c r="P684" s="95"/>
      <c r="Q684" s="95"/>
      <c r="R684" s="95"/>
      <c r="AE684" s="95"/>
      <c r="AF684" s="95"/>
      <c r="AG684" s="95"/>
      <c r="AH684" s="2"/>
      <c r="AI684" s="2"/>
      <c r="AJ684" s="2"/>
      <c r="AK684" s="2"/>
    </row>
    <row r="685" spans="1:37" ht="15.75" customHeight="1" x14ac:dyDescent="0.2">
      <c r="A685" s="1"/>
      <c r="B685" s="2"/>
      <c r="C685" s="1"/>
      <c r="D685" s="1"/>
      <c r="E685" s="48"/>
      <c r="F685" s="48"/>
      <c r="G685" s="2"/>
      <c r="H685" s="48"/>
      <c r="I685" s="2"/>
      <c r="J685" s="2"/>
      <c r="K685" s="2"/>
      <c r="L685" s="2"/>
      <c r="M685" s="2"/>
      <c r="N685" s="2"/>
      <c r="O685" s="95"/>
      <c r="P685" s="95"/>
      <c r="Q685" s="95"/>
      <c r="R685" s="95"/>
      <c r="AE685" s="95"/>
      <c r="AF685" s="95"/>
      <c r="AG685" s="95"/>
      <c r="AH685" s="2"/>
      <c r="AI685" s="2"/>
      <c r="AJ685" s="2"/>
      <c r="AK685" s="2"/>
    </row>
    <row r="686" spans="1:37" ht="15.75" customHeight="1" x14ac:dyDescent="0.2">
      <c r="A686" s="1"/>
      <c r="B686" s="2"/>
      <c r="C686" s="1"/>
      <c r="D686" s="1"/>
      <c r="E686" s="48"/>
      <c r="F686" s="48"/>
      <c r="G686" s="2"/>
      <c r="H686" s="48"/>
      <c r="I686" s="2"/>
      <c r="J686" s="2"/>
      <c r="K686" s="2"/>
      <c r="L686" s="2"/>
      <c r="M686" s="2"/>
      <c r="N686" s="2"/>
      <c r="O686" s="95"/>
      <c r="P686" s="95"/>
      <c r="Q686" s="95"/>
      <c r="R686" s="95"/>
      <c r="AE686" s="95"/>
      <c r="AF686" s="95"/>
      <c r="AG686" s="95"/>
      <c r="AH686" s="2"/>
      <c r="AI686" s="2"/>
      <c r="AJ686" s="2"/>
      <c r="AK686" s="2"/>
    </row>
    <row r="687" spans="1:37" ht="15.75" customHeight="1" x14ac:dyDescent="0.2">
      <c r="A687" s="1"/>
      <c r="B687" s="2"/>
      <c r="C687" s="1"/>
      <c r="D687" s="1"/>
      <c r="E687" s="48"/>
      <c r="F687" s="48"/>
      <c r="G687" s="2"/>
      <c r="H687" s="48"/>
      <c r="I687" s="2"/>
      <c r="J687" s="2"/>
      <c r="K687" s="2"/>
      <c r="L687" s="2"/>
      <c r="M687" s="2"/>
      <c r="N687" s="2"/>
      <c r="O687" s="95"/>
      <c r="P687" s="95"/>
      <c r="Q687" s="95"/>
      <c r="R687" s="95"/>
      <c r="AE687" s="95"/>
      <c r="AF687" s="95"/>
      <c r="AG687" s="95"/>
      <c r="AH687" s="2"/>
      <c r="AI687" s="2"/>
      <c r="AJ687" s="2"/>
      <c r="AK687" s="2"/>
    </row>
    <row r="688" spans="1:37" ht="15.75" customHeight="1" x14ac:dyDescent="0.2">
      <c r="A688" s="1"/>
      <c r="B688" s="2"/>
      <c r="C688" s="1"/>
      <c r="D688" s="1"/>
      <c r="E688" s="48"/>
      <c r="F688" s="48"/>
      <c r="G688" s="2"/>
      <c r="H688" s="48"/>
      <c r="I688" s="2"/>
      <c r="J688" s="2"/>
      <c r="K688" s="2"/>
      <c r="L688" s="2"/>
      <c r="M688" s="2"/>
      <c r="N688" s="2"/>
      <c r="O688" s="95"/>
      <c r="P688" s="95"/>
      <c r="Q688" s="95"/>
      <c r="R688" s="95"/>
      <c r="AE688" s="95"/>
      <c r="AF688" s="95"/>
      <c r="AG688" s="95"/>
      <c r="AH688" s="2"/>
      <c r="AI688" s="2"/>
      <c r="AJ688" s="2"/>
      <c r="AK688" s="2"/>
    </row>
    <row r="689" spans="1:37" ht="15.75" customHeight="1" x14ac:dyDescent="0.2">
      <c r="A689" s="1"/>
      <c r="B689" s="2"/>
      <c r="C689" s="1"/>
      <c r="D689" s="1"/>
      <c r="E689" s="48"/>
      <c r="F689" s="48"/>
      <c r="G689" s="2"/>
      <c r="H689" s="48"/>
      <c r="I689" s="2"/>
      <c r="J689" s="2"/>
      <c r="K689" s="2"/>
      <c r="L689" s="2"/>
      <c r="M689" s="2"/>
      <c r="N689" s="2"/>
      <c r="O689" s="95"/>
      <c r="P689" s="95"/>
      <c r="Q689" s="95"/>
      <c r="R689" s="95"/>
      <c r="AE689" s="95"/>
      <c r="AF689" s="95"/>
      <c r="AG689" s="95"/>
      <c r="AH689" s="2"/>
      <c r="AI689" s="2"/>
      <c r="AJ689" s="2"/>
      <c r="AK689" s="2"/>
    </row>
    <row r="690" spans="1:37" ht="15.75" customHeight="1" x14ac:dyDescent="0.2">
      <c r="A690" s="1"/>
      <c r="B690" s="2"/>
      <c r="C690" s="1"/>
      <c r="D690" s="1"/>
      <c r="E690" s="48"/>
      <c r="F690" s="48"/>
      <c r="G690" s="2"/>
      <c r="H690" s="48"/>
      <c r="I690" s="2"/>
      <c r="J690" s="2"/>
      <c r="K690" s="2"/>
      <c r="L690" s="2"/>
      <c r="M690" s="2"/>
      <c r="N690" s="2"/>
      <c r="O690" s="95"/>
      <c r="P690" s="95"/>
      <c r="Q690" s="95"/>
      <c r="R690" s="95"/>
      <c r="AE690" s="95"/>
      <c r="AF690" s="95"/>
      <c r="AG690" s="95"/>
      <c r="AH690" s="2"/>
      <c r="AI690" s="2"/>
      <c r="AJ690" s="2"/>
      <c r="AK690" s="2"/>
    </row>
    <row r="691" spans="1:37" ht="15.75" customHeight="1" x14ac:dyDescent="0.2">
      <c r="A691" s="1"/>
      <c r="B691" s="2"/>
      <c r="C691" s="1"/>
      <c r="D691" s="1"/>
      <c r="E691" s="48"/>
      <c r="F691" s="48"/>
      <c r="G691" s="2"/>
      <c r="H691" s="48"/>
      <c r="I691" s="2"/>
      <c r="J691" s="2"/>
      <c r="K691" s="2"/>
      <c r="L691" s="2"/>
      <c r="M691" s="2"/>
      <c r="N691" s="2"/>
      <c r="O691" s="95"/>
      <c r="P691" s="95"/>
      <c r="Q691" s="95"/>
      <c r="R691" s="95"/>
      <c r="AE691" s="95"/>
      <c r="AF691" s="95"/>
      <c r="AG691" s="95"/>
      <c r="AH691" s="2"/>
      <c r="AI691" s="2"/>
      <c r="AJ691" s="2"/>
      <c r="AK691" s="2"/>
    </row>
    <row r="692" spans="1:37" ht="15.75" customHeight="1" x14ac:dyDescent="0.2">
      <c r="A692" s="1"/>
      <c r="B692" s="2"/>
      <c r="C692" s="1"/>
      <c r="D692" s="1"/>
      <c r="E692" s="48"/>
      <c r="F692" s="48"/>
      <c r="G692" s="2"/>
      <c r="H692" s="48"/>
      <c r="I692" s="2"/>
      <c r="J692" s="2"/>
      <c r="K692" s="2"/>
      <c r="L692" s="2"/>
      <c r="M692" s="2"/>
      <c r="N692" s="2"/>
      <c r="O692" s="95"/>
      <c r="P692" s="95"/>
      <c r="Q692" s="95"/>
      <c r="R692" s="95"/>
      <c r="AE692" s="95"/>
      <c r="AF692" s="95"/>
      <c r="AG692" s="95"/>
      <c r="AH692" s="2"/>
      <c r="AI692" s="2"/>
      <c r="AJ692" s="2"/>
      <c r="AK692" s="2"/>
    </row>
    <row r="693" spans="1:37" ht="15.75" customHeight="1" x14ac:dyDescent="0.2">
      <c r="A693" s="1"/>
      <c r="B693" s="2"/>
      <c r="C693" s="1"/>
      <c r="D693" s="1"/>
      <c r="E693" s="48"/>
      <c r="F693" s="48"/>
      <c r="G693" s="2"/>
      <c r="H693" s="48"/>
      <c r="I693" s="2"/>
      <c r="J693" s="2"/>
      <c r="K693" s="2"/>
      <c r="L693" s="2"/>
      <c r="M693" s="2"/>
      <c r="N693" s="2"/>
      <c r="O693" s="95"/>
      <c r="P693" s="95"/>
      <c r="Q693" s="95"/>
      <c r="R693" s="95"/>
      <c r="AE693" s="95"/>
      <c r="AF693" s="95"/>
      <c r="AG693" s="95"/>
      <c r="AH693" s="2"/>
      <c r="AI693" s="2"/>
      <c r="AJ693" s="2"/>
      <c r="AK693" s="2"/>
    </row>
    <row r="694" spans="1:37" ht="15.75" customHeight="1" x14ac:dyDescent="0.2">
      <c r="A694" s="1"/>
      <c r="B694" s="2"/>
      <c r="C694" s="1"/>
      <c r="D694" s="1"/>
      <c r="E694" s="48"/>
      <c r="F694" s="48"/>
      <c r="G694" s="2"/>
      <c r="H694" s="48"/>
      <c r="I694" s="2"/>
      <c r="J694" s="2"/>
      <c r="K694" s="2"/>
      <c r="L694" s="2"/>
      <c r="M694" s="2"/>
      <c r="N694" s="2"/>
      <c r="O694" s="95"/>
      <c r="P694" s="95"/>
      <c r="Q694" s="95"/>
      <c r="R694" s="95"/>
      <c r="AE694" s="95"/>
      <c r="AF694" s="95"/>
      <c r="AG694" s="95"/>
      <c r="AH694" s="2"/>
      <c r="AI694" s="2"/>
      <c r="AJ694" s="2"/>
      <c r="AK694" s="2"/>
    </row>
    <row r="695" spans="1:37" ht="15.75" customHeight="1" x14ac:dyDescent="0.2">
      <c r="A695" s="1"/>
      <c r="B695" s="2"/>
      <c r="C695" s="1"/>
      <c r="D695" s="1"/>
      <c r="E695" s="48"/>
      <c r="F695" s="48"/>
      <c r="G695" s="2"/>
      <c r="H695" s="48"/>
      <c r="I695" s="2"/>
      <c r="J695" s="2"/>
      <c r="K695" s="2"/>
      <c r="L695" s="2"/>
      <c r="M695" s="2"/>
      <c r="N695" s="2"/>
      <c r="O695" s="95"/>
      <c r="P695" s="95"/>
      <c r="Q695" s="95"/>
      <c r="R695" s="95"/>
      <c r="AE695" s="95"/>
      <c r="AF695" s="95"/>
      <c r="AG695" s="95"/>
      <c r="AH695" s="2"/>
      <c r="AI695" s="2"/>
      <c r="AJ695" s="2"/>
      <c r="AK695" s="2"/>
    </row>
    <row r="696" spans="1:37" ht="15.75" customHeight="1" x14ac:dyDescent="0.2">
      <c r="A696" s="1"/>
      <c r="B696" s="2"/>
      <c r="C696" s="1"/>
      <c r="D696" s="1"/>
      <c r="E696" s="48"/>
      <c r="F696" s="48"/>
      <c r="G696" s="2"/>
      <c r="H696" s="48"/>
      <c r="I696" s="2"/>
      <c r="J696" s="2"/>
      <c r="K696" s="2"/>
      <c r="L696" s="2"/>
      <c r="M696" s="2"/>
      <c r="N696" s="2"/>
      <c r="O696" s="95"/>
      <c r="P696" s="95"/>
      <c r="Q696" s="95"/>
      <c r="R696" s="95"/>
      <c r="AE696" s="95"/>
      <c r="AF696" s="95"/>
      <c r="AG696" s="95"/>
      <c r="AH696" s="2"/>
      <c r="AI696" s="2"/>
      <c r="AJ696" s="2"/>
      <c r="AK696" s="2"/>
    </row>
    <row r="697" spans="1:37" ht="15.75" customHeight="1" x14ac:dyDescent="0.2">
      <c r="A697" s="1"/>
      <c r="B697" s="2"/>
      <c r="C697" s="1"/>
      <c r="D697" s="1"/>
      <c r="E697" s="48"/>
      <c r="F697" s="48"/>
      <c r="G697" s="2"/>
      <c r="H697" s="48"/>
      <c r="I697" s="2"/>
      <c r="J697" s="2"/>
      <c r="K697" s="2"/>
      <c r="L697" s="2"/>
      <c r="M697" s="2"/>
      <c r="N697" s="2"/>
      <c r="O697" s="95"/>
      <c r="P697" s="95"/>
      <c r="Q697" s="95"/>
      <c r="R697" s="95"/>
      <c r="AE697" s="95"/>
      <c r="AF697" s="95"/>
      <c r="AG697" s="95"/>
      <c r="AH697" s="2"/>
      <c r="AI697" s="2"/>
      <c r="AJ697" s="2"/>
      <c r="AK697" s="2"/>
    </row>
    <row r="698" spans="1:37" ht="15.75" customHeight="1" x14ac:dyDescent="0.2">
      <c r="A698" s="1"/>
      <c r="B698" s="2"/>
      <c r="C698" s="1"/>
      <c r="D698" s="1"/>
      <c r="E698" s="48"/>
      <c r="F698" s="48"/>
      <c r="G698" s="2"/>
      <c r="H698" s="48"/>
      <c r="I698" s="2"/>
      <c r="J698" s="2"/>
      <c r="K698" s="2"/>
      <c r="L698" s="2"/>
      <c r="M698" s="2"/>
      <c r="N698" s="2"/>
      <c r="O698" s="95"/>
      <c r="P698" s="95"/>
      <c r="Q698" s="95"/>
      <c r="R698" s="95"/>
      <c r="AE698" s="95"/>
      <c r="AF698" s="95"/>
      <c r="AG698" s="95"/>
      <c r="AH698" s="2"/>
      <c r="AI698" s="2"/>
      <c r="AJ698" s="2"/>
      <c r="AK698" s="2"/>
    </row>
    <row r="699" spans="1:37" ht="15.75" customHeight="1" x14ac:dyDescent="0.2">
      <c r="A699" s="1"/>
      <c r="B699" s="2"/>
      <c r="C699" s="1"/>
      <c r="D699" s="1"/>
      <c r="E699" s="48"/>
      <c r="F699" s="48"/>
      <c r="G699" s="2"/>
      <c r="H699" s="48"/>
      <c r="I699" s="2"/>
      <c r="J699" s="2"/>
      <c r="K699" s="2"/>
      <c r="L699" s="2"/>
      <c r="M699" s="2"/>
      <c r="N699" s="2"/>
      <c r="O699" s="95"/>
      <c r="P699" s="95"/>
      <c r="Q699" s="95"/>
      <c r="R699" s="95"/>
      <c r="AE699" s="95"/>
      <c r="AF699" s="95"/>
      <c r="AG699" s="95"/>
      <c r="AH699" s="2"/>
      <c r="AI699" s="2"/>
      <c r="AJ699" s="2"/>
      <c r="AK699" s="2"/>
    </row>
    <row r="700" spans="1:37" ht="15.75" customHeight="1" x14ac:dyDescent="0.2">
      <c r="A700" s="1"/>
      <c r="B700" s="2"/>
      <c r="C700" s="1"/>
      <c r="D700" s="1"/>
      <c r="E700" s="48"/>
      <c r="F700" s="48"/>
      <c r="G700" s="2"/>
      <c r="H700" s="48"/>
      <c r="I700" s="2"/>
      <c r="J700" s="2"/>
      <c r="K700" s="2"/>
      <c r="L700" s="2"/>
      <c r="M700" s="2"/>
      <c r="N700" s="2"/>
      <c r="O700" s="95"/>
      <c r="P700" s="95"/>
      <c r="Q700" s="95"/>
      <c r="R700" s="95"/>
      <c r="AE700" s="95"/>
      <c r="AF700" s="95"/>
      <c r="AG700" s="95"/>
      <c r="AH700" s="2"/>
      <c r="AI700" s="2"/>
      <c r="AJ700" s="2"/>
      <c r="AK700" s="2"/>
    </row>
    <row r="701" spans="1:37" ht="15.75" customHeight="1" x14ac:dyDescent="0.2">
      <c r="A701" s="1"/>
      <c r="B701" s="2"/>
      <c r="C701" s="1"/>
      <c r="D701" s="1"/>
      <c r="E701" s="48"/>
      <c r="F701" s="48"/>
      <c r="G701" s="2"/>
      <c r="H701" s="48"/>
      <c r="I701" s="2"/>
      <c r="J701" s="2"/>
      <c r="K701" s="2"/>
      <c r="L701" s="2"/>
      <c r="M701" s="2"/>
      <c r="N701" s="2"/>
      <c r="O701" s="95"/>
      <c r="P701" s="95"/>
      <c r="Q701" s="95"/>
      <c r="R701" s="95"/>
      <c r="AE701" s="95"/>
      <c r="AF701" s="95"/>
      <c r="AG701" s="95"/>
      <c r="AH701" s="2"/>
      <c r="AI701" s="2"/>
      <c r="AJ701" s="2"/>
      <c r="AK701" s="2"/>
    </row>
    <row r="702" spans="1:37" ht="15.75" customHeight="1" x14ac:dyDescent="0.2">
      <c r="A702" s="1"/>
      <c r="B702" s="2"/>
      <c r="C702" s="1"/>
      <c r="D702" s="1"/>
      <c r="E702" s="48"/>
      <c r="F702" s="48"/>
      <c r="G702" s="2"/>
      <c r="H702" s="48"/>
      <c r="I702" s="2"/>
      <c r="J702" s="2"/>
      <c r="K702" s="2"/>
      <c r="L702" s="2"/>
      <c r="M702" s="2"/>
      <c r="N702" s="2"/>
      <c r="O702" s="95"/>
      <c r="P702" s="95"/>
      <c r="Q702" s="95"/>
      <c r="R702" s="95"/>
      <c r="AE702" s="95"/>
      <c r="AF702" s="95"/>
      <c r="AG702" s="95"/>
      <c r="AH702" s="2"/>
      <c r="AI702" s="2"/>
      <c r="AJ702" s="2"/>
      <c r="AK702" s="2"/>
    </row>
    <row r="703" spans="1:37" ht="15.75" customHeight="1" x14ac:dyDescent="0.2">
      <c r="A703" s="1"/>
      <c r="B703" s="2"/>
      <c r="C703" s="1"/>
      <c r="D703" s="1"/>
      <c r="E703" s="48"/>
      <c r="F703" s="48"/>
      <c r="G703" s="2"/>
      <c r="H703" s="48"/>
      <c r="I703" s="2"/>
      <c r="J703" s="2"/>
      <c r="K703" s="2"/>
      <c r="L703" s="2"/>
      <c r="M703" s="2"/>
      <c r="N703" s="2"/>
      <c r="O703" s="95"/>
      <c r="P703" s="95"/>
      <c r="Q703" s="95"/>
      <c r="R703" s="95"/>
      <c r="AE703" s="95"/>
      <c r="AF703" s="95"/>
      <c r="AG703" s="95"/>
      <c r="AH703" s="2"/>
      <c r="AI703" s="2"/>
      <c r="AJ703" s="2"/>
      <c r="AK703" s="2"/>
    </row>
    <row r="704" spans="1:37" ht="15.75" customHeight="1" x14ac:dyDescent="0.2">
      <c r="A704" s="1"/>
      <c r="B704" s="2"/>
      <c r="C704" s="1"/>
      <c r="D704" s="1"/>
      <c r="E704" s="48"/>
      <c r="F704" s="48"/>
      <c r="G704" s="2"/>
      <c r="H704" s="48"/>
      <c r="I704" s="2"/>
      <c r="J704" s="2"/>
      <c r="K704" s="2"/>
      <c r="L704" s="2"/>
      <c r="M704" s="2"/>
      <c r="N704" s="2"/>
      <c r="O704" s="95"/>
      <c r="P704" s="95"/>
      <c r="Q704" s="95"/>
      <c r="R704" s="95"/>
      <c r="AE704" s="95"/>
      <c r="AF704" s="95"/>
      <c r="AG704" s="95"/>
      <c r="AH704" s="2"/>
      <c r="AI704" s="2"/>
      <c r="AJ704" s="2"/>
      <c r="AK704" s="2"/>
    </row>
    <row r="705" spans="1:37" ht="15.75" customHeight="1" x14ac:dyDescent="0.2">
      <c r="A705" s="1"/>
      <c r="B705" s="2"/>
      <c r="C705" s="1"/>
      <c r="D705" s="1"/>
      <c r="E705" s="48"/>
      <c r="F705" s="48"/>
      <c r="G705" s="2"/>
      <c r="H705" s="48"/>
      <c r="I705" s="2"/>
      <c r="J705" s="2"/>
      <c r="K705" s="2"/>
      <c r="L705" s="2"/>
      <c r="M705" s="2"/>
      <c r="N705" s="2"/>
      <c r="O705" s="95"/>
      <c r="P705" s="95"/>
      <c r="Q705" s="95"/>
      <c r="R705" s="95"/>
      <c r="AE705" s="95"/>
      <c r="AF705" s="95"/>
      <c r="AG705" s="95"/>
      <c r="AH705" s="2"/>
      <c r="AI705" s="2"/>
      <c r="AJ705" s="2"/>
      <c r="AK705" s="2"/>
    </row>
    <row r="706" spans="1:37" ht="15.75" customHeight="1" x14ac:dyDescent="0.2">
      <c r="A706" s="1"/>
      <c r="B706" s="2"/>
      <c r="C706" s="1"/>
      <c r="D706" s="1"/>
      <c r="E706" s="48"/>
      <c r="F706" s="48"/>
      <c r="G706" s="2"/>
      <c r="H706" s="48"/>
      <c r="I706" s="2"/>
      <c r="J706" s="2"/>
      <c r="K706" s="2"/>
      <c r="L706" s="2"/>
      <c r="M706" s="2"/>
      <c r="N706" s="2"/>
      <c r="O706" s="95"/>
      <c r="P706" s="95"/>
      <c r="Q706" s="95"/>
      <c r="R706" s="95"/>
      <c r="AE706" s="95"/>
      <c r="AF706" s="95"/>
      <c r="AG706" s="95"/>
      <c r="AH706" s="2"/>
      <c r="AI706" s="2"/>
      <c r="AJ706" s="2"/>
      <c r="AK706" s="2"/>
    </row>
    <row r="707" spans="1:37" ht="15.75" customHeight="1" x14ac:dyDescent="0.2">
      <c r="A707" s="1"/>
      <c r="B707" s="2"/>
      <c r="C707" s="1"/>
      <c r="D707" s="1"/>
      <c r="E707" s="48"/>
      <c r="F707" s="48"/>
      <c r="G707" s="2"/>
      <c r="H707" s="48"/>
      <c r="I707" s="2"/>
      <c r="J707" s="2"/>
      <c r="K707" s="2"/>
      <c r="L707" s="2"/>
      <c r="M707" s="2"/>
      <c r="N707" s="2"/>
      <c r="O707" s="95"/>
      <c r="P707" s="95"/>
      <c r="Q707" s="95"/>
      <c r="R707" s="95"/>
      <c r="AE707" s="95"/>
      <c r="AF707" s="95"/>
      <c r="AG707" s="95"/>
      <c r="AH707" s="2"/>
      <c r="AI707" s="2"/>
      <c r="AJ707" s="2"/>
      <c r="AK707" s="2"/>
    </row>
    <row r="708" spans="1:37" ht="15.75" customHeight="1" x14ac:dyDescent="0.2">
      <c r="A708" s="1"/>
      <c r="B708" s="2"/>
      <c r="C708" s="1"/>
      <c r="D708" s="1"/>
      <c r="E708" s="48"/>
      <c r="F708" s="48"/>
      <c r="G708" s="2"/>
      <c r="H708" s="48"/>
      <c r="I708" s="2"/>
      <c r="J708" s="2"/>
      <c r="K708" s="2"/>
      <c r="L708" s="2"/>
      <c r="M708" s="2"/>
      <c r="N708" s="2"/>
      <c r="O708" s="95"/>
      <c r="P708" s="95"/>
      <c r="Q708" s="95"/>
      <c r="R708" s="95"/>
      <c r="AE708" s="95"/>
      <c r="AF708" s="95"/>
      <c r="AG708" s="95"/>
      <c r="AH708" s="2"/>
      <c r="AI708" s="2"/>
      <c r="AJ708" s="2"/>
      <c r="AK708" s="2"/>
    </row>
    <row r="709" spans="1:37" ht="15.75" customHeight="1" x14ac:dyDescent="0.2">
      <c r="A709" s="1"/>
      <c r="B709" s="2"/>
      <c r="C709" s="1"/>
      <c r="D709" s="1"/>
      <c r="E709" s="48"/>
      <c r="F709" s="48"/>
      <c r="G709" s="2"/>
      <c r="H709" s="48"/>
      <c r="I709" s="2"/>
      <c r="J709" s="2"/>
      <c r="K709" s="2"/>
      <c r="L709" s="2"/>
      <c r="M709" s="2"/>
      <c r="N709" s="2"/>
      <c r="O709" s="95"/>
      <c r="P709" s="95"/>
      <c r="Q709" s="95"/>
      <c r="R709" s="95"/>
      <c r="AE709" s="95"/>
      <c r="AF709" s="95"/>
      <c r="AG709" s="95"/>
      <c r="AH709" s="2"/>
      <c r="AI709" s="2"/>
      <c r="AJ709" s="2"/>
      <c r="AK709" s="2"/>
    </row>
    <row r="710" spans="1:37" ht="15.75" customHeight="1" x14ac:dyDescent="0.2">
      <c r="A710" s="1"/>
      <c r="B710" s="2"/>
      <c r="C710" s="1"/>
      <c r="D710" s="1"/>
      <c r="E710" s="48"/>
      <c r="F710" s="48"/>
      <c r="G710" s="2"/>
      <c r="H710" s="48"/>
      <c r="I710" s="2"/>
      <c r="J710" s="2"/>
      <c r="K710" s="2"/>
      <c r="L710" s="2"/>
      <c r="M710" s="2"/>
      <c r="N710" s="2"/>
      <c r="O710" s="95"/>
      <c r="P710" s="95"/>
      <c r="Q710" s="95"/>
      <c r="R710" s="95"/>
      <c r="AE710" s="95"/>
      <c r="AF710" s="95"/>
      <c r="AG710" s="95"/>
      <c r="AH710" s="2"/>
      <c r="AI710" s="2"/>
      <c r="AJ710" s="2"/>
      <c r="AK710" s="2"/>
    </row>
    <row r="711" spans="1:37" ht="15.75" customHeight="1" x14ac:dyDescent="0.2">
      <c r="A711" s="1"/>
      <c r="B711" s="2"/>
      <c r="C711" s="1"/>
      <c r="D711" s="1"/>
      <c r="E711" s="48"/>
      <c r="F711" s="48"/>
      <c r="G711" s="2"/>
      <c r="H711" s="48"/>
      <c r="I711" s="2"/>
      <c r="J711" s="2"/>
      <c r="K711" s="2"/>
      <c r="L711" s="2"/>
      <c r="M711" s="2"/>
      <c r="N711" s="2"/>
      <c r="O711" s="95"/>
      <c r="P711" s="95"/>
      <c r="Q711" s="95"/>
      <c r="R711" s="95"/>
      <c r="AE711" s="95"/>
      <c r="AF711" s="95"/>
      <c r="AG711" s="95"/>
      <c r="AH711" s="2"/>
      <c r="AI711" s="2"/>
      <c r="AJ711" s="2"/>
      <c r="AK711" s="2"/>
    </row>
    <row r="712" spans="1:37" ht="15.75" customHeight="1" x14ac:dyDescent="0.2">
      <c r="A712" s="1"/>
      <c r="B712" s="2"/>
      <c r="C712" s="1"/>
      <c r="D712" s="1"/>
      <c r="E712" s="48"/>
      <c r="F712" s="48"/>
      <c r="G712" s="2"/>
      <c r="H712" s="48"/>
      <c r="I712" s="2"/>
      <c r="J712" s="2"/>
      <c r="K712" s="2"/>
      <c r="L712" s="2"/>
      <c r="M712" s="2"/>
      <c r="N712" s="2"/>
      <c r="O712" s="95"/>
      <c r="P712" s="95"/>
      <c r="Q712" s="95"/>
      <c r="R712" s="95"/>
      <c r="AE712" s="95"/>
      <c r="AF712" s="95"/>
      <c r="AG712" s="95"/>
      <c r="AH712" s="2"/>
      <c r="AI712" s="2"/>
      <c r="AJ712" s="2"/>
      <c r="AK712" s="2"/>
    </row>
    <row r="713" spans="1:37" ht="15.75" customHeight="1" x14ac:dyDescent="0.2">
      <c r="A713" s="1"/>
      <c r="B713" s="2"/>
      <c r="C713" s="1"/>
      <c r="D713" s="1"/>
      <c r="E713" s="48"/>
      <c r="F713" s="48"/>
      <c r="G713" s="2"/>
      <c r="H713" s="48"/>
      <c r="I713" s="2"/>
      <c r="J713" s="2"/>
      <c r="K713" s="2"/>
      <c r="L713" s="2"/>
      <c r="M713" s="2"/>
      <c r="N713" s="2"/>
      <c r="O713" s="95"/>
      <c r="P713" s="95"/>
      <c r="Q713" s="95"/>
      <c r="R713" s="95"/>
      <c r="AE713" s="95"/>
      <c r="AF713" s="95"/>
      <c r="AG713" s="95"/>
      <c r="AH713" s="2"/>
      <c r="AI713" s="2"/>
      <c r="AJ713" s="2"/>
      <c r="AK713" s="2"/>
    </row>
    <row r="714" spans="1:37" ht="15.75" customHeight="1" x14ac:dyDescent="0.2">
      <c r="A714" s="1"/>
      <c r="B714" s="2"/>
      <c r="C714" s="1"/>
      <c r="D714" s="1"/>
      <c r="E714" s="48"/>
      <c r="F714" s="48"/>
      <c r="G714" s="2"/>
      <c r="H714" s="48"/>
      <c r="I714" s="2"/>
      <c r="J714" s="2"/>
      <c r="K714" s="2"/>
      <c r="L714" s="2"/>
      <c r="M714" s="2"/>
      <c r="N714" s="2"/>
      <c r="O714" s="95"/>
      <c r="P714" s="95"/>
      <c r="Q714" s="95"/>
      <c r="R714" s="95"/>
      <c r="AE714" s="95"/>
      <c r="AF714" s="95"/>
      <c r="AG714" s="95"/>
      <c r="AH714" s="2"/>
      <c r="AI714" s="2"/>
      <c r="AJ714" s="2"/>
      <c r="AK714" s="2"/>
    </row>
    <row r="715" spans="1:37" ht="15.75" customHeight="1" x14ac:dyDescent="0.2">
      <c r="A715" s="1"/>
      <c r="B715" s="2"/>
      <c r="C715" s="1"/>
      <c r="D715" s="1"/>
      <c r="E715" s="48"/>
      <c r="F715" s="48"/>
      <c r="G715" s="2"/>
      <c r="H715" s="48"/>
      <c r="I715" s="2"/>
      <c r="J715" s="2"/>
      <c r="K715" s="2"/>
      <c r="L715" s="2"/>
      <c r="M715" s="2"/>
      <c r="N715" s="2"/>
      <c r="O715" s="95"/>
      <c r="P715" s="95"/>
      <c r="Q715" s="95"/>
      <c r="R715" s="95"/>
      <c r="AE715" s="95"/>
      <c r="AF715" s="95"/>
      <c r="AG715" s="95"/>
      <c r="AH715" s="2"/>
      <c r="AI715" s="2"/>
      <c r="AJ715" s="2"/>
      <c r="AK715" s="2"/>
    </row>
    <row r="716" spans="1:37" ht="15.75" customHeight="1" x14ac:dyDescent="0.2">
      <c r="A716" s="1"/>
      <c r="B716" s="2"/>
      <c r="C716" s="1"/>
      <c r="D716" s="1"/>
      <c r="E716" s="48"/>
      <c r="F716" s="48"/>
      <c r="G716" s="2"/>
      <c r="H716" s="48"/>
      <c r="I716" s="2"/>
      <c r="J716" s="2"/>
      <c r="K716" s="2"/>
      <c r="L716" s="2"/>
      <c r="M716" s="2"/>
      <c r="N716" s="2"/>
      <c r="O716" s="95"/>
      <c r="P716" s="95"/>
      <c r="Q716" s="95"/>
      <c r="R716" s="95"/>
      <c r="AE716" s="95"/>
      <c r="AF716" s="95"/>
      <c r="AG716" s="95"/>
      <c r="AH716" s="2"/>
      <c r="AI716" s="2"/>
      <c r="AJ716" s="2"/>
      <c r="AK716" s="2"/>
    </row>
    <row r="717" spans="1:37" ht="15.75" customHeight="1" x14ac:dyDescent="0.2">
      <c r="A717" s="1"/>
      <c r="B717" s="2"/>
      <c r="C717" s="1"/>
      <c r="D717" s="1"/>
      <c r="E717" s="48"/>
      <c r="F717" s="48"/>
      <c r="G717" s="2"/>
      <c r="H717" s="48"/>
      <c r="I717" s="2"/>
      <c r="J717" s="2"/>
      <c r="K717" s="2"/>
      <c r="L717" s="2"/>
      <c r="M717" s="2"/>
      <c r="N717" s="2"/>
      <c r="O717" s="95"/>
      <c r="P717" s="95"/>
      <c r="Q717" s="95"/>
      <c r="R717" s="95"/>
      <c r="AE717" s="95"/>
      <c r="AF717" s="95"/>
      <c r="AG717" s="95"/>
      <c r="AH717" s="2"/>
      <c r="AI717" s="2"/>
      <c r="AJ717" s="2"/>
      <c r="AK717" s="2"/>
    </row>
    <row r="718" spans="1:37" ht="15.75" customHeight="1" x14ac:dyDescent="0.2">
      <c r="A718" s="1"/>
      <c r="B718" s="2"/>
      <c r="C718" s="1"/>
      <c r="D718" s="1"/>
      <c r="E718" s="48"/>
      <c r="F718" s="48"/>
      <c r="G718" s="2"/>
      <c r="H718" s="48"/>
      <c r="I718" s="2"/>
      <c r="J718" s="2"/>
      <c r="K718" s="2"/>
      <c r="L718" s="2"/>
      <c r="M718" s="2"/>
      <c r="N718" s="2"/>
      <c r="O718" s="95"/>
      <c r="P718" s="95"/>
      <c r="Q718" s="95"/>
      <c r="R718" s="95"/>
      <c r="AE718" s="95"/>
      <c r="AF718" s="95"/>
      <c r="AG718" s="95"/>
      <c r="AH718" s="2"/>
      <c r="AI718" s="2"/>
      <c r="AJ718" s="2"/>
      <c r="AK718" s="2"/>
    </row>
    <row r="719" spans="1:37" ht="15.75" customHeight="1" x14ac:dyDescent="0.2">
      <c r="A719" s="1"/>
      <c r="B719" s="2"/>
      <c r="C719" s="1"/>
      <c r="D719" s="1"/>
      <c r="E719" s="48"/>
      <c r="F719" s="48"/>
      <c r="G719" s="2"/>
      <c r="H719" s="48"/>
      <c r="I719" s="2"/>
      <c r="J719" s="2"/>
      <c r="K719" s="2"/>
      <c r="L719" s="2"/>
      <c r="M719" s="2"/>
      <c r="N719" s="2"/>
      <c r="O719" s="95"/>
      <c r="P719" s="95"/>
      <c r="Q719" s="95"/>
      <c r="R719" s="95"/>
      <c r="AE719" s="95"/>
      <c r="AF719" s="95"/>
      <c r="AG719" s="95"/>
      <c r="AH719" s="2"/>
      <c r="AI719" s="2"/>
      <c r="AJ719" s="2"/>
      <c r="AK719" s="2"/>
    </row>
    <row r="720" spans="1:37" ht="15.75" customHeight="1" x14ac:dyDescent="0.2">
      <c r="A720" s="1"/>
      <c r="B720" s="2"/>
      <c r="C720" s="1"/>
      <c r="D720" s="1"/>
      <c r="E720" s="48"/>
      <c r="F720" s="48"/>
      <c r="G720" s="2"/>
      <c r="H720" s="48"/>
      <c r="I720" s="2"/>
      <c r="J720" s="2"/>
      <c r="K720" s="2"/>
      <c r="L720" s="2"/>
      <c r="M720" s="2"/>
      <c r="N720" s="2"/>
      <c r="O720" s="95"/>
      <c r="P720" s="95"/>
      <c r="Q720" s="95"/>
      <c r="R720" s="95"/>
      <c r="AE720" s="95"/>
      <c r="AF720" s="95"/>
      <c r="AG720" s="95"/>
      <c r="AH720" s="2"/>
      <c r="AI720" s="2"/>
      <c r="AJ720" s="2"/>
      <c r="AK720" s="2"/>
    </row>
    <row r="721" spans="1:37" ht="15.75" customHeight="1" x14ac:dyDescent="0.2">
      <c r="A721" s="1"/>
      <c r="B721" s="2"/>
      <c r="C721" s="1"/>
      <c r="D721" s="1"/>
      <c r="E721" s="48"/>
      <c r="F721" s="48"/>
      <c r="G721" s="2"/>
      <c r="H721" s="48"/>
      <c r="I721" s="2"/>
      <c r="J721" s="2"/>
      <c r="K721" s="2"/>
      <c r="L721" s="2"/>
      <c r="M721" s="2"/>
      <c r="N721" s="2"/>
      <c r="O721" s="95"/>
      <c r="P721" s="95"/>
      <c r="Q721" s="95"/>
      <c r="R721" s="95"/>
      <c r="AE721" s="95"/>
      <c r="AF721" s="95"/>
      <c r="AG721" s="95"/>
      <c r="AH721" s="2"/>
      <c r="AI721" s="2"/>
      <c r="AJ721" s="2"/>
      <c r="AK721" s="2"/>
    </row>
    <row r="722" spans="1:37" ht="15.75" customHeight="1" x14ac:dyDescent="0.2">
      <c r="A722" s="1"/>
      <c r="B722" s="2"/>
      <c r="C722" s="1"/>
      <c r="D722" s="1"/>
      <c r="E722" s="48"/>
      <c r="F722" s="48"/>
      <c r="G722" s="2"/>
      <c r="H722" s="48"/>
      <c r="I722" s="2"/>
      <c r="J722" s="2"/>
      <c r="K722" s="2"/>
      <c r="L722" s="2"/>
      <c r="M722" s="2"/>
      <c r="N722" s="2"/>
      <c r="O722" s="95"/>
      <c r="P722" s="95"/>
      <c r="Q722" s="95"/>
      <c r="R722" s="95"/>
      <c r="AE722" s="95"/>
      <c r="AF722" s="95"/>
      <c r="AG722" s="95"/>
      <c r="AH722" s="2"/>
      <c r="AI722" s="2"/>
      <c r="AJ722" s="2"/>
      <c r="AK722" s="2"/>
    </row>
    <row r="723" spans="1:37" ht="15.75" customHeight="1" x14ac:dyDescent="0.2">
      <c r="A723" s="1"/>
      <c r="B723" s="2"/>
      <c r="C723" s="1"/>
      <c r="D723" s="1"/>
      <c r="E723" s="48"/>
      <c r="F723" s="48"/>
      <c r="G723" s="2"/>
      <c r="H723" s="48"/>
      <c r="I723" s="2"/>
      <c r="J723" s="2"/>
      <c r="K723" s="2"/>
      <c r="L723" s="2"/>
      <c r="M723" s="2"/>
      <c r="N723" s="2"/>
      <c r="O723" s="95"/>
      <c r="P723" s="95"/>
      <c r="Q723" s="95"/>
      <c r="R723" s="95"/>
      <c r="AE723" s="95"/>
      <c r="AF723" s="95"/>
      <c r="AG723" s="95"/>
      <c r="AH723" s="2"/>
      <c r="AI723" s="2"/>
      <c r="AJ723" s="2"/>
      <c r="AK723" s="2"/>
    </row>
    <row r="724" spans="1:37" ht="15.75" customHeight="1" x14ac:dyDescent="0.2">
      <c r="A724" s="1"/>
      <c r="B724" s="2"/>
      <c r="C724" s="1"/>
      <c r="D724" s="1"/>
      <c r="E724" s="48"/>
      <c r="F724" s="48"/>
      <c r="G724" s="2"/>
      <c r="H724" s="48"/>
      <c r="I724" s="2"/>
      <c r="J724" s="2"/>
      <c r="K724" s="2"/>
      <c r="L724" s="2"/>
      <c r="M724" s="2"/>
      <c r="N724" s="2"/>
      <c r="O724" s="95"/>
      <c r="P724" s="95"/>
      <c r="Q724" s="95"/>
      <c r="R724" s="95"/>
      <c r="AE724" s="95"/>
      <c r="AF724" s="95"/>
      <c r="AG724" s="95"/>
      <c r="AH724" s="2"/>
      <c r="AI724" s="2"/>
      <c r="AJ724" s="2"/>
      <c r="AK724" s="2"/>
    </row>
    <row r="725" spans="1:37" ht="15.75" customHeight="1" x14ac:dyDescent="0.2">
      <c r="A725" s="1"/>
      <c r="B725" s="2"/>
      <c r="C725" s="1"/>
      <c r="D725" s="1"/>
      <c r="E725" s="48"/>
      <c r="F725" s="48"/>
      <c r="G725" s="2"/>
      <c r="H725" s="48"/>
      <c r="I725" s="2"/>
      <c r="J725" s="2"/>
      <c r="K725" s="2"/>
      <c r="L725" s="2"/>
      <c r="M725" s="2"/>
      <c r="N725" s="2"/>
      <c r="O725" s="95"/>
      <c r="P725" s="95"/>
      <c r="Q725" s="95"/>
      <c r="R725" s="95"/>
      <c r="AE725" s="95"/>
      <c r="AF725" s="95"/>
      <c r="AG725" s="95"/>
      <c r="AH725" s="2"/>
      <c r="AI725" s="2"/>
      <c r="AJ725" s="2"/>
      <c r="AK725" s="2"/>
    </row>
    <row r="726" spans="1:37" ht="15.75" customHeight="1" x14ac:dyDescent="0.2">
      <c r="A726" s="1"/>
      <c r="B726" s="2"/>
      <c r="C726" s="1"/>
      <c r="D726" s="1"/>
      <c r="E726" s="48"/>
      <c r="F726" s="48"/>
      <c r="G726" s="2"/>
      <c r="H726" s="48"/>
      <c r="I726" s="2"/>
      <c r="J726" s="2"/>
      <c r="K726" s="2"/>
      <c r="L726" s="2"/>
      <c r="M726" s="2"/>
      <c r="N726" s="2"/>
      <c r="O726" s="95"/>
      <c r="P726" s="95"/>
      <c r="Q726" s="95"/>
      <c r="R726" s="95"/>
      <c r="AE726" s="95"/>
      <c r="AF726" s="95"/>
      <c r="AG726" s="95"/>
      <c r="AH726" s="2"/>
      <c r="AI726" s="2"/>
      <c r="AJ726" s="2"/>
      <c r="AK726" s="2"/>
    </row>
    <row r="727" spans="1:37" ht="15.75" customHeight="1" x14ac:dyDescent="0.2">
      <c r="A727" s="1"/>
      <c r="B727" s="2"/>
      <c r="C727" s="1"/>
      <c r="D727" s="1"/>
      <c r="E727" s="48"/>
      <c r="F727" s="48"/>
      <c r="G727" s="2"/>
      <c r="H727" s="48"/>
      <c r="I727" s="2"/>
      <c r="J727" s="2"/>
      <c r="K727" s="2"/>
      <c r="L727" s="2"/>
      <c r="M727" s="2"/>
      <c r="N727" s="2"/>
      <c r="O727" s="95"/>
      <c r="P727" s="95"/>
      <c r="Q727" s="95"/>
      <c r="R727" s="95"/>
      <c r="AE727" s="95"/>
      <c r="AF727" s="95"/>
      <c r="AG727" s="95"/>
      <c r="AH727" s="2"/>
      <c r="AI727" s="2"/>
      <c r="AJ727" s="2"/>
      <c r="AK727" s="2"/>
    </row>
    <row r="728" spans="1:37" ht="15.75" customHeight="1" x14ac:dyDescent="0.2">
      <c r="A728" s="1"/>
      <c r="B728" s="2"/>
      <c r="C728" s="1"/>
      <c r="D728" s="1"/>
      <c r="E728" s="48"/>
      <c r="F728" s="48"/>
      <c r="G728" s="2"/>
      <c r="H728" s="48"/>
      <c r="I728" s="2"/>
      <c r="J728" s="2"/>
      <c r="K728" s="2"/>
      <c r="L728" s="2"/>
      <c r="M728" s="2"/>
      <c r="N728" s="2"/>
      <c r="O728" s="95"/>
      <c r="P728" s="95"/>
      <c r="Q728" s="95"/>
      <c r="R728" s="95"/>
      <c r="AE728" s="95"/>
      <c r="AF728" s="95"/>
      <c r="AG728" s="95"/>
      <c r="AH728" s="2"/>
      <c r="AI728" s="2"/>
      <c r="AJ728" s="2"/>
      <c r="AK728" s="2"/>
    </row>
    <row r="729" spans="1:37" ht="15.75" customHeight="1" x14ac:dyDescent="0.2">
      <c r="A729" s="1"/>
      <c r="B729" s="2"/>
      <c r="C729" s="1"/>
      <c r="D729" s="1"/>
      <c r="E729" s="48"/>
      <c r="F729" s="48"/>
      <c r="G729" s="2"/>
      <c r="H729" s="48"/>
      <c r="I729" s="2"/>
      <c r="J729" s="2"/>
      <c r="K729" s="2"/>
      <c r="L729" s="2"/>
      <c r="M729" s="2"/>
      <c r="N729" s="2"/>
      <c r="O729" s="95"/>
      <c r="P729" s="95"/>
      <c r="Q729" s="95"/>
      <c r="R729" s="95"/>
      <c r="AE729" s="95"/>
      <c r="AF729" s="95"/>
      <c r="AG729" s="95"/>
      <c r="AH729" s="2"/>
      <c r="AI729" s="2"/>
      <c r="AJ729" s="2"/>
      <c r="AK729" s="2"/>
    </row>
    <row r="730" spans="1:37" ht="15.75" customHeight="1" x14ac:dyDescent="0.2">
      <c r="A730" s="1"/>
      <c r="B730" s="2"/>
      <c r="C730" s="1"/>
      <c r="D730" s="1"/>
      <c r="E730" s="48"/>
      <c r="F730" s="48"/>
      <c r="G730" s="2"/>
      <c r="H730" s="48"/>
      <c r="I730" s="2"/>
      <c r="J730" s="2"/>
      <c r="K730" s="2"/>
      <c r="L730" s="2"/>
      <c r="M730" s="2"/>
      <c r="N730" s="2"/>
      <c r="O730" s="95"/>
      <c r="P730" s="95"/>
      <c r="Q730" s="95"/>
      <c r="R730" s="95"/>
      <c r="AE730" s="95"/>
      <c r="AF730" s="95"/>
      <c r="AG730" s="95"/>
      <c r="AH730" s="2"/>
      <c r="AI730" s="2"/>
      <c r="AJ730" s="2"/>
      <c r="AK730" s="2"/>
    </row>
    <row r="731" spans="1:37" ht="15.75" customHeight="1" x14ac:dyDescent="0.2">
      <c r="A731" s="1"/>
      <c r="B731" s="2"/>
      <c r="C731" s="1"/>
      <c r="D731" s="1"/>
      <c r="E731" s="48"/>
      <c r="F731" s="48"/>
      <c r="G731" s="2"/>
      <c r="H731" s="48"/>
      <c r="I731" s="2"/>
      <c r="J731" s="2"/>
      <c r="K731" s="2"/>
      <c r="L731" s="2"/>
      <c r="M731" s="2"/>
      <c r="N731" s="2"/>
      <c r="O731" s="95"/>
      <c r="P731" s="95"/>
      <c r="Q731" s="95"/>
      <c r="R731" s="95"/>
      <c r="AE731" s="95"/>
      <c r="AF731" s="95"/>
      <c r="AG731" s="95"/>
      <c r="AH731" s="2"/>
      <c r="AI731" s="2"/>
      <c r="AJ731" s="2"/>
      <c r="AK731" s="2"/>
    </row>
    <row r="732" spans="1:37" ht="15.75" customHeight="1" x14ac:dyDescent="0.2">
      <c r="A732" s="1"/>
      <c r="B732" s="2"/>
      <c r="C732" s="1"/>
      <c r="D732" s="1"/>
      <c r="E732" s="48"/>
      <c r="F732" s="48"/>
      <c r="G732" s="2"/>
      <c r="H732" s="48"/>
      <c r="I732" s="2"/>
      <c r="J732" s="2"/>
      <c r="K732" s="2"/>
      <c r="L732" s="2"/>
      <c r="M732" s="2"/>
      <c r="N732" s="2"/>
      <c r="O732" s="95"/>
      <c r="P732" s="95"/>
      <c r="Q732" s="95"/>
      <c r="R732" s="95"/>
      <c r="AE732" s="95"/>
      <c r="AF732" s="95"/>
      <c r="AG732" s="95"/>
      <c r="AH732" s="2"/>
      <c r="AI732" s="2"/>
      <c r="AJ732" s="2"/>
      <c r="AK732" s="2"/>
    </row>
    <row r="733" spans="1:37" ht="15.75" customHeight="1" x14ac:dyDescent="0.2">
      <c r="A733" s="1"/>
      <c r="B733" s="2"/>
      <c r="C733" s="1"/>
      <c r="D733" s="1"/>
      <c r="E733" s="48"/>
      <c r="F733" s="48"/>
      <c r="G733" s="2"/>
      <c r="H733" s="48"/>
      <c r="I733" s="2"/>
      <c r="J733" s="2"/>
      <c r="K733" s="2"/>
      <c r="L733" s="2"/>
      <c r="M733" s="2"/>
      <c r="N733" s="2"/>
      <c r="O733" s="95"/>
      <c r="P733" s="95"/>
      <c r="Q733" s="95"/>
      <c r="R733" s="95"/>
      <c r="AE733" s="95"/>
      <c r="AF733" s="95"/>
      <c r="AG733" s="95"/>
      <c r="AH733" s="2"/>
      <c r="AI733" s="2"/>
      <c r="AJ733" s="2"/>
      <c r="AK733" s="2"/>
    </row>
    <row r="734" spans="1:37" ht="15.75" customHeight="1" x14ac:dyDescent="0.2">
      <c r="A734" s="1"/>
      <c r="B734" s="2"/>
      <c r="C734" s="1"/>
      <c r="D734" s="1"/>
      <c r="E734" s="48"/>
      <c r="F734" s="48"/>
      <c r="G734" s="2"/>
      <c r="H734" s="48"/>
      <c r="I734" s="2"/>
      <c r="J734" s="2"/>
      <c r="K734" s="2"/>
      <c r="L734" s="2"/>
      <c r="M734" s="2"/>
      <c r="N734" s="2"/>
      <c r="O734" s="95"/>
      <c r="P734" s="95"/>
      <c r="Q734" s="95"/>
      <c r="R734" s="95"/>
      <c r="AE734" s="95"/>
      <c r="AF734" s="95"/>
      <c r="AG734" s="95"/>
      <c r="AH734" s="2"/>
      <c r="AI734" s="2"/>
      <c r="AJ734" s="2"/>
      <c r="AK734" s="2"/>
    </row>
    <row r="735" spans="1:37" ht="15.75" customHeight="1" x14ac:dyDescent="0.2">
      <c r="A735" s="1"/>
      <c r="B735" s="2"/>
      <c r="C735" s="1"/>
      <c r="D735" s="1"/>
      <c r="E735" s="48"/>
      <c r="F735" s="48"/>
      <c r="G735" s="2"/>
      <c r="H735" s="48"/>
      <c r="I735" s="2"/>
      <c r="J735" s="2"/>
      <c r="K735" s="2"/>
      <c r="L735" s="2"/>
      <c r="M735" s="2"/>
      <c r="N735" s="2"/>
      <c r="O735" s="95"/>
      <c r="P735" s="95"/>
      <c r="Q735" s="95"/>
      <c r="R735" s="95"/>
      <c r="AE735" s="95"/>
      <c r="AF735" s="95"/>
      <c r="AG735" s="95"/>
      <c r="AH735" s="2"/>
      <c r="AI735" s="2"/>
      <c r="AJ735" s="2"/>
      <c r="AK735" s="2"/>
    </row>
    <row r="736" spans="1:37" ht="15.75" customHeight="1" x14ac:dyDescent="0.2">
      <c r="A736" s="1"/>
      <c r="B736" s="2"/>
      <c r="C736" s="1"/>
      <c r="D736" s="1"/>
      <c r="E736" s="48"/>
      <c r="F736" s="48"/>
      <c r="G736" s="2"/>
      <c r="H736" s="48"/>
      <c r="I736" s="2"/>
      <c r="J736" s="2"/>
      <c r="K736" s="2"/>
      <c r="L736" s="2"/>
      <c r="M736" s="2"/>
      <c r="N736" s="2"/>
      <c r="O736" s="95"/>
      <c r="P736" s="95"/>
      <c r="Q736" s="95"/>
      <c r="R736" s="95"/>
      <c r="AE736" s="95"/>
      <c r="AF736" s="95"/>
      <c r="AG736" s="95"/>
      <c r="AH736" s="2"/>
      <c r="AI736" s="2"/>
      <c r="AJ736" s="2"/>
      <c r="AK736" s="2"/>
    </row>
    <row r="737" spans="1:37" ht="15.75" customHeight="1" x14ac:dyDescent="0.2">
      <c r="A737" s="1"/>
      <c r="B737" s="2"/>
      <c r="C737" s="1"/>
      <c r="D737" s="1"/>
      <c r="E737" s="48"/>
      <c r="F737" s="48"/>
      <c r="G737" s="2"/>
      <c r="H737" s="48"/>
      <c r="I737" s="2"/>
      <c r="J737" s="2"/>
      <c r="K737" s="2"/>
      <c r="L737" s="2"/>
      <c r="M737" s="2"/>
      <c r="N737" s="2"/>
      <c r="O737" s="95"/>
      <c r="P737" s="95"/>
      <c r="Q737" s="95"/>
      <c r="R737" s="95"/>
      <c r="AE737" s="95"/>
      <c r="AF737" s="95"/>
      <c r="AG737" s="95"/>
      <c r="AH737" s="2"/>
      <c r="AI737" s="2"/>
      <c r="AJ737" s="2"/>
      <c r="AK737" s="2"/>
    </row>
    <row r="738" spans="1:37" ht="15.75" customHeight="1" x14ac:dyDescent="0.2">
      <c r="A738" s="1"/>
      <c r="B738" s="2"/>
      <c r="C738" s="1"/>
      <c r="D738" s="1"/>
      <c r="E738" s="48"/>
      <c r="F738" s="48"/>
      <c r="G738" s="2"/>
      <c r="H738" s="48"/>
      <c r="I738" s="2"/>
      <c r="J738" s="2"/>
      <c r="K738" s="2"/>
      <c r="L738" s="2"/>
      <c r="M738" s="2"/>
      <c r="N738" s="2"/>
      <c r="O738" s="95"/>
      <c r="P738" s="95"/>
      <c r="Q738" s="95"/>
      <c r="R738" s="95"/>
      <c r="AE738" s="95"/>
      <c r="AF738" s="95"/>
      <c r="AG738" s="95"/>
      <c r="AH738" s="2"/>
      <c r="AI738" s="2"/>
      <c r="AJ738" s="2"/>
      <c r="AK738" s="2"/>
    </row>
    <row r="739" spans="1:37" ht="15.75" customHeight="1" x14ac:dyDescent="0.2">
      <c r="A739" s="1"/>
      <c r="B739" s="2"/>
      <c r="C739" s="1"/>
      <c r="D739" s="1"/>
      <c r="E739" s="48"/>
      <c r="F739" s="48"/>
      <c r="G739" s="2"/>
      <c r="H739" s="48"/>
      <c r="I739" s="2"/>
      <c r="J739" s="2"/>
      <c r="K739" s="2"/>
      <c r="L739" s="2"/>
      <c r="M739" s="2"/>
      <c r="N739" s="2"/>
      <c r="O739" s="95"/>
      <c r="P739" s="95"/>
      <c r="Q739" s="95"/>
      <c r="R739" s="95"/>
      <c r="AE739" s="95"/>
      <c r="AF739" s="95"/>
      <c r="AG739" s="95"/>
      <c r="AH739" s="2"/>
      <c r="AI739" s="2"/>
      <c r="AJ739" s="2"/>
      <c r="AK739" s="2"/>
    </row>
    <row r="740" spans="1:37" ht="15.75" customHeight="1" x14ac:dyDescent="0.2">
      <c r="A740" s="1"/>
      <c r="B740" s="2"/>
      <c r="C740" s="1"/>
      <c r="D740" s="1"/>
      <c r="E740" s="48"/>
      <c r="F740" s="48"/>
      <c r="G740" s="2"/>
      <c r="H740" s="48"/>
      <c r="I740" s="2"/>
      <c r="J740" s="2"/>
      <c r="K740" s="2"/>
      <c r="L740" s="2"/>
      <c r="M740" s="2"/>
      <c r="N740" s="2"/>
      <c r="O740" s="95"/>
      <c r="P740" s="95"/>
      <c r="Q740" s="95"/>
      <c r="R740" s="95"/>
      <c r="AE740" s="95"/>
      <c r="AF740" s="95"/>
      <c r="AG740" s="95"/>
      <c r="AH740" s="2"/>
      <c r="AI740" s="2"/>
      <c r="AJ740" s="2"/>
      <c r="AK740" s="2"/>
    </row>
    <row r="741" spans="1:37" ht="15.75" customHeight="1" x14ac:dyDescent="0.2">
      <c r="A741" s="1"/>
      <c r="B741" s="2"/>
      <c r="C741" s="1"/>
      <c r="D741" s="1"/>
      <c r="E741" s="48"/>
      <c r="F741" s="48"/>
      <c r="G741" s="2"/>
      <c r="H741" s="48"/>
      <c r="I741" s="2"/>
      <c r="J741" s="2"/>
      <c r="K741" s="2"/>
      <c r="L741" s="2"/>
      <c r="M741" s="2"/>
      <c r="N741" s="2"/>
      <c r="O741" s="95"/>
      <c r="P741" s="95"/>
      <c r="Q741" s="95"/>
      <c r="R741" s="95"/>
      <c r="AE741" s="95"/>
      <c r="AF741" s="95"/>
      <c r="AG741" s="95"/>
      <c r="AH741" s="2"/>
      <c r="AI741" s="2"/>
      <c r="AJ741" s="2"/>
      <c r="AK741" s="2"/>
    </row>
    <row r="742" spans="1:37" ht="15.75" customHeight="1" x14ac:dyDescent="0.2">
      <c r="A742" s="1"/>
      <c r="B742" s="2"/>
      <c r="C742" s="1"/>
      <c r="D742" s="1"/>
      <c r="E742" s="48"/>
      <c r="F742" s="48"/>
      <c r="G742" s="2"/>
      <c r="H742" s="48"/>
      <c r="I742" s="2"/>
      <c r="J742" s="2"/>
      <c r="K742" s="2"/>
      <c r="L742" s="2"/>
      <c r="M742" s="2"/>
      <c r="N742" s="2"/>
      <c r="O742" s="95"/>
      <c r="P742" s="95"/>
      <c r="Q742" s="95"/>
      <c r="R742" s="95"/>
      <c r="AE742" s="95"/>
      <c r="AF742" s="95"/>
      <c r="AG742" s="95"/>
      <c r="AH742" s="2"/>
      <c r="AI742" s="2"/>
      <c r="AJ742" s="2"/>
      <c r="AK742" s="2"/>
    </row>
    <row r="743" spans="1:37" ht="15.75" customHeight="1" x14ac:dyDescent="0.2">
      <c r="A743" s="1"/>
      <c r="B743" s="2"/>
      <c r="C743" s="1"/>
      <c r="D743" s="1"/>
      <c r="E743" s="48"/>
      <c r="F743" s="48"/>
      <c r="G743" s="2"/>
      <c r="H743" s="48"/>
      <c r="I743" s="2"/>
      <c r="J743" s="2"/>
      <c r="K743" s="2"/>
      <c r="L743" s="2"/>
      <c r="M743" s="2"/>
      <c r="N743" s="2"/>
      <c r="O743" s="95"/>
      <c r="P743" s="95"/>
      <c r="Q743" s="95"/>
      <c r="R743" s="95"/>
      <c r="AE743" s="95"/>
      <c r="AF743" s="95"/>
      <c r="AG743" s="95"/>
      <c r="AH743" s="2"/>
      <c r="AI743" s="2"/>
      <c r="AJ743" s="2"/>
      <c r="AK743" s="2"/>
    </row>
    <row r="744" spans="1:37" ht="15.75" customHeight="1" x14ac:dyDescent="0.2">
      <c r="A744" s="1"/>
      <c r="B744" s="2"/>
      <c r="C744" s="1"/>
      <c r="D744" s="1"/>
      <c r="E744" s="48"/>
      <c r="F744" s="48"/>
      <c r="G744" s="2"/>
      <c r="H744" s="48"/>
      <c r="I744" s="2"/>
      <c r="J744" s="2"/>
      <c r="K744" s="2"/>
      <c r="L744" s="2"/>
      <c r="M744" s="2"/>
      <c r="N744" s="2"/>
      <c r="O744" s="95"/>
      <c r="P744" s="95"/>
      <c r="Q744" s="95"/>
      <c r="R744" s="95"/>
      <c r="AE744" s="95"/>
      <c r="AF744" s="95"/>
      <c r="AG744" s="95"/>
      <c r="AH744" s="2"/>
      <c r="AI744" s="2"/>
      <c r="AJ744" s="2"/>
      <c r="AK744" s="2"/>
    </row>
    <row r="745" spans="1:37" ht="15.75" customHeight="1" x14ac:dyDescent="0.2">
      <c r="A745" s="1"/>
      <c r="B745" s="2"/>
      <c r="C745" s="1"/>
      <c r="D745" s="1"/>
      <c r="E745" s="48"/>
      <c r="F745" s="48"/>
      <c r="G745" s="2"/>
      <c r="H745" s="48"/>
      <c r="I745" s="2"/>
      <c r="J745" s="2"/>
      <c r="K745" s="2"/>
      <c r="L745" s="2"/>
      <c r="M745" s="2"/>
      <c r="N745" s="2"/>
      <c r="O745" s="95"/>
      <c r="P745" s="95"/>
      <c r="Q745" s="95"/>
      <c r="R745" s="95"/>
      <c r="AE745" s="95"/>
      <c r="AF745" s="95"/>
      <c r="AG745" s="95"/>
      <c r="AH745" s="2"/>
      <c r="AI745" s="2"/>
      <c r="AJ745" s="2"/>
      <c r="AK745" s="2"/>
    </row>
    <row r="746" spans="1:37" ht="15.75" customHeight="1" x14ac:dyDescent="0.2">
      <c r="A746" s="1"/>
      <c r="B746" s="2"/>
      <c r="C746" s="1"/>
      <c r="D746" s="1"/>
      <c r="E746" s="48"/>
      <c r="F746" s="48"/>
      <c r="G746" s="2"/>
      <c r="H746" s="48"/>
      <c r="I746" s="2"/>
      <c r="J746" s="2"/>
      <c r="K746" s="2"/>
      <c r="L746" s="2"/>
      <c r="M746" s="2"/>
      <c r="N746" s="2"/>
      <c r="O746" s="95"/>
      <c r="P746" s="95"/>
      <c r="Q746" s="95"/>
      <c r="R746" s="95"/>
      <c r="AE746" s="95"/>
      <c r="AF746" s="95"/>
      <c r="AG746" s="95"/>
      <c r="AH746" s="2"/>
      <c r="AI746" s="2"/>
      <c r="AJ746" s="2"/>
      <c r="AK746" s="2"/>
    </row>
    <row r="747" spans="1:37" ht="15.75" customHeight="1" x14ac:dyDescent="0.2">
      <c r="A747" s="1"/>
      <c r="B747" s="2"/>
      <c r="C747" s="1"/>
      <c r="D747" s="1"/>
      <c r="E747" s="48"/>
      <c r="F747" s="48"/>
      <c r="G747" s="2"/>
      <c r="H747" s="48"/>
      <c r="I747" s="2"/>
      <c r="J747" s="2"/>
      <c r="K747" s="2"/>
      <c r="L747" s="2"/>
      <c r="M747" s="2"/>
      <c r="N747" s="2"/>
      <c r="O747" s="95"/>
      <c r="P747" s="95"/>
      <c r="Q747" s="95"/>
      <c r="R747" s="95"/>
      <c r="AE747" s="95"/>
      <c r="AF747" s="95"/>
      <c r="AG747" s="95"/>
      <c r="AH747" s="2"/>
      <c r="AI747" s="2"/>
      <c r="AJ747" s="2"/>
      <c r="AK747" s="2"/>
    </row>
    <row r="748" spans="1:37" ht="15.75" customHeight="1" x14ac:dyDescent="0.2">
      <c r="A748" s="1"/>
      <c r="B748" s="2"/>
      <c r="C748" s="1"/>
      <c r="D748" s="1"/>
      <c r="E748" s="48"/>
      <c r="F748" s="48"/>
      <c r="G748" s="2"/>
      <c r="H748" s="48"/>
      <c r="I748" s="2"/>
      <c r="J748" s="2"/>
      <c r="K748" s="2"/>
      <c r="L748" s="2"/>
      <c r="M748" s="2"/>
      <c r="N748" s="2"/>
      <c r="O748" s="95"/>
      <c r="P748" s="95"/>
      <c r="Q748" s="95"/>
      <c r="R748" s="95"/>
      <c r="AE748" s="95"/>
      <c r="AF748" s="95"/>
      <c r="AG748" s="95"/>
      <c r="AH748" s="2"/>
      <c r="AI748" s="2"/>
      <c r="AJ748" s="2"/>
      <c r="AK748" s="2"/>
    </row>
    <row r="749" spans="1:37" ht="15.75" customHeight="1" x14ac:dyDescent="0.2">
      <c r="A749" s="1"/>
      <c r="B749" s="2"/>
      <c r="C749" s="1"/>
      <c r="D749" s="1"/>
      <c r="E749" s="48"/>
      <c r="F749" s="48"/>
      <c r="G749" s="2"/>
      <c r="H749" s="48"/>
      <c r="I749" s="2"/>
      <c r="J749" s="2"/>
      <c r="K749" s="2"/>
      <c r="L749" s="2"/>
      <c r="M749" s="2"/>
      <c r="N749" s="2"/>
      <c r="O749" s="95"/>
      <c r="P749" s="95"/>
      <c r="Q749" s="95"/>
      <c r="R749" s="95"/>
      <c r="AE749" s="95"/>
      <c r="AF749" s="95"/>
      <c r="AG749" s="95"/>
      <c r="AH749" s="2"/>
      <c r="AI749" s="2"/>
      <c r="AJ749" s="2"/>
      <c r="AK749" s="2"/>
    </row>
    <row r="750" spans="1:37" ht="15.75" customHeight="1" x14ac:dyDescent="0.2">
      <c r="A750" s="1"/>
      <c r="B750" s="2"/>
      <c r="C750" s="1"/>
      <c r="D750" s="1"/>
      <c r="E750" s="48"/>
      <c r="F750" s="48"/>
      <c r="G750" s="2"/>
      <c r="H750" s="48"/>
      <c r="I750" s="2"/>
      <c r="J750" s="2"/>
      <c r="K750" s="2"/>
      <c r="L750" s="2"/>
      <c r="M750" s="2"/>
      <c r="N750" s="2"/>
      <c r="O750" s="95"/>
      <c r="P750" s="95"/>
      <c r="Q750" s="95"/>
      <c r="R750" s="95"/>
      <c r="AE750" s="95"/>
      <c r="AF750" s="95"/>
      <c r="AG750" s="95"/>
      <c r="AH750" s="2"/>
      <c r="AI750" s="2"/>
      <c r="AJ750" s="2"/>
      <c r="AK750" s="2"/>
    </row>
    <row r="751" spans="1:37" ht="15.75" customHeight="1" x14ac:dyDescent="0.2">
      <c r="A751" s="1"/>
      <c r="B751" s="2"/>
      <c r="C751" s="1"/>
      <c r="D751" s="1"/>
      <c r="E751" s="48"/>
      <c r="F751" s="48"/>
      <c r="G751" s="2"/>
      <c r="H751" s="48"/>
      <c r="I751" s="2"/>
      <c r="J751" s="2"/>
      <c r="K751" s="2"/>
      <c r="L751" s="2"/>
      <c r="M751" s="2"/>
      <c r="N751" s="2"/>
      <c r="O751" s="95"/>
      <c r="P751" s="95"/>
      <c r="Q751" s="95"/>
      <c r="R751" s="95"/>
      <c r="AE751" s="95"/>
      <c r="AF751" s="95"/>
      <c r="AG751" s="95"/>
      <c r="AH751" s="2"/>
      <c r="AI751" s="2"/>
      <c r="AJ751" s="2"/>
      <c r="AK751" s="2"/>
    </row>
    <row r="752" spans="1:37" ht="15.75" customHeight="1" x14ac:dyDescent="0.2">
      <c r="A752" s="1"/>
      <c r="B752" s="2"/>
      <c r="C752" s="1"/>
      <c r="D752" s="1"/>
      <c r="E752" s="48"/>
      <c r="F752" s="48"/>
      <c r="G752" s="2"/>
      <c r="H752" s="48"/>
      <c r="I752" s="2"/>
      <c r="J752" s="2"/>
      <c r="K752" s="2"/>
      <c r="L752" s="2"/>
      <c r="M752" s="2"/>
      <c r="N752" s="2"/>
      <c r="O752" s="95"/>
      <c r="P752" s="95"/>
      <c r="Q752" s="95"/>
      <c r="R752" s="95"/>
      <c r="AE752" s="95"/>
      <c r="AF752" s="95"/>
      <c r="AG752" s="95"/>
      <c r="AH752" s="2"/>
      <c r="AI752" s="2"/>
      <c r="AJ752" s="2"/>
      <c r="AK752" s="2"/>
    </row>
    <row r="753" spans="1:37" ht="15.75" customHeight="1" x14ac:dyDescent="0.2">
      <c r="A753" s="1"/>
      <c r="B753" s="2"/>
      <c r="C753" s="1"/>
      <c r="D753" s="1"/>
      <c r="E753" s="48"/>
      <c r="F753" s="48"/>
      <c r="G753" s="2"/>
      <c r="H753" s="48"/>
      <c r="I753" s="2"/>
      <c r="J753" s="2"/>
      <c r="K753" s="2"/>
      <c r="L753" s="2"/>
      <c r="M753" s="2"/>
      <c r="N753" s="2"/>
      <c r="O753" s="95"/>
      <c r="P753" s="95"/>
      <c r="Q753" s="95"/>
      <c r="R753" s="95"/>
      <c r="AE753" s="95"/>
      <c r="AF753" s="95"/>
      <c r="AG753" s="95"/>
      <c r="AH753" s="2"/>
      <c r="AI753" s="2"/>
      <c r="AJ753" s="2"/>
      <c r="AK753" s="2"/>
    </row>
    <row r="754" spans="1:37" ht="15.75" customHeight="1" x14ac:dyDescent="0.2">
      <c r="A754" s="1"/>
      <c r="B754" s="2"/>
      <c r="C754" s="1"/>
      <c r="D754" s="1"/>
      <c r="E754" s="48"/>
      <c r="F754" s="48"/>
      <c r="G754" s="2"/>
      <c r="H754" s="48"/>
      <c r="I754" s="2"/>
      <c r="J754" s="2"/>
      <c r="K754" s="2"/>
      <c r="L754" s="2"/>
      <c r="M754" s="2"/>
      <c r="N754" s="2"/>
      <c r="O754" s="95"/>
      <c r="P754" s="95"/>
      <c r="Q754" s="95"/>
      <c r="R754" s="95"/>
      <c r="AE754" s="95"/>
      <c r="AF754" s="95"/>
      <c r="AG754" s="95"/>
      <c r="AH754" s="2"/>
      <c r="AI754" s="2"/>
      <c r="AJ754" s="2"/>
      <c r="AK754" s="2"/>
    </row>
    <row r="755" spans="1:37" ht="15.75" customHeight="1" x14ac:dyDescent="0.2">
      <c r="A755" s="1"/>
      <c r="B755" s="2"/>
      <c r="C755" s="1"/>
      <c r="D755" s="1"/>
      <c r="E755" s="48"/>
      <c r="F755" s="48"/>
      <c r="G755" s="2"/>
      <c r="H755" s="48"/>
      <c r="I755" s="2"/>
      <c r="J755" s="2"/>
      <c r="K755" s="2"/>
      <c r="L755" s="2"/>
      <c r="M755" s="2"/>
      <c r="N755" s="2"/>
      <c r="O755" s="95"/>
      <c r="P755" s="95"/>
      <c r="Q755" s="95"/>
      <c r="R755" s="95"/>
      <c r="AE755" s="95"/>
      <c r="AF755" s="95"/>
      <c r="AG755" s="95"/>
      <c r="AH755" s="2"/>
      <c r="AI755" s="2"/>
      <c r="AJ755" s="2"/>
      <c r="AK755" s="2"/>
    </row>
    <row r="756" spans="1:37" ht="15.75" customHeight="1" x14ac:dyDescent="0.2">
      <c r="A756" s="1"/>
      <c r="B756" s="2"/>
      <c r="C756" s="1"/>
      <c r="D756" s="1"/>
      <c r="E756" s="48"/>
      <c r="F756" s="48"/>
      <c r="G756" s="2"/>
      <c r="H756" s="48"/>
      <c r="I756" s="2"/>
      <c r="J756" s="2"/>
      <c r="K756" s="2"/>
      <c r="L756" s="2"/>
      <c r="M756" s="2"/>
      <c r="N756" s="2"/>
      <c r="O756" s="95"/>
      <c r="P756" s="95"/>
      <c r="Q756" s="95"/>
      <c r="R756" s="95"/>
      <c r="AE756" s="95"/>
      <c r="AF756" s="95"/>
      <c r="AG756" s="95"/>
      <c r="AH756" s="2"/>
      <c r="AI756" s="2"/>
      <c r="AJ756" s="2"/>
      <c r="AK756" s="2"/>
    </row>
    <row r="757" spans="1:37" ht="15.75" customHeight="1" x14ac:dyDescent="0.2">
      <c r="A757" s="1"/>
      <c r="B757" s="2"/>
      <c r="C757" s="1"/>
      <c r="D757" s="1"/>
      <c r="E757" s="48"/>
      <c r="F757" s="48"/>
      <c r="G757" s="2"/>
      <c r="H757" s="48"/>
      <c r="I757" s="2"/>
      <c r="J757" s="2"/>
      <c r="K757" s="2"/>
      <c r="L757" s="2"/>
      <c r="M757" s="2"/>
      <c r="N757" s="2"/>
      <c r="O757" s="95"/>
      <c r="P757" s="95"/>
      <c r="Q757" s="95"/>
      <c r="R757" s="95"/>
      <c r="AE757" s="95"/>
      <c r="AF757" s="95"/>
      <c r="AG757" s="95"/>
      <c r="AH757" s="2"/>
      <c r="AI757" s="2"/>
      <c r="AJ757" s="2"/>
      <c r="AK757" s="2"/>
    </row>
    <row r="758" spans="1:37" ht="15.75" customHeight="1" x14ac:dyDescent="0.2">
      <c r="A758" s="1"/>
      <c r="B758" s="2"/>
      <c r="C758" s="1"/>
      <c r="D758" s="1"/>
      <c r="E758" s="48"/>
      <c r="F758" s="48"/>
      <c r="G758" s="2"/>
      <c r="H758" s="48"/>
      <c r="I758" s="2"/>
      <c r="J758" s="2"/>
      <c r="K758" s="2"/>
      <c r="L758" s="2"/>
      <c r="M758" s="2"/>
      <c r="N758" s="2"/>
      <c r="O758" s="95"/>
      <c r="P758" s="95"/>
      <c r="Q758" s="95"/>
      <c r="R758" s="95"/>
      <c r="AE758" s="95"/>
      <c r="AF758" s="95"/>
      <c r="AG758" s="95"/>
      <c r="AH758" s="2"/>
      <c r="AI758" s="2"/>
      <c r="AJ758" s="2"/>
      <c r="AK758" s="2"/>
    </row>
    <row r="759" spans="1:37" ht="15.75" customHeight="1" x14ac:dyDescent="0.2">
      <c r="A759" s="1"/>
      <c r="B759" s="2"/>
      <c r="C759" s="1"/>
      <c r="D759" s="1"/>
      <c r="E759" s="48"/>
      <c r="F759" s="48"/>
      <c r="G759" s="2"/>
      <c r="H759" s="48"/>
      <c r="I759" s="2"/>
      <c r="J759" s="2"/>
      <c r="K759" s="2"/>
      <c r="L759" s="2"/>
      <c r="M759" s="2"/>
      <c r="N759" s="2"/>
      <c r="O759" s="95"/>
      <c r="P759" s="95"/>
      <c r="Q759" s="95"/>
      <c r="R759" s="95"/>
      <c r="AE759" s="95"/>
      <c r="AF759" s="95"/>
      <c r="AG759" s="95"/>
      <c r="AH759" s="2"/>
      <c r="AI759" s="2"/>
      <c r="AJ759" s="2"/>
      <c r="AK759" s="2"/>
    </row>
    <row r="760" spans="1:37" ht="15.75" customHeight="1" x14ac:dyDescent="0.2">
      <c r="A760" s="1"/>
      <c r="B760" s="2"/>
      <c r="C760" s="1"/>
      <c r="D760" s="1"/>
      <c r="E760" s="48"/>
      <c r="F760" s="48"/>
      <c r="G760" s="2"/>
      <c r="H760" s="48"/>
      <c r="I760" s="2"/>
      <c r="J760" s="2"/>
      <c r="K760" s="2"/>
      <c r="L760" s="2"/>
      <c r="M760" s="2"/>
      <c r="N760" s="2"/>
      <c r="O760" s="95"/>
      <c r="P760" s="95"/>
      <c r="Q760" s="95"/>
      <c r="R760" s="95"/>
      <c r="AE760" s="95"/>
      <c r="AF760" s="95"/>
      <c r="AG760" s="95"/>
      <c r="AH760" s="2"/>
      <c r="AI760" s="2"/>
      <c r="AJ760" s="2"/>
      <c r="AK760" s="2"/>
    </row>
    <row r="761" spans="1:37" ht="15.75" customHeight="1" x14ac:dyDescent="0.2">
      <c r="A761" s="1"/>
      <c r="B761" s="2"/>
      <c r="C761" s="1"/>
      <c r="D761" s="1"/>
      <c r="E761" s="48"/>
      <c r="F761" s="48"/>
      <c r="G761" s="2"/>
      <c r="H761" s="48"/>
      <c r="I761" s="2"/>
      <c r="J761" s="2"/>
      <c r="K761" s="2"/>
      <c r="L761" s="2"/>
      <c r="M761" s="2"/>
      <c r="N761" s="2"/>
      <c r="O761" s="95"/>
      <c r="P761" s="95"/>
      <c r="Q761" s="95"/>
      <c r="R761" s="95"/>
      <c r="AE761" s="95"/>
      <c r="AF761" s="95"/>
      <c r="AG761" s="95"/>
      <c r="AH761" s="2"/>
      <c r="AI761" s="2"/>
      <c r="AJ761" s="2"/>
      <c r="AK761" s="2"/>
    </row>
    <row r="762" spans="1:37" ht="15.75" customHeight="1" x14ac:dyDescent="0.2">
      <c r="A762" s="1"/>
      <c r="B762" s="2"/>
      <c r="C762" s="1"/>
      <c r="D762" s="1"/>
      <c r="E762" s="48"/>
      <c r="F762" s="48"/>
      <c r="G762" s="2"/>
      <c r="H762" s="48"/>
      <c r="I762" s="2"/>
      <c r="J762" s="2"/>
      <c r="K762" s="2"/>
      <c r="L762" s="2"/>
      <c r="M762" s="2"/>
      <c r="N762" s="2"/>
      <c r="O762" s="95"/>
      <c r="P762" s="95"/>
      <c r="Q762" s="95"/>
      <c r="R762" s="95"/>
      <c r="AE762" s="95"/>
      <c r="AF762" s="95"/>
      <c r="AG762" s="95"/>
      <c r="AH762" s="2"/>
      <c r="AI762" s="2"/>
      <c r="AJ762" s="2"/>
      <c r="AK762" s="2"/>
    </row>
    <row r="763" spans="1:37" ht="15.75" customHeight="1" x14ac:dyDescent="0.2">
      <c r="A763" s="1"/>
      <c r="B763" s="2"/>
      <c r="C763" s="1"/>
      <c r="D763" s="1"/>
      <c r="E763" s="48"/>
      <c r="F763" s="48"/>
      <c r="G763" s="2"/>
      <c r="H763" s="48"/>
      <c r="I763" s="2"/>
      <c r="J763" s="2"/>
      <c r="K763" s="2"/>
      <c r="L763" s="2"/>
      <c r="M763" s="2"/>
      <c r="N763" s="2"/>
      <c r="O763" s="95"/>
      <c r="P763" s="95"/>
      <c r="Q763" s="95"/>
      <c r="R763" s="95"/>
      <c r="AE763" s="95"/>
      <c r="AF763" s="95"/>
      <c r="AG763" s="95"/>
      <c r="AH763" s="2"/>
      <c r="AI763" s="2"/>
      <c r="AJ763" s="2"/>
      <c r="AK763" s="2"/>
    </row>
    <row r="764" spans="1:37" ht="15.75" customHeight="1" x14ac:dyDescent="0.2">
      <c r="A764" s="1"/>
      <c r="B764" s="2"/>
      <c r="C764" s="1"/>
      <c r="D764" s="1"/>
      <c r="E764" s="48"/>
      <c r="F764" s="48"/>
      <c r="G764" s="2"/>
      <c r="H764" s="48"/>
      <c r="I764" s="2"/>
      <c r="J764" s="2"/>
      <c r="K764" s="2"/>
      <c r="L764" s="2"/>
      <c r="M764" s="2"/>
      <c r="N764" s="2"/>
      <c r="O764" s="95"/>
      <c r="P764" s="95"/>
      <c r="Q764" s="95"/>
      <c r="R764" s="95"/>
      <c r="AE764" s="95"/>
      <c r="AF764" s="95"/>
      <c r="AG764" s="95"/>
      <c r="AH764" s="2"/>
      <c r="AI764" s="2"/>
      <c r="AJ764" s="2"/>
      <c r="AK764" s="2"/>
    </row>
    <row r="765" spans="1:37" ht="15.75" customHeight="1" x14ac:dyDescent="0.2">
      <c r="A765" s="1"/>
      <c r="B765" s="2"/>
      <c r="C765" s="1"/>
      <c r="D765" s="1"/>
      <c r="E765" s="48"/>
      <c r="F765" s="48"/>
      <c r="G765" s="2"/>
      <c r="H765" s="48"/>
      <c r="I765" s="2"/>
      <c r="J765" s="2"/>
      <c r="K765" s="2"/>
      <c r="L765" s="2"/>
      <c r="M765" s="2"/>
      <c r="N765" s="2"/>
      <c r="O765" s="95"/>
      <c r="P765" s="95"/>
      <c r="Q765" s="95"/>
      <c r="R765" s="95"/>
      <c r="AE765" s="95"/>
      <c r="AF765" s="95"/>
      <c r="AG765" s="95"/>
      <c r="AH765" s="2"/>
      <c r="AI765" s="2"/>
      <c r="AJ765" s="2"/>
      <c r="AK765" s="2"/>
    </row>
    <row r="766" spans="1:37" ht="15.75" customHeight="1" x14ac:dyDescent="0.2">
      <c r="A766" s="1"/>
      <c r="B766" s="2"/>
      <c r="C766" s="1"/>
      <c r="D766" s="1"/>
      <c r="E766" s="48"/>
      <c r="F766" s="48"/>
      <c r="G766" s="2"/>
      <c r="H766" s="48"/>
      <c r="I766" s="2"/>
      <c r="J766" s="2"/>
      <c r="K766" s="2"/>
      <c r="L766" s="2"/>
      <c r="M766" s="2"/>
      <c r="N766" s="2"/>
      <c r="O766" s="95"/>
      <c r="P766" s="95"/>
      <c r="Q766" s="95"/>
      <c r="R766" s="95"/>
      <c r="AE766" s="95"/>
      <c r="AF766" s="95"/>
      <c r="AG766" s="95"/>
      <c r="AH766" s="2"/>
      <c r="AI766" s="2"/>
      <c r="AJ766" s="2"/>
      <c r="AK766" s="2"/>
    </row>
    <row r="767" spans="1:37" ht="15.75" customHeight="1" x14ac:dyDescent="0.2">
      <c r="A767" s="1"/>
      <c r="B767" s="2"/>
      <c r="C767" s="1"/>
      <c r="D767" s="1"/>
      <c r="E767" s="48"/>
      <c r="F767" s="48"/>
      <c r="G767" s="2"/>
      <c r="H767" s="48"/>
      <c r="I767" s="2"/>
      <c r="J767" s="2"/>
      <c r="K767" s="2"/>
      <c r="L767" s="2"/>
      <c r="M767" s="2"/>
      <c r="N767" s="2"/>
      <c r="O767" s="95"/>
      <c r="P767" s="95"/>
      <c r="Q767" s="95"/>
      <c r="R767" s="95"/>
      <c r="AE767" s="95"/>
      <c r="AF767" s="95"/>
      <c r="AG767" s="95"/>
      <c r="AH767" s="2"/>
      <c r="AI767" s="2"/>
      <c r="AJ767" s="2"/>
      <c r="AK767" s="2"/>
    </row>
    <row r="768" spans="1:37" ht="15.75" customHeight="1" x14ac:dyDescent="0.2">
      <c r="A768" s="1"/>
      <c r="B768" s="2"/>
      <c r="C768" s="1"/>
      <c r="D768" s="1"/>
      <c r="E768" s="48"/>
      <c r="F768" s="48"/>
      <c r="G768" s="2"/>
      <c r="H768" s="48"/>
      <c r="I768" s="2"/>
      <c r="J768" s="2"/>
      <c r="K768" s="2"/>
      <c r="L768" s="2"/>
      <c r="M768" s="2"/>
      <c r="N768" s="2"/>
      <c r="O768" s="95"/>
      <c r="P768" s="95"/>
      <c r="Q768" s="95"/>
      <c r="R768" s="95"/>
      <c r="AE768" s="95"/>
      <c r="AF768" s="95"/>
      <c r="AG768" s="95"/>
      <c r="AH768" s="2"/>
      <c r="AI768" s="2"/>
      <c r="AJ768" s="2"/>
      <c r="AK768" s="2"/>
    </row>
    <row r="769" spans="1:37" ht="15.75" customHeight="1" x14ac:dyDescent="0.2">
      <c r="A769" s="1"/>
      <c r="B769" s="2"/>
      <c r="C769" s="1"/>
      <c r="D769" s="1"/>
      <c r="E769" s="48"/>
      <c r="F769" s="48"/>
      <c r="G769" s="2"/>
      <c r="H769" s="48"/>
      <c r="I769" s="2"/>
      <c r="J769" s="2"/>
      <c r="K769" s="2"/>
      <c r="L769" s="2"/>
      <c r="M769" s="2"/>
      <c r="N769" s="2"/>
      <c r="O769" s="95"/>
      <c r="P769" s="95"/>
      <c r="Q769" s="95"/>
      <c r="R769" s="95"/>
      <c r="AE769" s="95"/>
      <c r="AF769" s="95"/>
      <c r="AG769" s="95"/>
      <c r="AH769" s="2"/>
      <c r="AI769" s="2"/>
      <c r="AJ769" s="2"/>
      <c r="AK769" s="2"/>
    </row>
    <row r="770" spans="1:37" ht="15.75" customHeight="1" x14ac:dyDescent="0.2">
      <c r="A770" s="1"/>
      <c r="B770" s="2"/>
      <c r="C770" s="1"/>
      <c r="D770" s="1"/>
      <c r="E770" s="48"/>
      <c r="F770" s="48"/>
      <c r="G770" s="2"/>
      <c r="H770" s="48"/>
      <c r="I770" s="2"/>
      <c r="J770" s="2"/>
      <c r="K770" s="2"/>
      <c r="L770" s="2"/>
      <c r="M770" s="2"/>
      <c r="N770" s="2"/>
      <c r="O770" s="95"/>
      <c r="P770" s="95"/>
      <c r="Q770" s="95"/>
      <c r="R770" s="95"/>
      <c r="AE770" s="95"/>
      <c r="AF770" s="95"/>
      <c r="AG770" s="95"/>
      <c r="AH770" s="2"/>
      <c r="AI770" s="2"/>
      <c r="AJ770" s="2"/>
      <c r="AK770" s="2"/>
    </row>
    <row r="771" spans="1:37" ht="15.75" customHeight="1" x14ac:dyDescent="0.2">
      <c r="A771" s="1"/>
      <c r="B771" s="2"/>
      <c r="C771" s="1"/>
      <c r="D771" s="1"/>
      <c r="E771" s="48"/>
      <c r="F771" s="48"/>
      <c r="G771" s="2"/>
      <c r="H771" s="48"/>
      <c r="I771" s="2"/>
      <c r="J771" s="2"/>
      <c r="K771" s="2"/>
      <c r="L771" s="2"/>
      <c r="M771" s="2"/>
      <c r="N771" s="2"/>
      <c r="O771" s="95"/>
      <c r="P771" s="95"/>
      <c r="Q771" s="95"/>
      <c r="R771" s="95"/>
      <c r="AE771" s="95"/>
      <c r="AF771" s="95"/>
      <c r="AG771" s="95"/>
      <c r="AH771" s="2"/>
      <c r="AI771" s="2"/>
      <c r="AJ771" s="2"/>
      <c r="AK771" s="2"/>
    </row>
    <row r="772" spans="1:37" ht="15.75" customHeight="1" x14ac:dyDescent="0.2">
      <c r="A772" s="1"/>
      <c r="B772" s="2"/>
      <c r="C772" s="1"/>
      <c r="D772" s="1"/>
      <c r="E772" s="48"/>
      <c r="F772" s="48"/>
      <c r="G772" s="2"/>
      <c r="H772" s="48"/>
      <c r="I772" s="2"/>
      <c r="J772" s="2"/>
      <c r="K772" s="2"/>
      <c r="L772" s="2"/>
      <c r="M772" s="2"/>
      <c r="N772" s="2"/>
      <c r="O772" s="95"/>
      <c r="P772" s="95"/>
      <c r="Q772" s="95"/>
      <c r="R772" s="95"/>
      <c r="AE772" s="95"/>
      <c r="AF772" s="95"/>
      <c r="AG772" s="95"/>
      <c r="AH772" s="2"/>
      <c r="AI772" s="2"/>
      <c r="AJ772" s="2"/>
      <c r="AK772" s="2"/>
    </row>
    <row r="773" spans="1:37" ht="15.75" customHeight="1" x14ac:dyDescent="0.2">
      <c r="A773" s="1"/>
      <c r="B773" s="2"/>
      <c r="C773" s="1"/>
      <c r="D773" s="1"/>
      <c r="E773" s="48"/>
      <c r="F773" s="48"/>
      <c r="G773" s="2"/>
      <c r="H773" s="48"/>
      <c r="I773" s="2"/>
      <c r="J773" s="2"/>
      <c r="K773" s="2"/>
      <c r="L773" s="2"/>
      <c r="M773" s="2"/>
      <c r="N773" s="2"/>
      <c r="O773" s="95"/>
      <c r="P773" s="95"/>
      <c r="Q773" s="95"/>
      <c r="R773" s="95"/>
      <c r="AE773" s="95"/>
      <c r="AF773" s="95"/>
      <c r="AG773" s="95"/>
      <c r="AH773" s="2"/>
      <c r="AI773" s="2"/>
      <c r="AJ773" s="2"/>
      <c r="AK773" s="2"/>
    </row>
    <row r="774" spans="1:37" ht="15.75" customHeight="1" x14ac:dyDescent="0.2">
      <c r="A774" s="1"/>
      <c r="B774" s="2"/>
      <c r="C774" s="1"/>
      <c r="D774" s="1"/>
      <c r="E774" s="48"/>
      <c r="F774" s="48"/>
      <c r="G774" s="2"/>
      <c r="H774" s="48"/>
      <c r="I774" s="2"/>
      <c r="J774" s="2"/>
      <c r="K774" s="2"/>
      <c r="L774" s="2"/>
      <c r="M774" s="2"/>
      <c r="N774" s="2"/>
      <c r="O774" s="95"/>
      <c r="P774" s="95"/>
      <c r="Q774" s="95"/>
      <c r="R774" s="95"/>
      <c r="AE774" s="95"/>
      <c r="AF774" s="95"/>
      <c r="AG774" s="95"/>
      <c r="AH774" s="2"/>
      <c r="AI774" s="2"/>
      <c r="AJ774" s="2"/>
      <c r="AK774" s="2"/>
    </row>
    <row r="775" spans="1:37" ht="15.75" customHeight="1" x14ac:dyDescent="0.2">
      <c r="A775" s="1"/>
      <c r="B775" s="2"/>
      <c r="C775" s="1"/>
      <c r="D775" s="1"/>
      <c r="E775" s="48"/>
      <c r="F775" s="48"/>
      <c r="G775" s="2"/>
      <c r="H775" s="48"/>
      <c r="I775" s="2"/>
      <c r="J775" s="2"/>
      <c r="K775" s="2"/>
      <c r="L775" s="2"/>
      <c r="M775" s="2"/>
      <c r="N775" s="2"/>
      <c r="O775" s="95"/>
      <c r="P775" s="95"/>
      <c r="Q775" s="95"/>
      <c r="R775" s="95"/>
      <c r="AE775" s="95"/>
      <c r="AF775" s="95"/>
      <c r="AG775" s="95"/>
      <c r="AH775" s="2"/>
      <c r="AI775" s="2"/>
      <c r="AJ775" s="2"/>
      <c r="AK775" s="2"/>
    </row>
    <row r="776" spans="1:37" ht="15.75" customHeight="1" x14ac:dyDescent="0.2">
      <c r="A776" s="1"/>
      <c r="B776" s="2"/>
      <c r="C776" s="1"/>
      <c r="D776" s="1"/>
      <c r="E776" s="48"/>
      <c r="F776" s="48"/>
      <c r="G776" s="2"/>
      <c r="H776" s="48"/>
      <c r="I776" s="2"/>
      <c r="J776" s="2"/>
      <c r="K776" s="2"/>
      <c r="L776" s="2"/>
      <c r="M776" s="2"/>
      <c r="N776" s="2"/>
      <c r="O776" s="95"/>
      <c r="P776" s="95"/>
      <c r="Q776" s="95"/>
      <c r="R776" s="95"/>
      <c r="AE776" s="95"/>
      <c r="AF776" s="95"/>
      <c r="AG776" s="95"/>
      <c r="AH776" s="2"/>
      <c r="AI776" s="2"/>
      <c r="AJ776" s="2"/>
      <c r="AK776" s="2"/>
    </row>
    <row r="777" spans="1:37" ht="15.75" customHeight="1" x14ac:dyDescent="0.2">
      <c r="A777" s="1"/>
      <c r="B777" s="2"/>
      <c r="C777" s="1"/>
      <c r="D777" s="1"/>
      <c r="E777" s="48"/>
      <c r="F777" s="48"/>
      <c r="G777" s="2"/>
      <c r="H777" s="48"/>
      <c r="I777" s="2"/>
      <c r="J777" s="2"/>
      <c r="K777" s="2"/>
      <c r="L777" s="2"/>
      <c r="M777" s="2"/>
      <c r="N777" s="2"/>
      <c r="O777" s="95"/>
      <c r="P777" s="95"/>
      <c r="Q777" s="95"/>
      <c r="R777" s="95"/>
      <c r="AE777" s="95"/>
      <c r="AF777" s="95"/>
      <c r="AG777" s="95"/>
      <c r="AH777" s="2"/>
      <c r="AI777" s="2"/>
      <c r="AJ777" s="2"/>
      <c r="AK777" s="2"/>
    </row>
    <row r="778" spans="1:37" ht="15.75" customHeight="1" x14ac:dyDescent="0.2">
      <c r="A778" s="1"/>
      <c r="B778" s="2"/>
      <c r="C778" s="1"/>
      <c r="D778" s="1"/>
      <c r="E778" s="48"/>
      <c r="F778" s="48"/>
      <c r="G778" s="2"/>
      <c r="H778" s="48"/>
      <c r="I778" s="2"/>
      <c r="J778" s="2"/>
      <c r="K778" s="2"/>
      <c r="L778" s="2"/>
      <c r="M778" s="2"/>
      <c r="N778" s="2"/>
      <c r="O778" s="95"/>
      <c r="P778" s="95"/>
      <c r="Q778" s="95"/>
      <c r="R778" s="95"/>
      <c r="AE778" s="95"/>
      <c r="AF778" s="95"/>
      <c r="AG778" s="95"/>
      <c r="AH778" s="2"/>
      <c r="AI778" s="2"/>
      <c r="AJ778" s="2"/>
      <c r="AK778" s="2"/>
    </row>
    <row r="779" spans="1:37" ht="15.75" customHeight="1" x14ac:dyDescent="0.2">
      <c r="A779" s="1"/>
      <c r="B779" s="2"/>
      <c r="C779" s="1"/>
      <c r="D779" s="1"/>
      <c r="E779" s="48"/>
      <c r="F779" s="48"/>
      <c r="G779" s="2"/>
      <c r="H779" s="48"/>
      <c r="I779" s="2"/>
      <c r="J779" s="2"/>
      <c r="K779" s="2"/>
      <c r="L779" s="2"/>
      <c r="M779" s="2"/>
      <c r="N779" s="2"/>
      <c r="O779" s="95"/>
      <c r="P779" s="95"/>
      <c r="Q779" s="95"/>
      <c r="R779" s="95"/>
      <c r="AE779" s="95"/>
      <c r="AF779" s="95"/>
      <c r="AG779" s="95"/>
      <c r="AH779" s="2"/>
      <c r="AI779" s="2"/>
      <c r="AJ779" s="2"/>
      <c r="AK779" s="2"/>
    </row>
    <row r="780" spans="1:37" ht="15.75" customHeight="1" x14ac:dyDescent="0.2">
      <c r="A780" s="1"/>
      <c r="B780" s="2"/>
      <c r="C780" s="1"/>
      <c r="D780" s="1"/>
      <c r="E780" s="48"/>
      <c r="F780" s="48"/>
      <c r="G780" s="2"/>
      <c r="H780" s="48"/>
      <c r="I780" s="2"/>
      <c r="J780" s="2"/>
      <c r="K780" s="2"/>
      <c r="L780" s="2"/>
      <c r="M780" s="2"/>
      <c r="N780" s="2"/>
      <c r="O780" s="95"/>
      <c r="P780" s="95"/>
      <c r="Q780" s="95"/>
      <c r="R780" s="95"/>
      <c r="AE780" s="95"/>
      <c r="AF780" s="95"/>
      <c r="AG780" s="95"/>
      <c r="AH780" s="2"/>
      <c r="AI780" s="2"/>
      <c r="AJ780" s="2"/>
      <c r="AK780" s="2"/>
    </row>
    <row r="781" spans="1:37" ht="15.75" customHeight="1" x14ac:dyDescent="0.2">
      <c r="A781" s="1"/>
      <c r="B781" s="2"/>
      <c r="C781" s="1"/>
      <c r="D781" s="1"/>
      <c r="E781" s="48"/>
      <c r="F781" s="48"/>
      <c r="G781" s="2"/>
      <c r="H781" s="48"/>
      <c r="I781" s="2"/>
      <c r="J781" s="2"/>
      <c r="K781" s="2"/>
      <c r="L781" s="2"/>
      <c r="M781" s="2"/>
      <c r="N781" s="2"/>
      <c r="O781" s="95"/>
      <c r="P781" s="95"/>
      <c r="Q781" s="95"/>
      <c r="R781" s="95"/>
      <c r="AE781" s="95"/>
      <c r="AF781" s="95"/>
      <c r="AG781" s="95"/>
      <c r="AH781" s="2"/>
      <c r="AI781" s="2"/>
      <c r="AJ781" s="2"/>
      <c r="AK781" s="2"/>
    </row>
    <row r="782" spans="1:37" ht="15.75" customHeight="1" x14ac:dyDescent="0.2">
      <c r="A782" s="1"/>
      <c r="B782" s="2"/>
      <c r="C782" s="1"/>
      <c r="D782" s="1"/>
      <c r="E782" s="48"/>
      <c r="F782" s="48"/>
      <c r="G782" s="2"/>
      <c r="H782" s="48"/>
      <c r="I782" s="2"/>
      <c r="J782" s="2"/>
      <c r="K782" s="2"/>
      <c r="L782" s="2"/>
      <c r="M782" s="2"/>
      <c r="N782" s="2"/>
      <c r="O782" s="95"/>
      <c r="P782" s="95"/>
      <c r="Q782" s="95"/>
      <c r="R782" s="95"/>
      <c r="AE782" s="95"/>
      <c r="AF782" s="95"/>
      <c r="AG782" s="95"/>
      <c r="AH782" s="2"/>
      <c r="AI782" s="2"/>
      <c r="AJ782" s="2"/>
      <c r="AK782" s="2"/>
    </row>
    <row r="783" spans="1:37" ht="15.75" customHeight="1" x14ac:dyDescent="0.2">
      <c r="A783" s="1"/>
      <c r="B783" s="2"/>
      <c r="C783" s="1"/>
      <c r="D783" s="1"/>
      <c r="E783" s="48"/>
      <c r="F783" s="48"/>
      <c r="G783" s="2"/>
      <c r="H783" s="48"/>
      <c r="I783" s="2"/>
      <c r="J783" s="2"/>
      <c r="K783" s="2"/>
      <c r="L783" s="2"/>
      <c r="M783" s="2"/>
      <c r="N783" s="2"/>
      <c r="O783" s="95"/>
      <c r="P783" s="95"/>
      <c r="Q783" s="95"/>
      <c r="R783" s="95"/>
      <c r="AE783" s="95"/>
      <c r="AF783" s="95"/>
      <c r="AG783" s="95"/>
      <c r="AH783" s="2"/>
      <c r="AI783" s="2"/>
      <c r="AJ783" s="2"/>
      <c r="AK783" s="2"/>
    </row>
    <row r="784" spans="1:37" ht="15.75" customHeight="1" x14ac:dyDescent="0.2">
      <c r="A784" s="1"/>
      <c r="B784" s="2"/>
      <c r="C784" s="1"/>
      <c r="D784" s="1"/>
      <c r="E784" s="48"/>
      <c r="F784" s="48"/>
      <c r="G784" s="2"/>
      <c r="H784" s="48"/>
      <c r="I784" s="2"/>
      <c r="J784" s="2"/>
      <c r="K784" s="2"/>
      <c r="L784" s="2"/>
      <c r="M784" s="2"/>
      <c r="N784" s="2"/>
      <c r="O784" s="95"/>
      <c r="P784" s="95"/>
      <c r="Q784" s="95"/>
      <c r="R784" s="95"/>
      <c r="AE784" s="95"/>
      <c r="AF784" s="95"/>
      <c r="AG784" s="95"/>
      <c r="AH784" s="2"/>
      <c r="AI784" s="2"/>
      <c r="AJ784" s="2"/>
      <c r="AK784" s="2"/>
    </row>
    <row r="785" spans="1:37" ht="15.75" customHeight="1" x14ac:dyDescent="0.2">
      <c r="A785" s="1"/>
      <c r="B785" s="2"/>
      <c r="C785" s="1"/>
      <c r="D785" s="1"/>
      <c r="E785" s="48"/>
      <c r="F785" s="48"/>
      <c r="G785" s="2"/>
      <c r="H785" s="48"/>
      <c r="I785" s="2"/>
      <c r="J785" s="2"/>
      <c r="K785" s="2"/>
      <c r="L785" s="2"/>
      <c r="M785" s="2"/>
      <c r="N785" s="2"/>
      <c r="O785" s="95"/>
      <c r="P785" s="95"/>
      <c r="Q785" s="95"/>
      <c r="R785" s="95"/>
      <c r="AE785" s="95"/>
      <c r="AF785" s="95"/>
      <c r="AG785" s="95"/>
      <c r="AH785" s="2"/>
      <c r="AI785" s="2"/>
      <c r="AJ785" s="2"/>
      <c r="AK785" s="2"/>
    </row>
    <row r="786" spans="1:37" ht="15.75" customHeight="1" x14ac:dyDescent="0.2">
      <c r="A786" s="1"/>
      <c r="B786" s="2"/>
      <c r="C786" s="1"/>
      <c r="D786" s="1"/>
      <c r="E786" s="48"/>
      <c r="F786" s="48"/>
      <c r="G786" s="2"/>
      <c r="H786" s="48"/>
      <c r="I786" s="2"/>
      <c r="J786" s="2"/>
      <c r="K786" s="2"/>
      <c r="L786" s="2"/>
      <c r="M786" s="2"/>
      <c r="N786" s="2"/>
      <c r="O786" s="95"/>
      <c r="P786" s="95"/>
      <c r="Q786" s="95"/>
      <c r="R786" s="95"/>
      <c r="AE786" s="95"/>
      <c r="AF786" s="95"/>
      <c r="AG786" s="95"/>
      <c r="AH786" s="2"/>
      <c r="AI786" s="2"/>
      <c r="AJ786" s="2"/>
      <c r="AK786" s="2"/>
    </row>
    <row r="787" spans="1:37" ht="15.75" customHeight="1" x14ac:dyDescent="0.2">
      <c r="A787" s="1"/>
      <c r="B787" s="2"/>
      <c r="C787" s="1"/>
      <c r="D787" s="1"/>
      <c r="E787" s="48"/>
      <c r="F787" s="48"/>
      <c r="G787" s="2"/>
      <c r="H787" s="48"/>
      <c r="I787" s="2"/>
      <c r="J787" s="2"/>
      <c r="K787" s="2"/>
      <c r="L787" s="2"/>
      <c r="M787" s="2"/>
      <c r="N787" s="2"/>
      <c r="O787" s="95"/>
      <c r="P787" s="95"/>
      <c r="Q787" s="95"/>
      <c r="R787" s="95"/>
      <c r="AE787" s="95"/>
      <c r="AF787" s="95"/>
      <c r="AG787" s="95"/>
      <c r="AH787" s="2"/>
      <c r="AI787" s="2"/>
      <c r="AJ787" s="2"/>
      <c r="AK787" s="2"/>
    </row>
    <row r="788" spans="1:37" ht="15.75" customHeight="1" x14ac:dyDescent="0.2">
      <c r="A788" s="1"/>
      <c r="B788" s="2"/>
      <c r="C788" s="1"/>
      <c r="D788" s="1"/>
      <c r="E788" s="48"/>
      <c r="F788" s="48"/>
      <c r="G788" s="2"/>
      <c r="H788" s="48"/>
      <c r="I788" s="2"/>
      <c r="J788" s="2"/>
      <c r="K788" s="2"/>
      <c r="L788" s="2"/>
      <c r="M788" s="2"/>
      <c r="N788" s="2"/>
      <c r="O788" s="95"/>
      <c r="P788" s="95"/>
      <c r="Q788" s="95"/>
      <c r="R788" s="95"/>
      <c r="AE788" s="95"/>
      <c r="AF788" s="95"/>
      <c r="AG788" s="95"/>
      <c r="AH788" s="2"/>
      <c r="AI788" s="2"/>
      <c r="AJ788" s="2"/>
      <c r="AK788" s="2"/>
    </row>
    <row r="789" spans="1:37" ht="15.75" customHeight="1" x14ac:dyDescent="0.2">
      <c r="A789" s="1"/>
      <c r="B789" s="2"/>
      <c r="C789" s="1"/>
      <c r="D789" s="1"/>
      <c r="E789" s="48"/>
      <c r="F789" s="48"/>
      <c r="G789" s="2"/>
      <c r="H789" s="48"/>
      <c r="I789" s="2"/>
      <c r="J789" s="2"/>
      <c r="K789" s="2"/>
      <c r="L789" s="2"/>
      <c r="M789" s="2"/>
      <c r="N789" s="2"/>
      <c r="O789" s="95"/>
      <c r="P789" s="95"/>
      <c r="Q789" s="95"/>
      <c r="R789" s="95"/>
      <c r="AE789" s="95"/>
      <c r="AF789" s="95"/>
      <c r="AG789" s="95"/>
      <c r="AH789" s="2"/>
      <c r="AI789" s="2"/>
      <c r="AJ789" s="2"/>
      <c r="AK789" s="2"/>
    </row>
    <row r="790" spans="1:37" ht="15.75" customHeight="1" x14ac:dyDescent="0.2">
      <c r="A790" s="1"/>
      <c r="B790" s="2"/>
      <c r="C790" s="1"/>
      <c r="D790" s="1"/>
      <c r="E790" s="48"/>
      <c r="F790" s="48"/>
      <c r="G790" s="2"/>
      <c r="H790" s="48"/>
      <c r="I790" s="2"/>
      <c r="J790" s="2"/>
      <c r="K790" s="2"/>
      <c r="L790" s="2"/>
      <c r="M790" s="2"/>
      <c r="N790" s="2"/>
      <c r="O790" s="95"/>
      <c r="P790" s="95"/>
      <c r="Q790" s="95"/>
      <c r="R790" s="95"/>
      <c r="AE790" s="95"/>
      <c r="AF790" s="95"/>
      <c r="AG790" s="95"/>
      <c r="AH790" s="2"/>
      <c r="AI790" s="2"/>
      <c r="AJ790" s="2"/>
      <c r="AK790" s="2"/>
    </row>
    <row r="791" spans="1:37" ht="15.75" customHeight="1" x14ac:dyDescent="0.2">
      <c r="A791" s="1"/>
      <c r="B791" s="2"/>
      <c r="C791" s="1"/>
      <c r="D791" s="1"/>
      <c r="E791" s="48"/>
      <c r="F791" s="48"/>
      <c r="G791" s="2"/>
      <c r="H791" s="48"/>
      <c r="I791" s="2"/>
      <c r="J791" s="2"/>
      <c r="K791" s="2"/>
      <c r="L791" s="2"/>
      <c r="M791" s="2"/>
      <c r="N791" s="2"/>
      <c r="O791" s="95"/>
      <c r="P791" s="95"/>
      <c r="Q791" s="95"/>
      <c r="R791" s="95"/>
      <c r="AE791" s="95"/>
      <c r="AF791" s="95"/>
      <c r="AG791" s="95"/>
      <c r="AH791" s="2"/>
      <c r="AI791" s="2"/>
      <c r="AJ791" s="2"/>
      <c r="AK791" s="2"/>
    </row>
    <row r="792" spans="1:37" ht="15.75" customHeight="1" x14ac:dyDescent="0.2">
      <c r="A792" s="1"/>
      <c r="B792" s="2"/>
      <c r="C792" s="1"/>
      <c r="D792" s="1"/>
      <c r="E792" s="48"/>
      <c r="F792" s="48"/>
      <c r="G792" s="2"/>
      <c r="H792" s="48"/>
      <c r="I792" s="2"/>
      <c r="J792" s="2"/>
      <c r="K792" s="2"/>
      <c r="L792" s="2"/>
      <c r="M792" s="2"/>
      <c r="N792" s="2"/>
      <c r="O792" s="95"/>
      <c r="P792" s="95"/>
      <c r="Q792" s="95"/>
      <c r="R792" s="95"/>
      <c r="AE792" s="95"/>
      <c r="AF792" s="95"/>
      <c r="AG792" s="95"/>
      <c r="AH792" s="2"/>
      <c r="AI792" s="2"/>
      <c r="AJ792" s="2"/>
      <c r="AK792" s="2"/>
    </row>
    <row r="793" spans="1:37" ht="15.75" customHeight="1" x14ac:dyDescent="0.2">
      <c r="A793" s="1"/>
      <c r="B793" s="2"/>
      <c r="C793" s="1"/>
      <c r="D793" s="1"/>
      <c r="E793" s="48"/>
      <c r="F793" s="48"/>
      <c r="G793" s="2"/>
      <c r="H793" s="48"/>
      <c r="I793" s="2"/>
      <c r="J793" s="2"/>
      <c r="K793" s="2"/>
      <c r="L793" s="2"/>
      <c r="M793" s="2"/>
      <c r="N793" s="2"/>
      <c r="O793" s="95"/>
      <c r="P793" s="95"/>
      <c r="Q793" s="95"/>
      <c r="R793" s="95"/>
      <c r="AE793" s="95"/>
      <c r="AF793" s="95"/>
      <c r="AG793" s="95"/>
      <c r="AH793" s="2"/>
      <c r="AI793" s="2"/>
      <c r="AJ793" s="2"/>
      <c r="AK793" s="2"/>
    </row>
    <row r="794" spans="1:37" ht="15.75" customHeight="1" x14ac:dyDescent="0.2">
      <c r="A794" s="1"/>
      <c r="B794" s="2"/>
      <c r="C794" s="1"/>
      <c r="D794" s="1"/>
      <c r="E794" s="48"/>
      <c r="F794" s="48"/>
      <c r="G794" s="2"/>
      <c r="H794" s="48"/>
      <c r="I794" s="2"/>
      <c r="J794" s="2"/>
      <c r="K794" s="2"/>
      <c r="L794" s="2"/>
      <c r="M794" s="2"/>
      <c r="N794" s="2"/>
      <c r="O794" s="95"/>
      <c r="P794" s="95"/>
      <c r="Q794" s="95"/>
      <c r="R794" s="95"/>
      <c r="AE794" s="95"/>
      <c r="AF794" s="95"/>
      <c r="AG794" s="95"/>
      <c r="AH794" s="2"/>
      <c r="AI794" s="2"/>
      <c r="AJ794" s="2"/>
      <c r="AK794" s="2"/>
    </row>
    <row r="795" spans="1:37" ht="15.75" customHeight="1" x14ac:dyDescent="0.2">
      <c r="A795" s="1"/>
      <c r="B795" s="2"/>
      <c r="C795" s="1"/>
      <c r="D795" s="1"/>
      <c r="E795" s="48"/>
      <c r="F795" s="48"/>
      <c r="G795" s="2"/>
      <c r="H795" s="48"/>
      <c r="I795" s="2"/>
      <c r="J795" s="2"/>
      <c r="K795" s="2"/>
      <c r="L795" s="2"/>
      <c r="M795" s="2"/>
      <c r="N795" s="2"/>
      <c r="O795" s="95"/>
      <c r="P795" s="95"/>
      <c r="Q795" s="95"/>
      <c r="R795" s="95"/>
      <c r="AE795" s="95"/>
      <c r="AF795" s="95"/>
      <c r="AG795" s="95"/>
      <c r="AH795" s="2"/>
      <c r="AI795" s="2"/>
      <c r="AJ795" s="2"/>
      <c r="AK795" s="2"/>
    </row>
    <row r="796" spans="1:37" ht="15.75" customHeight="1" x14ac:dyDescent="0.2">
      <c r="A796" s="1"/>
      <c r="B796" s="2"/>
      <c r="C796" s="1"/>
      <c r="D796" s="1"/>
      <c r="E796" s="48"/>
      <c r="F796" s="48"/>
      <c r="G796" s="2"/>
      <c r="H796" s="48"/>
      <c r="I796" s="2"/>
      <c r="J796" s="2"/>
      <c r="K796" s="2"/>
      <c r="L796" s="2"/>
      <c r="M796" s="2"/>
      <c r="N796" s="2"/>
      <c r="O796" s="95"/>
      <c r="P796" s="95"/>
      <c r="Q796" s="95"/>
      <c r="R796" s="95"/>
      <c r="AE796" s="95"/>
      <c r="AF796" s="95"/>
      <c r="AG796" s="95"/>
      <c r="AH796" s="2"/>
      <c r="AI796" s="2"/>
      <c r="AJ796" s="2"/>
      <c r="AK796" s="2"/>
    </row>
    <row r="797" spans="1:37" ht="15.75" customHeight="1" x14ac:dyDescent="0.2">
      <c r="A797" s="1"/>
      <c r="B797" s="2"/>
      <c r="C797" s="1"/>
      <c r="D797" s="1"/>
      <c r="E797" s="48"/>
      <c r="F797" s="48"/>
      <c r="G797" s="2"/>
      <c r="H797" s="48"/>
      <c r="I797" s="2"/>
      <c r="J797" s="2"/>
      <c r="K797" s="2"/>
      <c r="L797" s="2"/>
      <c r="M797" s="2"/>
      <c r="N797" s="2"/>
      <c r="O797" s="95"/>
      <c r="P797" s="95"/>
      <c r="Q797" s="95"/>
      <c r="R797" s="95"/>
      <c r="AE797" s="95"/>
      <c r="AF797" s="95"/>
      <c r="AG797" s="95"/>
      <c r="AH797" s="2"/>
      <c r="AI797" s="2"/>
      <c r="AJ797" s="2"/>
      <c r="AK797" s="2"/>
    </row>
    <row r="798" spans="1:37" ht="15.75" customHeight="1" x14ac:dyDescent="0.2">
      <c r="A798" s="1"/>
      <c r="B798" s="2"/>
      <c r="C798" s="1"/>
      <c r="D798" s="1"/>
      <c r="E798" s="48"/>
      <c r="F798" s="48"/>
      <c r="G798" s="2"/>
      <c r="H798" s="48"/>
      <c r="I798" s="2"/>
      <c r="J798" s="2"/>
      <c r="K798" s="2"/>
      <c r="L798" s="2"/>
      <c r="M798" s="2"/>
      <c r="N798" s="2"/>
      <c r="O798" s="95"/>
      <c r="P798" s="95"/>
      <c r="Q798" s="95"/>
      <c r="R798" s="95"/>
      <c r="AE798" s="95"/>
      <c r="AF798" s="95"/>
      <c r="AG798" s="95"/>
      <c r="AH798" s="2"/>
      <c r="AI798" s="2"/>
      <c r="AJ798" s="2"/>
      <c r="AK798" s="2"/>
    </row>
    <row r="799" spans="1:37" ht="15.75" customHeight="1" x14ac:dyDescent="0.2">
      <c r="A799" s="1"/>
      <c r="B799" s="2"/>
      <c r="C799" s="1"/>
      <c r="D799" s="1"/>
      <c r="E799" s="48"/>
      <c r="F799" s="48"/>
      <c r="G799" s="2"/>
      <c r="H799" s="48"/>
      <c r="I799" s="2"/>
      <c r="J799" s="2"/>
      <c r="K799" s="2"/>
      <c r="L799" s="2"/>
      <c r="M799" s="2"/>
      <c r="N799" s="2"/>
      <c r="O799" s="95"/>
      <c r="P799" s="95"/>
      <c r="Q799" s="95"/>
      <c r="R799" s="95"/>
      <c r="AE799" s="95"/>
      <c r="AF799" s="95"/>
      <c r="AG799" s="95"/>
      <c r="AH799" s="2"/>
      <c r="AI799" s="2"/>
      <c r="AJ799" s="2"/>
      <c r="AK799" s="2"/>
    </row>
    <row r="800" spans="1:37" ht="15.75" customHeight="1" x14ac:dyDescent="0.2">
      <c r="A800" s="1"/>
      <c r="B800" s="2"/>
      <c r="C800" s="1"/>
      <c r="D800" s="1"/>
      <c r="E800" s="48"/>
      <c r="F800" s="48"/>
      <c r="G800" s="2"/>
      <c r="H800" s="48"/>
      <c r="I800" s="2"/>
      <c r="J800" s="2"/>
      <c r="K800" s="2"/>
      <c r="L800" s="2"/>
      <c r="M800" s="2"/>
      <c r="N800" s="2"/>
      <c r="O800" s="95"/>
      <c r="P800" s="95"/>
      <c r="Q800" s="95"/>
      <c r="R800" s="95"/>
      <c r="AE800" s="95"/>
      <c r="AF800" s="95"/>
      <c r="AG800" s="95"/>
      <c r="AH800" s="2"/>
      <c r="AI800" s="2"/>
      <c r="AJ800" s="2"/>
      <c r="AK800" s="2"/>
    </row>
    <row r="801" spans="1:37" ht="15.75" customHeight="1" x14ac:dyDescent="0.2">
      <c r="A801" s="1"/>
      <c r="B801" s="2"/>
      <c r="C801" s="1"/>
      <c r="D801" s="1"/>
      <c r="E801" s="48"/>
      <c r="F801" s="48"/>
      <c r="G801" s="2"/>
      <c r="H801" s="48"/>
      <c r="I801" s="2"/>
      <c r="J801" s="2"/>
      <c r="K801" s="2"/>
      <c r="L801" s="2"/>
      <c r="M801" s="2"/>
      <c r="N801" s="2"/>
      <c r="O801" s="95"/>
      <c r="P801" s="95"/>
      <c r="Q801" s="95"/>
      <c r="R801" s="95"/>
      <c r="AE801" s="95"/>
      <c r="AF801" s="95"/>
      <c r="AG801" s="95"/>
      <c r="AH801" s="2"/>
      <c r="AI801" s="2"/>
      <c r="AJ801" s="2"/>
      <c r="AK801" s="2"/>
    </row>
    <row r="802" spans="1:37" ht="15.75" customHeight="1" x14ac:dyDescent="0.2">
      <c r="A802" s="1"/>
      <c r="B802" s="2"/>
      <c r="C802" s="1"/>
      <c r="D802" s="1"/>
      <c r="E802" s="48"/>
      <c r="F802" s="48"/>
      <c r="G802" s="2"/>
      <c r="H802" s="48"/>
      <c r="I802" s="2"/>
      <c r="J802" s="2"/>
      <c r="K802" s="2"/>
      <c r="L802" s="2"/>
      <c r="M802" s="2"/>
      <c r="N802" s="2"/>
      <c r="O802" s="95"/>
      <c r="P802" s="95"/>
      <c r="Q802" s="95"/>
      <c r="R802" s="95"/>
      <c r="AE802" s="95"/>
      <c r="AF802" s="95"/>
      <c r="AG802" s="95"/>
      <c r="AH802" s="2"/>
      <c r="AI802" s="2"/>
      <c r="AJ802" s="2"/>
      <c r="AK802" s="2"/>
    </row>
    <row r="803" spans="1:37" ht="15.75" customHeight="1" x14ac:dyDescent="0.2">
      <c r="A803" s="1"/>
      <c r="B803" s="2"/>
      <c r="C803" s="1"/>
      <c r="D803" s="1"/>
      <c r="E803" s="48"/>
      <c r="F803" s="48"/>
      <c r="G803" s="2"/>
      <c r="H803" s="48"/>
      <c r="I803" s="2"/>
      <c r="J803" s="2"/>
      <c r="K803" s="2"/>
      <c r="L803" s="2"/>
      <c r="M803" s="2"/>
      <c r="N803" s="2"/>
      <c r="O803" s="95"/>
      <c r="P803" s="95"/>
      <c r="Q803" s="95"/>
      <c r="R803" s="95"/>
      <c r="AE803" s="95"/>
      <c r="AF803" s="95"/>
      <c r="AG803" s="95"/>
      <c r="AH803" s="2"/>
      <c r="AI803" s="2"/>
      <c r="AJ803" s="2"/>
      <c r="AK803" s="2"/>
    </row>
    <row r="804" spans="1:37" ht="15.75" customHeight="1" x14ac:dyDescent="0.2">
      <c r="A804" s="1"/>
      <c r="B804" s="2"/>
      <c r="C804" s="1"/>
      <c r="D804" s="1"/>
      <c r="E804" s="48"/>
      <c r="F804" s="48"/>
      <c r="G804" s="2"/>
      <c r="H804" s="48"/>
      <c r="I804" s="2"/>
      <c r="J804" s="2"/>
      <c r="K804" s="2"/>
      <c r="L804" s="2"/>
      <c r="M804" s="2"/>
      <c r="N804" s="2"/>
      <c r="O804" s="95"/>
      <c r="P804" s="95"/>
      <c r="Q804" s="95"/>
      <c r="R804" s="95"/>
      <c r="AE804" s="95"/>
      <c r="AF804" s="95"/>
      <c r="AG804" s="95"/>
      <c r="AH804" s="2"/>
      <c r="AI804" s="2"/>
      <c r="AJ804" s="2"/>
      <c r="AK804" s="2"/>
    </row>
    <row r="805" spans="1:37" ht="15.75" customHeight="1" x14ac:dyDescent="0.2">
      <c r="A805" s="1"/>
      <c r="B805" s="2"/>
      <c r="C805" s="1"/>
      <c r="D805" s="1"/>
      <c r="E805" s="48"/>
      <c r="F805" s="48"/>
      <c r="G805" s="2"/>
      <c r="H805" s="48"/>
      <c r="I805" s="2"/>
      <c r="J805" s="2"/>
      <c r="K805" s="2"/>
      <c r="L805" s="2"/>
      <c r="M805" s="2"/>
      <c r="N805" s="2"/>
      <c r="O805" s="95"/>
      <c r="P805" s="95"/>
      <c r="Q805" s="95"/>
      <c r="R805" s="95"/>
      <c r="AE805" s="95"/>
      <c r="AF805" s="95"/>
      <c r="AG805" s="95"/>
      <c r="AH805" s="2"/>
      <c r="AI805" s="2"/>
      <c r="AJ805" s="2"/>
      <c r="AK805" s="2"/>
    </row>
    <row r="806" spans="1:37" ht="15.75" customHeight="1" x14ac:dyDescent="0.2">
      <c r="A806" s="1"/>
      <c r="B806" s="2"/>
      <c r="C806" s="1"/>
      <c r="D806" s="1"/>
      <c r="E806" s="48"/>
      <c r="F806" s="48"/>
      <c r="G806" s="2"/>
      <c r="H806" s="48"/>
      <c r="I806" s="2"/>
      <c r="J806" s="2"/>
      <c r="K806" s="2"/>
      <c r="L806" s="2"/>
      <c r="M806" s="2"/>
      <c r="N806" s="2"/>
      <c r="O806" s="95"/>
      <c r="P806" s="95"/>
      <c r="Q806" s="95"/>
      <c r="R806" s="95"/>
      <c r="AE806" s="95"/>
      <c r="AF806" s="95"/>
      <c r="AG806" s="95"/>
      <c r="AH806" s="2"/>
      <c r="AI806" s="2"/>
      <c r="AJ806" s="2"/>
      <c r="AK806" s="2"/>
    </row>
    <row r="807" spans="1:37" ht="15.75" customHeight="1" x14ac:dyDescent="0.2">
      <c r="A807" s="1"/>
      <c r="B807" s="2"/>
      <c r="C807" s="1"/>
      <c r="D807" s="1"/>
      <c r="E807" s="48"/>
      <c r="F807" s="48"/>
      <c r="G807" s="2"/>
      <c r="H807" s="48"/>
      <c r="I807" s="2"/>
      <c r="J807" s="2"/>
      <c r="K807" s="2"/>
      <c r="L807" s="2"/>
      <c r="M807" s="2"/>
      <c r="N807" s="2"/>
      <c r="O807" s="95"/>
      <c r="P807" s="95"/>
      <c r="Q807" s="95"/>
      <c r="R807" s="95"/>
      <c r="AE807" s="95"/>
      <c r="AF807" s="95"/>
      <c r="AG807" s="95"/>
      <c r="AH807" s="2"/>
      <c r="AI807" s="2"/>
      <c r="AJ807" s="2"/>
      <c r="AK807" s="2"/>
    </row>
    <row r="808" spans="1:37" ht="15.75" customHeight="1" x14ac:dyDescent="0.2">
      <c r="A808" s="1"/>
      <c r="B808" s="2"/>
      <c r="C808" s="1"/>
      <c r="D808" s="1"/>
      <c r="E808" s="48"/>
      <c r="F808" s="48"/>
      <c r="G808" s="2"/>
      <c r="H808" s="48"/>
      <c r="I808" s="2"/>
      <c r="J808" s="2"/>
      <c r="K808" s="2"/>
      <c r="L808" s="2"/>
      <c r="M808" s="2"/>
      <c r="N808" s="2"/>
      <c r="O808" s="95"/>
      <c r="P808" s="95"/>
      <c r="Q808" s="95"/>
      <c r="R808" s="95"/>
      <c r="AE808" s="95"/>
      <c r="AF808" s="95"/>
      <c r="AG808" s="95"/>
      <c r="AH808" s="2"/>
      <c r="AI808" s="2"/>
      <c r="AJ808" s="2"/>
      <c r="AK808" s="2"/>
    </row>
    <row r="809" spans="1:37" ht="15.75" customHeight="1" x14ac:dyDescent="0.2">
      <c r="A809" s="1"/>
      <c r="B809" s="2"/>
      <c r="C809" s="1"/>
      <c r="D809" s="1"/>
      <c r="E809" s="48"/>
      <c r="F809" s="48"/>
      <c r="G809" s="2"/>
      <c r="H809" s="48"/>
      <c r="I809" s="2"/>
      <c r="J809" s="2"/>
      <c r="K809" s="2"/>
      <c r="L809" s="2"/>
      <c r="M809" s="2"/>
      <c r="N809" s="2"/>
      <c r="O809" s="95"/>
      <c r="P809" s="95"/>
      <c r="Q809" s="95"/>
      <c r="R809" s="95"/>
      <c r="AE809" s="95"/>
      <c r="AF809" s="95"/>
      <c r="AG809" s="95"/>
      <c r="AH809" s="2"/>
      <c r="AI809" s="2"/>
      <c r="AJ809" s="2"/>
      <c r="AK809" s="2"/>
    </row>
    <row r="810" spans="1:37" ht="15.75" customHeight="1" x14ac:dyDescent="0.2">
      <c r="A810" s="1"/>
      <c r="B810" s="2"/>
      <c r="C810" s="1"/>
      <c r="D810" s="1"/>
      <c r="E810" s="48"/>
      <c r="F810" s="48"/>
      <c r="G810" s="2"/>
      <c r="H810" s="48"/>
      <c r="I810" s="2"/>
      <c r="J810" s="2"/>
      <c r="K810" s="2"/>
      <c r="L810" s="2"/>
      <c r="M810" s="2"/>
      <c r="N810" s="2"/>
      <c r="O810" s="95"/>
      <c r="P810" s="95"/>
      <c r="Q810" s="95"/>
      <c r="R810" s="95"/>
      <c r="AE810" s="95"/>
      <c r="AF810" s="95"/>
      <c r="AG810" s="95"/>
      <c r="AH810" s="2"/>
      <c r="AI810" s="2"/>
      <c r="AJ810" s="2"/>
      <c r="AK810" s="2"/>
    </row>
    <row r="811" spans="1:37" ht="15.75" customHeight="1" x14ac:dyDescent="0.2">
      <c r="A811" s="1"/>
      <c r="B811" s="2"/>
      <c r="C811" s="1"/>
      <c r="D811" s="1"/>
      <c r="E811" s="48"/>
      <c r="F811" s="48"/>
      <c r="G811" s="2"/>
      <c r="H811" s="48"/>
      <c r="I811" s="2"/>
      <c r="J811" s="2"/>
      <c r="K811" s="2"/>
      <c r="L811" s="2"/>
      <c r="M811" s="2"/>
      <c r="N811" s="2"/>
      <c r="O811" s="95"/>
      <c r="P811" s="95"/>
      <c r="Q811" s="95"/>
      <c r="R811" s="95"/>
      <c r="AE811" s="95"/>
      <c r="AF811" s="95"/>
      <c r="AG811" s="95"/>
      <c r="AH811" s="2"/>
      <c r="AI811" s="2"/>
      <c r="AJ811" s="2"/>
      <c r="AK811" s="2"/>
    </row>
    <row r="812" spans="1:37" ht="15.75" customHeight="1" x14ac:dyDescent="0.2">
      <c r="A812" s="1"/>
      <c r="B812" s="2"/>
      <c r="C812" s="1"/>
      <c r="D812" s="1"/>
      <c r="E812" s="48"/>
      <c r="F812" s="48"/>
      <c r="G812" s="2"/>
      <c r="H812" s="48"/>
      <c r="I812" s="2"/>
      <c r="J812" s="2"/>
      <c r="K812" s="2"/>
      <c r="L812" s="2"/>
      <c r="M812" s="2"/>
      <c r="N812" s="2"/>
      <c r="O812" s="95"/>
      <c r="P812" s="95"/>
      <c r="Q812" s="95"/>
      <c r="R812" s="95"/>
      <c r="AE812" s="95"/>
      <c r="AF812" s="95"/>
      <c r="AG812" s="95"/>
      <c r="AH812" s="2"/>
      <c r="AI812" s="2"/>
      <c r="AJ812" s="2"/>
      <c r="AK812" s="2"/>
    </row>
    <row r="813" spans="1:37" ht="15.75" customHeight="1" x14ac:dyDescent="0.2">
      <c r="A813" s="1"/>
      <c r="B813" s="2"/>
      <c r="C813" s="1"/>
      <c r="D813" s="1"/>
      <c r="E813" s="48"/>
      <c r="F813" s="48"/>
      <c r="G813" s="2"/>
      <c r="H813" s="48"/>
      <c r="I813" s="2"/>
      <c r="J813" s="2"/>
      <c r="K813" s="2"/>
      <c r="L813" s="2"/>
      <c r="M813" s="2"/>
      <c r="N813" s="2"/>
      <c r="O813" s="95"/>
      <c r="P813" s="95"/>
      <c r="Q813" s="95"/>
      <c r="R813" s="95"/>
      <c r="AE813" s="95"/>
      <c r="AF813" s="95"/>
      <c r="AG813" s="95"/>
      <c r="AH813" s="2"/>
      <c r="AI813" s="2"/>
      <c r="AJ813" s="2"/>
      <c r="AK813" s="2"/>
    </row>
    <row r="814" spans="1:37" ht="15.75" customHeight="1" x14ac:dyDescent="0.2">
      <c r="A814" s="1"/>
      <c r="B814" s="2"/>
      <c r="C814" s="1"/>
      <c r="D814" s="1"/>
      <c r="E814" s="48"/>
      <c r="F814" s="48"/>
      <c r="G814" s="2"/>
      <c r="H814" s="48"/>
      <c r="I814" s="2"/>
      <c r="J814" s="2"/>
      <c r="K814" s="2"/>
      <c r="L814" s="2"/>
      <c r="M814" s="2"/>
      <c r="N814" s="2"/>
      <c r="O814" s="95"/>
      <c r="P814" s="95"/>
      <c r="Q814" s="95"/>
      <c r="R814" s="95"/>
      <c r="AE814" s="95"/>
      <c r="AF814" s="95"/>
      <c r="AG814" s="95"/>
      <c r="AH814" s="2"/>
      <c r="AI814" s="2"/>
      <c r="AJ814" s="2"/>
      <c r="AK814" s="2"/>
    </row>
    <row r="815" spans="1:37" ht="15.75" customHeight="1" x14ac:dyDescent="0.2">
      <c r="A815" s="1"/>
      <c r="B815" s="2"/>
      <c r="C815" s="1"/>
      <c r="D815" s="1"/>
      <c r="E815" s="48"/>
      <c r="F815" s="48"/>
      <c r="G815" s="2"/>
      <c r="H815" s="48"/>
      <c r="I815" s="2"/>
      <c r="J815" s="2"/>
      <c r="K815" s="2"/>
      <c r="L815" s="2"/>
      <c r="M815" s="2"/>
      <c r="N815" s="2"/>
      <c r="O815" s="95"/>
      <c r="P815" s="95"/>
      <c r="Q815" s="95"/>
      <c r="R815" s="95"/>
      <c r="AE815" s="95"/>
      <c r="AF815" s="95"/>
      <c r="AG815" s="95"/>
      <c r="AH815" s="2"/>
      <c r="AI815" s="2"/>
      <c r="AJ815" s="2"/>
      <c r="AK815" s="2"/>
    </row>
    <row r="816" spans="1:37" ht="15.75" customHeight="1" x14ac:dyDescent="0.2">
      <c r="A816" s="1"/>
      <c r="B816" s="2"/>
      <c r="C816" s="1"/>
      <c r="D816" s="1"/>
      <c r="E816" s="48"/>
      <c r="F816" s="48"/>
      <c r="G816" s="2"/>
      <c r="H816" s="48"/>
      <c r="I816" s="2"/>
      <c r="J816" s="2"/>
      <c r="K816" s="2"/>
      <c r="L816" s="2"/>
      <c r="M816" s="2"/>
      <c r="N816" s="2"/>
      <c r="O816" s="95"/>
      <c r="P816" s="95"/>
      <c r="Q816" s="95"/>
      <c r="R816" s="95"/>
      <c r="AE816" s="95"/>
      <c r="AF816" s="95"/>
      <c r="AG816" s="95"/>
      <c r="AH816" s="2"/>
      <c r="AI816" s="2"/>
      <c r="AJ816" s="2"/>
      <c r="AK816" s="2"/>
    </row>
    <row r="817" spans="1:37" ht="15.75" customHeight="1" x14ac:dyDescent="0.2">
      <c r="A817" s="1"/>
      <c r="B817" s="2"/>
      <c r="C817" s="1"/>
      <c r="D817" s="1"/>
      <c r="E817" s="48"/>
      <c r="F817" s="48"/>
      <c r="G817" s="2"/>
      <c r="H817" s="48"/>
      <c r="I817" s="2"/>
      <c r="J817" s="2"/>
      <c r="K817" s="2"/>
      <c r="L817" s="2"/>
      <c r="M817" s="2"/>
      <c r="N817" s="2"/>
      <c r="O817" s="95"/>
      <c r="P817" s="95"/>
      <c r="Q817" s="95"/>
      <c r="R817" s="95"/>
      <c r="AE817" s="95"/>
      <c r="AF817" s="95"/>
      <c r="AG817" s="95"/>
      <c r="AH817" s="2"/>
      <c r="AI817" s="2"/>
      <c r="AJ817" s="2"/>
      <c r="AK817" s="2"/>
    </row>
    <row r="818" spans="1:37" ht="15.75" customHeight="1" x14ac:dyDescent="0.2">
      <c r="A818" s="1"/>
      <c r="B818" s="2"/>
      <c r="C818" s="1"/>
      <c r="D818" s="1"/>
      <c r="E818" s="48"/>
      <c r="F818" s="48"/>
      <c r="G818" s="2"/>
      <c r="H818" s="48"/>
      <c r="I818" s="2"/>
      <c r="J818" s="2"/>
      <c r="K818" s="2"/>
      <c r="L818" s="2"/>
      <c r="M818" s="2"/>
      <c r="N818" s="2"/>
      <c r="O818" s="95"/>
      <c r="P818" s="95"/>
      <c r="Q818" s="95"/>
      <c r="R818" s="95"/>
      <c r="AE818" s="95"/>
      <c r="AF818" s="95"/>
      <c r="AG818" s="95"/>
      <c r="AH818" s="2"/>
      <c r="AI818" s="2"/>
      <c r="AJ818" s="2"/>
      <c r="AK818" s="2"/>
    </row>
    <row r="819" spans="1:37" ht="15.75" customHeight="1" x14ac:dyDescent="0.2">
      <c r="A819" s="1"/>
      <c r="B819" s="2"/>
      <c r="C819" s="1"/>
      <c r="D819" s="1"/>
      <c r="E819" s="48"/>
      <c r="F819" s="48"/>
      <c r="G819" s="2"/>
      <c r="H819" s="48"/>
      <c r="I819" s="2"/>
      <c r="J819" s="2"/>
      <c r="K819" s="2"/>
      <c r="L819" s="2"/>
      <c r="M819" s="2"/>
      <c r="N819" s="2"/>
      <c r="O819" s="95"/>
      <c r="P819" s="95"/>
      <c r="Q819" s="95"/>
      <c r="R819" s="95"/>
      <c r="AE819" s="95"/>
      <c r="AF819" s="95"/>
      <c r="AG819" s="95"/>
      <c r="AH819" s="2"/>
      <c r="AI819" s="2"/>
      <c r="AJ819" s="2"/>
      <c r="AK819" s="2"/>
    </row>
    <row r="820" spans="1:37" ht="15.75" customHeight="1" x14ac:dyDescent="0.2">
      <c r="A820" s="1"/>
      <c r="B820" s="2"/>
      <c r="C820" s="1"/>
      <c r="D820" s="1"/>
      <c r="E820" s="48"/>
      <c r="F820" s="48"/>
      <c r="G820" s="2"/>
      <c r="H820" s="48"/>
      <c r="I820" s="2"/>
      <c r="J820" s="2"/>
      <c r="K820" s="2"/>
      <c r="L820" s="2"/>
      <c r="M820" s="2"/>
      <c r="N820" s="2"/>
      <c r="O820" s="95"/>
      <c r="P820" s="95"/>
      <c r="Q820" s="95"/>
      <c r="R820" s="95"/>
      <c r="AE820" s="95"/>
      <c r="AF820" s="95"/>
      <c r="AG820" s="95"/>
      <c r="AH820" s="2"/>
      <c r="AI820" s="2"/>
      <c r="AJ820" s="2"/>
      <c r="AK820" s="2"/>
    </row>
    <row r="821" spans="1:37" ht="15.75" customHeight="1" x14ac:dyDescent="0.2">
      <c r="A821" s="1"/>
      <c r="B821" s="2"/>
      <c r="C821" s="1"/>
      <c r="D821" s="1"/>
      <c r="E821" s="48"/>
      <c r="F821" s="48"/>
      <c r="G821" s="2"/>
      <c r="H821" s="48"/>
      <c r="I821" s="2"/>
      <c r="J821" s="2"/>
      <c r="K821" s="2"/>
      <c r="L821" s="2"/>
      <c r="M821" s="2"/>
      <c r="N821" s="2"/>
      <c r="O821" s="95"/>
      <c r="P821" s="95"/>
      <c r="Q821" s="95"/>
      <c r="R821" s="95"/>
      <c r="AE821" s="95"/>
      <c r="AF821" s="95"/>
      <c r="AG821" s="95"/>
      <c r="AH821" s="2"/>
      <c r="AI821" s="2"/>
      <c r="AJ821" s="2"/>
      <c r="AK821" s="2"/>
    </row>
    <row r="822" spans="1:37" ht="15.75" customHeight="1" x14ac:dyDescent="0.2">
      <c r="A822" s="1"/>
      <c r="B822" s="2"/>
      <c r="C822" s="1"/>
      <c r="D822" s="1"/>
      <c r="E822" s="48"/>
      <c r="F822" s="48"/>
      <c r="G822" s="2"/>
      <c r="H822" s="48"/>
      <c r="I822" s="2"/>
      <c r="J822" s="2"/>
      <c r="K822" s="2"/>
      <c r="L822" s="2"/>
      <c r="M822" s="2"/>
      <c r="N822" s="2"/>
      <c r="O822" s="95"/>
      <c r="P822" s="95"/>
      <c r="Q822" s="95"/>
      <c r="R822" s="95"/>
      <c r="AE822" s="95"/>
      <c r="AF822" s="95"/>
      <c r="AG822" s="95"/>
      <c r="AH822" s="2"/>
      <c r="AI822" s="2"/>
      <c r="AJ822" s="2"/>
      <c r="AK822" s="2"/>
    </row>
    <row r="823" spans="1:37" ht="15.75" customHeight="1" x14ac:dyDescent="0.2">
      <c r="A823" s="1"/>
      <c r="B823" s="2"/>
      <c r="C823" s="1"/>
      <c r="D823" s="1"/>
      <c r="E823" s="48"/>
      <c r="F823" s="48"/>
      <c r="G823" s="2"/>
      <c r="H823" s="48"/>
      <c r="I823" s="2"/>
      <c r="J823" s="2"/>
      <c r="K823" s="2"/>
      <c r="L823" s="2"/>
      <c r="M823" s="2"/>
      <c r="N823" s="2"/>
      <c r="O823" s="95"/>
      <c r="P823" s="95"/>
      <c r="Q823" s="95"/>
      <c r="R823" s="95"/>
      <c r="AE823" s="95"/>
      <c r="AF823" s="95"/>
      <c r="AG823" s="95"/>
      <c r="AH823" s="2"/>
      <c r="AI823" s="2"/>
      <c r="AJ823" s="2"/>
      <c r="AK823" s="2"/>
    </row>
    <row r="824" spans="1:37" ht="15.75" customHeight="1" x14ac:dyDescent="0.2">
      <c r="A824" s="1"/>
      <c r="B824" s="2"/>
      <c r="C824" s="1"/>
      <c r="D824" s="1"/>
      <c r="E824" s="48"/>
      <c r="F824" s="48"/>
      <c r="G824" s="2"/>
      <c r="H824" s="48"/>
      <c r="I824" s="2"/>
      <c r="J824" s="2"/>
      <c r="K824" s="2"/>
      <c r="L824" s="2"/>
      <c r="M824" s="2"/>
      <c r="N824" s="2"/>
      <c r="O824" s="95"/>
      <c r="P824" s="95"/>
      <c r="Q824" s="95"/>
      <c r="R824" s="95"/>
      <c r="AE824" s="95"/>
      <c r="AF824" s="95"/>
      <c r="AG824" s="95"/>
      <c r="AH824" s="2"/>
      <c r="AI824" s="2"/>
      <c r="AJ824" s="2"/>
      <c r="AK824" s="2"/>
    </row>
    <row r="825" spans="1:37" ht="15.75" customHeight="1" x14ac:dyDescent="0.2">
      <c r="A825" s="1"/>
      <c r="B825" s="2"/>
      <c r="C825" s="1"/>
      <c r="D825" s="1"/>
      <c r="E825" s="48"/>
      <c r="F825" s="48"/>
      <c r="G825" s="2"/>
      <c r="H825" s="48"/>
      <c r="I825" s="2"/>
      <c r="J825" s="2"/>
      <c r="K825" s="2"/>
      <c r="L825" s="2"/>
      <c r="M825" s="2"/>
      <c r="N825" s="2"/>
      <c r="O825" s="95"/>
      <c r="P825" s="95"/>
      <c r="Q825" s="95"/>
      <c r="R825" s="95"/>
      <c r="AE825" s="95"/>
      <c r="AF825" s="95"/>
      <c r="AG825" s="95"/>
      <c r="AH825" s="2"/>
      <c r="AI825" s="2"/>
      <c r="AJ825" s="2"/>
      <c r="AK825" s="2"/>
    </row>
    <row r="826" spans="1:37" ht="15.75" customHeight="1" x14ac:dyDescent="0.2">
      <c r="A826" s="1"/>
      <c r="B826" s="2"/>
      <c r="C826" s="1"/>
      <c r="D826" s="1"/>
      <c r="E826" s="48"/>
      <c r="F826" s="48"/>
      <c r="G826" s="2"/>
      <c r="H826" s="48"/>
      <c r="I826" s="2"/>
      <c r="J826" s="2"/>
      <c r="K826" s="2"/>
      <c r="L826" s="2"/>
      <c r="M826" s="2"/>
      <c r="N826" s="2"/>
      <c r="O826" s="95"/>
      <c r="P826" s="95"/>
      <c r="Q826" s="95"/>
      <c r="R826" s="95"/>
      <c r="AE826" s="95"/>
      <c r="AF826" s="95"/>
      <c r="AG826" s="95"/>
      <c r="AH826" s="2"/>
      <c r="AI826" s="2"/>
      <c r="AJ826" s="2"/>
      <c r="AK826" s="2"/>
    </row>
    <row r="827" spans="1:37" ht="15.75" customHeight="1" x14ac:dyDescent="0.2">
      <c r="A827" s="1"/>
      <c r="B827" s="2"/>
      <c r="C827" s="1"/>
      <c r="D827" s="1"/>
      <c r="E827" s="48"/>
      <c r="F827" s="48"/>
      <c r="G827" s="2"/>
      <c r="H827" s="48"/>
      <c r="I827" s="2"/>
      <c r="J827" s="2"/>
      <c r="K827" s="2"/>
      <c r="L827" s="2"/>
      <c r="M827" s="2"/>
      <c r="N827" s="2"/>
      <c r="O827" s="95"/>
      <c r="P827" s="95"/>
      <c r="Q827" s="95"/>
      <c r="R827" s="95"/>
      <c r="AE827" s="95"/>
      <c r="AF827" s="95"/>
      <c r="AG827" s="95"/>
      <c r="AH827" s="2"/>
      <c r="AI827" s="2"/>
      <c r="AJ827" s="2"/>
      <c r="AK827" s="2"/>
    </row>
    <row r="828" spans="1:37" ht="15.75" customHeight="1" x14ac:dyDescent="0.2">
      <c r="A828" s="1"/>
      <c r="B828" s="2"/>
      <c r="C828" s="1"/>
      <c r="D828" s="1"/>
      <c r="E828" s="48"/>
      <c r="F828" s="48"/>
      <c r="G828" s="2"/>
      <c r="H828" s="48"/>
      <c r="I828" s="2"/>
      <c r="J828" s="2"/>
      <c r="K828" s="2"/>
      <c r="L828" s="2"/>
      <c r="M828" s="2"/>
      <c r="N828" s="2"/>
      <c r="O828" s="95"/>
      <c r="P828" s="95"/>
      <c r="Q828" s="95"/>
      <c r="R828" s="95"/>
      <c r="AE828" s="95"/>
      <c r="AF828" s="95"/>
      <c r="AG828" s="95"/>
      <c r="AH828" s="2"/>
      <c r="AI828" s="2"/>
      <c r="AJ828" s="2"/>
      <c r="AK828" s="2"/>
    </row>
    <row r="829" spans="1:37" ht="15.75" customHeight="1" x14ac:dyDescent="0.2">
      <c r="A829" s="1"/>
      <c r="B829" s="2"/>
      <c r="C829" s="1"/>
      <c r="D829" s="1"/>
      <c r="E829" s="48"/>
      <c r="F829" s="48"/>
      <c r="G829" s="2"/>
      <c r="H829" s="48"/>
      <c r="I829" s="2"/>
      <c r="J829" s="2"/>
      <c r="K829" s="2"/>
      <c r="L829" s="2"/>
      <c r="M829" s="2"/>
      <c r="N829" s="2"/>
      <c r="O829" s="95"/>
      <c r="P829" s="95"/>
      <c r="Q829" s="95"/>
      <c r="R829" s="95"/>
      <c r="AE829" s="95"/>
      <c r="AF829" s="95"/>
      <c r="AG829" s="95"/>
      <c r="AH829" s="2"/>
      <c r="AI829" s="2"/>
      <c r="AJ829" s="2"/>
      <c r="AK829" s="2"/>
    </row>
    <row r="830" spans="1:37" ht="15.75" customHeight="1" x14ac:dyDescent="0.2">
      <c r="A830" s="1"/>
      <c r="B830" s="2"/>
      <c r="C830" s="1"/>
      <c r="D830" s="1"/>
      <c r="E830" s="48"/>
      <c r="F830" s="48"/>
      <c r="G830" s="2"/>
      <c r="H830" s="48"/>
      <c r="I830" s="2"/>
      <c r="J830" s="2"/>
      <c r="K830" s="2"/>
      <c r="L830" s="2"/>
      <c r="M830" s="2"/>
      <c r="N830" s="2"/>
      <c r="O830" s="95"/>
      <c r="P830" s="95"/>
      <c r="Q830" s="95"/>
      <c r="R830" s="95"/>
      <c r="AE830" s="95"/>
      <c r="AF830" s="95"/>
      <c r="AG830" s="95"/>
      <c r="AH830" s="2"/>
      <c r="AI830" s="2"/>
      <c r="AJ830" s="2"/>
      <c r="AK830" s="2"/>
    </row>
    <row r="831" spans="1:37" ht="15.75" customHeight="1" x14ac:dyDescent="0.2">
      <c r="A831" s="1"/>
      <c r="B831" s="2"/>
      <c r="C831" s="1"/>
      <c r="D831" s="1"/>
      <c r="E831" s="48"/>
      <c r="F831" s="48"/>
      <c r="G831" s="2"/>
      <c r="H831" s="48"/>
      <c r="I831" s="2"/>
      <c r="J831" s="2"/>
      <c r="K831" s="2"/>
      <c r="L831" s="2"/>
      <c r="M831" s="2"/>
      <c r="N831" s="2"/>
      <c r="O831" s="95"/>
      <c r="P831" s="95"/>
      <c r="Q831" s="95"/>
      <c r="R831" s="95"/>
      <c r="AE831" s="95"/>
      <c r="AF831" s="95"/>
      <c r="AG831" s="95"/>
      <c r="AH831" s="2"/>
      <c r="AI831" s="2"/>
      <c r="AJ831" s="2"/>
      <c r="AK831" s="2"/>
    </row>
    <row r="832" spans="1:37" ht="15.75" customHeight="1" x14ac:dyDescent="0.2">
      <c r="A832" s="1"/>
      <c r="B832" s="2"/>
      <c r="C832" s="1"/>
      <c r="D832" s="1"/>
      <c r="E832" s="48"/>
      <c r="F832" s="48"/>
      <c r="G832" s="2"/>
      <c r="H832" s="48"/>
      <c r="I832" s="2"/>
      <c r="J832" s="2"/>
      <c r="K832" s="2"/>
      <c r="L832" s="2"/>
      <c r="M832" s="2"/>
      <c r="N832" s="2"/>
      <c r="O832" s="95"/>
      <c r="P832" s="95"/>
      <c r="Q832" s="95"/>
      <c r="R832" s="95"/>
      <c r="AE832" s="95"/>
      <c r="AF832" s="95"/>
      <c r="AG832" s="95"/>
      <c r="AH832" s="2"/>
      <c r="AI832" s="2"/>
      <c r="AJ832" s="2"/>
      <c r="AK832" s="2"/>
    </row>
    <row r="833" spans="1:37" ht="15.75" customHeight="1" x14ac:dyDescent="0.2">
      <c r="A833" s="1"/>
      <c r="B833" s="2"/>
      <c r="C833" s="1"/>
      <c r="D833" s="1"/>
      <c r="E833" s="48"/>
      <c r="F833" s="48"/>
      <c r="G833" s="2"/>
      <c r="H833" s="48"/>
      <c r="I833" s="2"/>
      <c r="J833" s="2"/>
      <c r="K833" s="2"/>
      <c r="L833" s="2"/>
      <c r="M833" s="2"/>
      <c r="N833" s="2"/>
      <c r="O833" s="95"/>
      <c r="P833" s="95"/>
      <c r="Q833" s="95"/>
      <c r="R833" s="95"/>
      <c r="AE833" s="95"/>
      <c r="AF833" s="95"/>
      <c r="AG833" s="95"/>
      <c r="AH833" s="2"/>
      <c r="AI833" s="2"/>
      <c r="AJ833" s="2"/>
      <c r="AK833" s="2"/>
    </row>
    <row r="834" spans="1:37" ht="15.75" customHeight="1" x14ac:dyDescent="0.2">
      <c r="A834" s="1"/>
      <c r="B834" s="2"/>
      <c r="C834" s="1"/>
      <c r="D834" s="1"/>
      <c r="E834" s="48"/>
      <c r="F834" s="48"/>
      <c r="G834" s="2"/>
      <c r="H834" s="48"/>
      <c r="I834" s="2"/>
      <c r="J834" s="2"/>
      <c r="K834" s="2"/>
      <c r="L834" s="2"/>
      <c r="M834" s="2"/>
      <c r="N834" s="2"/>
      <c r="O834" s="95"/>
      <c r="P834" s="95"/>
      <c r="Q834" s="95"/>
      <c r="R834" s="95"/>
      <c r="AE834" s="95"/>
      <c r="AF834" s="95"/>
      <c r="AG834" s="95"/>
      <c r="AH834" s="2"/>
      <c r="AI834" s="2"/>
      <c r="AJ834" s="2"/>
      <c r="AK834" s="2"/>
    </row>
    <row r="835" spans="1:37" ht="15.75" customHeight="1" x14ac:dyDescent="0.2">
      <c r="A835" s="1"/>
      <c r="B835" s="2"/>
      <c r="C835" s="1"/>
      <c r="D835" s="1"/>
      <c r="E835" s="48"/>
      <c r="F835" s="48"/>
      <c r="G835" s="2"/>
      <c r="H835" s="48"/>
      <c r="I835" s="2"/>
      <c r="J835" s="2"/>
      <c r="K835" s="2"/>
      <c r="L835" s="2"/>
      <c r="M835" s="2"/>
      <c r="N835" s="2"/>
      <c r="O835" s="95"/>
      <c r="P835" s="95"/>
      <c r="Q835" s="95"/>
      <c r="R835" s="95"/>
      <c r="AE835" s="95"/>
      <c r="AF835" s="95"/>
      <c r="AG835" s="95"/>
      <c r="AH835" s="2"/>
      <c r="AI835" s="2"/>
      <c r="AJ835" s="2"/>
      <c r="AK835" s="2"/>
    </row>
    <row r="836" spans="1:37" ht="15.75" customHeight="1" x14ac:dyDescent="0.2">
      <c r="A836" s="1"/>
      <c r="B836" s="2"/>
      <c r="C836" s="1"/>
      <c r="D836" s="1"/>
      <c r="E836" s="48"/>
      <c r="F836" s="48"/>
      <c r="G836" s="2"/>
      <c r="H836" s="48"/>
      <c r="I836" s="2"/>
      <c r="J836" s="2"/>
      <c r="K836" s="2"/>
      <c r="L836" s="2"/>
      <c r="M836" s="2"/>
      <c r="N836" s="2"/>
      <c r="O836" s="95"/>
      <c r="P836" s="95"/>
      <c r="Q836" s="95"/>
      <c r="R836" s="95"/>
      <c r="AE836" s="95"/>
      <c r="AF836" s="95"/>
      <c r="AG836" s="95"/>
      <c r="AH836" s="2"/>
      <c r="AI836" s="2"/>
      <c r="AJ836" s="2"/>
      <c r="AK836" s="2"/>
    </row>
    <row r="837" spans="1:37" ht="15.75" customHeight="1" x14ac:dyDescent="0.2">
      <c r="A837" s="1"/>
      <c r="B837" s="2"/>
      <c r="C837" s="1"/>
      <c r="D837" s="1"/>
      <c r="E837" s="48"/>
      <c r="F837" s="48"/>
      <c r="G837" s="2"/>
      <c r="H837" s="48"/>
      <c r="I837" s="2"/>
      <c r="J837" s="2"/>
      <c r="K837" s="2"/>
      <c r="L837" s="2"/>
      <c r="M837" s="2"/>
      <c r="N837" s="2"/>
      <c r="O837" s="95"/>
      <c r="P837" s="95"/>
      <c r="Q837" s="95"/>
      <c r="R837" s="95"/>
      <c r="AE837" s="95"/>
      <c r="AF837" s="95"/>
      <c r="AG837" s="95"/>
      <c r="AH837" s="2"/>
      <c r="AI837" s="2"/>
      <c r="AJ837" s="2"/>
      <c r="AK837" s="2"/>
    </row>
    <row r="838" spans="1:37" ht="15.75" customHeight="1" x14ac:dyDescent="0.2">
      <c r="A838" s="1"/>
      <c r="B838" s="2"/>
      <c r="C838" s="1"/>
      <c r="D838" s="1"/>
      <c r="E838" s="48"/>
      <c r="F838" s="48"/>
      <c r="G838" s="2"/>
      <c r="H838" s="48"/>
      <c r="I838" s="2"/>
      <c r="J838" s="2"/>
      <c r="K838" s="2"/>
      <c r="L838" s="2"/>
      <c r="M838" s="2"/>
      <c r="N838" s="2"/>
      <c r="O838" s="95"/>
      <c r="P838" s="95"/>
      <c r="Q838" s="95"/>
      <c r="R838" s="95"/>
      <c r="AE838" s="95"/>
      <c r="AF838" s="95"/>
      <c r="AG838" s="95"/>
      <c r="AH838" s="2"/>
      <c r="AI838" s="2"/>
      <c r="AJ838" s="2"/>
      <c r="AK838" s="2"/>
    </row>
    <row r="839" spans="1:37" ht="15.75" customHeight="1" x14ac:dyDescent="0.2">
      <c r="A839" s="1"/>
      <c r="B839" s="2"/>
      <c r="C839" s="1"/>
      <c r="D839" s="1"/>
      <c r="E839" s="48"/>
      <c r="F839" s="48"/>
      <c r="G839" s="2"/>
      <c r="H839" s="48"/>
      <c r="I839" s="2"/>
      <c r="J839" s="2"/>
      <c r="K839" s="2"/>
      <c r="L839" s="2"/>
      <c r="M839" s="2"/>
      <c r="N839" s="2"/>
      <c r="O839" s="95"/>
      <c r="P839" s="95"/>
      <c r="Q839" s="95"/>
      <c r="R839" s="95"/>
      <c r="AE839" s="95"/>
      <c r="AF839" s="95"/>
      <c r="AG839" s="95"/>
      <c r="AH839" s="2"/>
      <c r="AI839" s="2"/>
      <c r="AJ839" s="2"/>
      <c r="AK839" s="2"/>
    </row>
    <row r="840" spans="1:37" ht="15.75" customHeight="1" x14ac:dyDescent="0.2">
      <c r="A840" s="1"/>
      <c r="B840" s="2"/>
      <c r="C840" s="1"/>
      <c r="D840" s="1"/>
      <c r="E840" s="48"/>
      <c r="F840" s="48"/>
      <c r="G840" s="2"/>
      <c r="H840" s="48"/>
      <c r="I840" s="2"/>
      <c r="J840" s="2"/>
      <c r="K840" s="2"/>
      <c r="L840" s="2"/>
      <c r="M840" s="2"/>
      <c r="N840" s="2"/>
      <c r="O840" s="95"/>
      <c r="P840" s="95"/>
      <c r="Q840" s="95"/>
      <c r="R840" s="95"/>
      <c r="AE840" s="95"/>
      <c r="AF840" s="95"/>
      <c r="AG840" s="95"/>
      <c r="AH840" s="2"/>
      <c r="AI840" s="2"/>
      <c r="AJ840" s="2"/>
      <c r="AK840" s="2"/>
    </row>
    <row r="841" spans="1:37" ht="15.75" customHeight="1" x14ac:dyDescent="0.2">
      <c r="A841" s="1"/>
      <c r="B841" s="2"/>
      <c r="C841" s="1"/>
      <c r="D841" s="1"/>
      <c r="E841" s="48"/>
      <c r="F841" s="48"/>
      <c r="G841" s="2"/>
      <c r="H841" s="48"/>
      <c r="I841" s="2"/>
      <c r="J841" s="2"/>
      <c r="K841" s="2"/>
      <c r="L841" s="2"/>
      <c r="M841" s="2"/>
      <c r="N841" s="2"/>
      <c r="O841" s="95"/>
      <c r="P841" s="95"/>
      <c r="Q841" s="95"/>
      <c r="R841" s="95"/>
      <c r="AE841" s="95"/>
      <c r="AF841" s="95"/>
      <c r="AG841" s="95"/>
      <c r="AH841" s="2"/>
      <c r="AI841" s="2"/>
      <c r="AJ841" s="2"/>
      <c r="AK841" s="2"/>
    </row>
    <row r="842" spans="1:37" ht="15.75" customHeight="1" x14ac:dyDescent="0.2">
      <c r="A842" s="1"/>
      <c r="B842" s="2"/>
      <c r="C842" s="1"/>
      <c r="D842" s="1"/>
      <c r="E842" s="48"/>
      <c r="F842" s="48"/>
      <c r="G842" s="2"/>
      <c r="H842" s="48"/>
      <c r="I842" s="2"/>
      <c r="J842" s="2"/>
      <c r="K842" s="2"/>
      <c r="L842" s="2"/>
      <c r="M842" s="2"/>
      <c r="N842" s="2"/>
      <c r="O842" s="95"/>
      <c r="P842" s="95"/>
      <c r="Q842" s="95"/>
      <c r="R842" s="95"/>
      <c r="AE842" s="95"/>
      <c r="AF842" s="95"/>
      <c r="AG842" s="95"/>
      <c r="AH842" s="2"/>
      <c r="AI842" s="2"/>
      <c r="AJ842" s="2"/>
      <c r="AK842" s="2"/>
    </row>
    <row r="843" spans="1:37" ht="15.75" customHeight="1" x14ac:dyDescent="0.2">
      <c r="A843" s="1"/>
      <c r="B843" s="2"/>
      <c r="C843" s="1"/>
      <c r="D843" s="1"/>
      <c r="E843" s="48"/>
      <c r="F843" s="48"/>
      <c r="G843" s="2"/>
      <c r="H843" s="48"/>
      <c r="I843" s="2"/>
      <c r="J843" s="2"/>
      <c r="K843" s="2"/>
      <c r="L843" s="2"/>
      <c r="M843" s="2"/>
      <c r="N843" s="2"/>
      <c r="O843" s="95"/>
      <c r="P843" s="95"/>
      <c r="Q843" s="95"/>
      <c r="R843" s="95"/>
      <c r="AE843" s="95"/>
      <c r="AF843" s="95"/>
      <c r="AG843" s="95"/>
      <c r="AH843" s="2"/>
      <c r="AI843" s="2"/>
      <c r="AJ843" s="2"/>
      <c r="AK843" s="2"/>
    </row>
    <row r="844" spans="1:37" ht="15.75" customHeight="1" x14ac:dyDescent="0.2">
      <c r="A844" s="1"/>
      <c r="B844" s="2"/>
      <c r="C844" s="1"/>
      <c r="D844" s="1"/>
      <c r="E844" s="48"/>
      <c r="F844" s="48"/>
      <c r="G844" s="2"/>
      <c r="H844" s="48"/>
      <c r="I844" s="2"/>
      <c r="J844" s="2"/>
      <c r="K844" s="2"/>
      <c r="L844" s="2"/>
      <c r="M844" s="2"/>
      <c r="N844" s="2"/>
      <c r="O844" s="95"/>
      <c r="P844" s="95"/>
      <c r="Q844" s="95"/>
      <c r="R844" s="95"/>
      <c r="AE844" s="95"/>
      <c r="AF844" s="95"/>
      <c r="AG844" s="95"/>
      <c r="AH844" s="2"/>
      <c r="AI844" s="2"/>
      <c r="AJ844" s="2"/>
      <c r="AK844" s="2"/>
    </row>
    <row r="845" spans="1:37" ht="15.75" customHeight="1" x14ac:dyDescent="0.2">
      <c r="A845" s="1"/>
      <c r="B845" s="2"/>
      <c r="C845" s="1"/>
      <c r="D845" s="1"/>
      <c r="E845" s="48"/>
      <c r="F845" s="48"/>
      <c r="G845" s="2"/>
      <c r="H845" s="48"/>
      <c r="I845" s="2"/>
      <c r="J845" s="2"/>
      <c r="K845" s="2"/>
      <c r="L845" s="2"/>
      <c r="M845" s="2"/>
      <c r="N845" s="2"/>
      <c r="O845" s="95"/>
      <c r="P845" s="95"/>
      <c r="Q845" s="95"/>
      <c r="R845" s="95"/>
      <c r="AE845" s="95"/>
      <c r="AF845" s="95"/>
      <c r="AG845" s="95"/>
      <c r="AH845" s="2"/>
      <c r="AI845" s="2"/>
      <c r="AJ845" s="2"/>
      <c r="AK845" s="2"/>
    </row>
    <row r="846" spans="1:37" ht="15.75" customHeight="1" x14ac:dyDescent="0.2">
      <c r="A846" s="1"/>
      <c r="B846" s="2"/>
      <c r="C846" s="1"/>
      <c r="D846" s="1"/>
      <c r="E846" s="48"/>
      <c r="F846" s="48"/>
      <c r="G846" s="2"/>
      <c r="H846" s="48"/>
      <c r="I846" s="2"/>
      <c r="J846" s="2"/>
      <c r="K846" s="2"/>
      <c r="L846" s="2"/>
      <c r="M846" s="2"/>
      <c r="N846" s="2"/>
      <c r="O846" s="95"/>
      <c r="P846" s="95"/>
      <c r="Q846" s="95"/>
      <c r="R846" s="95"/>
      <c r="AE846" s="95"/>
      <c r="AF846" s="95"/>
      <c r="AG846" s="95"/>
      <c r="AH846" s="2"/>
      <c r="AI846" s="2"/>
      <c r="AJ846" s="2"/>
      <c r="AK846" s="2"/>
    </row>
    <row r="847" spans="1:37" ht="15.75" customHeight="1" x14ac:dyDescent="0.2">
      <c r="A847" s="1"/>
      <c r="B847" s="2"/>
      <c r="C847" s="1"/>
      <c r="D847" s="1"/>
      <c r="E847" s="48"/>
      <c r="F847" s="48"/>
      <c r="G847" s="2"/>
      <c r="H847" s="48"/>
      <c r="I847" s="2"/>
      <c r="J847" s="2"/>
      <c r="K847" s="2"/>
      <c r="L847" s="2"/>
      <c r="M847" s="2"/>
      <c r="N847" s="2"/>
      <c r="O847" s="95"/>
      <c r="P847" s="95"/>
      <c r="Q847" s="95"/>
      <c r="R847" s="95"/>
      <c r="AE847" s="95"/>
      <c r="AF847" s="95"/>
      <c r="AG847" s="95"/>
      <c r="AH847" s="2"/>
      <c r="AI847" s="2"/>
      <c r="AJ847" s="2"/>
      <c r="AK847" s="2"/>
    </row>
    <row r="848" spans="1:37" ht="15.75" customHeight="1" x14ac:dyDescent="0.2">
      <c r="A848" s="1"/>
      <c r="B848" s="2"/>
      <c r="C848" s="1"/>
      <c r="D848" s="1"/>
      <c r="E848" s="48"/>
      <c r="F848" s="48"/>
      <c r="G848" s="2"/>
      <c r="H848" s="48"/>
      <c r="I848" s="2"/>
      <c r="J848" s="2"/>
      <c r="K848" s="2"/>
      <c r="L848" s="2"/>
      <c r="M848" s="2"/>
      <c r="N848" s="2"/>
      <c r="O848" s="95"/>
      <c r="P848" s="95"/>
      <c r="Q848" s="95"/>
      <c r="R848" s="95"/>
      <c r="AE848" s="95"/>
      <c r="AF848" s="95"/>
      <c r="AG848" s="95"/>
      <c r="AH848" s="2"/>
      <c r="AI848" s="2"/>
      <c r="AJ848" s="2"/>
      <c r="AK848" s="2"/>
    </row>
    <row r="849" spans="1:37" ht="15.75" customHeight="1" x14ac:dyDescent="0.2">
      <c r="A849" s="1"/>
      <c r="B849" s="2"/>
      <c r="C849" s="1"/>
      <c r="D849" s="1"/>
      <c r="E849" s="48"/>
      <c r="F849" s="48"/>
      <c r="G849" s="2"/>
      <c r="H849" s="48"/>
      <c r="I849" s="2"/>
      <c r="J849" s="2"/>
      <c r="K849" s="2"/>
      <c r="L849" s="2"/>
      <c r="M849" s="2"/>
      <c r="N849" s="2"/>
      <c r="O849" s="95"/>
      <c r="P849" s="95"/>
      <c r="Q849" s="95"/>
      <c r="R849" s="95"/>
      <c r="AE849" s="95"/>
      <c r="AF849" s="95"/>
      <c r="AG849" s="95"/>
      <c r="AH849" s="2"/>
      <c r="AI849" s="2"/>
      <c r="AJ849" s="2"/>
      <c r="AK849" s="2"/>
    </row>
    <row r="850" spans="1:37" ht="15.75" customHeight="1" x14ac:dyDescent="0.2">
      <c r="A850" s="1"/>
      <c r="B850" s="2"/>
      <c r="C850" s="1"/>
      <c r="D850" s="1"/>
      <c r="E850" s="48"/>
      <c r="F850" s="48"/>
      <c r="G850" s="2"/>
      <c r="H850" s="48"/>
      <c r="I850" s="2"/>
      <c r="J850" s="2"/>
      <c r="K850" s="2"/>
      <c r="L850" s="2"/>
      <c r="M850" s="2"/>
      <c r="N850" s="2"/>
      <c r="O850" s="95"/>
      <c r="P850" s="95"/>
      <c r="Q850" s="95"/>
      <c r="R850" s="95"/>
      <c r="AE850" s="95"/>
      <c r="AF850" s="95"/>
      <c r="AG850" s="95"/>
      <c r="AH850" s="2"/>
      <c r="AI850" s="2"/>
      <c r="AJ850" s="2"/>
      <c r="AK850" s="2"/>
    </row>
    <row r="851" spans="1:37" ht="15.75" customHeight="1" x14ac:dyDescent="0.2">
      <c r="A851" s="1"/>
      <c r="B851" s="2"/>
      <c r="C851" s="1"/>
      <c r="D851" s="1"/>
      <c r="E851" s="48"/>
      <c r="F851" s="48"/>
      <c r="G851" s="2"/>
      <c r="H851" s="48"/>
      <c r="I851" s="2"/>
      <c r="J851" s="2"/>
      <c r="K851" s="2"/>
      <c r="L851" s="2"/>
      <c r="M851" s="2"/>
      <c r="N851" s="2"/>
      <c r="O851" s="95"/>
      <c r="P851" s="95"/>
      <c r="Q851" s="95"/>
      <c r="R851" s="95"/>
      <c r="AE851" s="95"/>
      <c r="AF851" s="95"/>
      <c r="AG851" s="95"/>
      <c r="AH851" s="2"/>
      <c r="AI851" s="2"/>
      <c r="AJ851" s="2"/>
      <c r="AK851" s="2"/>
    </row>
    <row r="852" spans="1:37" ht="15.75" customHeight="1" x14ac:dyDescent="0.2">
      <c r="A852" s="1"/>
      <c r="B852" s="2"/>
      <c r="C852" s="1"/>
      <c r="D852" s="1"/>
      <c r="E852" s="48"/>
      <c r="F852" s="48"/>
      <c r="G852" s="2"/>
      <c r="H852" s="48"/>
      <c r="I852" s="2"/>
      <c r="J852" s="2"/>
      <c r="K852" s="2"/>
      <c r="L852" s="2"/>
      <c r="M852" s="2"/>
      <c r="N852" s="2"/>
      <c r="O852" s="95"/>
      <c r="P852" s="95"/>
      <c r="Q852" s="95"/>
      <c r="R852" s="95"/>
      <c r="AE852" s="95"/>
      <c r="AF852" s="95"/>
      <c r="AG852" s="95"/>
      <c r="AH852" s="2"/>
      <c r="AI852" s="2"/>
      <c r="AJ852" s="2"/>
      <c r="AK852" s="2"/>
    </row>
    <row r="853" spans="1:37" ht="15.75" customHeight="1" x14ac:dyDescent="0.2">
      <c r="A853" s="1"/>
      <c r="B853" s="2"/>
      <c r="C853" s="1"/>
      <c r="D853" s="1"/>
      <c r="E853" s="48"/>
      <c r="F853" s="48"/>
      <c r="G853" s="2"/>
      <c r="H853" s="48"/>
      <c r="I853" s="2"/>
      <c r="J853" s="2"/>
      <c r="K853" s="2"/>
      <c r="L853" s="2"/>
      <c r="M853" s="2"/>
      <c r="N853" s="2"/>
      <c r="O853" s="95"/>
      <c r="P853" s="95"/>
      <c r="Q853" s="95"/>
      <c r="R853" s="95"/>
      <c r="AE853" s="95"/>
      <c r="AF853" s="95"/>
      <c r="AG853" s="95"/>
      <c r="AH853" s="2"/>
      <c r="AI853" s="2"/>
      <c r="AJ853" s="2"/>
      <c r="AK853" s="2"/>
    </row>
    <row r="854" spans="1:37" ht="15.75" customHeight="1" x14ac:dyDescent="0.2">
      <c r="A854" s="1"/>
      <c r="B854" s="2"/>
      <c r="C854" s="1"/>
      <c r="D854" s="1"/>
      <c r="E854" s="48"/>
      <c r="F854" s="48"/>
      <c r="G854" s="2"/>
      <c r="H854" s="48"/>
      <c r="I854" s="2"/>
      <c r="J854" s="2"/>
      <c r="K854" s="2"/>
      <c r="L854" s="2"/>
      <c r="M854" s="2"/>
      <c r="N854" s="2"/>
      <c r="O854" s="95"/>
      <c r="P854" s="95"/>
      <c r="Q854" s="95"/>
      <c r="R854" s="95"/>
      <c r="AE854" s="95"/>
      <c r="AF854" s="95"/>
      <c r="AG854" s="95"/>
      <c r="AH854" s="2"/>
      <c r="AI854" s="2"/>
      <c r="AJ854" s="2"/>
      <c r="AK854" s="2"/>
    </row>
    <row r="855" spans="1:37" ht="15.75" customHeight="1" x14ac:dyDescent="0.2">
      <c r="A855" s="1"/>
      <c r="B855" s="2"/>
      <c r="C855" s="1"/>
      <c r="D855" s="1"/>
      <c r="E855" s="48"/>
      <c r="F855" s="48"/>
      <c r="G855" s="2"/>
      <c r="H855" s="48"/>
      <c r="I855" s="2"/>
      <c r="J855" s="2"/>
      <c r="K855" s="2"/>
      <c r="L855" s="2"/>
      <c r="M855" s="2"/>
      <c r="N855" s="2"/>
      <c r="O855" s="95"/>
      <c r="P855" s="95"/>
      <c r="Q855" s="95"/>
      <c r="R855" s="95"/>
      <c r="AE855" s="95"/>
      <c r="AF855" s="95"/>
      <c r="AG855" s="95"/>
      <c r="AH855" s="2"/>
      <c r="AI855" s="2"/>
      <c r="AJ855" s="2"/>
      <c r="AK855" s="2"/>
    </row>
    <row r="856" spans="1:37" ht="15.75" customHeight="1" x14ac:dyDescent="0.2">
      <c r="A856" s="1"/>
      <c r="B856" s="2"/>
      <c r="C856" s="1"/>
      <c r="D856" s="1"/>
      <c r="E856" s="48"/>
      <c r="F856" s="48"/>
      <c r="G856" s="2"/>
      <c r="H856" s="48"/>
      <c r="I856" s="2"/>
      <c r="J856" s="2"/>
      <c r="K856" s="2"/>
      <c r="L856" s="2"/>
      <c r="M856" s="2"/>
      <c r="N856" s="2"/>
      <c r="O856" s="95"/>
      <c r="P856" s="95"/>
      <c r="Q856" s="95"/>
      <c r="R856" s="95"/>
      <c r="AE856" s="95"/>
      <c r="AF856" s="95"/>
      <c r="AG856" s="95"/>
      <c r="AH856" s="2"/>
      <c r="AI856" s="2"/>
      <c r="AJ856" s="2"/>
      <c r="AK856" s="2"/>
    </row>
    <row r="857" spans="1:37" ht="15.75" customHeight="1" x14ac:dyDescent="0.2">
      <c r="A857" s="1"/>
      <c r="B857" s="2"/>
      <c r="C857" s="1"/>
      <c r="D857" s="1"/>
      <c r="E857" s="48"/>
      <c r="F857" s="48"/>
      <c r="G857" s="2"/>
      <c r="H857" s="48"/>
      <c r="I857" s="2"/>
      <c r="J857" s="2"/>
      <c r="K857" s="2"/>
      <c r="L857" s="2"/>
      <c r="M857" s="2"/>
      <c r="N857" s="2"/>
      <c r="O857" s="95"/>
      <c r="P857" s="95"/>
      <c r="Q857" s="95"/>
      <c r="R857" s="95"/>
      <c r="AE857" s="95"/>
      <c r="AF857" s="95"/>
      <c r="AG857" s="95"/>
      <c r="AH857" s="2"/>
      <c r="AI857" s="2"/>
      <c r="AJ857" s="2"/>
      <c r="AK857" s="2"/>
    </row>
    <row r="858" spans="1:37" ht="15.75" customHeight="1" x14ac:dyDescent="0.2">
      <c r="A858" s="1"/>
      <c r="B858" s="2"/>
      <c r="C858" s="1"/>
      <c r="D858" s="1"/>
      <c r="E858" s="48"/>
      <c r="F858" s="48"/>
      <c r="G858" s="2"/>
      <c r="H858" s="48"/>
      <c r="I858" s="2"/>
      <c r="J858" s="2"/>
      <c r="K858" s="2"/>
      <c r="L858" s="2"/>
      <c r="M858" s="2"/>
      <c r="N858" s="2"/>
      <c r="O858" s="95"/>
      <c r="P858" s="95"/>
      <c r="Q858" s="95"/>
      <c r="R858" s="95"/>
      <c r="AE858" s="95"/>
      <c r="AF858" s="95"/>
      <c r="AG858" s="95"/>
      <c r="AH858" s="2"/>
      <c r="AI858" s="2"/>
      <c r="AJ858" s="2"/>
      <c r="AK858" s="2"/>
    </row>
    <row r="859" spans="1:37" ht="15.75" customHeight="1" x14ac:dyDescent="0.2">
      <c r="A859" s="1"/>
      <c r="B859" s="2"/>
      <c r="C859" s="1"/>
      <c r="D859" s="1"/>
      <c r="E859" s="48"/>
      <c r="F859" s="48"/>
      <c r="G859" s="2"/>
      <c r="H859" s="48"/>
      <c r="I859" s="2"/>
      <c r="J859" s="2"/>
      <c r="K859" s="2"/>
      <c r="L859" s="2"/>
      <c r="M859" s="2"/>
      <c r="N859" s="2"/>
      <c r="O859" s="95"/>
      <c r="P859" s="95"/>
      <c r="Q859" s="95"/>
      <c r="R859" s="95"/>
      <c r="AE859" s="95"/>
      <c r="AF859" s="95"/>
      <c r="AG859" s="95"/>
      <c r="AH859" s="2"/>
      <c r="AI859" s="2"/>
      <c r="AJ859" s="2"/>
      <c r="AK859" s="2"/>
    </row>
    <row r="860" spans="1:37" ht="15.75" customHeight="1" x14ac:dyDescent="0.2">
      <c r="A860" s="1"/>
      <c r="B860" s="2"/>
      <c r="C860" s="1"/>
      <c r="D860" s="1"/>
      <c r="E860" s="48"/>
      <c r="F860" s="48"/>
      <c r="G860" s="2"/>
      <c r="H860" s="48"/>
      <c r="I860" s="2"/>
      <c r="J860" s="2"/>
      <c r="K860" s="2"/>
      <c r="L860" s="2"/>
      <c r="M860" s="2"/>
      <c r="N860" s="2"/>
      <c r="O860" s="95"/>
      <c r="P860" s="95"/>
      <c r="Q860" s="95"/>
      <c r="R860" s="95"/>
      <c r="AE860" s="95"/>
      <c r="AF860" s="95"/>
      <c r="AG860" s="95"/>
      <c r="AH860" s="2"/>
      <c r="AI860" s="2"/>
      <c r="AJ860" s="2"/>
      <c r="AK860" s="2"/>
    </row>
    <row r="861" spans="1:37" ht="15.75" customHeight="1" x14ac:dyDescent="0.2">
      <c r="A861" s="1"/>
      <c r="B861" s="2"/>
      <c r="C861" s="1"/>
      <c r="D861" s="1"/>
      <c r="E861" s="48"/>
      <c r="F861" s="48"/>
      <c r="G861" s="2"/>
      <c r="H861" s="48"/>
      <c r="I861" s="2"/>
      <c r="J861" s="2"/>
      <c r="K861" s="2"/>
      <c r="L861" s="2"/>
      <c r="M861" s="2"/>
      <c r="N861" s="2"/>
      <c r="O861" s="95"/>
      <c r="P861" s="95"/>
      <c r="Q861" s="95"/>
      <c r="R861" s="95"/>
      <c r="AE861" s="95"/>
      <c r="AF861" s="95"/>
      <c r="AG861" s="95"/>
      <c r="AH861" s="2"/>
      <c r="AI861" s="2"/>
      <c r="AJ861" s="2"/>
      <c r="AK861" s="2"/>
    </row>
    <row r="862" spans="1:37" ht="15.75" customHeight="1" x14ac:dyDescent="0.2">
      <c r="A862" s="1"/>
      <c r="B862" s="2"/>
      <c r="C862" s="1"/>
      <c r="D862" s="1"/>
      <c r="E862" s="48"/>
      <c r="F862" s="48"/>
      <c r="G862" s="2"/>
      <c r="H862" s="48"/>
      <c r="I862" s="2"/>
      <c r="J862" s="2"/>
      <c r="K862" s="2"/>
      <c r="L862" s="2"/>
      <c r="M862" s="2"/>
      <c r="N862" s="2"/>
      <c r="O862" s="95"/>
      <c r="P862" s="95"/>
      <c r="Q862" s="95"/>
      <c r="R862" s="95"/>
      <c r="AE862" s="95"/>
      <c r="AF862" s="95"/>
      <c r="AG862" s="95"/>
      <c r="AH862" s="2"/>
      <c r="AI862" s="2"/>
      <c r="AJ862" s="2"/>
      <c r="AK862" s="2"/>
    </row>
    <row r="863" spans="1:37" ht="15.75" customHeight="1" x14ac:dyDescent="0.2">
      <c r="A863" s="1"/>
      <c r="B863" s="2"/>
      <c r="C863" s="1"/>
      <c r="D863" s="1"/>
      <c r="E863" s="48"/>
      <c r="F863" s="48"/>
      <c r="G863" s="2"/>
      <c r="H863" s="48"/>
      <c r="I863" s="2"/>
      <c r="J863" s="2"/>
      <c r="K863" s="2"/>
      <c r="L863" s="2"/>
      <c r="M863" s="2"/>
      <c r="N863" s="2"/>
      <c r="O863" s="95"/>
      <c r="P863" s="95"/>
      <c r="Q863" s="95"/>
      <c r="R863" s="95"/>
      <c r="AE863" s="95"/>
      <c r="AF863" s="95"/>
      <c r="AG863" s="95"/>
      <c r="AH863" s="2"/>
      <c r="AI863" s="2"/>
      <c r="AJ863" s="2"/>
      <c r="AK863" s="2"/>
    </row>
    <row r="864" spans="1:37" ht="15.75" customHeight="1" x14ac:dyDescent="0.2">
      <c r="A864" s="1"/>
      <c r="B864" s="2"/>
      <c r="C864" s="1"/>
      <c r="D864" s="1"/>
      <c r="E864" s="48"/>
      <c r="F864" s="48"/>
      <c r="G864" s="2"/>
      <c r="H864" s="48"/>
      <c r="I864" s="2"/>
      <c r="J864" s="2"/>
      <c r="K864" s="2"/>
      <c r="L864" s="2"/>
      <c r="M864" s="2"/>
      <c r="N864" s="2"/>
      <c r="O864" s="95"/>
      <c r="P864" s="95"/>
      <c r="Q864" s="95"/>
      <c r="R864" s="95"/>
      <c r="AE864" s="95"/>
      <c r="AF864" s="95"/>
      <c r="AG864" s="95"/>
      <c r="AH864" s="2"/>
      <c r="AI864" s="2"/>
      <c r="AJ864" s="2"/>
      <c r="AK864" s="2"/>
    </row>
    <row r="865" spans="1:37" ht="15.75" customHeight="1" x14ac:dyDescent="0.2">
      <c r="A865" s="1"/>
      <c r="B865" s="2"/>
      <c r="C865" s="1"/>
      <c r="D865" s="1"/>
      <c r="E865" s="48"/>
      <c r="F865" s="48"/>
      <c r="G865" s="2"/>
      <c r="H865" s="48"/>
      <c r="I865" s="2"/>
      <c r="J865" s="2"/>
      <c r="K865" s="2"/>
      <c r="L865" s="2"/>
      <c r="M865" s="2"/>
      <c r="N865" s="2"/>
      <c r="O865" s="95"/>
      <c r="P865" s="95"/>
      <c r="Q865" s="95"/>
      <c r="R865" s="95"/>
      <c r="AE865" s="95"/>
      <c r="AF865" s="95"/>
      <c r="AG865" s="95"/>
      <c r="AH865" s="2"/>
      <c r="AI865" s="2"/>
      <c r="AJ865" s="2"/>
      <c r="AK865" s="2"/>
    </row>
    <row r="866" spans="1:37" ht="15.75" customHeight="1" x14ac:dyDescent="0.2">
      <c r="A866" s="1"/>
      <c r="B866" s="2"/>
      <c r="C866" s="1"/>
      <c r="D866" s="1"/>
      <c r="E866" s="48"/>
      <c r="F866" s="48"/>
      <c r="G866" s="2"/>
      <c r="H866" s="48"/>
      <c r="I866" s="2"/>
      <c r="J866" s="2"/>
      <c r="K866" s="2"/>
      <c r="L866" s="2"/>
      <c r="M866" s="2"/>
      <c r="N866" s="2"/>
      <c r="O866" s="95"/>
      <c r="P866" s="95"/>
      <c r="Q866" s="95"/>
      <c r="R866" s="95"/>
      <c r="AE866" s="95"/>
      <c r="AF866" s="95"/>
      <c r="AG866" s="95"/>
      <c r="AH866" s="2"/>
      <c r="AI866" s="2"/>
      <c r="AJ866" s="2"/>
      <c r="AK866" s="2"/>
    </row>
    <row r="867" spans="1:37" ht="15.75" customHeight="1" x14ac:dyDescent="0.2">
      <c r="A867" s="1"/>
      <c r="B867" s="2"/>
      <c r="C867" s="1"/>
      <c r="D867" s="1"/>
      <c r="E867" s="48"/>
      <c r="F867" s="48"/>
      <c r="G867" s="2"/>
      <c r="H867" s="48"/>
      <c r="I867" s="2"/>
      <c r="J867" s="2"/>
      <c r="K867" s="2"/>
      <c r="L867" s="2"/>
      <c r="M867" s="2"/>
      <c r="N867" s="2"/>
      <c r="O867" s="95"/>
      <c r="P867" s="95"/>
      <c r="Q867" s="95"/>
      <c r="R867" s="95"/>
      <c r="AE867" s="95"/>
      <c r="AF867" s="95"/>
      <c r="AG867" s="95"/>
      <c r="AH867" s="2"/>
      <c r="AI867" s="2"/>
      <c r="AJ867" s="2"/>
      <c r="AK867" s="2"/>
    </row>
    <row r="868" spans="1:37" ht="15.75" customHeight="1" x14ac:dyDescent="0.2">
      <c r="A868" s="1"/>
      <c r="B868" s="2"/>
      <c r="C868" s="1"/>
      <c r="D868" s="1"/>
      <c r="E868" s="48"/>
      <c r="F868" s="48"/>
      <c r="G868" s="2"/>
      <c r="H868" s="48"/>
      <c r="I868" s="2"/>
      <c r="J868" s="2"/>
      <c r="K868" s="2"/>
      <c r="L868" s="2"/>
      <c r="M868" s="2"/>
      <c r="N868" s="2"/>
      <c r="O868" s="95"/>
      <c r="P868" s="95"/>
      <c r="Q868" s="95"/>
      <c r="R868" s="95"/>
      <c r="AE868" s="95"/>
      <c r="AF868" s="95"/>
      <c r="AG868" s="95"/>
      <c r="AH868" s="2"/>
      <c r="AI868" s="2"/>
      <c r="AJ868" s="2"/>
      <c r="AK868" s="2"/>
    </row>
    <row r="869" spans="1:37" ht="15.75" customHeight="1" x14ac:dyDescent="0.2">
      <c r="A869" s="1"/>
      <c r="B869" s="2"/>
      <c r="C869" s="1"/>
      <c r="D869" s="1"/>
      <c r="E869" s="48"/>
      <c r="F869" s="48"/>
      <c r="G869" s="2"/>
      <c r="H869" s="48"/>
      <c r="I869" s="2"/>
      <c r="J869" s="2"/>
      <c r="K869" s="2"/>
      <c r="L869" s="2"/>
      <c r="M869" s="2"/>
      <c r="N869" s="2"/>
      <c r="O869" s="95"/>
      <c r="P869" s="95"/>
      <c r="Q869" s="95"/>
      <c r="R869" s="95"/>
      <c r="AE869" s="95"/>
      <c r="AF869" s="95"/>
      <c r="AG869" s="95"/>
      <c r="AH869" s="2"/>
      <c r="AI869" s="2"/>
      <c r="AJ869" s="2"/>
      <c r="AK869" s="2"/>
    </row>
    <row r="870" spans="1:37" ht="15.75" customHeight="1" x14ac:dyDescent="0.2">
      <c r="A870" s="1"/>
      <c r="B870" s="2"/>
      <c r="C870" s="1"/>
      <c r="D870" s="1"/>
      <c r="E870" s="48"/>
      <c r="F870" s="48"/>
      <c r="G870" s="2"/>
      <c r="H870" s="48"/>
      <c r="I870" s="2"/>
      <c r="J870" s="2"/>
      <c r="K870" s="2"/>
      <c r="L870" s="2"/>
      <c r="M870" s="2"/>
      <c r="N870" s="2"/>
      <c r="O870" s="95"/>
      <c r="P870" s="95"/>
      <c r="Q870" s="95"/>
      <c r="R870" s="95"/>
      <c r="AE870" s="95"/>
      <c r="AF870" s="95"/>
      <c r="AG870" s="95"/>
      <c r="AH870" s="2"/>
      <c r="AI870" s="2"/>
      <c r="AJ870" s="2"/>
      <c r="AK870" s="2"/>
    </row>
    <row r="871" spans="1:37" ht="15.75" customHeight="1" x14ac:dyDescent="0.2">
      <c r="A871" s="1"/>
      <c r="B871" s="2"/>
      <c r="C871" s="1"/>
      <c r="D871" s="1"/>
      <c r="E871" s="48"/>
      <c r="F871" s="48"/>
      <c r="G871" s="2"/>
      <c r="H871" s="48"/>
      <c r="I871" s="2"/>
      <c r="J871" s="2"/>
      <c r="K871" s="2"/>
      <c r="L871" s="2"/>
      <c r="M871" s="2"/>
      <c r="N871" s="2"/>
      <c r="O871" s="95"/>
      <c r="P871" s="95"/>
      <c r="Q871" s="95"/>
      <c r="R871" s="95"/>
      <c r="AE871" s="95"/>
      <c r="AF871" s="95"/>
      <c r="AG871" s="95"/>
      <c r="AH871" s="2"/>
      <c r="AI871" s="2"/>
      <c r="AJ871" s="2"/>
      <c r="AK871" s="2"/>
    </row>
    <row r="872" spans="1:37" ht="15.75" customHeight="1" x14ac:dyDescent="0.2">
      <c r="A872" s="1"/>
      <c r="B872" s="2"/>
      <c r="C872" s="1"/>
      <c r="D872" s="1"/>
      <c r="E872" s="48"/>
      <c r="F872" s="48"/>
      <c r="G872" s="2"/>
      <c r="H872" s="48"/>
      <c r="I872" s="2"/>
      <c r="J872" s="2"/>
      <c r="K872" s="2"/>
      <c r="L872" s="2"/>
      <c r="M872" s="2"/>
      <c r="N872" s="2"/>
      <c r="O872" s="95"/>
      <c r="P872" s="95"/>
      <c r="Q872" s="95"/>
      <c r="R872" s="95"/>
      <c r="AE872" s="95"/>
      <c r="AF872" s="95"/>
      <c r="AG872" s="95"/>
      <c r="AH872" s="2"/>
      <c r="AI872" s="2"/>
      <c r="AJ872" s="2"/>
      <c r="AK872" s="2"/>
    </row>
    <row r="873" spans="1:37" ht="15.75" customHeight="1" x14ac:dyDescent="0.2">
      <c r="A873" s="1"/>
      <c r="B873" s="2"/>
      <c r="C873" s="1"/>
      <c r="D873" s="1"/>
      <c r="E873" s="48"/>
      <c r="F873" s="48"/>
      <c r="G873" s="2"/>
      <c r="H873" s="48"/>
      <c r="I873" s="2"/>
      <c r="J873" s="2"/>
      <c r="K873" s="2"/>
      <c r="L873" s="2"/>
      <c r="M873" s="2"/>
      <c r="N873" s="2"/>
      <c r="O873" s="95"/>
      <c r="P873" s="95"/>
      <c r="Q873" s="95"/>
      <c r="R873" s="95"/>
      <c r="AE873" s="95"/>
      <c r="AF873" s="95"/>
      <c r="AG873" s="95"/>
      <c r="AH873" s="2"/>
      <c r="AI873" s="2"/>
      <c r="AJ873" s="2"/>
      <c r="AK873" s="2"/>
    </row>
    <row r="874" spans="1:37" ht="15.75" customHeight="1" x14ac:dyDescent="0.2">
      <c r="A874" s="1"/>
      <c r="B874" s="2"/>
      <c r="C874" s="1"/>
      <c r="D874" s="1"/>
      <c r="E874" s="48"/>
      <c r="F874" s="48"/>
      <c r="G874" s="2"/>
      <c r="H874" s="48"/>
      <c r="I874" s="2"/>
      <c r="J874" s="2"/>
      <c r="K874" s="2"/>
      <c r="L874" s="2"/>
      <c r="M874" s="2"/>
      <c r="N874" s="2"/>
      <c r="O874" s="95"/>
      <c r="P874" s="95"/>
      <c r="Q874" s="95"/>
      <c r="R874" s="95"/>
      <c r="AE874" s="95"/>
      <c r="AF874" s="95"/>
      <c r="AG874" s="95"/>
      <c r="AH874" s="2"/>
      <c r="AI874" s="2"/>
      <c r="AJ874" s="2"/>
      <c r="AK874" s="2"/>
    </row>
    <row r="875" spans="1:37" ht="15.75" customHeight="1" x14ac:dyDescent="0.2">
      <c r="A875" s="1"/>
      <c r="B875" s="2"/>
      <c r="C875" s="1"/>
      <c r="D875" s="1"/>
      <c r="E875" s="48"/>
      <c r="F875" s="48"/>
      <c r="G875" s="2"/>
      <c r="H875" s="48"/>
      <c r="I875" s="2"/>
      <c r="J875" s="2"/>
      <c r="K875" s="2"/>
      <c r="L875" s="2"/>
      <c r="M875" s="2"/>
      <c r="N875" s="2"/>
      <c r="O875" s="95"/>
      <c r="P875" s="95"/>
      <c r="Q875" s="95"/>
      <c r="R875" s="95"/>
      <c r="AE875" s="95"/>
      <c r="AF875" s="95"/>
      <c r="AG875" s="95"/>
      <c r="AH875" s="2"/>
      <c r="AI875" s="2"/>
      <c r="AJ875" s="2"/>
      <c r="AK875" s="2"/>
    </row>
    <row r="876" spans="1:37" ht="15.75" customHeight="1" x14ac:dyDescent="0.2">
      <c r="A876" s="1"/>
      <c r="B876" s="2"/>
      <c r="C876" s="1"/>
      <c r="D876" s="1"/>
      <c r="E876" s="48"/>
      <c r="F876" s="48"/>
      <c r="G876" s="2"/>
      <c r="H876" s="48"/>
      <c r="I876" s="2"/>
      <c r="J876" s="2"/>
      <c r="K876" s="2"/>
      <c r="L876" s="2"/>
      <c r="M876" s="2"/>
      <c r="N876" s="2"/>
      <c r="O876" s="95"/>
      <c r="P876" s="95"/>
      <c r="Q876" s="95"/>
      <c r="R876" s="95"/>
      <c r="AE876" s="95"/>
      <c r="AF876" s="95"/>
      <c r="AG876" s="95"/>
      <c r="AH876" s="2"/>
      <c r="AI876" s="2"/>
      <c r="AJ876" s="2"/>
      <c r="AK876" s="2"/>
    </row>
    <row r="877" spans="1:37" ht="15.75" customHeight="1" x14ac:dyDescent="0.2">
      <c r="A877" s="1"/>
      <c r="B877" s="2"/>
      <c r="C877" s="1"/>
      <c r="D877" s="1"/>
      <c r="E877" s="48"/>
      <c r="F877" s="48"/>
      <c r="G877" s="2"/>
      <c r="H877" s="48"/>
      <c r="I877" s="2"/>
      <c r="J877" s="2"/>
      <c r="K877" s="2"/>
      <c r="L877" s="2"/>
      <c r="M877" s="2"/>
      <c r="N877" s="2"/>
      <c r="O877" s="95"/>
      <c r="P877" s="95"/>
      <c r="Q877" s="95"/>
      <c r="R877" s="95"/>
      <c r="AE877" s="95"/>
      <c r="AF877" s="95"/>
      <c r="AG877" s="95"/>
      <c r="AH877" s="2"/>
      <c r="AI877" s="2"/>
      <c r="AJ877" s="2"/>
      <c r="AK877" s="2"/>
    </row>
    <row r="878" spans="1:37" ht="15.75" customHeight="1" x14ac:dyDescent="0.2">
      <c r="A878" s="1"/>
      <c r="B878" s="2"/>
      <c r="C878" s="1"/>
      <c r="D878" s="1"/>
      <c r="E878" s="48"/>
      <c r="F878" s="48"/>
      <c r="G878" s="2"/>
      <c r="H878" s="48"/>
      <c r="I878" s="2"/>
      <c r="J878" s="2"/>
      <c r="K878" s="2"/>
      <c r="L878" s="2"/>
      <c r="M878" s="2"/>
      <c r="N878" s="2"/>
      <c r="O878" s="95"/>
      <c r="P878" s="95"/>
      <c r="Q878" s="95"/>
      <c r="R878" s="95"/>
      <c r="AE878" s="95"/>
      <c r="AF878" s="95"/>
      <c r="AG878" s="95"/>
      <c r="AH878" s="2"/>
      <c r="AI878" s="2"/>
      <c r="AJ878" s="2"/>
      <c r="AK878" s="2"/>
    </row>
    <row r="879" spans="1:37" ht="15.75" customHeight="1" x14ac:dyDescent="0.2">
      <c r="A879" s="1"/>
      <c r="B879" s="2"/>
      <c r="C879" s="1"/>
      <c r="D879" s="1"/>
      <c r="E879" s="48"/>
      <c r="F879" s="48"/>
      <c r="G879" s="2"/>
      <c r="H879" s="48"/>
      <c r="I879" s="2"/>
      <c r="J879" s="2"/>
      <c r="K879" s="2"/>
      <c r="L879" s="2"/>
      <c r="M879" s="2"/>
      <c r="N879" s="2"/>
      <c r="O879" s="95"/>
      <c r="P879" s="95"/>
      <c r="Q879" s="95"/>
      <c r="R879" s="95"/>
      <c r="AE879" s="95"/>
      <c r="AF879" s="95"/>
      <c r="AG879" s="95"/>
      <c r="AH879" s="2"/>
      <c r="AI879" s="2"/>
      <c r="AJ879" s="2"/>
      <c r="AK879" s="2"/>
    </row>
    <row r="880" spans="1:37" ht="15.75" customHeight="1" x14ac:dyDescent="0.2">
      <c r="A880" s="1"/>
      <c r="B880" s="2"/>
      <c r="C880" s="1"/>
      <c r="D880" s="1"/>
      <c r="E880" s="48"/>
      <c r="F880" s="48"/>
      <c r="G880" s="2"/>
      <c r="H880" s="48"/>
      <c r="I880" s="2"/>
      <c r="J880" s="2"/>
      <c r="K880" s="2"/>
      <c r="L880" s="2"/>
      <c r="M880" s="2"/>
      <c r="N880" s="2"/>
      <c r="O880" s="95"/>
      <c r="P880" s="95"/>
      <c r="Q880" s="95"/>
      <c r="R880" s="95"/>
      <c r="AE880" s="95"/>
      <c r="AF880" s="95"/>
      <c r="AG880" s="95"/>
      <c r="AH880" s="2"/>
      <c r="AI880" s="2"/>
      <c r="AJ880" s="2"/>
      <c r="AK880" s="2"/>
    </row>
    <row r="881" spans="1:37" ht="15.75" customHeight="1" x14ac:dyDescent="0.2">
      <c r="A881" s="1"/>
      <c r="B881" s="2"/>
      <c r="C881" s="1"/>
      <c r="D881" s="1"/>
      <c r="E881" s="48"/>
      <c r="F881" s="48"/>
      <c r="G881" s="2"/>
      <c r="H881" s="48"/>
      <c r="I881" s="2"/>
      <c r="J881" s="2"/>
      <c r="K881" s="2"/>
      <c r="L881" s="2"/>
      <c r="M881" s="2"/>
      <c r="N881" s="2"/>
      <c r="O881" s="95"/>
      <c r="P881" s="95"/>
      <c r="Q881" s="95"/>
      <c r="R881" s="95"/>
      <c r="AE881" s="95"/>
      <c r="AF881" s="95"/>
      <c r="AG881" s="95"/>
      <c r="AH881" s="2"/>
      <c r="AI881" s="2"/>
      <c r="AJ881" s="2"/>
      <c r="AK881" s="2"/>
    </row>
    <row r="882" spans="1:37" ht="15.75" customHeight="1" x14ac:dyDescent="0.2">
      <c r="A882" s="1"/>
      <c r="B882" s="2"/>
      <c r="C882" s="1"/>
      <c r="D882" s="1"/>
      <c r="E882" s="48"/>
      <c r="F882" s="48"/>
      <c r="G882" s="2"/>
      <c r="H882" s="48"/>
      <c r="I882" s="2"/>
      <c r="J882" s="2"/>
      <c r="K882" s="2"/>
      <c r="L882" s="2"/>
      <c r="M882" s="2"/>
      <c r="N882" s="2"/>
      <c r="O882" s="95"/>
      <c r="P882" s="95"/>
      <c r="Q882" s="95"/>
      <c r="R882" s="95"/>
      <c r="AE882" s="95"/>
      <c r="AF882" s="95"/>
      <c r="AG882" s="95"/>
      <c r="AH882" s="2"/>
      <c r="AI882" s="2"/>
      <c r="AJ882" s="2"/>
      <c r="AK882" s="2"/>
    </row>
    <row r="883" spans="1:37" ht="15.75" customHeight="1" x14ac:dyDescent="0.2">
      <c r="A883" s="1"/>
      <c r="B883" s="2"/>
      <c r="C883" s="1"/>
      <c r="D883" s="1"/>
      <c r="E883" s="48"/>
      <c r="F883" s="48"/>
      <c r="G883" s="2"/>
      <c r="H883" s="48"/>
      <c r="I883" s="2"/>
      <c r="J883" s="2"/>
      <c r="K883" s="2"/>
      <c r="L883" s="2"/>
      <c r="M883" s="2"/>
      <c r="N883" s="2"/>
      <c r="O883" s="95"/>
      <c r="P883" s="95"/>
      <c r="Q883" s="95"/>
      <c r="R883" s="95"/>
      <c r="AE883" s="95"/>
      <c r="AF883" s="95"/>
      <c r="AG883" s="95"/>
      <c r="AH883" s="2"/>
      <c r="AI883" s="2"/>
      <c r="AJ883" s="2"/>
      <c r="AK883" s="2"/>
    </row>
    <row r="884" spans="1:37" ht="15.75" customHeight="1" x14ac:dyDescent="0.2">
      <c r="A884" s="1"/>
      <c r="B884" s="2"/>
      <c r="C884" s="1"/>
      <c r="D884" s="1"/>
      <c r="E884" s="48"/>
      <c r="F884" s="48"/>
      <c r="G884" s="2"/>
      <c r="H884" s="48"/>
      <c r="I884" s="2"/>
      <c r="J884" s="2"/>
      <c r="K884" s="2"/>
      <c r="L884" s="2"/>
      <c r="M884" s="2"/>
      <c r="N884" s="2"/>
      <c r="O884" s="95"/>
      <c r="P884" s="95"/>
      <c r="Q884" s="95"/>
      <c r="R884" s="95"/>
      <c r="AE884" s="95"/>
      <c r="AF884" s="95"/>
      <c r="AG884" s="95"/>
      <c r="AH884" s="2"/>
      <c r="AI884" s="2"/>
      <c r="AJ884" s="2"/>
      <c r="AK884" s="2"/>
    </row>
    <row r="885" spans="1:37" ht="15.75" customHeight="1" x14ac:dyDescent="0.2">
      <c r="A885" s="1"/>
      <c r="B885" s="2"/>
      <c r="C885" s="1"/>
      <c r="D885" s="1"/>
      <c r="E885" s="48"/>
      <c r="F885" s="48"/>
      <c r="G885" s="2"/>
      <c r="H885" s="48"/>
      <c r="I885" s="2"/>
      <c r="J885" s="2"/>
      <c r="K885" s="2"/>
      <c r="L885" s="2"/>
      <c r="M885" s="2"/>
      <c r="N885" s="2"/>
      <c r="O885" s="95"/>
      <c r="P885" s="95"/>
      <c r="Q885" s="95"/>
      <c r="R885" s="95"/>
      <c r="AE885" s="95"/>
      <c r="AF885" s="95"/>
      <c r="AG885" s="95"/>
      <c r="AH885" s="2"/>
      <c r="AI885" s="2"/>
      <c r="AJ885" s="2"/>
      <c r="AK885" s="2"/>
    </row>
    <row r="886" spans="1:37" ht="15.75" customHeight="1" x14ac:dyDescent="0.2">
      <c r="A886" s="1"/>
      <c r="B886" s="2"/>
      <c r="C886" s="1"/>
      <c r="D886" s="1"/>
      <c r="E886" s="48"/>
      <c r="F886" s="48"/>
      <c r="G886" s="2"/>
      <c r="H886" s="48"/>
      <c r="I886" s="2"/>
      <c r="J886" s="2"/>
      <c r="K886" s="2"/>
      <c r="L886" s="2"/>
      <c r="M886" s="2"/>
      <c r="N886" s="2"/>
      <c r="O886" s="95"/>
      <c r="P886" s="95"/>
      <c r="Q886" s="95"/>
      <c r="R886" s="95"/>
      <c r="AE886" s="95"/>
      <c r="AF886" s="95"/>
      <c r="AG886" s="95"/>
      <c r="AH886" s="2"/>
      <c r="AI886" s="2"/>
      <c r="AJ886" s="2"/>
      <c r="AK886" s="2"/>
    </row>
    <row r="887" spans="1:37" ht="15.75" customHeight="1" x14ac:dyDescent="0.2">
      <c r="A887" s="1"/>
      <c r="B887" s="2"/>
      <c r="C887" s="1"/>
      <c r="D887" s="1"/>
      <c r="E887" s="48"/>
      <c r="F887" s="48"/>
      <c r="G887" s="2"/>
      <c r="H887" s="48"/>
      <c r="I887" s="2"/>
      <c r="J887" s="2"/>
      <c r="K887" s="2"/>
      <c r="L887" s="2"/>
      <c r="M887" s="2"/>
      <c r="N887" s="2"/>
      <c r="O887" s="95"/>
      <c r="P887" s="95"/>
      <c r="Q887" s="95"/>
      <c r="R887" s="95"/>
      <c r="AE887" s="95"/>
      <c r="AF887" s="95"/>
      <c r="AG887" s="95"/>
      <c r="AH887" s="2"/>
      <c r="AI887" s="2"/>
      <c r="AJ887" s="2"/>
      <c r="AK887" s="2"/>
    </row>
    <row r="888" spans="1:37" ht="15.75" customHeight="1" x14ac:dyDescent="0.2">
      <c r="A888" s="1"/>
      <c r="B888" s="2"/>
      <c r="C888" s="1"/>
      <c r="D888" s="1"/>
      <c r="E888" s="48"/>
      <c r="F888" s="48"/>
      <c r="G888" s="2"/>
      <c r="H888" s="48"/>
      <c r="I888" s="2"/>
      <c r="J888" s="2"/>
      <c r="K888" s="2"/>
      <c r="L888" s="2"/>
      <c r="M888" s="2"/>
      <c r="N888" s="2"/>
      <c r="O888" s="95"/>
      <c r="P888" s="95"/>
      <c r="Q888" s="95"/>
      <c r="R888" s="95"/>
      <c r="AE888" s="95"/>
      <c r="AF888" s="95"/>
      <c r="AG888" s="95"/>
      <c r="AH888" s="2"/>
      <c r="AI888" s="2"/>
      <c r="AJ888" s="2"/>
      <c r="AK888" s="2"/>
    </row>
    <row r="889" spans="1:37" ht="15.75" customHeight="1" x14ac:dyDescent="0.2">
      <c r="A889" s="1"/>
      <c r="B889" s="2"/>
      <c r="C889" s="1"/>
      <c r="D889" s="1"/>
      <c r="E889" s="48"/>
      <c r="F889" s="48"/>
      <c r="G889" s="2"/>
      <c r="H889" s="48"/>
      <c r="I889" s="2"/>
      <c r="J889" s="2"/>
      <c r="K889" s="2"/>
      <c r="L889" s="2"/>
      <c r="M889" s="2"/>
      <c r="N889" s="2"/>
      <c r="O889" s="95"/>
      <c r="P889" s="95"/>
      <c r="Q889" s="95"/>
      <c r="R889" s="95"/>
      <c r="AE889" s="95"/>
      <c r="AF889" s="95"/>
      <c r="AG889" s="95"/>
      <c r="AH889" s="2"/>
      <c r="AI889" s="2"/>
      <c r="AJ889" s="2"/>
      <c r="AK889" s="2"/>
    </row>
    <row r="890" spans="1:37" ht="15.75" customHeight="1" x14ac:dyDescent="0.2">
      <c r="A890" s="1"/>
      <c r="B890" s="2"/>
      <c r="C890" s="1"/>
      <c r="D890" s="1"/>
      <c r="E890" s="48"/>
      <c r="F890" s="48"/>
      <c r="G890" s="2"/>
      <c r="H890" s="48"/>
      <c r="I890" s="2"/>
      <c r="J890" s="2"/>
      <c r="K890" s="2"/>
      <c r="L890" s="2"/>
      <c r="M890" s="2"/>
      <c r="N890" s="2"/>
      <c r="O890" s="95"/>
      <c r="P890" s="95"/>
      <c r="Q890" s="95"/>
      <c r="R890" s="95"/>
      <c r="AE890" s="95"/>
      <c r="AF890" s="95"/>
      <c r="AG890" s="95"/>
      <c r="AH890" s="2"/>
      <c r="AI890" s="2"/>
      <c r="AJ890" s="2"/>
      <c r="AK890" s="2"/>
    </row>
    <row r="891" spans="1:37" ht="15.75" customHeight="1" x14ac:dyDescent="0.2">
      <c r="A891" s="1"/>
      <c r="B891" s="2"/>
      <c r="C891" s="1"/>
      <c r="D891" s="1"/>
      <c r="E891" s="48"/>
      <c r="F891" s="48"/>
      <c r="G891" s="2"/>
      <c r="H891" s="48"/>
      <c r="I891" s="2"/>
      <c r="J891" s="2"/>
      <c r="K891" s="2"/>
      <c r="L891" s="2"/>
      <c r="M891" s="2"/>
      <c r="N891" s="2"/>
      <c r="O891" s="95"/>
      <c r="P891" s="95"/>
      <c r="Q891" s="95"/>
      <c r="R891" s="95"/>
      <c r="AE891" s="95"/>
      <c r="AF891" s="95"/>
      <c r="AG891" s="95"/>
      <c r="AH891" s="2"/>
      <c r="AI891" s="2"/>
      <c r="AJ891" s="2"/>
      <c r="AK891" s="2"/>
    </row>
    <row r="892" spans="1:37" ht="15.75" customHeight="1" x14ac:dyDescent="0.2">
      <c r="A892" s="1"/>
      <c r="B892" s="2"/>
      <c r="C892" s="1"/>
      <c r="D892" s="1"/>
      <c r="E892" s="48"/>
      <c r="F892" s="48"/>
      <c r="G892" s="2"/>
      <c r="H892" s="48"/>
      <c r="I892" s="2"/>
      <c r="J892" s="2"/>
      <c r="K892" s="2"/>
      <c r="L892" s="2"/>
      <c r="M892" s="2"/>
      <c r="N892" s="2"/>
      <c r="O892" s="95"/>
      <c r="P892" s="95"/>
      <c r="Q892" s="95"/>
      <c r="R892" s="95"/>
      <c r="AE892" s="95"/>
      <c r="AF892" s="95"/>
      <c r="AG892" s="95"/>
      <c r="AH892" s="2"/>
      <c r="AI892" s="2"/>
      <c r="AJ892" s="2"/>
      <c r="AK892" s="2"/>
    </row>
    <row r="893" spans="1:37" ht="15.75" customHeight="1" x14ac:dyDescent="0.2">
      <c r="A893" s="1"/>
      <c r="B893" s="2"/>
      <c r="C893" s="1"/>
      <c r="D893" s="1"/>
      <c r="E893" s="48"/>
      <c r="F893" s="48"/>
      <c r="G893" s="2"/>
      <c r="H893" s="48"/>
      <c r="I893" s="2"/>
      <c r="J893" s="2"/>
      <c r="K893" s="2"/>
      <c r="L893" s="2"/>
      <c r="M893" s="2"/>
      <c r="N893" s="2"/>
      <c r="O893" s="95"/>
      <c r="P893" s="95"/>
      <c r="Q893" s="95"/>
      <c r="R893" s="95"/>
      <c r="AE893" s="95"/>
      <c r="AF893" s="95"/>
      <c r="AG893" s="95"/>
      <c r="AH893" s="2"/>
      <c r="AI893" s="2"/>
      <c r="AJ893" s="2"/>
      <c r="AK893" s="2"/>
    </row>
    <row r="894" spans="1:37" ht="15.75" customHeight="1" x14ac:dyDescent="0.2">
      <c r="A894" s="1"/>
      <c r="B894" s="2"/>
      <c r="C894" s="1"/>
      <c r="D894" s="1"/>
      <c r="E894" s="48"/>
      <c r="F894" s="48"/>
      <c r="G894" s="2"/>
      <c r="H894" s="48"/>
      <c r="I894" s="2"/>
      <c r="J894" s="2"/>
      <c r="K894" s="2"/>
      <c r="L894" s="2"/>
      <c r="M894" s="2"/>
      <c r="N894" s="2"/>
      <c r="O894" s="95"/>
      <c r="P894" s="95"/>
      <c r="Q894" s="95"/>
      <c r="R894" s="95"/>
      <c r="AE894" s="95"/>
      <c r="AF894" s="95"/>
      <c r="AG894" s="95"/>
      <c r="AH894" s="2"/>
      <c r="AI894" s="2"/>
      <c r="AJ894" s="2"/>
      <c r="AK894" s="2"/>
    </row>
    <row r="895" spans="1:37" ht="15.75" customHeight="1" x14ac:dyDescent="0.2">
      <c r="A895" s="1"/>
      <c r="B895" s="2"/>
      <c r="C895" s="1"/>
      <c r="D895" s="1"/>
      <c r="E895" s="48"/>
      <c r="F895" s="48"/>
      <c r="G895" s="2"/>
      <c r="H895" s="48"/>
      <c r="I895" s="2"/>
      <c r="J895" s="2"/>
      <c r="K895" s="2"/>
      <c r="L895" s="2"/>
      <c r="M895" s="2"/>
      <c r="N895" s="2"/>
      <c r="O895" s="95"/>
      <c r="P895" s="95"/>
      <c r="Q895" s="95"/>
      <c r="R895" s="95"/>
      <c r="AE895" s="95"/>
      <c r="AF895" s="95"/>
      <c r="AG895" s="95"/>
      <c r="AH895" s="2"/>
      <c r="AI895" s="2"/>
      <c r="AJ895" s="2"/>
      <c r="AK895" s="2"/>
    </row>
    <row r="896" spans="1:37" ht="15.75" customHeight="1" x14ac:dyDescent="0.2">
      <c r="A896" s="1"/>
      <c r="B896" s="2"/>
      <c r="C896" s="1"/>
      <c r="D896" s="1"/>
      <c r="E896" s="48"/>
      <c r="F896" s="48"/>
      <c r="G896" s="2"/>
      <c r="H896" s="48"/>
      <c r="I896" s="2"/>
      <c r="J896" s="2"/>
      <c r="K896" s="2"/>
      <c r="L896" s="2"/>
      <c r="M896" s="2"/>
      <c r="N896" s="2"/>
      <c r="O896" s="95"/>
      <c r="P896" s="95"/>
      <c r="Q896" s="95"/>
      <c r="R896" s="95"/>
      <c r="AE896" s="95"/>
      <c r="AF896" s="95"/>
      <c r="AG896" s="95"/>
      <c r="AH896" s="2"/>
      <c r="AI896" s="2"/>
      <c r="AJ896" s="2"/>
      <c r="AK896" s="2"/>
    </row>
    <row r="897" spans="1:37" ht="15.75" customHeight="1" x14ac:dyDescent="0.2">
      <c r="A897" s="1"/>
      <c r="B897" s="2"/>
      <c r="C897" s="1"/>
      <c r="D897" s="1"/>
      <c r="E897" s="48"/>
      <c r="F897" s="48"/>
      <c r="G897" s="2"/>
      <c r="H897" s="48"/>
      <c r="I897" s="2"/>
      <c r="J897" s="2"/>
      <c r="K897" s="2"/>
      <c r="L897" s="2"/>
      <c r="M897" s="2"/>
      <c r="N897" s="2"/>
      <c r="O897" s="95"/>
      <c r="P897" s="95"/>
      <c r="Q897" s="95"/>
      <c r="R897" s="95"/>
      <c r="AE897" s="95"/>
      <c r="AF897" s="95"/>
      <c r="AG897" s="95"/>
      <c r="AH897" s="2"/>
      <c r="AI897" s="2"/>
      <c r="AJ897" s="2"/>
      <c r="AK897" s="2"/>
    </row>
    <row r="898" spans="1:37" ht="15.75" customHeight="1" x14ac:dyDescent="0.2">
      <c r="A898" s="1"/>
      <c r="B898" s="2"/>
      <c r="C898" s="1"/>
      <c r="D898" s="1"/>
      <c r="E898" s="48"/>
      <c r="F898" s="48"/>
      <c r="G898" s="2"/>
      <c r="H898" s="48"/>
      <c r="I898" s="2"/>
      <c r="J898" s="2"/>
      <c r="K898" s="2"/>
      <c r="L898" s="2"/>
      <c r="M898" s="2"/>
      <c r="N898" s="2"/>
      <c r="O898" s="95"/>
      <c r="P898" s="95"/>
      <c r="Q898" s="95"/>
      <c r="R898" s="95"/>
      <c r="AE898" s="95"/>
      <c r="AF898" s="95"/>
      <c r="AG898" s="95"/>
      <c r="AH898" s="2"/>
      <c r="AI898" s="2"/>
      <c r="AJ898" s="2"/>
      <c r="AK898" s="2"/>
    </row>
    <row r="899" spans="1:37" ht="15.75" customHeight="1" x14ac:dyDescent="0.2">
      <c r="A899" s="1"/>
      <c r="B899" s="2"/>
      <c r="C899" s="1"/>
      <c r="D899" s="1"/>
      <c r="E899" s="48"/>
      <c r="F899" s="48"/>
      <c r="G899" s="2"/>
      <c r="H899" s="48"/>
      <c r="I899" s="2"/>
      <c r="J899" s="2"/>
      <c r="K899" s="2"/>
      <c r="L899" s="2"/>
      <c r="M899" s="2"/>
      <c r="N899" s="2"/>
      <c r="O899" s="95"/>
      <c r="P899" s="95"/>
      <c r="Q899" s="95"/>
      <c r="R899" s="95"/>
      <c r="AE899" s="95"/>
      <c r="AF899" s="95"/>
      <c r="AG899" s="95"/>
      <c r="AH899" s="2"/>
      <c r="AI899" s="2"/>
      <c r="AJ899" s="2"/>
      <c r="AK899" s="2"/>
    </row>
    <row r="900" spans="1:37" ht="15.75" customHeight="1" x14ac:dyDescent="0.2">
      <c r="A900" s="1"/>
      <c r="B900" s="2"/>
      <c r="C900" s="1"/>
      <c r="D900" s="1"/>
      <c r="E900" s="48"/>
      <c r="F900" s="48"/>
      <c r="G900" s="2"/>
      <c r="H900" s="48"/>
      <c r="I900" s="2"/>
      <c r="J900" s="2"/>
      <c r="K900" s="2"/>
      <c r="L900" s="2"/>
      <c r="M900" s="2"/>
      <c r="N900" s="2"/>
      <c r="O900" s="95"/>
      <c r="P900" s="95"/>
      <c r="Q900" s="95"/>
      <c r="R900" s="95"/>
      <c r="AE900" s="95"/>
      <c r="AF900" s="95"/>
      <c r="AG900" s="95"/>
      <c r="AH900" s="2"/>
      <c r="AI900" s="2"/>
      <c r="AJ900" s="2"/>
      <c r="AK900" s="2"/>
    </row>
    <row r="901" spans="1:37" ht="15.75" customHeight="1" x14ac:dyDescent="0.2">
      <c r="A901" s="1"/>
      <c r="B901" s="2"/>
      <c r="C901" s="1"/>
      <c r="D901" s="1"/>
      <c r="E901" s="48"/>
      <c r="F901" s="48"/>
      <c r="G901" s="2"/>
      <c r="H901" s="48"/>
      <c r="I901" s="2"/>
      <c r="J901" s="2"/>
      <c r="K901" s="2"/>
      <c r="L901" s="2"/>
      <c r="M901" s="2"/>
      <c r="N901" s="2"/>
      <c r="O901" s="95"/>
      <c r="P901" s="95"/>
      <c r="Q901" s="95"/>
      <c r="R901" s="95"/>
      <c r="AE901" s="95"/>
      <c r="AF901" s="95"/>
      <c r="AG901" s="95"/>
      <c r="AH901" s="2"/>
      <c r="AI901" s="2"/>
      <c r="AJ901" s="2"/>
      <c r="AK901" s="2"/>
    </row>
    <row r="902" spans="1:37" ht="15.75" customHeight="1" x14ac:dyDescent="0.2">
      <c r="A902" s="1"/>
      <c r="B902" s="2"/>
      <c r="C902" s="1"/>
      <c r="D902" s="1"/>
      <c r="E902" s="48"/>
      <c r="F902" s="48"/>
      <c r="G902" s="2"/>
      <c r="H902" s="48"/>
      <c r="I902" s="2"/>
      <c r="J902" s="2"/>
      <c r="K902" s="2"/>
      <c r="L902" s="2"/>
      <c r="M902" s="2"/>
      <c r="N902" s="2"/>
      <c r="O902" s="95"/>
      <c r="P902" s="95"/>
      <c r="Q902" s="95"/>
      <c r="R902" s="95"/>
      <c r="AE902" s="95"/>
      <c r="AF902" s="95"/>
      <c r="AG902" s="95"/>
      <c r="AH902" s="2"/>
      <c r="AI902" s="2"/>
      <c r="AJ902" s="2"/>
      <c r="AK902" s="2"/>
    </row>
    <row r="903" spans="1:37" ht="15.75" customHeight="1" x14ac:dyDescent="0.2">
      <c r="A903" s="1"/>
      <c r="B903" s="2"/>
      <c r="C903" s="1"/>
      <c r="D903" s="1"/>
      <c r="E903" s="48"/>
      <c r="F903" s="48"/>
      <c r="G903" s="2"/>
      <c r="H903" s="48"/>
      <c r="I903" s="2"/>
      <c r="J903" s="2"/>
      <c r="K903" s="2"/>
      <c r="L903" s="2"/>
      <c r="M903" s="2"/>
      <c r="N903" s="2"/>
      <c r="O903" s="95"/>
      <c r="P903" s="95"/>
      <c r="Q903" s="95"/>
      <c r="R903" s="95"/>
      <c r="AE903" s="95"/>
      <c r="AF903" s="95"/>
      <c r="AG903" s="95"/>
      <c r="AH903" s="2"/>
      <c r="AI903" s="2"/>
      <c r="AJ903" s="2"/>
      <c r="AK903" s="2"/>
    </row>
    <row r="904" spans="1:37" ht="15.75" customHeight="1" x14ac:dyDescent="0.2">
      <c r="A904" s="1"/>
      <c r="B904" s="2"/>
      <c r="C904" s="1"/>
      <c r="D904" s="1"/>
      <c r="E904" s="48"/>
      <c r="F904" s="48"/>
      <c r="G904" s="2"/>
      <c r="H904" s="48"/>
      <c r="I904" s="2"/>
      <c r="J904" s="2"/>
      <c r="K904" s="2"/>
      <c r="L904" s="2"/>
      <c r="M904" s="2"/>
      <c r="N904" s="2"/>
      <c r="O904" s="95"/>
      <c r="P904" s="95"/>
      <c r="Q904" s="95"/>
      <c r="R904" s="95"/>
      <c r="AE904" s="95"/>
      <c r="AF904" s="95"/>
      <c r="AG904" s="95"/>
      <c r="AH904" s="2"/>
      <c r="AI904" s="2"/>
      <c r="AJ904" s="2"/>
      <c r="AK904" s="2"/>
    </row>
    <row r="905" spans="1:37" ht="15.75" customHeight="1" x14ac:dyDescent="0.2">
      <c r="A905" s="1"/>
      <c r="B905" s="2"/>
      <c r="C905" s="1"/>
      <c r="D905" s="1"/>
      <c r="E905" s="48"/>
      <c r="F905" s="48"/>
      <c r="G905" s="2"/>
      <c r="H905" s="48"/>
      <c r="I905" s="2"/>
      <c r="J905" s="2"/>
      <c r="K905" s="2"/>
      <c r="L905" s="2"/>
      <c r="M905" s="2"/>
      <c r="N905" s="2"/>
      <c r="O905" s="95"/>
      <c r="P905" s="95"/>
      <c r="Q905" s="95"/>
      <c r="R905" s="95"/>
      <c r="AE905" s="95"/>
      <c r="AF905" s="95"/>
      <c r="AG905" s="95"/>
      <c r="AH905" s="2"/>
      <c r="AI905" s="2"/>
      <c r="AJ905" s="2"/>
      <c r="AK905" s="2"/>
    </row>
    <row r="906" spans="1:37" ht="15.75" customHeight="1" x14ac:dyDescent="0.2">
      <c r="A906" s="1"/>
      <c r="B906" s="2"/>
      <c r="C906" s="1"/>
      <c r="D906" s="1"/>
      <c r="E906" s="48"/>
      <c r="F906" s="48"/>
      <c r="G906" s="2"/>
      <c r="H906" s="48"/>
      <c r="I906" s="2"/>
      <c r="J906" s="2"/>
      <c r="K906" s="2"/>
      <c r="L906" s="2"/>
      <c r="M906" s="2"/>
      <c r="N906" s="2"/>
      <c r="O906" s="95"/>
      <c r="P906" s="95"/>
      <c r="Q906" s="95"/>
      <c r="R906" s="95"/>
      <c r="AE906" s="95"/>
      <c r="AF906" s="95"/>
      <c r="AG906" s="95"/>
      <c r="AH906" s="2"/>
      <c r="AI906" s="2"/>
      <c r="AJ906" s="2"/>
      <c r="AK906" s="2"/>
    </row>
    <row r="907" spans="1:37" ht="15.75" customHeight="1" x14ac:dyDescent="0.2">
      <c r="A907" s="1"/>
      <c r="B907" s="2"/>
      <c r="C907" s="1"/>
      <c r="D907" s="1"/>
      <c r="E907" s="48"/>
      <c r="F907" s="48"/>
      <c r="G907" s="2"/>
      <c r="H907" s="48"/>
      <c r="I907" s="2"/>
      <c r="J907" s="2"/>
      <c r="K907" s="2"/>
      <c r="L907" s="2"/>
      <c r="M907" s="2"/>
      <c r="N907" s="2"/>
      <c r="O907" s="95"/>
      <c r="P907" s="95"/>
      <c r="Q907" s="95"/>
      <c r="R907" s="95"/>
      <c r="AE907" s="95"/>
      <c r="AF907" s="95"/>
      <c r="AG907" s="95"/>
      <c r="AH907" s="2"/>
      <c r="AI907" s="2"/>
      <c r="AJ907" s="2"/>
      <c r="AK907" s="2"/>
    </row>
    <row r="908" spans="1:37" ht="15.75" customHeight="1" x14ac:dyDescent="0.2">
      <c r="A908" s="1"/>
      <c r="B908" s="2"/>
      <c r="C908" s="1"/>
      <c r="D908" s="1"/>
      <c r="E908" s="48"/>
      <c r="F908" s="48"/>
      <c r="G908" s="2"/>
      <c r="H908" s="48"/>
      <c r="I908" s="2"/>
      <c r="J908" s="2"/>
      <c r="K908" s="2"/>
      <c r="L908" s="2"/>
      <c r="M908" s="2"/>
      <c r="N908" s="2"/>
      <c r="O908" s="95"/>
      <c r="P908" s="95"/>
      <c r="Q908" s="95"/>
      <c r="R908" s="95"/>
      <c r="AE908" s="95"/>
      <c r="AF908" s="95"/>
      <c r="AG908" s="95"/>
      <c r="AH908" s="2"/>
      <c r="AI908" s="2"/>
      <c r="AJ908" s="2"/>
      <c r="AK908" s="2"/>
    </row>
    <row r="909" spans="1:37" ht="15.75" customHeight="1" x14ac:dyDescent="0.2">
      <c r="A909" s="1"/>
      <c r="B909" s="2"/>
      <c r="C909" s="1"/>
      <c r="D909" s="1"/>
      <c r="E909" s="48"/>
      <c r="F909" s="48"/>
      <c r="G909" s="2"/>
      <c r="H909" s="48"/>
      <c r="I909" s="2"/>
      <c r="J909" s="2"/>
      <c r="K909" s="2"/>
      <c r="L909" s="2"/>
      <c r="M909" s="2"/>
      <c r="N909" s="2"/>
      <c r="O909" s="95"/>
      <c r="P909" s="95"/>
      <c r="Q909" s="95"/>
      <c r="R909" s="95"/>
      <c r="AE909" s="95"/>
      <c r="AF909" s="95"/>
      <c r="AG909" s="95"/>
      <c r="AH909" s="2"/>
      <c r="AI909" s="2"/>
      <c r="AJ909" s="2"/>
      <c r="AK909" s="2"/>
    </row>
    <row r="910" spans="1:37" ht="15.75" customHeight="1" x14ac:dyDescent="0.2">
      <c r="A910" s="1"/>
      <c r="B910" s="2"/>
      <c r="C910" s="1"/>
      <c r="D910" s="1"/>
      <c r="E910" s="48"/>
      <c r="F910" s="48"/>
      <c r="G910" s="2"/>
      <c r="H910" s="48"/>
      <c r="I910" s="2"/>
      <c r="J910" s="2"/>
      <c r="K910" s="2"/>
      <c r="L910" s="2"/>
      <c r="M910" s="2"/>
      <c r="N910" s="2"/>
      <c r="O910" s="95"/>
      <c r="P910" s="95"/>
      <c r="Q910" s="95"/>
      <c r="R910" s="95"/>
      <c r="AE910" s="95"/>
      <c r="AF910" s="95"/>
      <c r="AG910" s="95"/>
      <c r="AH910" s="2"/>
      <c r="AI910" s="2"/>
      <c r="AJ910" s="2"/>
      <c r="AK910" s="2"/>
    </row>
    <row r="911" spans="1:37" ht="15.75" customHeight="1" x14ac:dyDescent="0.2">
      <c r="A911" s="1"/>
      <c r="B911" s="2"/>
      <c r="C911" s="1"/>
      <c r="D911" s="1"/>
      <c r="E911" s="48"/>
      <c r="F911" s="48"/>
      <c r="G911" s="2"/>
      <c r="H911" s="48"/>
      <c r="I911" s="2"/>
      <c r="J911" s="2"/>
      <c r="K911" s="2"/>
      <c r="L911" s="2"/>
      <c r="M911" s="2"/>
      <c r="N911" s="2"/>
      <c r="O911" s="95"/>
      <c r="P911" s="95"/>
      <c r="Q911" s="95"/>
      <c r="R911" s="95"/>
      <c r="AE911" s="95"/>
      <c r="AF911" s="95"/>
      <c r="AG911" s="95"/>
      <c r="AH911" s="2"/>
      <c r="AI911" s="2"/>
      <c r="AJ911" s="2"/>
      <c r="AK911" s="2"/>
    </row>
    <row r="912" spans="1:37" ht="15.75" customHeight="1" x14ac:dyDescent="0.2">
      <c r="A912" s="1"/>
      <c r="B912" s="2"/>
      <c r="C912" s="1"/>
      <c r="D912" s="1"/>
      <c r="E912" s="48"/>
      <c r="F912" s="48"/>
      <c r="G912" s="2"/>
      <c r="H912" s="48"/>
      <c r="I912" s="2"/>
      <c r="J912" s="2"/>
      <c r="K912" s="2"/>
      <c r="L912" s="2"/>
      <c r="M912" s="2"/>
      <c r="N912" s="2"/>
      <c r="O912" s="95"/>
      <c r="P912" s="95"/>
      <c r="Q912" s="95"/>
      <c r="R912" s="95"/>
      <c r="AE912" s="95"/>
      <c r="AF912" s="95"/>
      <c r="AG912" s="95"/>
      <c r="AH912" s="2"/>
      <c r="AI912" s="2"/>
      <c r="AJ912" s="2"/>
      <c r="AK912" s="2"/>
    </row>
    <row r="913" spans="1:37" ht="15.75" customHeight="1" x14ac:dyDescent="0.2">
      <c r="A913" s="1"/>
      <c r="B913" s="2"/>
      <c r="C913" s="1"/>
      <c r="D913" s="1"/>
      <c r="E913" s="48"/>
      <c r="F913" s="48"/>
      <c r="G913" s="2"/>
      <c r="H913" s="48"/>
      <c r="I913" s="2"/>
      <c r="J913" s="2"/>
      <c r="K913" s="2"/>
      <c r="L913" s="2"/>
      <c r="M913" s="2"/>
      <c r="N913" s="2"/>
      <c r="O913" s="95"/>
      <c r="P913" s="95"/>
      <c r="Q913" s="95"/>
      <c r="R913" s="95"/>
      <c r="AE913" s="95"/>
      <c r="AF913" s="95"/>
      <c r="AG913" s="95"/>
      <c r="AH913" s="2"/>
      <c r="AI913" s="2"/>
      <c r="AJ913" s="2"/>
      <c r="AK913" s="2"/>
    </row>
    <row r="914" spans="1:37" ht="15.75" customHeight="1" x14ac:dyDescent="0.2">
      <c r="A914" s="1"/>
      <c r="B914" s="2"/>
      <c r="C914" s="1"/>
      <c r="D914" s="1"/>
      <c r="E914" s="48"/>
      <c r="F914" s="48"/>
      <c r="G914" s="2"/>
      <c r="H914" s="48"/>
      <c r="I914" s="2"/>
      <c r="J914" s="2"/>
      <c r="K914" s="2"/>
      <c r="L914" s="2"/>
      <c r="M914" s="2"/>
      <c r="N914" s="2"/>
      <c r="O914" s="95"/>
      <c r="P914" s="95"/>
      <c r="Q914" s="95"/>
      <c r="R914" s="95"/>
      <c r="AE914" s="95"/>
      <c r="AF914" s="95"/>
      <c r="AG914" s="95"/>
      <c r="AH914" s="2"/>
      <c r="AI914" s="2"/>
      <c r="AJ914" s="2"/>
      <c r="AK914" s="2"/>
    </row>
    <row r="915" spans="1:37" ht="15.75" customHeight="1" x14ac:dyDescent="0.2">
      <c r="A915" s="1"/>
      <c r="B915" s="2"/>
      <c r="C915" s="1"/>
      <c r="D915" s="1"/>
      <c r="E915" s="48"/>
      <c r="F915" s="48"/>
      <c r="G915" s="2"/>
      <c r="H915" s="48"/>
      <c r="I915" s="2"/>
      <c r="J915" s="2"/>
      <c r="K915" s="2"/>
      <c r="L915" s="2"/>
      <c r="M915" s="2"/>
      <c r="N915" s="2"/>
      <c r="O915" s="95"/>
      <c r="P915" s="95"/>
      <c r="Q915" s="95"/>
      <c r="R915" s="95"/>
      <c r="AE915" s="95"/>
      <c r="AF915" s="95"/>
      <c r="AG915" s="95"/>
      <c r="AH915" s="2"/>
      <c r="AI915" s="2"/>
      <c r="AJ915" s="2"/>
      <c r="AK915" s="2"/>
    </row>
    <row r="916" spans="1:37" ht="15.75" customHeight="1" x14ac:dyDescent="0.2">
      <c r="A916" s="1"/>
      <c r="B916" s="2"/>
      <c r="C916" s="1"/>
      <c r="D916" s="1"/>
      <c r="E916" s="48"/>
      <c r="F916" s="48"/>
      <c r="G916" s="2"/>
      <c r="H916" s="48"/>
      <c r="I916" s="2"/>
      <c r="J916" s="2"/>
      <c r="K916" s="2"/>
      <c r="L916" s="2"/>
      <c r="M916" s="2"/>
      <c r="N916" s="2"/>
      <c r="O916" s="95"/>
      <c r="P916" s="95"/>
      <c r="Q916" s="95"/>
      <c r="R916" s="95"/>
      <c r="AE916" s="95"/>
      <c r="AF916" s="95"/>
      <c r="AG916" s="95"/>
      <c r="AH916" s="2"/>
      <c r="AI916" s="2"/>
      <c r="AJ916" s="2"/>
      <c r="AK916" s="2"/>
    </row>
    <row r="917" spans="1:37" ht="15.75" customHeight="1" x14ac:dyDescent="0.2">
      <c r="A917" s="1"/>
      <c r="B917" s="2"/>
      <c r="C917" s="1"/>
      <c r="D917" s="1"/>
      <c r="E917" s="48"/>
      <c r="F917" s="48"/>
      <c r="G917" s="2"/>
      <c r="H917" s="48"/>
      <c r="I917" s="2"/>
      <c r="J917" s="2"/>
      <c r="K917" s="2"/>
      <c r="L917" s="2"/>
      <c r="M917" s="2"/>
      <c r="N917" s="2"/>
      <c r="O917" s="95"/>
      <c r="P917" s="95"/>
      <c r="Q917" s="95"/>
      <c r="R917" s="95"/>
      <c r="AE917" s="95"/>
      <c r="AF917" s="95"/>
      <c r="AG917" s="95"/>
      <c r="AH917" s="2"/>
      <c r="AI917" s="2"/>
      <c r="AJ917" s="2"/>
      <c r="AK917" s="2"/>
    </row>
    <row r="918" spans="1:37" ht="15.75" customHeight="1" x14ac:dyDescent="0.2">
      <c r="A918" s="1"/>
      <c r="B918" s="2"/>
      <c r="C918" s="1"/>
      <c r="D918" s="1"/>
      <c r="E918" s="48"/>
      <c r="F918" s="48"/>
      <c r="G918" s="2"/>
      <c r="H918" s="48"/>
      <c r="I918" s="2"/>
      <c r="J918" s="2"/>
      <c r="K918" s="2"/>
      <c r="L918" s="2"/>
      <c r="M918" s="2"/>
      <c r="N918" s="2"/>
      <c r="O918" s="95"/>
      <c r="P918" s="95"/>
      <c r="Q918" s="95"/>
      <c r="R918" s="95"/>
      <c r="AE918" s="95"/>
      <c r="AF918" s="95"/>
      <c r="AG918" s="95"/>
      <c r="AH918" s="2"/>
      <c r="AI918" s="2"/>
      <c r="AJ918" s="2"/>
      <c r="AK918" s="2"/>
    </row>
    <row r="919" spans="1:37" ht="15.75" customHeight="1" x14ac:dyDescent="0.2">
      <c r="A919" s="1"/>
      <c r="B919" s="2"/>
      <c r="C919" s="1"/>
      <c r="D919" s="1"/>
      <c r="E919" s="48"/>
      <c r="F919" s="48"/>
      <c r="G919" s="2"/>
      <c r="H919" s="48"/>
      <c r="I919" s="2"/>
      <c r="J919" s="2"/>
      <c r="K919" s="2"/>
      <c r="L919" s="2"/>
      <c r="M919" s="2"/>
      <c r="N919" s="2"/>
      <c r="O919" s="95"/>
      <c r="P919" s="95"/>
      <c r="Q919" s="95"/>
      <c r="R919" s="95"/>
      <c r="AE919" s="95"/>
      <c r="AF919" s="95"/>
      <c r="AG919" s="95"/>
      <c r="AH919" s="2"/>
      <c r="AI919" s="2"/>
      <c r="AJ919" s="2"/>
      <c r="AK919" s="2"/>
    </row>
    <row r="920" spans="1:37" ht="15.75" customHeight="1" x14ac:dyDescent="0.2">
      <c r="A920" s="1"/>
      <c r="B920" s="2"/>
      <c r="C920" s="1"/>
      <c r="D920" s="1"/>
      <c r="E920" s="48"/>
      <c r="F920" s="48"/>
      <c r="G920" s="2"/>
      <c r="H920" s="48"/>
      <c r="I920" s="2"/>
      <c r="J920" s="2"/>
      <c r="K920" s="2"/>
      <c r="L920" s="2"/>
      <c r="M920" s="2"/>
      <c r="N920" s="2"/>
      <c r="O920" s="95"/>
      <c r="P920" s="95"/>
      <c r="Q920" s="95"/>
      <c r="R920" s="95"/>
      <c r="AE920" s="95"/>
      <c r="AF920" s="95"/>
      <c r="AG920" s="95"/>
      <c r="AH920" s="2"/>
      <c r="AI920" s="2"/>
      <c r="AJ920" s="2"/>
      <c r="AK920" s="2"/>
    </row>
    <row r="921" spans="1:37" ht="15.75" customHeight="1" x14ac:dyDescent="0.2">
      <c r="A921" s="1"/>
      <c r="B921" s="2"/>
      <c r="C921" s="1"/>
      <c r="D921" s="1"/>
      <c r="E921" s="48"/>
      <c r="F921" s="48"/>
      <c r="G921" s="2"/>
      <c r="H921" s="48"/>
      <c r="I921" s="2"/>
      <c r="J921" s="2"/>
      <c r="K921" s="2"/>
      <c r="L921" s="2"/>
      <c r="M921" s="2"/>
      <c r="N921" s="2"/>
      <c r="O921" s="95"/>
      <c r="P921" s="95"/>
      <c r="Q921" s="95"/>
      <c r="R921" s="95"/>
      <c r="AE921" s="95"/>
      <c r="AF921" s="95"/>
      <c r="AG921" s="95"/>
      <c r="AH921" s="2"/>
      <c r="AI921" s="2"/>
      <c r="AJ921" s="2"/>
      <c r="AK921" s="2"/>
    </row>
    <row r="922" spans="1:37" ht="15.75" customHeight="1" x14ac:dyDescent="0.2">
      <c r="A922" s="1"/>
      <c r="B922" s="2"/>
      <c r="C922" s="1"/>
      <c r="D922" s="1"/>
      <c r="E922" s="48"/>
      <c r="F922" s="48"/>
      <c r="G922" s="2"/>
      <c r="H922" s="48"/>
      <c r="I922" s="2"/>
      <c r="J922" s="2"/>
      <c r="K922" s="2"/>
      <c r="L922" s="2"/>
      <c r="M922" s="2"/>
      <c r="N922" s="2"/>
      <c r="O922" s="95"/>
      <c r="P922" s="95"/>
      <c r="Q922" s="95"/>
      <c r="R922" s="95"/>
      <c r="AE922" s="95"/>
      <c r="AF922" s="95"/>
      <c r="AG922" s="95"/>
      <c r="AH922" s="2"/>
      <c r="AI922" s="2"/>
      <c r="AJ922" s="2"/>
      <c r="AK922" s="2"/>
    </row>
    <row r="923" spans="1:37" ht="15.75" customHeight="1" x14ac:dyDescent="0.2">
      <c r="A923" s="1"/>
      <c r="B923" s="2"/>
      <c r="C923" s="1"/>
      <c r="D923" s="1"/>
      <c r="E923" s="48"/>
      <c r="F923" s="48"/>
      <c r="G923" s="2"/>
      <c r="H923" s="48"/>
      <c r="I923" s="2"/>
      <c r="J923" s="2"/>
      <c r="K923" s="2"/>
      <c r="L923" s="2"/>
      <c r="M923" s="2"/>
      <c r="N923" s="2"/>
      <c r="O923" s="95"/>
      <c r="P923" s="95"/>
      <c r="Q923" s="95"/>
      <c r="R923" s="95"/>
      <c r="AE923" s="95"/>
      <c r="AF923" s="95"/>
      <c r="AG923" s="95"/>
      <c r="AH923" s="2"/>
      <c r="AI923" s="2"/>
      <c r="AJ923" s="2"/>
      <c r="AK923" s="2"/>
    </row>
    <row r="924" spans="1:37" ht="15.75" customHeight="1" x14ac:dyDescent="0.2">
      <c r="A924" s="1"/>
      <c r="B924" s="2"/>
      <c r="C924" s="1"/>
      <c r="D924" s="1"/>
      <c r="E924" s="48"/>
      <c r="F924" s="48"/>
      <c r="G924" s="2"/>
      <c r="H924" s="48"/>
      <c r="I924" s="2"/>
      <c r="J924" s="2"/>
      <c r="K924" s="2"/>
      <c r="L924" s="2"/>
      <c r="M924" s="2"/>
      <c r="N924" s="2"/>
      <c r="O924" s="95"/>
      <c r="P924" s="95"/>
      <c r="Q924" s="95"/>
      <c r="R924" s="95"/>
      <c r="AE924" s="95"/>
      <c r="AF924" s="95"/>
      <c r="AG924" s="95"/>
      <c r="AH924" s="2"/>
      <c r="AI924" s="2"/>
      <c r="AJ924" s="2"/>
      <c r="AK924" s="2"/>
    </row>
    <row r="925" spans="1:37" ht="15.75" customHeight="1" x14ac:dyDescent="0.2">
      <c r="A925" s="1"/>
      <c r="B925" s="2"/>
      <c r="C925" s="1"/>
      <c r="D925" s="1"/>
      <c r="E925" s="48"/>
      <c r="F925" s="48"/>
      <c r="G925" s="2"/>
      <c r="H925" s="48"/>
      <c r="I925" s="2"/>
      <c r="J925" s="2"/>
      <c r="K925" s="2"/>
      <c r="L925" s="2"/>
      <c r="M925" s="2"/>
      <c r="N925" s="2"/>
      <c r="O925" s="95"/>
      <c r="P925" s="95"/>
      <c r="Q925" s="95"/>
      <c r="R925" s="95"/>
      <c r="AE925" s="95"/>
      <c r="AF925" s="95"/>
      <c r="AG925" s="95"/>
      <c r="AH925" s="2"/>
      <c r="AI925" s="2"/>
      <c r="AJ925" s="2"/>
      <c r="AK925" s="2"/>
    </row>
    <row r="926" spans="1:37" ht="15.75" customHeight="1" x14ac:dyDescent="0.2">
      <c r="A926" s="1"/>
      <c r="B926" s="2"/>
      <c r="C926" s="1"/>
      <c r="D926" s="1"/>
      <c r="E926" s="48"/>
      <c r="F926" s="48"/>
      <c r="G926" s="2"/>
      <c r="H926" s="48"/>
      <c r="I926" s="2"/>
      <c r="J926" s="2"/>
      <c r="K926" s="2"/>
      <c r="L926" s="2"/>
      <c r="M926" s="2"/>
      <c r="N926" s="2"/>
      <c r="O926" s="95"/>
      <c r="P926" s="95"/>
      <c r="Q926" s="95"/>
      <c r="R926" s="95"/>
      <c r="AE926" s="95"/>
      <c r="AF926" s="95"/>
      <c r="AG926" s="95"/>
      <c r="AH926" s="2"/>
      <c r="AI926" s="2"/>
      <c r="AJ926" s="2"/>
      <c r="AK926" s="2"/>
    </row>
    <row r="927" spans="1:37" ht="15.75" customHeight="1" x14ac:dyDescent="0.2">
      <c r="A927" s="1"/>
      <c r="B927" s="2"/>
      <c r="C927" s="1"/>
      <c r="D927" s="1"/>
      <c r="E927" s="48"/>
      <c r="F927" s="48"/>
      <c r="G927" s="2"/>
      <c r="H927" s="48"/>
      <c r="I927" s="2"/>
      <c r="J927" s="2"/>
      <c r="K927" s="2"/>
      <c r="L927" s="2"/>
      <c r="M927" s="2"/>
      <c r="N927" s="2"/>
      <c r="O927" s="95"/>
      <c r="P927" s="95"/>
      <c r="Q927" s="95"/>
      <c r="R927" s="95"/>
      <c r="AE927" s="95"/>
      <c r="AF927" s="95"/>
      <c r="AG927" s="95"/>
      <c r="AH927" s="2"/>
      <c r="AI927" s="2"/>
      <c r="AJ927" s="2"/>
      <c r="AK927" s="2"/>
    </row>
    <row r="928" spans="1:37" ht="15.75" customHeight="1" x14ac:dyDescent="0.2">
      <c r="A928" s="1"/>
      <c r="B928" s="2"/>
      <c r="C928" s="1"/>
      <c r="D928" s="1"/>
      <c r="E928" s="48"/>
      <c r="F928" s="48"/>
      <c r="G928" s="2"/>
      <c r="H928" s="48"/>
      <c r="I928" s="2"/>
      <c r="J928" s="2"/>
      <c r="K928" s="2"/>
      <c r="L928" s="2"/>
      <c r="M928" s="2"/>
      <c r="N928" s="2"/>
      <c r="O928" s="95"/>
      <c r="P928" s="95"/>
      <c r="Q928" s="95"/>
      <c r="R928" s="95"/>
      <c r="AE928" s="95"/>
      <c r="AF928" s="95"/>
      <c r="AG928" s="95"/>
      <c r="AH928" s="2"/>
      <c r="AI928" s="2"/>
      <c r="AJ928" s="2"/>
      <c r="AK928" s="2"/>
    </row>
    <row r="929" spans="1:37" ht="15.75" customHeight="1" x14ac:dyDescent="0.2">
      <c r="A929" s="1"/>
      <c r="B929" s="2"/>
      <c r="C929" s="1"/>
      <c r="D929" s="1"/>
      <c r="E929" s="48"/>
      <c r="F929" s="48"/>
      <c r="G929" s="2"/>
      <c r="H929" s="48"/>
      <c r="I929" s="2"/>
      <c r="J929" s="2"/>
      <c r="K929" s="2"/>
      <c r="L929" s="2"/>
      <c r="M929" s="2"/>
      <c r="N929" s="2"/>
      <c r="O929" s="95"/>
      <c r="P929" s="95"/>
      <c r="Q929" s="95"/>
      <c r="R929" s="95"/>
      <c r="AE929" s="95"/>
      <c r="AF929" s="95"/>
      <c r="AG929" s="95"/>
      <c r="AH929" s="2"/>
      <c r="AI929" s="2"/>
      <c r="AJ929" s="2"/>
      <c r="AK929" s="2"/>
    </row>
    <row r="930" spans="1:37" ht="15.75" customHeight="1" x14ac:dyDescent="0.2">
      <c r="A930" s="1"/>
      <c r="B930" s="2"/>
      <c r="C930" s="1"/>
      <c r="D930" s="1"/>
      <c r="E930" s="48"/>
      <c r="F930" s="48"/>
      <c r="G930" s="2"/>
      <c r="H930" s="48"/>
      <c r="I930" s="2"/>
      <c r="J930" s="2"/>
      <c r="K930" s="2"/>
      <c r="L930" s="2"/>
      <c r="M930" s="2"/>
      <c r="N930" s="2"/>
      <c r="O930" s="95"/>
      <c r="P930" s="95"/>
      <c r="Q930" s="95"/>
      <c r="R930" s="95"/>
      <c r="AE930" s="95"/>
      <c r="AF930" s="95"/>
      <c r="AG930" s="95"/>
      <c r="AH930" s="2"/>
      <c r="AI930" s="2"/>
      <c r="AJ930" s="2"/>
      <c r="AK930" s="2"/>
    </row>
    <row r="931" spans="1:37" ht="15.75" customHeight="1" x14ac:dyDescent="0.2">
      <c r="A931" s="1"/>
      <c r="B931" s="2"/>
      <c r="C931" s="1"/>
      <c r="D931" s="1"/>
      <c r="E931" s="48"/>
      <c r="F931" s="48"/>
      <c r="G931" s="2"/>
      <c r="H931" s="48"/>
      <c r="I931" s="2"/>
      <c r="J931" s="2"/>
      <c r="K931" s="2"/>
      <c r="L931" s="2"/>
      <c r="M931" s="2"/>
      <c r="N931" s="2"/>
      <c r="O931" s="95"/>
      <c r="P931" s="95"/>
      <c r="Q931" s="95"/>
      <c r="R931" s="95"/>
      <c r="AE931" s="95"/>
      <c r="AF931" s="95"/>
      <c r="AG931" s="95"/>
      <c r="AH931" s="2"/>
      <c r="AI931" s="2"/>
      <c r="AJ931" s="2"/>
      <c r="AK931" s="2"/>
    </row>
    <row r="932" spans="1:37" ht="15.75" customHeight="1" x14ac:dyDescent="0.2">
      <c r="A932" s="1"/>
      <c r="B932" s="2"/>
      <c r="C932" s="1"/>
      <c r="D932" s="1"/>
      <c r="E932" s="48"/>
      <c r="F932" s="48"/>
      <c r="G932" s="2"/>
      <c r="H932" s="48"/>
      <c r="I932" s="2"/>
      <c r="J932" s="2"/>
      <c r="K932" s="2"/>
      <c r="L932" s="2"/>
      <c r="M932" s="2"/>
      <c r="N932" s="2"/>
      <c r="O932" s="95"/>
      <c r="P932" s="95"/>
      <c r="Q932" s="95"/>
      <c r="R932" s="95"/>
      <c r="AE932" s="95"/>
      <c r="AF932" s="95"/>
      <c r="AG932" s="95"/>
      <c r="AH932" s="2"/>
      <c r="AI932" s="2"/>
      <c r="AJ932" s="2"/>
      <c r="AK932" s="2"/>
    </row>
    <row r="933" spans="1:37" ht="15.75" customHeight="1" x14ac:dyDescent="0.2">
      <c r="A933" s="1"/>
      <c r="B933" s="2"/>
      <c r="C933" s="1"/>
      <c r="D933" s="1"/>
      <c r="E933" s="48"/>
      <c r="F933" s="48"/>
      <c r="G933" s="2"/>
      <c r="H933" s="48"/>
      <c r="I933" s="2"/>
      <c r="J933" s="2"/>
      <c r="K933" s="2"/>
      <c r="L933" s="2"/>
      <c r="M933" s="2"/>
      <c r="N933" s="2"/>
      <c r="O933" s="95"/>
      <c r="P933" s="95"/>
      <c r="Q933" s="95"/>
      <c r="R933" s="95"/>
      <c r="AE933" s="95"/>
      <c r="AF933" s="95"/>
      <c r="AG933" s="95"/>
      <c r="AH933" s="2"/>
      <c r="AI933" s="2"/>
      <c r="AJ933" s="2"/>
      <c r="AK933" s="2"/>
    </row>
    <row r="934" spans="1:37" ht="15.75" customHeight="1" x14ac:dyDescent="0.2">
      <c r="A934" s="1"/>
      <c r="B934" s="2"/>
      <c r="C934" s="1"/>
      <c r="D934" s="1"/>
      <c r="E934" s="48"/>
      <c r="F934" s="48"/>
      <c r="G934" s="2"/>
      <c r="H934" s="48"/>
      <c r="I934" s="2"/>
      <c r="J934" s="2"/>
      <c r="K934" s="2"/>
      <c r="L934" s="2"/>
      <c r="M934" s="2"/>
      <c r="N934" s="2"/>
      <c r="O934" s="95"/>
      <c r="P934" s="95"/>
      <c r="Q934" s="95"/>
      <c r="R934" s="95"/>
      <c r="AE934" s="95"/>
      <c r="AF934" s="95"/>
      <c r="AG934" s="95"/>
      <c r="AH934" s="2"/>
      <c r="AI934" s="2"/>
      <c r="AJ934" s="2"/>
      <c r="AK934" s="2"/>
    </row>
    <row r="935" spans="1:37" ht="15.75" customHeight="1" x14ac:dyDescent="0.2">
      <c r="A935" s="1"/>
      <c r="B935" s="2"/>
      <c r="C935" s="1"/>
      <c r="D935" s="1"/>
      <c r="E935" s="48"/>
      <c r="F935" s="48"/>
      <c r="G935" s="2"/>
      <c r="H935" s="48"/>
      <c r="I935" s="2"/>
      <c r="J935" s="2"/>
      <c r="K935" s="2"/>
      <c r="L935" s="2"/>
      <c r="M935" s="2"/>
      <c r="N935" s="2"/>
      <c r="O935" s="95"/>
      <c r="P935" s="95"/>
      <c r="Q935" s="95"/>
      <c r="R935" s="95"/>
      <c r="AE935" s="95"/>
      <c r="AF935" s="95"/>
      <c r="AG935" s="95"/>
      <c r="AH935" s="2"/>
      <c r="AI935" s="2"/>
      <c r="AJ935" s="2"/>
      <c r="AK935" s="2"/>
    </row>
    <row r="936" spans="1:37" ht="15.75" customHeight="1" x14ac:dyDescent="0.2">
      <c r="A936" s="1"/>
      <c r="B936" s="2"/>
      <c r="C936" s="1"/>
      <c r="D936" s="1"/>
      <c r="E936" s="48"/>
      <c r="F936" s="48"/>
      <c r="G936" s="2"/>
      <c r="H936" s="48"/>
      <c r="I936" s="2"/>
      <c r="J936" s="2"/>
      <c r="K936" s="2"/>
      <c r="L936" s="2"/>
      <c r="M936" s="2"/>
      <c r="N936" s="2"/>
      <c r="O936" s="95"/>
      <c r="P936" s="95"/>
      <c r="Q936" s="95"/>
      <c r="R936" s="95"/>
      <c r="AE936" s="95"/>
      <c r="AF936" s="95"/>
      <c r="AG936" s="95"/>
      <c r="AH936" s="2"/>
      <c r="AI936" s="2"/>
      <c r="AJ936" s="2"/>
      <c r="AK936" s="2"/>
    </row>
    <row r="937" spans="1:37" ht="15.75" customHeight="1" x14ac:dyDescent="0.2">
      <c r="A937" s="1"/>
      <c r="B937" s="2"/>
      <c r="C937" s="1"/>
      <c r="D937" s="1"/>
      <c r="E937" s="48"/>
      <c r="F937" s="48"/>
      <c r="G937" s="2"/>
      <c r="H937" s="48"/>
      <c r="I937" s="2"/>
      <c r="J937" s="2"/>
      <c r="K937" s="2"/>
      <c r="L937" s="2"/>
      <c r="M937" s="2"/>
      <c r="N937" s="2"/>
      <c r="O937" s="95"/>
      <c r="P937" s="95"/>
      <c r="Q937" s="95"/>
      <c r="R937" s="95"/>
      <c r="AE937" s="95"/>
      <c r="AF937" s="95"/>
      <c r="AG937" s="95"/>
      <c r="AH937" s="2"/>
      <c r="AI937" s="2"/>
      <c r="AJ937" s="2"/>
      <c r="AK937" s="2"/>
    </row>
    <row r="938" spans="1:37" ht="15.75" customHeight="1" x14ac:dyDescent="0.2">
      <c r="A938" s="1"/>
      <c r="B938" s="2"/>
      <c r="C938" s="1"/>
      <c r="D938" s="1"/>
      <c r="E938" s="48"/>
      <c r="F938" s="48"/>
      <c r="G938" s="2"/>
      <c r="H938" s="48"/>
      <c r="I938" s="2"/>
      <c r="J938" s="2"/>
      <c r="K938" s="2"/>
      <c r="L938" s="2"/>
      <c r="M938" s="2"/>
      <c r="N938" s="2"/>
      <c r="O938" s="95"/>
      <c r="P938" s="95"/>
      <c r="Q938" s="95"/>
      <c r="R938" s="95"/>
      <c r="AE938" s="95"/>
      <c r="AF938" s="95"/>
      <c r="AG938" s="95"/>
      <c r="AH938" s="2"/>
      <c r="AI938" s="2"/>
      <c r="AJ938" s="2"/>
      <c r="AK938" s="2"/>
    </row>
    <row r="939" spans="1:37" ht="15.75" customHeight="1" x14ac:dyDescent="0.2">
      <c r="A939" s="1"/>
      <c r="B939" s="2"/>
      <c r="C939" s="1"/>
      <c r="D939" s="1"/>
      <c r="E939" s="48"/>
      <c r="F939" s="48"/>
      <c r="G939" s="2"/>
      <c r="H939" s="48"/>
      <c r="I939" s="2"/>
      <c r="J939" s="2"/>
      <c r="K939" s="2"/>
      <c r="L939" s="2"/>
      <c r="M939" s="2"/>
      <c r="N939" s="2"/>
      <c r="O939" s="95"/>
      <c r="P939" s="95"/>
      <c r="Q939" s="95"/>
      <c r="R939" s="95"/>
      <c r="AE939" s="95"/>
      <c r="AF939" s="95"/>
      <c r="AG939" s="95"/>
      <c r="AH939" s="2"/>
      <c r="AI939" s="2"/>
      <c r="AJ939" s="2"/>
      <c r="AK939" s="2"/>
    </row>
    <row r="940" spans="1:37" ht="15.75" customHeight="1" x14ac:dyDescent="0.2">
      <c r="A940" s="1"/>
      <c r="B940" s="2"/>
      <c r="C940" s="1"/>
      <c r="D940" s="1"/>
      <c r="E940" s="48"/>
      <c r="F940" s="48"/>
      <c r="G940" s="2"/>
      <c r="H940" s="48"/>
      <c r="I940" s="2"/>
      <c r="J940" s="2"/>
      <c r="K940" s="2"/>
      <c r="L940" s="2"/>
      <c r="M940" s="2"/>
      <c r="N940" s="2"/>
      <c r="O940" s="95"/>
      <c r="P940" s="95"/>
      <c r="Q940" s="95"/>
      <c r="R940" s="95"/>
      <c r="AE940" s="95"/>
      <c r="AF940" s="95"/>
      <c r="AG940" s="95"/>
      <c r="AH940" s="2"/>
      <c r="AI940" s="2"/>
      <c r="AJ940" s="2"/>
      <c r="AK940" s="2"/>
    </row>
    <row r="941" spans="1:37" ht="15.75" customHeight="1" x14ac:dyDescent="0.2">
      <c r="A941" s="1"/>
      <c r="B941" s="2"/>
      <c r="C941" s="1"/>
      <c r="D941" s="1"/>
      <c r="E941" s="48"/>
      <c r="F941" s="48"/>
      <c r="G941" s="2"/>
      <c r="H941" s="48"/>
      <c r="I941" s="2"/>
      <c r="J941" s="2"/>
      <c r="K941" s="2"/>
      <c r="L941" s="2"/>
      <c r="M941" s="2"/>
      <c r="N941" s="2"/>
      <c r="O941" s="95"/>
      <c r="P941" s="95"/>
      <c r="Q941" s="95"/>
      <c r="R941" s="95"/>
      <c r="AE941" s="95"/>
      <c r="AF941" s="95"/>
      <c r="AG941" s="95"/>
      <c r="AH941" s="2"/>
      <c r="AI941" s="2"/>
      <c r="AJ941" s="2"/>
      <c r="AK941" s="2"/>
    </row>
    <row r="942" spans="1:37" ht="15.75" customHeight="1" x14ac:dyDescent="0.2">
      <c r="A942" s="1"/>
      <c r="B942" s="2"/>
      <c r="C942" s="1"/>
      <c r="D942" s="1"/>
      <c r="E942" s="48"/>
      <c r="F942" s="48"/>
      <c r="G942" s="2"/>
      <c r="H942" s="48"/>
      <c r="I942" s="2"/>
      <c r="J942" s="2"/>
      <c r="K942" s="2"/>
      <c r="L942" s="2"/>
      <c r="M942" s="2"/>
      <c r="N942" s="2"/>
      <c r="O942" s="95"/>
      <c r="P942" s="95"/>
      <c r="Q942" s="95"/>
      <c r="R942" s="95"/>
      <c r="AE942" s="95"/>
      <c r="AF942" s="95"/>
      <c r="AG942" s="95"/>
      <c r="AH942" s="2"/>
      <c r="AI942" s="2"/>
      <c r="AJ942" s="2"/>
      <c r="AK942" s="2"/>
    </row>
    <row r="943" spans="1:37" ht="15.75" customHeight="1" x14ac:dyDescent="0.2">
      <c r="A943" s="1"/>
      <c r="B943" s="2"/>
      <c r="C943" s="1"/>
      <c r="D943" s="1"/>
      <c r="E943" s="48"/>
      <c r="F943" s="48"/>
      <c r="G943" s="2"/>
      <c r="H943" s="48"/>
      <c r="I943" s="2"/>
      <c r="J943" s="2"/>
      <c r="K943" s="2"/>
      <c r="L943" s="2"/>
      <c r="M943" s="2"/>
      <c r="N943" s="2"/>
      <c r="O943" s="95"/>
      <c r="P943" s="95"/>
      <c r="Q943" s="95"/>
      <c r="R943" s="95"/>
      <c r="AE943" s="95"/>
      <c r="AF943" s="95"/>
      <c r="AG943" s="95"/>
      <c r="AH943" s="2"/>
      <c r="AI943" s="2"/>
      <c r="AJ943" s="2"/>
      <c r="AK943" s="2"/>
    </row>
    <row r="944" spans="1:37" ht="15.75" customHeight="1" x14ac:dyDescent="0.2">
      <c r="A944" s="1"/>
      <c r="B944" s="2"/>
      <c r="C944" s="1"/>
      <c r="D944" s="1"/>
      <c r="E944" s="48"/>
      <c r="F944" s="48"/>
      <c r="G944" s="2"/>
      <c r="H944" s="48"/>
      <c r="I944" s="2"/>
      <c r="J944" s="2"/>
      <c r="K944" s="2"/>
      <c r="L944" s="2"/>
      <c r="M944" s="2"/>
      <c r="N944" s="2"/>
      <c r="O944" s="95"/>
      <c r="P944" s="95"/>
      <c r="Q944" s="95"/>
      <c r="R944" s="95"/>
      <c r="AE944" s="95"/>
      <c r="AF944" s="95"/>
      <c r="AG944" s="95"/>
      <c r="AH944" s="2"/>
      <c r="AI944" s="2"/>
      <c r="AJ944" s="2"/>
      <c r="AK944" s="2"/>
    </row>
    <row r="945" spans="1:37" ht="15.75" customHeight="1" x14ac:dyDescent="0.2">
      <c r="A945" s="1"/>
      <c r="B945" s="2"/>
      <c r="C945" s="1"/>
      <c r="D945" s="1"/>
      <c r="E945" s="48"/>
      <c r="F945" s="48"/>
      <c r="G945" s="2"/>
      <c r="H945" s="48"/>
      <c r="I945" s="2"/>
      <c r="J945" s="2"/>
      <c r="K945" s="2"/>
      <c r="L945" s="2"/>
      <c r="M945" s="2"/>
      <c r="N945" s="2"/>
      <c r="O945" s="95"/>
      <c r="P945" s="95"/>
      <c r="Q945" s="95"/>
      <c r="R945" s="95"/>
      <c r="AE945" s="95"/>
      <c r="AF945" s="95"/>
      <c r="AG945" s="95"/>
      <c r="AH945" s="2"/>
      <c r="AI945" s="2"/>
      <c r="AJ945" s="2"/>
      <c r="AK945" s="2"/>
    </row>
    <row r="946" spans="1:37" ht="15.75" customHeight="1" x14ac:dyDescent="0.2">
      <c r="A946" s="1"/>
      <c r="B946" s="2"/>
      <c r="C946" s="1"/>
      <c r="D946" s="1"/>
      <c r="E946" s="48"/>
      <c r="F946" s="48"/>
      <c r="G946" s="2"/>
      <c r="H946" s="48"/>
      <c r="I946" s="2"/>
      <c r="J946" s="2"/>
      <c r="K946" s="2"/>
      <c r="L946" s="2"/>
      <c r="M946" s="2"/>
      <c r="N946" s="2"/>
      <c r="O946" s="95"/>
      <c r="P946" s="95"/>
      <c r="Q946" s="95"/>
      <c r="R946" s="95"/>
      <c r="AE946" s="95"/>
      <c r="AF946" s="95"/>
      <c r="AG946" s="95"/>
      <c r="AH946" s="2"/>
      <c r="AI946" s="2"/>
      <c r="AJ946" s="2"/>
      <c r="AK946" s="2"/>
    </row>
    <row r="947" spans="1:37" ht="15.75" customHeight="1" x14ac:dyDescent="0.2">
      <c r="A947" s="1"/>
      <c r="B947" s="2"/>
      <c r="C947" s="1"/>
      <c r="D947" s="1"/>
      <c r="E947" s="48"/>
      <c r="F947" s="48"/>
      <c r="G947" s="2"/>
      <c r="H947" s="48"/>
      <c r="I947" s="2"/>
      <c r="J947" s="2"/>
      <c r="K947" s="2"/>
      <c r="L947" s="2"/>
      <c r="M947" s="2"/>
      <c r="N947" s="2"/>
      <c r="O947" s="95"/>
      <c r="P947" s="95"/>
      <c r="Q947" s="95"/>
      <c r="R947" s="95"/>
      <c r="AE947" s="95"/>
      <c r="AF947" s="95"/>
      <c r="AG947" s="95"/>
      <c r="AH947" s="2"/>
      <c r="AI947" s="2"/>
      <c r="AJ947" s="2"/>
      <c r="AK947" s="2"/>
    </row>
    <row r="948" spans="1:37" ht="15.75" customHeight="1" x14ac:dyDescent="0.2">
      <c r="A948" s="1"/>
      <c r="B948" s="2"/>
      <c r="C948" s="1"/>
      <c r="D948" s="1"/>
      <c r="E948" s="48"/>
      <c r="F948" s="48"/>
      <c r="G948" s="2"/>
      <c r="H948" s="48"/>
      <c r="I948" s="2"/>
      <c r="J948" s="2"/>
      <c r="K948" s="2"/>
      <c r="L948" s="2"/>
      <c r="M948" s="2"/>
      <c r="N948" s="2"/>
      <c r="O948" s="95"/>
      <c r="P948" s="95"/>
      <c r="Q948" s="95"/>
      <c r="R948" s="95"/>
      <c r="AE948" s="95"/>
      <c r="AF948" s="95"/>
      <c r="AG948" s="95"/>
      <c r="AH948" s="2"/>
      <c r="AI948" s="2"/>
      <c r="AJ948" s="2"/>
      <c r="AK948" s="2"/>
    </row>
    <row r="949" spans="1:37" ht="15.75" customHeight="1" x14ac:dyDescent="0.2">
      <c r="A949" s="1"/>
      <c r="B949" s="2"/>
      <c r="C949" s="1"/>
      <c r="D949" s="1"/>
      <c r="E949" s="48"/>
      <c r="F949" s="48"/>
      <c r="G949" s="2"/>
      <c r="H949" s="48"/>
      <c r="I949" s="2"/>
      <c r="J949" s="2"/>
      <c r="K949" s="2"/>
      <c r="L949" s="2"/>
      <c r="M949" s="2"/>
      <c r="N949" s="2"/>
      <c r="O949" s="95"/>
      <c r="P949" s="95"/>
      <c r="Q949" s="95"/>
      <c r="R949" s="95"/>
      <c r="AE949" s="95"/>
      <c r="AF949" s="95"/>
      <c r="AG949" s="95"/>
      <c r="AH949" s="2"/>
      <c r="AI949" s="2"/>
      <c r="AJ949" s="2"/>
      <c r="AK949" s="2"/>
    </row>
    <row r="950" spans="1:37" ht="15.75" customHeight="1" x14ac:dyDescent="0.2">
      <c r="A950" s="1"/>
      <c r="B950" s="2"/>
      <c r="C950" s="1"/>
      <c r="D950" s="1"/>
      <c r="E950" s="48"/>
      <c r="F950" s="48"/>
      <c r="G950" s="2"/>
      <c r="H950" s="48"/>
      <c r="I950" s="2"/>
      <c r="J950" s="2"/>
      <c r="K950" s="2"/>
      <c r="L950" s="2"/>
      <c r="M950" s="2"/>
      <c r="N950" s="2"/>
      <c r="O950" s="95"/>
      <c r="P950" s="95"/>
      <c r="Q950" s="95"/>
      <c r="R950" s="95"/>
      <c r="AE950" s="95"/>
      <c r="AF950" s="95"/>
      <c r="AG950" s="95"/>
      <c r="AH950" s="2"/>
      <c r="AI950" s="2"/>
      <c r="AJ950" s="2"/>
      <c r="AK950" s="2"/>
    </row>
    <row r="951" spans="1:37" ht="15.75" customHeight="1" x14ac:dyDescent="0.2">
      <c r="A951" s="1"/>
      <c r="B951" s="2"/>
      <c r="C951" s="1"/>
      <c r="D951" s="1"/>
      <c r="E951" s="48"/>
      <c r="F951" s="48"/>
      <c r="G951" s="2"/>
      <c r="H951" s="48"/>
      <c r="I951" s="2"/>
      <c r="J951" s="2"/>
      <c r="K951" s="2"/>
      <c r="L951" s="2"/>
      <c r="M951" s="2"/>
      <c r="N951" s="2"/>
      <c r="O951" s="95"/>
      <c r="P951" s="95"/>
      <c r="Q951" s="95"/>
      <c r="R951" s="95"/>
      <c r="AE951" s="95"/>
      <c r="AF951" s="95"/>
      <c r="AG951" s="95"/>
      <c r="AH951" s="2"/>
      <c r="AI951" s="2"/>
      <c r="AJ951" s="2"/>
      <c r="AK951" s="2"/>
    </row>
    <row r="952" spans="1:37" ht="15.75" customHeight="1" x14ac:dyDescent="0.2">
      <c r="A952" s="1"/>
      <c r="B952" s="2"/>
      <c r="C952" s="1"/>
      <c r="D952" s="1"/>
      <c r="E952" s="48"/>
      <c r="F952" s="48"/>
      <c r="G952" s="2"/>
      <c r="H952" s="48"/>
      <c r="I952" s="2"/>
      <c r="J952" s="2"/>
      <c r="K952" s="2"/>
      <c r="L952" s="2"/>
      <c r="M952" s="2"/>
      <c r="N952" s="2"/>
      <c r="O952" s="95"/>
      <c r="P952" s="95"/>
      <c r="Q952" s="95"/>
      <c r="R952" s="95"/>
      <c r="AE952" s="95"/>
      <c r="AF952" s="95"/>
      <c r="AG952" s="95"/>
      <c r="AH952" s="2"/>
      <c r="AI952" s="2"/>
      <c r="AJ952" s="2"/>
      <c r="AK952" s="2"/>
    </row>
    <row r="953" spans="1:37" ht="15.75" customHeight="1" x14ac:dyDescent="0.2">
      <c r="A953" s="1"/>
      <c r="B953" s="2"/>
      <c r="C953" s="1"/>
      <c r="D953" s="1"/>
      <c r="E953" s="48"/>
      <c r="F953" s="48"/>
      <c r="G953" s="2"/>
      <c r="H953" s="48"/>
      <c r="I953" s="2"/>
      <c r="J953" s="2"/>
      <c r="K953" s="2"/>
      <c r="L953" s="2"/>
      <c r="M953" s="2"/>
      <c r="N953" s="2"/>
      <c r="O953" s="95"/>
      <c r="P953" s="95"/>
      <c r="Q953" s="95"/>
      <c r="R953" s="95"/>
      <c r="AE953" s="95"/>
      <c r="AF953" s="95"/>
      <c r="AG953" s="95"/>
      <c r="AH953" s="2"/>
      <c r="AI953" s="2"/>
      <c r="AJ953" s="2"/>
      <c r="AK953" s="2"/>
    </row>
    <row r="954" spans="1:37" ht="15.75" customHeight="1" x14ac:dyDescent="0.2">
      <c r="A954" s="1"/>
      <c r="B954" s="2"/>
      <c r="C954" s="1"/>
      <c r="D954" s="1"/>
      <c r="E954" s="48"/>
      <c r="F954" s="48"/>
      <c r="G954" s="2"/>
      <c r="H954" s="48"/>
      <c r="I954" s="2"/>
      <c r="J954" s="2"/>
      <c r="K954" s="2"/>
      <c r="L954" s="2"/>
      <c r="M954" s="2"/>
      <c r="N954" s="2"/>
      <c r="O954" s="95"/>
      <c r="P954" s="95"/>
      <c r="Q954" s="95"/>
      <c r="R954" s="95"/>
      <c r="AE954" s="95"/>
      <c r="AF954" s="95"/>
      <c r="AG954" s="95"/>
      <c r="AH954" s="2"/>
      <c r="AI954" s="2"/>
      <c r="AJ954" s="2"/>
      <c r="AK954" s="2"/>
    </row>
    <row r="955" spans="1:37" ht="15.75" customHeight="1" x14ac:dyDescent="0.2">
      <c r="A955" s="1"/>
      <c r="B955" s="2"/>
      <c r="C955" s="1"/>
      <c r="D955" s="1"/>
      <c r="E955" s="48"/>
      <c r="F955" s="48"/>
      <c r="G955" s="2"/>
      <c r="H955" s="48"/>
      <c r="I955" s="2"/>
      <c r="J955" s="2"/>
      <c r="K955" s="2"/>
      <c r="L955" s="2"/>
      <c r="M955" s="2"/>
      <c r="N955" s="2"/>
      <c r="O955" s="95"/>
      <c r="P955" s="95"/>
      <c r="Q955" s="95"/>
      <c r="R955" s="95"/>
      <c r="AE955" s="95"/>
      <c r="AF955" s="95"/>
      <c r="AG955" s="95"/>
      <c r="AH955" s="2"/>
      <c r="AI955" s="2"/>
      <c r="AJ955" s="2"/>
      <c r="AK955" s="2"/>
    </row>
    <row r="956" spans="1:37" ht="15.75" customHeight="1" x14ac:dyDescent="0.2">
      <c r="A956" s="1"/>
      <c r="B956" s="2"/>
      <c r="C956" s="1"/>
      <c r="D956" s="1"/>
      <c r="E956" s="48"/>
      <c r="F956" s="48"/>
      <c r="G956" s="2"/>
      <c r="H956" s="48"/>
      <c r="I956" s="2"/>
      <c r="J956" s="2"/>
      <c r="K956" s="2"/>
      <c r="L956" s="2"/>
      <c r="M956" s="2"/>
      <c r="N956" s="2"/>
      <c r="O956" s="95"/>
      <c r="P956" s="95"/>
      <c r="Q956" s="95"/>
      <c r="R956" s="95"/>
      <c r="AE956" s="95"/>
      <c r="AF956" s="95"/>
      <c r="AG956" s="95"/>
      <c r="AH956" s="2"/>
      <c r="AI956" s="2"/>
      <c r="AJ956" s="2"/>
      <c r="AK956" s="2"/>
    </row>
    <row r="957" spans="1:37" ht="15.75" customHeight="1" x14ac:dyDescent="0.2">
      <c r="A957" s="1"/>
      <c r="B957" s="2"/>
      <c r="C957" s="1"/>
      <c r="D957" s="1"/>
      <c r="E957" s="48"/>
      <c r="F957" s="48"/>
      <c r="G957" s="2"/>
      <c r="H957" s="48"/>
      <c r="I957" s="2"/>
      <c r="J957" s="2"/>
      <c r="K957" s="2"/>
      <c r="L957" s="2"/>
      <c r="M957" s="2"/>
      <c r="N957" s="2"/>
      <c r="O957" s="95"/>
      <c r="P957" s="95"/>
      <c r="Q957" s="95"/>
      <c r="R957" s="95"/>
      <c r="AE957" s="95"/>
      <c r="AF957" s="95"/>
      <c r="AG957" s="95"/>
      <c r="AH957" s="2"/>
      <c r="AI957" s="2"/>
      <c r="AJ957" s="2"/>
      <c r="AK957" s="2"/>
    </row>
    <row r="958" spans="1:37" ht="15.75" customHeight="1" x14ac:dyDescent="0.2">
      <c r="A958" s="1"/>
      <c r="B958" s="2"/>
      <c r="C958" s="1"/>
      <c r="D958" s="1"/>
      <c r="E958" s="48"/>
      <c r="F958" s="48"/>
      <c r="G958" s="2"/>
      <c r="H958" s="48"/>
      <c r="I958" s="2"/>
      <c r="J958" s="2"/>
      <c r="K958" s="2"/>
      <c r="L958" s="2"/>
      <c r="M958" s="2"/>
      <c r="N958" s="2"/>
      <c r="O958" s="95"/>
      <c r="P958" s="95"/>
      <c r="Q958" s="95"/>
      <c r="R958" s="95"/>
      <c r="AE958" s="95"/>
      <c r="AF958" s="95"/>
      <c r="AG958" s="95"/>
      <c r="AH958" s="2"/>
      <c r="AI958" s="2"/>
      <c r="AJ958" s="2"/>
      <c r="AK958" s="2"/>
    </row>
    <row r="959" spans="1:37" ht="15.75" customHeight="1" x14ac:dyDescent="0.2">
      <c r="A959" s="1"/>
      <c r="B959" s="2"/>
      <c r="C959" s="1"/>
      <c r="D959" s="1"/>
      <c r="E959" s="48"/>
      <c r="F959" s="48"/>
      <c r="G959" s="2"/>
      <c r="H959" s="48"/>
      <c r="I959" s="2"/>
      <c r="J959" s="2"/>
      <c r="K959" s="2"/>
      <c r="L959" s="2"/>
      <c r="M959" s="2"/>
      <c r="N959" s="2"/>
      <c r="O959" s="95"/>
      <c r="P959" s="95"/>
      <c r="Q959" s="95"/>
      <c r="R959" s="95"/>
      <c r="AE959" s="95"/>
      <c r="AF959" s="95"/>
      <c r="AG959" s="95"/>
      <c r="AH959" s="2"/>
      <c r="AI959" s="2"/>
      <c r="AJ959" s="2"/>
      <c r="AK959" s="2"/>
    </row>
    <row r="960" spans="1:37" ht="15.75" customHeight="1" x14ac:dyDescent="0.2">
      <c r="A960" s="1"/>
      <c r="B960" s="2"/>
      <c r="C960" s="1"/>
      <c r="D960" s="1"/>
      <c r="E960" s="48"/>
      <c r="F960" s="48"/>
      <c r="G960" s="2"/>
      <c r="H960" s="48"/>
      <c r="I960" s="2"/>
      <c r="J960" s="2"/>
      <c r="K960" s="2"/>
      <c r="L960" s="2"/>
      <c r="M960" s="2"/>
      <c r="N960" s="2"/>
      <c r="O960" s="95"/>
      <c r="P960" s="95"/>
      <c r="Q960" s="95"/>
      <c r="R960" s="95"/>
      <c r="AE960" s="95"/>
      <c r="AF960" s="95"/>
      <c r="AG960" s="95"/>
      <c r="AH960" s="2"/>
      <c r="AI960" s="2"/>
      <c r="AJ960" s="2"/>
      <c r="AK960" s="2"/>
    </row>
    <row r="961" spans="1:37" ht="15.75" customHeight="1" x14ac:dyDescent="0.2">
      <c r="A961" s="1"/>
      <c r="B961" s="2"/>
      <c r="C961" s="1"/>
      <c r="D961" s="1"/>
      <c r="E961" s="48"/>
      <c r="F961" s="48"/>
      <c r="G961" s="2"/>
      <c r="H961" s="48"/>
      <c r="I961" s="2"/>
      <c r="J961" s="2"/>
      <c r="K961" s="2"/>
      <c r="L961" s="2"/>
      <c r="M961" s="2"/>
      <c r="N961" s="2"/>
      <c r="O961" s="95"/>
      <c r="P961" s="95"/>
      <c r="Q961" s="95"/>
      <c r="R961" s="95"/>
      <c r="AE961" s="95"/>
      <c r="AF961" s="95"/>
      <c r="AG961" s="95"/>
      <c r="AH961" s="2"/>
      <c r="AI961" s="2"/>
      <c r="AJ961" s="2"/>
      <c r="AK961" s="2"/>
    </row>
    <row r="962" spans="1:37" ht="15.75" customHeight="1" x14ac:dyDescent="0.2">
      <c r="A962" s="1"/>
      <c r="B962" s="2"/>
      <c r="C962" s="1"/>
      <c r="D962" s="1"/>
      <c r="E962" s="48"/>
      <c r="F962" s="48"/>
      <c r="G962" s="2"/>
      <c r="H962" s="48"/>
      <c r="I962" s="2"/>
      <c r="J962" s="2"/>
      <c r="K962" s="2"/>
      <c r="L962" s="2"/>
      <c r="M962" s="2"/>
      <c r="N962" s="2"/>
      <c r="O962" s="95"/>
      <c r="P962" s="95"/>
      <c r="Q962" s="95"/>
      <c r="R962" s="95"/>
      <c r="AE962" s="95"/>
      <c r="AF962" s="95"/>
      <c r="AG962" s="95"/>
      <c r="AH962" s="2"/>
      <c r="AI962" s="2"/>
      <c r="AJ962" s="2"/>
      <c r="AK962" s="2"/>
    </row>
    <row r="963" spans="1:37" ht="15.75" customHeight="1" x14ac:dyDescent="0.2">
      <c r="A963" s="1"/>
      <c r="B963" s="2"/>
      <c r="C963" s="1"/>
      <c r="D963" s="1"/>
      <c r="E963" s="48"/>
      <c r="F963" s="48"/>
      <c r="G963" s="2"/>
      <c r="H963" s="48"/>
      <c r="I963" s="2"/>
      <c r="J963" s="2"/>
      <c r="K963" s="2"/>
      <c r="L963" s="2"/>
      <c r="M963" s="2"/>
      <c r="N963" s="2"/>
      <c r="O963" s="95"/>
      <c r="P963" s="95"/>
      <c r="Q963" s="95"/>
      <c r="R963" s="95"/>
      <c r="AE963" s="95"/>
      <c r="AF963" s="95"/>
      <c r="AG963" s="95"/>
      <c r="AH963" s="2"/>
      <c r="AI963" s="2"/>
      <c r="AJ963" s="2"/>
      <c r="AK963" s="2"/>
    </row>
    <row r="964" spans="1:37" ht="15.75" customHeight="1" x14ac:dyDescent="0.2">
      <c r="A964" s="1"/>
      <c r="B964" s="2"/>
      <c r="C964" s="1"/>
      <c r="D964" s="1"/>
      <c r="E964" s="48"/>
      <c r="F964" s="48"/>
      <c r="G964" s="2"/>
      <c r="H964" s="48"/>
      <c r="I964" s="2"/>
      <c r="J964" s="2"/>
      <c r="K964" s="2"/>
      <c r="L964" s="2"/>
      <c r="M964" s="2"/>
      <c r="N964" s="2"/>
      <c r="O964" s="95"/>
      <c r="P964" s="95"/>
      <c r="Q964" s="95"/>
      <c r="R964" s="95"/>
      <c r="AE964" s="95"/>
      <c r="AF964" s="95"/>
      <c r="AG964" s="95"/>
      <c r="AH964" s="2"/>
      <c r="AI964" s="2"/>
      <c r="AJ964" s="2"/>
      <c r="AK964" s="2"/>
    </row>
    <row r="965" spans="1:37" ht="15.75" customHeight="1" x14ac:dyDescent="0.2">
      <c r="A965" s="1"/>
      <c r="B965" s="2"/>
      <c r="C965" s="1"/>
      <c r="D965" s="1"/>
      <c r="E965" s="48"/>
      <c r="F965" s="48"/>
      <c r="G965" s="2"/>
      <c r="H965" s="48"/>
      <c r="I965" s="2"/>
      <c r="J965" s="2"/>
      <c r="K965" s="2"/>
      <c r="L965" s="2"/>
      <c r="M965" s="2"/>
      <c r="N965" s="2"/>
      <c r="O965" s="95"/>
      <c r="P965" s="95"/>
      <c r="Q965" s="95"/>
      <c r="R965" s="95"/>
      <c r="AE965" s="95"/>
      <c r="AF965" s="95"/>
      <c r="AG965" s="95"/>
      <c r="AH965" s="2"/>
      <c r="AI965" s="2"/>
      <c r="AJ965" s="2"/>
      <c r="AK965" s="2"/>
    </row>
    <row r="966" spans="1:37" ht="15.75" customHeight="1" x14ac:dyDescent="0.2">
      <c r="A966" s="1"/>
      <c r="B966" s="2"/>
      <c r="C966" s="1"/>
      <c r="D966" s="1"/>
      <c r="E966" s="48"/>
      <c r="F966" s="48"/>
      <c r="G966" s="2"/>
      <c r="H966" s="48"/>
      <c r="I966" s="2"/>
      <c r="J966" s="2"/>
      <c r="K966" s="2"/>
      <c r="L966" s="2"/>
      <c r="M966" s="2"/>
      <c r="N966" s="2"/>
      <c r="O966" s="95"/>
      <c r="P966" s="95"/>
      <c r="Q966" s="95"/>
      <c r="R966" s="95"/>
      <c r="AE966" s="95"/>
      <c r="AF966" s="95"/>
      <c r="AG966" s="95"/>
      <c r="AH966" s="2"/>
      <c r="AI966" s="2"/>
      <c r="AJ966" s="2"/>
      <c r="AK966" s="2"/>
    </row>
    <row r="967" spans="1:37" ht="15.75" customHeight="1" x14ac:dyDescent="0.2">
      <c r="A967" s="1"/>
      <c r="B967" s="2"/>
      <c r="C967" s="1"/>
      <c r="D967" s="1"/>
      <c r="E967" s="48"/>
      <c r="F967" s="48"/>
      <c r="G967" s="2"/>
      <c r="H967" s="48"/>
      <c r="I967" s="2"/>
      <c r="J967" s="2"/>
      <c r="K967" s="2"/>
      <c r="L967" s="2"/>
      <c r="M967" s="2"/>
      <c r="N967" s="2"/>
      <c r="O967" s="95"/>
      <c r="P967" s="95"/>
      <c r="Q967" s="95"/>
      <c r="R967" s="95"/>
      <c r="AE967" s="95"/>
      <c r="AF967" s="95"/>
      <c r="AG967" s="95"/>
      <c r="AH967" s="2"/>
      <c r="AI967" s="2"/>
      <c r="AJ967" s="2"/>
      <c r="AK967" s="2"/>
    </row>
    <row r="968" spans="1:37" ht="15.75" customHeight="1" x14ac:dyDescent="0.2">
      <c r="A968" s="1"/>
      <c r="B968" s="2"/>
      <c r="C968" s="1"/>
      <c r="D968" s="1"/>
      <c r="E968" s="48"/>
      <c r="F968" s="48"/>
      <c r="G968" s="2"/>
      <c r="H968" s="48"/>
      <c r="I968" s="2"/>
      <c r="J968" s="2"/>
      <c r="K968" s="2"/>
      <c r="L968" s="2"/>
      <c r="M968" s="2"/>
      <c r="N968" s="2"/>
      <c r="O968" s="95"/>
      <c r="P968" s="95"/>
      <c r="Q968" s="95"/>
      <c r="R968" s="95"/>
      <c r="AE968" s="95"/>
      <c r="AF968" s="95"/>
      <c r="AG968" s="95"/>
      <c r="AH968" s="2"/>
      <c r="AI968" s="2"/>
      <c r="AJ968" s="2"/>
      <c r="AK968" s="2"/>
    </row>
    <row r="969" spans="1:37" ht="15.75" customHeight="1" x14ac:dyDescent="0.2">
      <c r="A969" s="1"/>
      <c r="B969" s="2"/>
      <c r="C969" s="1"/>
      <c r="D969" s="1"/>
      <c r="E969" s="48"/>
      <c r="F969" s="48"/>
      <c r="G969" s="2"/>
      <c r="H969" s="48"/>
      <c r="I969" s="2"/>
      <c r="J969" s="2"/>
      <c r="K969" s="2"/>
      <c r="L969" s="2"/>
      <c r="M969" s="2"/>
      <c r="N969" s="2"/>
      <c r="O969" s="95"/>
      <c r="P969" s="95"/>
      <c r="Q969" s="95"/>
      <c r="R969" s="95"/>
      <c r="AE969" s="95"/>
      <c r="AF969" s="95"/>
      <c r="AG969" s="95"/>
      <c r="AH969" s="2"/>
      <c r="AI969" s="2"/>
      <c r="AJ969" s="2"/>
      <c r="AK969" s="2"/>
    </row>
    <row r="970" spans="1:37" ht="15.75" customHeight="1" x14ac:dyDescent="0.2">
      <c r="A970" s="1"/>
      <c r="B970" s="2"/>
      <c r="C970" s="1"/>
      <c r="D970" s="1"/>
      <c r="E970" s="48"/>
      <c r="F970" s="48"/>
      <c r="G970" s="2"/>
      <c r="H970" s="48"/>
      <c r="I970" s="2"/>
      <c r="J970" s="2"/>
      <c r="K970" s="2"/>
      <c r="L970" s="2"/>
      <c r="M970" s="2"/>
      <c r="N970" s="2"/>
      <c r="O970" s="95"/>
      <c r="P970" s="95"/>
      <c r="Q970" s="95"/>
      <c r="R970" s="95"/>
      <c r="AE970" s="95"/>
      <c r="AF970" s="95"/>
      <c r="AG970" s="95"/>
      <c r="AH970" s="2"/>
      <c r="AI970" s="2"/>
      <c r="AJ970" s="2"/>
      <c r="AK970" s="2"/>
    </row>
    <row r="971" spans="1:37" ht="15.75" customHeight="1" x14ac:dyDescent="0.2">
      <c r="A971" s="1"/>
      <c r="B971" s="2"/>
      <c r="C971" s="1"/>
      <c r="D971" s="1"/>
      <c r="E971" s="48"/>
      <c r="F971" s="48"/>
      <c r="G971" s="2"/>
      <c r="H971" s="48"/>
      <c r="I971" s="2"/>
      <c r="J971" s="2"/>
      <c r="K971" s="2"/>
      <c r="L971" s="2"/>
      <c r="M971" s="2"/>
      <c r="N971" s="2"/>
      <c r="O971" s="95"/>
      <c r="P971" s="95"/>
      <c r="Q971" s="95"/>
      <c r="R971" s="95"/>
      <c r="AE971" s="95"/>
      <c r="AF971" s="95"/>
      <c r="AG971" s="95"/>
      <c r="AH971" s="2"/>
      <c r="AI971" s="2"/>
      <c r="AJ971" s="2"/>
      <c r="AK971" s="2"/>
    </row>
    <row r="972" spans="1:37" ht="15.75" customHeight="1" x14ac:dyDescent="0.2">
      <c r="A972" s="1"/>
      <c r="B972" s="2"/>
      <c r="C972" s="1"/>
      <c r="D972" s="1"/>
      <c r="E972" s="48"/>
      <c r="F972" s="48"/>
      <c r="G972" s="2"/>
      <c r="H972" s="48"/>
      <c r="I972" s="2"/>
      <c r="J972" s="2"/>
      <c r="K972" s="2"/>
      <c r="L972" s="2"/>
      <c r="M972" s="2"/>
      <c r="N972" s="2"/>
      <c r="O972" s="95"/>
      <c r="P972" s="95"/>
      <c r="Q972" s="95"/>
      <c r="R972" s="95"/>
      <c r="AE972" s="95"/>
      <c r="AF972" s="95"/>
      <c r="AG972" s="95"/>
      <c r="AH972" s="2"/>
      <c r="AI972" s="2"/>
      <c r="AJ972" s="2"/>
      <c r="AK972" s="2"/>
    </row>
    <row r="973" spans="1:37" ht="15.75" customHeight="1" x14ac:dyDescent="0.2">
      <c r="A973" s="1"/>
      <c r="B973" s="2"/>
      <c r="C973" s="1"/>
      <c r="D973" s="1"/>
      <c r="E973" s="48"/>
      <c r="F973" s="48"/>
      <c r="G973" s="2"/>
      <c r="H973" s="48"/>
      <c r="I973" s="2"/>
      <c r="J973" s="2"/>
      <c r="K973" s="2"/>
      <c r="L973" s="2"/>
      <c r="M973" s="2"/>
      <c r="N973" s="2"/>
      <c r="O973" s="95"/>
      <c r="P973" s="95"/>
      <c r="Q973" s="95"/>
      <c r="R973" s="95"/>
      <c r="AE973" s="95"/>
      <c r="AF973" s="95"/>
      <c r="AG973" s="95"/>
      <c r="AH973" s="2"/>
      <c r="AI973" s="2"/>
      <c r="AJ973" s="2"/>
      <c r="AK973" s="2"/>
    </row>
    <row r="974" spans="1:37" ht="15.75" customHeight="1" x14ac:dyDescent="0.2">
      <c r="A974" s="1"/>
      <c r="B974" s="2"/>
      <c r="C974" s="1"/>
      <c r="D974" s="1"/>
      <c r="E974" s="48"/>
      <c r="F974" s="48"/>
      <c r="G974" s="2"/>
      <c r="H974" s="48"/>
      <c r="I974" s="2"/>
      <c r="J974" s="2"/>
      <c r="K974" s="2"/>
      <c r="L974" s="2"/>
      <c r="M974" s="2"/>
      <c r="N974" s="2"/>
      <c r="O974" s="95"/>
      <c r="P974" s="95"/>
      <c r="Q974" s="95"/>
      <c r="R974" s="95"/>
      <c r="AE974" s="95"/>
      <c r="AF974" s="95"/>
      <c r="AG974" s="95"/>
      <c r="AH974" s="2"/>
      <c r="AI974" s="2"/>
      <c r="AJ974" s="2"/>
      <c r="AK974" s="2"/>
    </row>
    <row r="975" spans="1:37" ht="15.75" customHeight="1" x14ac:dyDescent="0.2">
      <c r="A975" s="1"/>
      <c r="B975" s="2"/>
      <c r="C975" s="1"/>
      <c r="D975" s="1"/>
      <c r="E975" s="48"/>
      <c r="F975" s="48"/>
      <c r="G975" s="2"/>
      <c r="H975" s="48"/>
      <c r="I975" s="2"/>
      <c r="J975" s="2"/>
      <c r="K975" s="2"/>
      <c r="L975" s="2"/>
      <c r="M975" s="2"/>
      <c r="N975" s="2"/>
      <c r="O975" s="95"/>
      <c r="P975" s="95"/>
      <c r="Q975" s="95"/>
      <c r="R975" s="95"/>
      <c r="AE975" s="95"/>
      <c r="AF975" s="95"/>
      <c r="AG975" s="95"/>
      <c r="AH975" s="2"/>
      <c r="AI975" s="2"/>
      <c r="AJ975" s="2"/>
      <c r="AK975" s="2"/>
    </row>
    <row r="976" spans="1:37" ht="15.75" customHeight="1" x14ac:dyDescent="0.2">
      <c r="A976" s="1"/>
      <c r="B976" s="2"/>
      <c r="C976" s="1"/>
      <c r="D976" s="1"/>
      <c r="E976" s="48"/>
      <c r="F976" s="48"/>
      <c r="G976" s="2"/>
      <c r="H976" s="48"/>
      <c r="I976" s="2"/>
      <c r="J976" s="2"/>
      <c r="K976" s="2"/>
      <c r="L976" s="2"/>
      <c r="M976" s="2"/>
      <c r="N976" s="2"/>
      <c r="O976" s="95"/>
      <c r="P976" s="95"/>
      <c r="Q976" s="95"/>
      <c r="R976" s="95"/>
      <c r="AE976" s="95"/>
      <c r="AF976" s="95"/>
      <c r="AG976" s="95"/>
      <c r="AH976" s="2"/>
      <c r="AI976" s="2"/>
      <c r="AJ976" s="2"/>
      <c r="AK976" s="2"/>
    </row>
    <row r="977" spans="1:37" ht="15.75" customHeight="1" x14ac:dyDescent="0.2">
      <c r="A977" s="1"/>
      <c r="B977" s="2"/>
      <c r="C977" s="1"/>
      <c r="D977" s="1"/>
      <c r="E977" s="48"/>
      <c r="F977" s="48"/>
      <c r="G977" s="2"/>
      <c r="H977" s="48"/>
      <c r="I977" s="2"/>
      <c r="J977" s="2"/>
      <c r="K977" s="2"/>
      <c r="L977" s="2"/>
      <c r="M977" s="2"/>
      <c r="N977" s="2"/>
      <c r="O977" s="95"/>
      <c r="P977" s="95"/>
      <c r="Q977" s="95"/>
      <c r="R977" s="95"/>
      <c r="AE977" s="95"/>
      <c r="AF977" s="95"/>
      <c r="AG977" s="95"/>
      <c r="AH977" s="2"/>
      <c r="AI977" s="2"/>
      <c r="AJ977" s="2"/>
      <c r="AK977" s="2"/>
    </row>
    <row r="978" spans="1:37" ht="15.75" customHeight="1" x14ac:dyDescent="0.2">
      <c r="A978" s="1"/>
      <c r="B978" s="2"/>
      <c r="C978" s="1"/>
      <c r="D978" s="1"/>
      <c r="E978" s="48"/>
      <c r="F978" s="48"/>
      <c r="G978" s="2"/>
      <c r="H978" s="48"/>
      <c r="I978" s="2"/>
      <c r="J978" s="2"/>
      <c r="K978" s="2"/>
      <c r="L978" s="2"/>
      <c r="M978" s="2"/>
      <c r="N978" s="2"/>
      <c r="O978" s="95"/>
      <c r="P978" s="95"/>
      <c r="Q978" s="95"/>
      <c r="R978" s="95"/>
      <c r="AE978" s="95"/>
      <c r="AF978" s="95"/>
      <c r="AG978" s="95"/>
      <c r="AH978" s="2"/>
      <c r="AI978" s="2"/>
      <c r="AJ978" s="2"/>
      <c r="AK978" s="2"/>
    </row>
    <row r="979" spans="1:37" ht="15.75" customHeight="1" x14ac:dyDescent="0.2">
      <c r="A979" s="1"/>
      <c r="B979" s="2"/>
      <c r="C979" s="1"/>
      <c r="D979" s="1"/>
      <c r="E979" s="48"/>
      <c r="F979" s="48"/>
      <c r="G979" s="2"/>
      <c r="H979" s="48"/>
      <c r="I979" s="2"/>
      <c r="J979" s="2"/>
      <c r="K979" s="2"/>
      <c r="L979" s="2"/>
      <c r="M979" s="2"/>
      <c r="N979" s="2"/>
      <c r="O979" s="95"/>
      <c r="P979" s="95"/>
      <c r="Q979" s="95"/>
      <c r="R979" s="95"/>
      <c r="AE979" s="95"/>
      <c r="AF979" s="95"/>
      <c r="AG979" s="95"/>
      <c r="AH979" s="2"/>
      <c r="AI979" s="2"/>
      <c r="AJ979" s="2"/>
      <c r="AK979" s="2"/>
    </row>
    <row r="980" spans="1:37" ht="15.75" customHeight="1" x14ac:dyDescent="0.2">
      <c r="A980" s="1"/>
      <c r="B980" s="2"/>
      <c r="C980" s="1"/>
      <c r="D980" s="1"/>
      <c r="E980" s="48"/>
      <c r="F980" s="48"/>
      <c r="G980" s="2"/>
      <c r="H980" s="48"/>
      <c r="I980" s="2"/>
      <c r="J980" s="2"/>
      <c r="K980" s="2"/>
      <c r="L980" s="2"/>
      <c r="M980" s="2"/>
      <c r="N980" s="2"/>
      <c r="O980" s="95"/>
      <c r="P980" s="95"/>
      <c r="Q980" s="95"/>
      <c r="R980" s="95"/>
      <c r="AE980" s="95"/>
      <c r="AF980" s="95"/>
      <c r="AG980" s="95"/>
      <c r="AH980" s="2"/>
      <c r="AI980" s="2"/>
      <c r="AJ980" s="2"/>
      <c r="AK980" s="2"/>
    </row>
    <row r="981" spans="1:37" ht="15.75" customHeight="1" x14ac:dyDescent="0.2">
      <c r="A981" s="1"/>
      <c r="B981" s="2"/>
      <c r="C981" s="1"/>
      <c r="D981" s="1"/>
      <c r="E981" s="48"/>
      <c r="F981" s="48"/>
      <c r="G981" s="2"/>
      <c r="H981" s="48"/>
      <c r="I981" s="2"/>
      <c r="J981" s="2"/>
      <c r="K981" s="2"/>
      <c r="L981" s="2"/>
      <c r="M981" s="2"/>
      <c r="N981" s="2"/>
      <c r="O981" s="95"/>
      <c r="P981" s="95"/>
      <c r="Q981" s="95"/>
      <c r="R981" s="95"/>
      <c r="AE981" s="95"/>
      <c r="AF981" s="95"/>
      <c r="AG981" s="95"/>
      <c r="AH981" s="2"/>
      <c r="AI981" s="2"/>
      <c r="AJ981" s="2"/>
      <c r="AK981" s="2"/>
    </row>
    <row r="982" spans="1:37" ht="15.75" customHeight="1" x14ac:dyDescent="0.2">
      <c r="A982" s="1"/>
      <c r="B982" s="2"/>
      <c r="C982" s="1"/>
      <c r="D982" s="1"/>
      <c r="E982" s="48"/>
      <c r="F982" s="48"/>
      <c r="G982" s="2"/>
      <c r="H982" s="48"/>
      <c r="I982" s="2"/>
      <c r="J982" s="2"/>
      <c r="K982" s="2"/>
      <c r="L982" s="2"/>
      <c r="M982" s="2"/>
      <c r="N982" s="2"/>
      <c r="O982" s="95"/>
      <c r="P982" s="95"/>
      <c r="Q982" s="95"/>
      <c r="R982" s="95"/>
      <c r="AE982" s="95"/>
      <c r="AF982" s="95"/>
      <c r="AG982" s="95"/>
      <c r="AH982" s="2"/>
      <c r="AI982" s="2"/>
      <c r="AJ982" s="2"/>
      <c r="AK982" s="2"/>
    </row>
    <row r="983" spans="1:37" ht="15.75" customHeight="1" x14ac:dyDescent="0.2">
      <c r="A983" s="1"/>
      <c r="B983" s="2"/>
      <c r="C983" s="1"/>
      <c r="D983" s="1"/>
      <c r="E983" s="48"/>
      <c r="F983" s="48"/>
      <c r="G983" s="2"/>
      <c r="H983" s="48"/>
      <c r="I983" s="2"/>
      <c r="J983" s="2"/>
      <c r="K983" s="2"/>
      <c r="L983" s="2"/>
      <c r="M983" s="2"/>
      <c r="N983" s="2"/>
      <c r="O983" s="95"/>
      <c r="P983" s="95"/>
      <c r="Q983" s="95"/>
      <c r="R983" s="95"/>
      <c r="AE983" s="95"/>
      <c r="AF983" s="95"/>
      <c r="AG983" s="95"/>
      <c r="AH983" s="2"/>
      <c r="AI983" s="2"/>
      <c r="AJ983" s="2"/>
      <c r="AK983" s="2"/>
    </row>
    <row r="984" spans="1:37" ht="15.75" customHeight="1" x14ac:dyDescent="0.2">
      <c r="A984" s="1"/>
      <c r="B984" s="2"/>
      <c r="C984" s="1"/>
      <c r="D984" s="1"/>
      <c r="E984" s="48"/>
      <c r="F984" s="48"/>
      <c r="G984" s="2"/>
      <c r="H984" s="48"/>
      <c r="I984" s="2"/>
      <c r="J984" s="2"/>
      <c r="K984" s="2"/>
      <c r="L984" s="2"/>
      <c r="M984" s="2"/>
      <c r="N984" s="2"/>
      <c r="O984" s="95"/>
      <c r="P984" s="95"/>
      <c r="Q984" s="95"/>
      <c r="R984" s="95"/>
      <c r="AE984" s="95"/>
      <c r="AF984" s="95"/>
      <c r="AG984" s="95"/>
      <c r="AH984" s="2"/>
      <c r="AI984" s="2"/>
      <c r="AJ984" s="2"/>
      <c r="AK984" s="2"/>
    </row>
    <row r="985" spans="1:37" ht="15.75" customHeight="1" x14ac:dyDescent="0.2">
      <c r="A985" s="1"/>
      <c r="B985" s="2"/>
      <c r="C985" s="1"/>
      <c r="D985" s="1"/>
      <c r="E985" s="48"/>
      <c r="F985" s="48"/>
      <c r="G985" s="2"/>
      <c r="H985" s="48"/>
      <c r="I985" s="2"/>
      <c r="J985" s="2"/>
      <c r="K985" s="2"/>
      <c r="L985" s="2"/>
      <c r="M985" s="2"/>
      <c r="N985" s="2"/>
      <c r="O985" s="95"/>
      <c r="P985" s="95"/>
      <c r="Q985" s="95"/>
      <c r="R985" s="95"/>
      <c r="AE985" s="95"/>
      <c r="AF985" s="95"/>
      <c r="AG985" s="95"/>
      <c r="AH985" s="2"/>
      <c r="AI985" s="2"/>
      <c r="AJ985" s="2"/>
      <c r="AK985" s="2"/>
    </row>
    <row r="986" spans="1:37" ht="15.75" customHeight="1" x14ac:dyDescent="0.2">
      <c r="A986" s="1"/>
      <c r="B986" s="2"/>
      <c r="C986" s="1"/>
      <c r="D986" s="1"/>
      <c r="E986" s="48"/>
      <c r="F986" s="48"/>
      <c r="G986" s="2"/>
      <c r="H986" s="48"/>
      <c r="I986" s="2"/>
      <c r="J986" s="2"/>
      <c r="K986" s="2"/>
      <c r="L986" s="2"/>
      <c r="M986" s="2"/>
      <c r="N986" s="2"/>
      <c r="O986" s="95"/>
      <c r="P986" s="95"/>
      <c r="Q986" s="95"/>
      <c r="R986" s="95"/>
      <c r="AE986" s="95"/>
      <c r="AF986" s="95"/>
      <c r="AG986" s="95"/>
      <c r="AH986" s="2"/>
      <c r="AI986" s="2"/>
      <c r="AJ986" s="2"/>
      <c r="AK986" s="2"/>
    </row>
    <row r="987" spans="1:37" ht="15.75" customHeight="1" x14ac:dyDescent="0.2">
      <c r="A987" s="1"/>
      <c r="B987" s="2"/>
      <c r="C987" s="1"/>
      <c r="D987" s="1"/>
      <c r="E987" s="48"/>
      <c r="F987" s="48"/>
      <c r="G987" s="2"/>
      <c r="H987" s="48"/>
      <c r="I987" s="2"/>
      <c r="J987" s="2"/>
      <c r="K987" s="2"/>
      <c r="L987" s="2"/>
      <c r="M987" s="2"/>
      <c r="N987" s="2"/>
      <c r="O987" s="95"/>
      <c r="P987" s="95"/>
      <c r="Q987" s="95"/>
      <c r="R987" s="95"/>
      <c r="AE987" s="95"/>
      <c r="AF987" s="95"/>
      <c r="AG987" s="95"/>
      <c r="AH987" s="2"/>
      <c r="AI987" s="2"/>
      <c r="AJ987" s="2"/>
      <c r="AK987" s="2"/>
    </row>
    <row r="988" spans="1:37" ht="15.75" customHeight="1" x14ac:dyDescent="0.2">
      <c r="A988" s="1"/>
      <c r="B988" s="2"/>
      <c r="C988" s="1"/>
      <c r="D988" s="1"/>
      <c r="E988" s="48"/>
      <c r="F988" s="48"/>
      <c r="G988" s="2"/>
      <c r="H988" s="48"/>
      <c r="I988" s="2"/>
      <c r="J988" s="2"/>
      <c r="K988" s="2"/>
      <c r="L988" s="2"/>
      <c r="M988" s="2"/>
      <c r="N988" s="2"/>
      <c r="O988" s="95"/>
      <c r="P988" s="95"/>
      <c r="Q988" s="95"/>
      <c r="R988" s="95"/>
      <c r="AE988" s="95"/>
      <c r="AF988" s="95"/>
      <c r="AG988" s="95"/>
      <c r="AH988" s="2"/>
      <c r="AI988" s="2"/>
      <c r="AJ988" s="2"/>
      <c r="AK988" s="2"/>
    </row>
    <row r="989" spans="1:37" ht="15.75" customHeight="1" x14ac:dyDescent="0.2">
      <c r="A989" s="1"/>
      <c r="B989" s="2"/>
      <c r="C989" s="1"/>
      <c r="D989" s="1"/>
      <c r="E989" s="48"/>
      <c r="F989" s="48"/>
      <c r="G989" s="2"/>
      <c r="H989" s="48"/>
      <c r="I989" s="2"/>
      <c r="J989" s="2"/>
      <c r="K989" s="2"/>
      <c r="L989" s="2"/>
      <c r="M989" s="2"/>
      <c r="N989" s="2"/>
      <c r="O989" s="95"/>
      <c r="P989" s="95"/>
      <c r="Q989" s="95"/>
      <c r="R989" s="95"/>
      <c r="AE989" s="95"/>
      <c r="AF989" s="95"/>
      <c r="AG989" s="95"/>
      <c r="AH989" s="2"/>
      <c r="AI989" s="2"/>
      <c r="AJ989" s="2"/>
      <c r="AK989" s="2"/>
    </row>
    <row r="990" spans="1:37" ht="15.75" customHeight="1" x14ac:dyDescent="0.2">
      <c r="A990" s="1"/>
      <c r="B990" s="2"/>
      <c r="C990" s="1"/>
      <c r="D990" s="1"/>
      <c r="E990" s="48"/>
      <c r="F990" s="48"/>
      <c r="G990" s="2"/>
      <c r="H990" s="48"/>
      <c r="I990" s="2"/>
      <c r="J990" s="2"/>
      <c r="K990" s="2"/>
      <c r="L990" s="2"/>
      <c r="M990" s="2"/>
      <c r="N990" s="2"/>
      <c r="O990" s="95"/>
      <c r="P990" s="95"/>
      <c r="Q990" s="95"/>
      <c r="R990" s="95"/>
      <c r="AE990" s="95"/>
      <c r="AF990" s="95"/>
      <c r="AG990" s="95"/>
      <c r="AH990" s="2"/>
      <c r="AI990" s="2"/>
      <c r="AJ990" s="2"/>
      <c r="AK990" s="2"/>
    </row>
    <row r="991" spans="1:37" ht="15.75" customHeight="1" x14ac:dyDescent="0.2">
      <c r="A991" s="1"/>
      <c r="B991" s="2"/>
      <c r="C991" s="1"/>
      <c r="D991" s="1"/>
      <c r="E991" s="48"/>
      <c r="F991" s="48"/>
      <c r="G991" s="2"/>
      <c r="H991" s="48"/>
      <c r="I991" s="2"/>
      <c r="J991" s="2"/>
      <c r="K991" s="2"/>
      <c r="L991" s="2"/>
      <c r="M991" s="2"/>
      <c r="N991" s="2"/>
      <c r="O991" s="95"/>
      <c r="P991" s="95"/>
      <c r="Q991" s="95"/>
      <c r="R991" s="95"/>
      <c r="AE991" s="95"/>
      <c r="AF991" s="95"/>
      <c r="AG991" s="95"/>
      <c r="AH991" s="2"/>
      <c r="AI991" s="2"/>
      <c r="AJ991" s="2"/>
      <c r="AK991" s="2"/>
    </row>
    <row r="992" spans="1:37" ht="15.75" customHeight="1" x14ac:dyDescent="0.2">
      <c r="A992" s="1"/>
      <c r="B992" s="2"/>
      <c r="C992" s="1"/>
      <c r="D992" s="1"/>
      <c r="E992" s="48"/>
      <c r="F992" s="48"/>
      <c r="G992" s="2"/>
      <c r="H992" s="48"/>
      <c r="I992" s="2"/>
      <c r="J992" s="2"/>
      <c r="K992" s="2"/>
      <c r="L992" s="2"/>
      <c r="M992" s="2"/>
      <c r="N992" s="2"/>
      <c r="O992" s="95"/>
      <c r="P992" s="95"/>
      <c r="Q992" s="95"/>
      <c r="R992" s="95"/>
      <c r="AE992" s="95"/>
      <c r="AF992" s="95"/>
      <c r="AG992" s="95"/>
      <c r="AH992" s="2"/>
      <c r="AI992" s="2"/>
      <c r="AJ992" s="2"/>
      <c r="AK992" s="2"/>
    </row>
    <row r="993" spans="1:37" ht="15.75" customHeight="1" x14ac:dyDescent="0.2">
      <c r="A993" s="1"/>
      <c r="B993" s="2"/>
      <c r="C993" s="1"/>
      <c r="D993" s="1"/>
      <c r="E993" s="48"/>
      <c r="F993" s="48"/>
      <c r="G993" s="2"/>
      <c r="H993" s="48"/>
      <c r="I993" s="2"/>
      <c r="J993" s="2"/>
      <c r="K993" s="2"/>
      <c r="L993" s="2"/>
      <c r="M993" s="2"/>
      <c r="N993" s="2"/>
      <c r="O993" s="95"/>
      <c r="P993" s="95"/>
      <c r="Q993" s="95"/>
      <c r="R993" s="95"/>
      <c r="AE993" s="95"/>
      <c r="AF993" s="95"/>
      <c r="AG993" s="95"/>
      <c r="AH993" s="2"/>
      <c r="AI993" s="2"/>
      <c r="AJ993" s="2"/>
      <c r="AK993" s="2"/>
    </row>
    <row r="994" spans="1:37" ht="15.75" customHeight="1" x14ac:dyDescent="0.2">
      <c r="A994" s="1"/>
      <c r="B994" s="2"/>
      <c r="C994" s="1"/>
      <c r="D994" s="1"/>
      <c r="E994" s="48"/>
      <c r="F994" s="48"/>
      <c r="G994" s="2"/>
      <c r="H994" s="48"/>
      <c r="I994" s="2"/>
      <c r="J994" s="2"/>
      <c r="K994" s="2"/>
      <c r="L994" s="2"/>
      <c r="M994" s="2"/>
      <c r="N994" s="2"/>
      <c r="O994" s="95"/>
      <c r="P994" s="95"/>
      <c r="Q994" s="95"/>
      <c r="R994" s="95"/>
      <c r="AE994" s="95"/>
      <c r="AF994" s="95"/>
      <c r="AG994" s="95"/>
      <c r="AH994" s="2"/>
      <c r="AI994" s="2"/>
      <c r="AJ994" s="2"/>
      <c r="AK994" s="2"/>
    </row>
    <row r="995" spans="1:37" ht="15.75" customHeight="1" x14ac:dyDescent="0.2">
      <c r="A995" s="1"/>
      <c r="B995" s="2"/>
      <c r="C995" s="1"/>
      <c r="D995" s="1"/>
      <c r="E995" s="48"/>
      <c r="F995" s="48"/>
      <c r="G995" s="2"/>
      <c r="H995" s="48"/>
      <c r="I995" s="2"/>
      <c r="J995" s="2"/>
      <c r="K995" s="2"/>
      <c r="L995" s="2"/>
      <c r="M995" s="2"/>
      <c r="N995" s="2"/>
      <c r="O995" s="95"/>
      <c r="P995" s="95"/>
      <c r="Q995" s="95"/>
      <c r="R995" s="95"/>
      <c r="AE995" s="95"/>
      <c r="AF995" s="95"/>
      <c r="AG995" s="95"/>
      <c r="AH995" s="2"/>
      <c r="AI995" s="2"/>
      <c r="AJ995" s="2"/>
      <c r="AK995" s="2"/>
    </row>
    <row r="996" spans="1:37" ht="15.75" customHeight="1" x14ac:dyDescent="0.2">
      <c r="A996" s="1"/>
      <c r="B996" s="2"/>
      <c r="C996" s="1"/>
      <c r="D996" s="1"/>
      <c r="E996" s="48"/>
      <c r="F996" s="48"/>
      <c r="G996" s="2"/>
      <c r="H996" s="48"/>
      <c r="I996" s="2"/>
      <c r="J996" s="2"/>
      <c r="K996" s="2"/>
      <c r="L996" s="2"/>
      <c r="M996" s="2"/>
      <c r="N996" s="2"/>
      <c r="O996" s="95"/>
      <c r="P996" s="95"/>
      <c r="Q996" s="95"/>
      <c r="R996" s="95"/>
      <c r="AE996" s="95"/>
      <c r="AF996" s="95"/>
      <c r="AG996" s="95"/>
      <c r="AH996" s="2"/>
      <c r="AI996" s="2"/>
      <c r="AJ996" s="2"/>
      <c r="AK996" s="2"/>
    </row>
    <row r="997" spans="1:37" ht="15.75" customHeight="1" x14ac:dyDescent="0.2">
      <c r="A997" s="1"/>
      <c r="B997" s="2"/>
      <c r="C997" s="1"/>
      <c r="D997" s="1"/>
      <c r="E997" s="48"/>
      <c r="F997" s="48"/>
      <c r="G997" s="2"/>
      <c r="H997" s="48"/>
      <c r="I997" s="2"/>
      <c r="J997" s="2"/>
      <c r="K997" s="2"/>
      <c r="L997" s="2"/>
      <c r="M997" s="2"/>
      <c r="N997" s="2"/>
      <c r="O997" s="95"/>
      <c r="P997" s="95"/>
      <c r="Q997" s="95"/>
      <c r="R997" s="95"/>
      <c r="AE997" s="95"/>
      <c r="AF997" s="95"/>
      <c r="AG997" s="95"/>
      <c r="AH997" s="2"/>
      <c r="AI997" s="2"/>
      <c r="AJ997" s="2"/>
      <c r="AK997" s="2"/>
    </row>
    <row r="998" spans="1:37" ht="15.75" customHeight="1" x14ac:dyDescent="0.2">
      <c r="A998" s="1"/>
      <c r="B998" s="2"/>
      <c r="C998" s="1"/>
      <c r="D998" s="1"/>
      <c r="E998" s="48"/>
      <c r="F998" s="48"/>
      <c r="G998" s="2"/>
      <c r="H998" s="48"/>
      <c r="I998" s="2"/>
      <c r="J998" s="2"/>
      <c r="K998" s="2"/>
      <c r="L998" s="2"/>
      <c r="M998" s="2"/>
      <c r="N998" s="2"/>
      <c r="O998" s="95"/>
      <c r="P998" s="95"/>
      <c r="Q998" s="95"/>
      <c r="R998" s="95"/>
      <c r="AE998" s="95"/>
      <c r="AF998" s="95"/>
      <c r="AG998" s="95"/>
      <c r="AH998" s="2"/>
      <c r="AI998" s="2"/>
      <c r="AJ998" s="2"/>
      <c r="AK998" s="2"/>
    </row>
    <row r="999" spans="1:37" ht="15.75" customHeight="1" x14ac:dyDescent="0.2">
      <c r="A999" s="1"/>
      <c r="B999" s="2"/>
      <c r="C999" s="1"/>
      <c r="D999" s="1"/>
      <c r="E999" s="48"/>
      <c r="F999" s="48"/>
      <c r="G999" s="2"/>
      <c r="H999" s="48"/>
      <c r="I999" s="2"/>
      <c r="J999" s="2"/>
      <c r="K999" s="2"/>
      <c r="L999" s="2"/>
      <c r="M999" s="2"/>
      <c r="N999" s="2"/>
      <c r="O999" s="95"/>
      <c r="P999" s="95"/>
      <c r="Q999" s="95"/>
      <c r="R999" s="95"/>
      <c r="AE999" s="95"/>
      <c r="AF999" s="95"/>
      <c r="AG999" s="95"/>
      <c r="AH999" s="2"/>
      <c r="AI999" s="2"/>
      <c r="AJ999" s="2"/>
      <c r="AK999" s="2"/>
    </row>
    <row r="1000" spans="1:37" ht="15.75" customHeight="1" x14ac:dyDescent="0.2">
      <c r="A1000" s="1"/>
      <c r="B1000" s="2"/>
      <c r="C1000" s="1"/>
      <c r="D1000" s="1"/>
      <c r="E1000" s="48"/>
      <c r="F1000" s="48"/>
      <c r="G1000" s="2"/>
      <c r="H1000" s="48"/>
      <c r="I1000" s="2"/>
      <c r="J1000" s="2"/>
      <c r="K1000" s="2"/>
      <c r="L1000" s="2"/>
      <c r="M1000" s="2"/>
      <c r="N1000" s="2"/>
      <c r="O1000" s="95"/>
      <c r="P1000" s="95"/>
      <c r="Q1000" s="95"/>
      <c r="R1000" s="95"/>
      <c r="AE1000" s="95"/>
      <c r="AF1000" s="95"/>
      <c r="AG1000" s="95"/>
      <c r="AH1000" s="2"/>
      <c r="AI1000" s="2"/>
      <c r="AJ1000" s="2"/>
      <c r="AK1000" s="2"/>
    </row>
    <row r="1001" spans="1:37" ht="15.75" customHeight="1" x14ac:dyDescent="0.2">
      <c r="A1001" s="1"/>
      <c r="B1001" s="2"/>
      <c r="C1001" s="1"/>
      <c r="D1001" s="1"/>
      <c r="E1001" s="48"/>
      <c r="F1001" s="48"/>
      <c r="G1001" s="2"/>
      <c r="H1001" s="48"/>
      <c r="I1001" s="2"/>
      <c r="J1001" s="2"/>
      <c r="K1001" s="2"/>
      <c r="L1001" s="2"/>
      <c r="M1001" s="2"/>
      <c r="N1001" s="2"/>
      <c r="O1001" s="95"/>
      <c r="P1001" s="95"/>
      <c r="Q1001" s="95"/>
      <c r="R1001" s="95"/>
      <c r="AE1001" s="95"/>
      <c r="AF1001" s="95"/>
      <c r="AG1001" s="95"/>
      <c r="AH1001" s="2"/>
      <c r="AI1001" s="2"/>
      <c r="AJ1001" s="2"/>
      <c r="AK1001" s="2"/>
    </row>
    <row r="1002" spans="1:37" ht="15.75" customHeight="1" x14ac:dyDescent="0.2">
      <c r="A1002" s="1"/>
      <c r="B1002" s="2"/>
      <c r="C1002" s="1"/>
      <c r="D1002" s="1"/>
      <c r="E1002" s="48"/>
      <c r="F1002" s="48"/>
      <c r="G1002" s="2"/>
      <c r="H1002" s="48"/>
      <c r="I1002" s="2"/>
      <c r="J1002" s="2"/>
      <c r="K1002" s="2"/>
      <c r="L1002" s="2"/>
      <c r="M1002" s="2"/>
      <c r="N1002" s="2"/>
      <c r="O1002" s="95"/>
      <c r="P1002" s="95"/>
      <c r="Q1002" s="95"/>
      <c r="R1002" s="95"/>
      <c r="AE1002" s="95"/>
      <c r="AF1002" s="95"/>
      <c r="AG1002" s="95"/>
      <c r="AH1002" s="2"/>
      <c r="AI1002" s="2"/>
      <c r="AJ1002" s="2"/>
      <c r="AK1002" s="2"/>
    </row>
    <row r="1003" spans="1:37" ht="15.75" customHeight="1" x14ac:dyDescent="0.2">
      <c r="A1003" s="1"/>
      <c r="B1003" s="2"/>
      <c r="C1003" s="1"/>
      <c r="D1003" s="1"/>
      <c r="E1003" s="48"/>
      <c r="F1003" s="48"/>
      <c r="G1003" s="2"/>
      <c r="H1003" s="48"/>
      <c r="I1003" s="2"/>
      <c r="J1003" s="2"/>
      <c r="K1003" s="2"/>
      <c r="L1003" s="2"/>
      <c r="M1003" s="2"/>
      <c r="N1003" s="2"/>
      <c r="O1003" s="95"/>
      <c r="P1003" s="95"/>
      <c r="Q1003" s="95"/>
      <c r="R1003" s="95"/>
      <c r="AE1003" s="95"/>
      <c r="AF1003" s="95"/>
      <c r="AG1003" s="95"/>
      <c r="AH1003" s="2"/>
      <c r="AI1003" s="2"/>
      <c r="AJ1003" s="2"/>
      <c r="AK1003" s="2"/>
    </row>
    <row r="1004" spans="1:37" ht="15.75" customHeight="1" x14ac:dyDescent="0.2">
      <c r="A1004" s="1"/>
      <c r="B1004" s="2"/>
      <c r="C1004" s="1"/>
      <c r="D1004" s="1"/>
      <c r="E1004" s="48"/>
      <c r="F1004" s="48"/>
      <c r="G1004" s="2"/>
      <c r="H1004" s="48"/>
      <c r="I1004" s="2"/>
      <c r="J1004" s="2"/>
      <c r="K1004" s="2"/>
      <c r="L1004" s="2"/>
      <c r="M1004" s="2"/>
      <c r="N1004" s="2"/>
      <c r="O1004" s="95"/>
      <c r="P1004" s="95"/>
      <c r="Q1004" s="95"/>
      <c r="R1004" s="95"/>
      <c r="AE1004" s="95"/>
      <c r="AF1004" s="95"/>
      <c r="AG1004" s="95"/>
      <c r="AH1004" s="2"/>
      <c r="AI1004" s="2"/>
      <c r="AJ1004" s="2"/>
      <c r="AK1004" s="2"/>
    </row>
    <row r="1005" spans="1:37" ht="15.75" customHeight="1" x14ac:dyDescent="0.2">
      <c r="A1005" s="1"/>
      <c r="B1005" s="2"/>
      <c r="C1005" s="1"/>
      <c r="D1005" s="1"/>
      <c r="E1005" s="48"/>
      <c r="F1005" s="48"/>
      <c r="G1005" s="2"/>
      <c r="H1005" s="48"/>
      <c r="I1005" s="2"/>
      <c r="J1005" s="2"/>
      <c r="K1005" s="2"/>
      <c r="L1005" s="2"/>
      <c r="M1005" s="2"/>
      <c r="N1005" s="2"/>
      <c r="O1005" s="95"/>
      <c r="P1005" s="95"/>
      <c r="Q1005" s="95"/>
      <c r="R1005" s="95"/>
      <c r="AE1005" s="95"/>
      <c r="AF1005" s="95"/>
      <c r="AG1005" s="95"/>
      <c r="AH1005" s="2"/>
      <c r="AI1005" s="2"/>
      <c r="AJ1005" s="2"/>
      <c r="AK1005" s="2"/>
    </row>
    <row r="1006" spans="1:37" ht="15.75" customHeight="1" x14ac:dyDescent="0.2">
      <c r="A1006" s="1"/>
      <c r="B1006" s="2"/>
      <c r="C1006" s="1"/>
      <c r="D1006" s="1"/>
      <c r="E1006" s="48"/>
      <c r="F1006" s="48"/>
      <c r="G1006" s="2"/>
      <c r="H1006" s="48"/>
      <c r="I1006" s="2"/>
      <c r="J1006" s="2"/>
      <c r="K1006" s="2"/>
      <c r="L1006" s="2"/>
      <c r="M1006" s="2"/>
      <c r="N1006" s="2"/>
      <c r="O1006" s="95"/>
      <c r="P1006" s="95"/>
      <c r="Q1006" s="95"/>
      <c r="R1006" s="95"/>
      <c r="AE1006" s="95"/>
      <c r="AF1006" s="95"/>
      <c r="AG1006" s="95"/>
      <c r="AH1006" s="2"/>
      <c r="AI1006" s="2"/>
      <c r="AJ1006" s="2"/>
      <c r="AK1006" s="2"/>
    </row>
    <row r="1007" spans="1:37" ht="15.75" customHeight="1" x14ac:dyDescent="0.2">
      <c r="A1007" s="1"/>
      <c r="B1007" s="2"/>
      <c r="C1007" s="1"/>
      <c r="D1007" s="1"/>
      <c r="E1007" s="48"/>
      <c r="F1007" s="48"/>
      <c r="G1007" s="2"/>
      <c r="H1007" s="48"/>
      <c r="I1007" s="2"/>
      <c r="J1007" s="2"/>
      <c r="K1007" s="2"/>
      <c r="L1007" s="2"/>
      <c r="M1007" s="2"/>
      <c r="N1007" s="2"/>
      <c r="O1007" s="95"/>
      <c r="P1007" s="95"/>
      <c r="Q1007" s="95"/>
      <c r="R1007" s="95"/>
      <c r="AE1007" s="95"/>
      <c r="AF1007" s="95"/>
      <c r="AG1007" s="95"/>
      <c r="AH1007" s="2"/>
      <c r="AI1007" s="2"/>
      <c r="AJ1007" s="2"/>
      <c r="AK1007" s="2"/>
    </row>
    <row r="1008" spans="1:37" ht="15.75" customHeight="1" x14ac:dyDescent="0.2">
      <c r="A1008" s="1"/>
      <c r="B1008" s="2"/>
      <c r="C1008" s="1"/>
      <c r="D1008" s="1"/>
      <c r="E1008" s="48"/>
      <c r="F1008" s="48"/>
      <c r="G1008" s="2"/>
      <c r="H1008" s="48"/>
      <c r="I1008" s="2"/>
      <c r="J1008" s="2"/>
      <c r="K1008" s="2"/>
      <c r="L1008" s="2"/>
      <c r="M1008" s="2"/>
      <c r="N1008" s="2"/>
      <c r="O1008" s="95"/>
      <c r="P1008" s="95"/>
      <c r="Q1008" s="95"/>
      <c r="R1008" s="95"/>
      <c r="AE1008" s="95"/>
      <c r="AF1008" s="95"/>
      <c r="AG1008" s="95"/>
      <c r="AH1008" s="2"/>
      <c r="AI1008" s="2"/>
      <c r="AJ1008" s="2"/>
      <c r="AK1008" s="2"/>
    </row>
    <row r="1009" spans="1:37" ht="15.75" customHeight="1" x14ac:dyDescent="0.2">
      <c r="A1009" s="1"/>
      <c r="B1009" s="2"/>
      <c r="C1009" s="1"/>
      <c r="D1009" s="1"/>
      <c r="E1009" s="48"/>
      <c r="F1009" s="48"/>
      <c r="G1009" s="2"/>
      <c r="H1009" s="48"/>
      <c r="I1009" s="2"/>
      <c r="J1009" s="2"/>
      <c r="K1009" s="2"/>
      <c r="L1009" s="2"/>
      <c r="M1009" s="2"/>
      <c r="N1009" s="2"/>
      <c r="O1009" s="95"/>
      <c r="P1009" s="95"/>
      <c r="Q1009" s="95"/>
      <c r="R1009" s="95"/>
      <c r="AE1009" s="95"/>
      <c r="AF1009" s="95"/>
      <c r="AG1009" s="95"/>
      <c r="AH1009" s="2"/>
      <c r="AI1009" s="2"/>
      <c r="AJ1009" s="2"/>
      <c r="AK1009" s="2"/>
    </row>
    <row r="1010" spans="1:37" ht="15.75" customHeight="1" x14ac:dyDescent="0.2">
      <c r="A1010" s="1"/>
      <c r="B1010" s="2"/>
      <c r="C1010" s="1"/>
      <c r="D1010" s="1"/>
      <c r="E1010" s="48"/>
      <c r="F1010" s="48"/>
      <c r="G1010" s="2"/>
      <c r="H1010" s="48"/>
      <c r="I1010" s="2"/>
      <c r="J1010" s="2"/>
      <c r="K1010" s="2"/>
      <c r="L1010" s="2"/>
      <c r="M1010" s="2"/>
      <c r="N1010" s="2"/>
      <c r="O1010" s="95"/>
      <c r="P1010" s="95"/>
      <c r="Q1010" s="95"/>
      <c r="R1010" s="95"/>
      <c r="AE1010" s="95"/>
      <c r="AF1010" s="95"/>
      <c r="AG1010" s="95"/>
      <c r="AH1010" s="2"/>
      <c r="AI1010" s="2"/>
      <c r="AJ1010" s="2"/>
      <c r="AK1010" s="2"/>
    </row>
    <row r="1011" spans="1:37" ht="15.75" customHeight="1" x14ac:dyDescent="0.2">
      <c r="A1011" s="1"/>
      <c r="B1011" s="2"/>
      <c r="C1011" s="1"/>
      <c r="D1011" s="1"/>
      <c r="E1011" s="48"/>
      <c r="F1011" s="48"/>
      <c r="G1011" s="2"/>
      <c r="H1011" s="48"/>
      <c r="I1011" s="2"/>
      <c r="J1011" s="2"/>
      <c r="K1011" s="2"/>
      <c r="L1011" s="2"/>
      <c r="M1011" s="2"/>
      <c r="N1011" s="2"/>
      <c r="O1011" s="95"/>
      <c r="P1011" s="95"/>
      <c r="Q1011" s="95"/>
      <c r="R1011" s="95"/>
      <c r="AE1011" s="95"/>
      <c r="AF1011" s="95"/>
      <c r="AG1011" s="95"/>
      <c r="AH1011" s="2"/>
      <c r="AI1011" s="2"/>
      <c r="AJ1011" s="2"/>
      <c r="AK1011" s="2"/>
    </row>
    <row r="1012" spans="1:37" ht="15.75" customHeight="1" x14ac:dyDescent="0.2">
      <c r="A1012" s="1"/>
      <c r="B1012" s="2"/>
      <c r="C1012" s="1"/>
      <c r="D1012" s="1"/>
      <c r="E1012" s="48"/>
      <c r="F1012" s="48"/>
      <c r="G1012" s="2"/>
      <c r="H1012" s="48"/>
      <c r="I1012" s="2"/>
      <c r="J1012" s="2"/>
      <c r="K1012" s="2"/>
      <c r="L1012" s="2"/>
      <c r="M1012" s="2"/>
      <c r="N1012" s="2"/>
      <c r="O1012" s="95"/>
      <c r="P1012" s="95"/>
      <c r="Q1012" s="95"/>
      <c r="R1012" s="95"/>
      <c r="AE1012" s="95"/>
      <c r="AF1012" s="95"/>
      <c r="AG1012" s="95"/>
      <c r="AH1012" s="2"/>
      <c r="AI1012" s="2"/>
      <c r="AJ1012" s="2"/>
      <c r="AK1012" s="2"/>
    </row>
    <row r="1013" spans="1:37" ht="15.75" customHeight="1" x14ac:dyDescent="0.2">
      <c r="A1013" s="1"/>
      <c r="B1013" s="2"/>
      <c r="C1013" s="1"/>
      <c r="D1013" s="1"/>
      <c r="E1013" s="48"/>
      <c r="F1013" s="48"/>
      <c r="G1013" s="2"/>
      <c r="H1013" s="48"/>
      <c r="I1013" s="2"/>
      <c r="J1013" s="2"/>
      <c r="K1013" s="2"/>
      <c r="L1013" s="2"/>
      <c r="M1013" s="2"/>
      <c r="N1013" s="2"/>
      <c r="O1013" s="95"/>
      <c r="P1013" s="95"/>
      <c r="Q1013" s="95"/>
      <c r="R1013" s="95"/>
      <c r="AE1013" s="95"/>
      <c r="AF1013" s="95"/>
      <c r="AG1013" s="95"/>
      <c r="AH1013" s="2"/>
      <c r="AI1013" s="2"/>
      <c r="AJ1013" s="2"/>
      <c r="AK1013" s="2"/>
    </row>
    <row r="1014" spans="1:37" ht="15.75" customHeight="1" x14ac:dyDescent="0.2">
      <c r="A1014" s="1"/>
      <c r="B1014" s="2"/>
      <c r="C1014" s="1"/>
      <c r="D1014" s="1"/>
      <c r="E1014" s="48"/>
      <c r="F1014" s="48"/>
      <c r="G1014" s="2"/>
      <c r="H1014" s="48"/>
      <c r="I1014" s="2"/>
      <c r="J1014" s="2"/>
      <c r="K1014" s="2"/>
      <c r="L1014" s="2"/>
      <c r="M1014" s="2"/>
      <c r="N1014" s="2"/>
      <c r="O1014" s="95"/>
      <c r="P1014" s="95"/>
      <c r="Q1014" s="95"/>
      <c r="R1014" s="95"/>
      <c r="AE1014" s="95"/>
      <c r="AF1014" s="95"/>
      <c r="AG1014" s="95"/>
      <c r="AH1014" s="2"/>
      <c r="AI1014" s="2"/>
      <c r="AJ1014" s="2"/>
      <c r="AK1014" s="2"/>
    </row>
    <row r="1015" spans="1:37" ht="15.75" customHeight="1" x14ac:dyDescent="0.2">
      <c r="A1015" s="1"/>
      <c r="B1015" s="2"/>
      <c r="C1015" s="1"/>
      <c r="D1015" s="1"/>
      <c r="E1015" s="48"/>
      <c r="F1015" s="48"/>
      <c r="G1015" s="2"/>
      <c r="H1015" s="48"/>
      <c r="I1015" s="2"/>
      <c r="J1015" s="2"/>
      <c r="K1015" s="2"/>
      <c r="L1015" s="2"/>
      <c r="M1015" s="2"/>
      <c r="N1015" s="2"/>
      <c r="O1015" s="95"/>
      <c r="P1015" s="95"/>
      <c r="Q1015" s="95"/>
      <c r="R1015" s="95"/>
      <c r="AE1015" s="95"/>
      <c r="AF1015" s="95"/>
      <c r="AG1015" s="95"/>
      <c r="AH1015" s="2"/>
      <c r="AI1015" s="2"/>
      <c r="AJ1015" s="2"/>
      <c r="AK1015" s="2"/>
    </row>
    <row r="1016" spans="1:37" ht="15.75" customHeight="1" x14ac:dyDescent="0.2">
      <c r="A1016" s="1"/>
      <c r="B1016" s="2"/>
      <c r="C1016" s="1"/>
      <c r="D1016" s="1"/>
      <c r="E1016" s="48"/>
      <c r="F1016" s="48"/>
      <c r="G1016" s="2"/>
      <c r="H1016" s="48"/>
      <c r="I1016" s="2"/>
      <c r="J1016" s="2"/>
      <c r="K1016" s="2"/>
      <c r="L1016" s="2"/>
      <c r="M1016" s="2"/>
      <c r="N1016" s="2"/>
      <c r="O1016" s="95"/>
      <c r="P1016" s="95"/>
      <c r="Q1016" s="95"/>
      <c r="R1016" s="95"/>
      <c r="AE1016" s="95"/>
      <c r="AF1016" s="95"/>
      <c r="AG1016" s="95"/>
      <c r="AH1016" s="2"/>
      <c r="AI1016" s="2"/>
      <c r="AJ1016" s="2"/>
      <c r="AK1016" s="2"/>
    </row>
    <row r="1017" spans="1:37" ht="15.75" customHeight="1" x14ac:dyDescent="0.2">
      <c r="A1017" s="1"/>
      <c r="B1017" s="2"/>
      <c r="C1017" s="1"/>
      <c r="D1017" s="1"/>
      <c r="E1017" s="48"/>
      <c r="F1017" s="48"/>
      <c r="G1017" s="2"/>
      <c r="H1017" s="48"/>
      <c r="I1017" s="2"/>
      <c r="J1017" s="2"/>
      <c r="K1017" s="2"/>
      <c r="L1017" s="2"/>
      <c r="M1017" s="2"/>
      <c r="N1017" s="2"/>
      <c r="O1017" s="95"/>
      <c r="P1017" s="95"/>
      <c r="Q1017" s="95"/>
      <c r="R1017" s="95"/>
      <c r="AE1017" s="95"/>
      <c r="AF1017" s="95"/>
      <c r="AG1017" s="95"/>
      <c r="AH1017" s="2"/>
      <c r="AI1017" s="2"/>
      <c r="AJ1017" s="2"/>
      <c r="AK1017" s="2"/>
    </row>
    <row r="1018" spans="1:37" ht="15.75" customHeight="1" x14ac:dyDescent="0.2">
      <c r="A1018" s="1"/>
      <c r="B1018" s="2"/>
      <c r="C1018" s="1"/>
      <c r="D1018" s="1"/>
      <c r="E1018" s="48"/>
      <c r="F1018" s="48"/>
      <c r="G1018" s="2"/>
      <c r="H1018" s="48"/>
      <c r="I1018" s="2"/>
      <c r="J1018" s="2"/>
      <c r="K1018" s="2"/>
      <c r="L1018" s="2"/>
      <c r="M1018" s="2"/>
      <c r="N1018" s="2"/>
      <c r="O1018" s="95"/>
      <c r="P1018" s="95"/>
      <c r="Q1018" s="95"/>
      <c r="R1018" s="95"/>
      <c r="AE1018" s="95"/>
      <c r="AF1018" s="95"/>
      <c r="AG1018" s="95"/>
      <c r="AH1018" s="2"/>
      <c r="AI1018" s="2"/>
      <c r="AJ1018" s="2"/>
      <c r="AK1018" s="2"/>
    </row>
    <row r="1019" spans="1:37" ht="15.75" customHeight="1" x14ac:dyDescent="0.2">
      <c r="A1019" s="1"/>
      <c r="B1019" s="2"/>
      <c r="C1019" s="1"/>
      <c r="D1019" s="1"/>
      <c r="E1019" s="48"/>
      <c r="F1019" s="48"/>
      <c r="G1019" s="2"/>
      <c r="H1019" s="48"/>
      <c r="I1019" s="2"/>
      <c r="J1019" s="2"/>
      <c r="K1019" s="2"/>
      <c r="L1019" s="2"/>
      <c r="M1019" s="2"/>
      <c r="N1019" s="2"/>
      <c r="O1019" s="95"/>
      <c r="P1019" s="95"/>
      <c r="Q1019" s="95"/>
      <c r="R1019" s="95"/>
      <c r="AE1019" s="95"/>
      <c r="AF1019" s="95"/>
      <c r="AG1019" s="95"/>
      <c r="AH1019" s="2"/>
      <c r="AI1019" s="2"/>
      <c r="AJ1019" s="2"/>
      <c r="AK1019" s="2"/>
    </row>
    <row r="1020" spans="1:37" ht="15.75" customHeight="1" x14ac:dyDescent="0.2">
      <c r="A1020" s="1"/>
      <c r="B1020" s="2"/>
      <c r="C1020" s="1"/>
      <c r="D1020" s="1"/>
      <c r="E1020" s="48"/>
      <c r="F1020" s="48"/>
      <c r="G1020" s="2"/>
      <c r="H1020" s="48"/>
      <c r="I1020" s="2"/>
      <c r="J1020" s="2"/>
      <c r="K1020" s="2"/>
      <c r="L1020" s="2"/>
      <c r="M1020" s="2"/>
      <c r="N1020" s="2"/>
      <c r="O1020" s="95"/>
      <c r="P1020" s="95"/>
      <c r="Q1020" s="95"/>
      <c r="R1020" s="95"/>
      <c r="AE1020" s="95"/>
      <c r="AF1020" s="95"/>
      <c r="AG1020" s="95"/>
      <c r="AH1020" s="2"/>
      <c r="AI1020" s="2"/>
      <c r="AJ1020" s="2"/>
      <c r="AK1020" s="2"/>
    </row>
    <row r="1021" spans="1:37" ht="15.75" customHeight="1" x14ac:dyDescent="0.2">
      <c r="A1021" s="1"/>
      <c r="B1021" s="2"/>
      <c r="C1021" s="1"/>
      <c r="D1021" s="1"/>
      <c r="E1021" s="48"/>
      <c r="F1021" s="48"/>
      <c r="G1021" s="2"/>
      <c r="H1021" s="48"/>
      <c r="I1021" s="2"/>
      <c r="J1021" s="2"/>
      <c r="K1021" s="2"/>
      <c r="L1021" s="2"/>
      <c r="M1021" s="2"/>
      <c r="N1021" s="2"/>
      <c r="O1021" s="95"/>
      <c r="P1021" s="95"/>
      <c r="Q1021" s="95"/>
      <c r="R1021" s="95"/>
      <c r="AE1021" s="95"/>
      <c r="AF1021" s="95"/>
      <c r="AG1021" s="95"/>
      <c r="AH1021" s="2"/>
      <c r="AI1021" s="2"/>
      <c r="AJ1021" s="2"/>
      <c r="AK1021" s="2"/>
    </row>
    <row r="1022" spans="1:37" ht="15.75" customHeight="1" x14ac:dyDescent="0.2">
      <c r="A1022" s="1"/>
      <c r="B1022" s="2"/>
      <c r="C1022" s="1"/>
      <c r="D1022" s="1"/>
      <c r="E1022" s="48"/>
      <c r="F1022" s="48"/>
      <c r="G1022" s="2"/>
      <c r="H1022" s="48"/>
      <c r="I1022" s="2"/>
      <c r="J1022" s="2"/>
      <c r="K1022" s="2"/>
      <c r="L1022" s="2"/>
      <c r="M1022" s="2"/>
      <c r="N1022" s="2"/>
      <c r="O1022" s="95"/>
      <c r="P1022" s="95"/>
      <c r="Q1022" s="95"/>
      <c r="R1022" s="95"/>
      <c r="AE1022" s="95"/>
      <c r="AF1022" s="95"/>
      <c r="AG1022" s="95"/>
      <c r="AH1022" s="2"/>
      <c r="AI1022" s="2"/>
      <c r="AJ1022" s="2"/>
      <c r="AK1022" s="2"/>
    </row>
    <row r="1023" spans="1:37" ht="15.75" customHeight="1" x14ac:dyDescent="0.2">
      <c r="A1023" s="1"/>
      <c r="B1023" s="2"/>
      <c r="C1023" s="1"/>
      <c r="D1023" s="1"/>
      <c r="E1023" s="48"/>
      <c r="F1023" s="48"/>
      <c r="G1023" s="2"/>
      <c r="H1023" s="48"/>
      <c r="I1023" s="2"/>
      <c r="J1023" s="2"/>
      <c r="K1023" s="2"/>
      <c r="L1023" s="2"/>
      <c r="M1023" s="2"/>
      <c r="N1023" s="2"/>
      <c r="O1023" s="95"/>
      <c r="P1023" s="95"/>
      <c r="Q1023" s="95"/>
      <c r="R1023" s="95"/>
      <c r="AE1023" s="95"/>
      <c r="AF1023" s="95"/>
      <c r="AG1023" s="95"/>
      <c r="AH1023" s="2"/>
      <c r="AI1023" s="2"/>
      <c r="AJ1023" s="2"/>
      <c r="AK1023" s="2"/>
    </row>
    <row r="1024" spans="1:37" ht="15.75" customHeight="1" x14ac:dyDescent="0.2">
      <c r="A1024" s="1"/>
      <c r="B1024" s="2"/>
      <c r="C1024" s="1"/>
      <c r="D1024" s="1"/>
      <c r="E1024" s="48"/>
      <c r="F1024" s="48"/>
      <c r="G1024" s="2"/>
      <c r="H1024" s="48"/>
      <c r="I1024" s="2"/>
      <c r="J1024" s="2"/>
      <c r="K1024" s="2"/>
      <c r="L1024" s="2"/>
      <c r="M1024" s="2"/>
      <c r="N1024" s="2"/>
      <c r="O1024" s="95"/>
      <c r="P1024" s="95"/>
      <c r="Q1024" s="95"/>
      <c r="R1024" s="95"/>
      <c r="AE1024" s="95"/>
      <c r="AF1024" s="95"/>
      <c r="AG1024" s="95"/>
      <c r="AH1024" s="2"/>
      <c r="AI1024" s="2"/>
      <c r="AJ1024" s="2"/>
      <c r="AK1024" s="2"/>
    </row>
    <row r="1025" spans="1:37" ht="15.75" customHeight="1" x14ac:dyDescent="0.2">
      <c r="A1025" s="1"/>
      <c r="B1025" s="2"/>
      <c r="C1025" s="1"/>
      <c r="D1025" s="1"/>
      <c r="E1025" s="48"/>
      <c r="F1025" s="48"/>
      <c r="G1025" s="2"/>
      <c r="H1025" s="48"/>
      <c r="I1025" s="2"/>
      <c r="J1025" s="2"/>
      <c r="K1025" s="2"/>
      <c r="L1025" s="2"/>
      <c r="M1025" s="2"/>
      <c r="N1025" s="2"/>
      <c r="O1025" s="95"/>
      <c r="P1025" s="95"/>
      <c r="Q1025" s="95"/>
      <c r="R1025" s="95"/>
      <c r="AE1025" s="95"/>
      <c r="AF1025" s="95"/>
      <c r="AG1025" s="95"/>
      <c r="AH1025" s="2"/>
      <c r="AI1025" s="2"/>
      <c r="AJ1025" s="2"/>
      <c r="AK1025" s="2"/>
    </row>
    <row r="1026" spans="1:37" ht="15.75" customHeight="1" x14ac:dyDescent="0.2">
      <c r="A1026" s="1"/>
      <c r="B1026" s="2"/>
      <c r="C1026" s="1"/>
      <c r="D1026" s="1"/>
      <c r="E1026" s="48"/>
      <c r="F1026" s="48"/>
      <c r="G1026" s="2"/>
      <c r="H1026" s="48"/>
      <c r="I1026" s="2"/>
      <c r="J1026" s="2"/>
      <c r="K1026" s="2"/>
      <c r="L1026" s="2"/>
      <c r="M1026" s="2"/>
      <c r="N1026" s="2"/>
      <c r="O1026" s="95"/>
      <c r="P1026" s="95"/>
      <c r="Q1026" s="95"/>
      <c r="R1026" s="95"/>
      <c r="AE1026" s="95"/>
      <c r="AF1026" s="95"/>
      <c r="AG1026" s="95"/>
      <c r="AH1026" s="2"/>
      <c r="AI1026" s="2"/>
      <c r="AJ1026" s="2"/>
      <c r="AK1026" s="2"/>
    </row>
    <row r="1027" spans="1:37" ht="15.75" customHeight="1" x14ac:dyDescent="0.2">
      <c r="A1027" s="1"/>
      <c r="B1027" s="2"/>
      <c r="C1027" s="1"/>
      <c r="D1027" s="1"/>
      <c r="E1027" s="48"/>
      <c r="F1027" s="48"/>
      <c r="G1027" s="2"/>
      <c r="H1027" s="48"/>
      <c r="I1027" s="2"/>
      <c r="J1027" s="2"/>
      <c r="K1027" s="2"/>
      <c r="L1027" s="2"/>
      <c r="M1027" s="2"/>
      <c r="N1027" s="2"/>
      <c r="O1027" s="95"/>
      <c r="P1027" s="95"/>
      <c r="Q1027" s="95"/>
      <c r="R1027" s="95"/>
      <c r="AE1027" s="95"/>
      <c r="AF1027" s="95"/>
      <c r="AG1027" s="95"/>
      <c r="AH1027" s="2"/>
      <c r="AI1027" s="2"/>
      <c r="AJ1027" s="2"/>
      <c r="AK1027" s="2"/>
    </row>
    <row r="1028" spans="1:37" ht="15.75" customHeight="1" x14ac:dyDescent="0.2">
      <c r="A1028" s="1"/>
      <c r="B1028" s="2"/>
      <c r="C1028" s="1"/>
      <c r="D1028" s="1"/>
      <c r="E1028" s="48"/>
      <c r="F1028" s="48"/>
      <c r="G1028" s="2"/>
      <c r="H1028" s="48"/>
      <c r="I1028" s="2"/>
      <c r="J1028" s="2"/>
      <c r="K1028" s="2"/>
      <c r="L1028" s="2"/>
      <c r="M1028" s="2"/>
      <c r="N1028" s="2"/>
      <c r="O1028" s="95"/>
      <c r="P1028" s="95"/>
      <c r="Q1028" s="95"/>
      <c r="R1028" s="95"/>
      <c r="AE1028" s="95"/>
      <c r="AF1028" s="95"/>
      <c r="AG1028" s="95"/>
      <c r="AH1028" s="2"/>
      <c r="AI1028" s="2"/>
      <c r="AJ1028" s="2"/>
      <c r="AK1028" s="2"/>
    </row>
    <row r="1029" spans="1:37" ht="15.75" customHeight="1" x14ac:dyDescent="0.2">
      <c r="A1029" s="1"/>
      <c r="B1029" s="2"/>
      <c r="C1029" s="1"/>
      <c r="D1029" s="1"/>
      <c r="E1029" s="48"/>
      <c r="F1029" s="48"/>
      <c r="G1029" s="2"/>
      <c r="H1029" s="48"/>
      <c r="I1029" s="2"/>
      <c r="J1029" s="2"/>
      <c r="K1029" s="2"/>
      <c r="L1029" s="2"/>
      <c r="M1029" s="2"/>
      <c r="N1029" s="2"/>
      <c r="O1029" s="95"/>
      <c r="P1029" s="95"/>
      <c r="Q1029" s="95"/>
      <c r="R1029" s="95"/>
      <c r="AE1029" s="95"/>
      <c r="AF1029" s="95"/>
      <c r="AG1029" s="95"/>
      <c r="AH1029" s="2"/>
      <c r="AI1029" s="2"/>
      <c r="AJ1029" s="2"/>
      <c r="AK1029" s="2"/>
    </row>
    <row r="1030" spans="1:37" ht="15.75" customHeight="1" x14ac:dyDescent="0.2">
      <c r="A1030" s="1"/>
      <c r="B1030" s="2"/>
      <c r="C1030" s="1"/>
      <c r="D1030" s="1"/>
      <c r="E1030" s="48"/>
      <c r="F1030" s="48"/>
      <c r="G1030" s="2"/>
      <c r="H1030" s="48"/>
      <c r="I1030" s="2"/>
      <c r="J1030" s="2"/>
      <c r="K1030" s="2"/>
      <c r="L1030" s="2"/>
      <c r="M1030" s="2"/>
      <c r="N1030" s="2"/>
      <c r="O1030" s="95"/>
      <c r="P1030" s="95"/>
      <c r="Q1030" s="95"/>
      <c r="R1030" s="95"/>
      <c r="AE1030" s="95"/>
      <c r="AF1030" s="95"/>
      <c r="AG1030" s="95"/>
      <c r="AH1030" s="2"/>
      <c r="AI1030" s="2"/>
      <c r="AJ1030" s="2"/>
      <c r="AK1030" s="2"/>
    </row>
    <row r="1031" spans="1:37" ht="15.75" customHeight="1" x14ac:dyDescent="0.2">
      <c r="A1031" s="1"/>
      <c r="B1031" s="2"/>
      <c r="C1031" s="1"/>
      <c r="D1031" s="1"/>
      <c r="E1031" s="48"/>
      <c r="F1031" s="48"/>
      <c r="G1031" s="2"/>
      <c r="H1031" s="48"/>
      <c r="I1031" s="2"/>
      <c r="J1031" s="2"/>
      <c r="K1031" s="2"/>
      <c r="L1031" s="2"/>
      <c r="M1031" s="2"/>
      <c r="N1031" s="2"/>
      <c r="O1031" s="95"/>
      <c r="P1031" s="95"/>
      <c r="Q1031" s="95"/>
      <c r="R1031" s="95"/>
      <c r="AE1031" s="95"/>
      <c r="AF1031" s="95"/>
      <c r="AG1031" s="95"/>
      <c r="AH1031" s="2"/>
      <c r="AI1031" s="2"/>
      <c r="AJ1031" s="2"/>
      <c r="AK1031" s="2"/>
    </row>
    <row r="1032" spans="1:37" ht="15.75" customHeight="1" x14ac:dyDescent="0.2">
      <c r="A1032" s="1"/>
      <c r="B1032" s="2"/>
      <c r="C1032" s="1"/>
      <c r="D1032" s="1"/>
      <c r="E1032" s="48"/>
      <c r="F1032" s="48"/>
      <c r="G1032" s="2"/>
      <c r="H1032" s="48"/>
      <c r="I1032" s="2"/>
      <c r="J1032" s="2"/>
      <c r="K1032" s="2"/>
      <c r="L1032" s="2"/>
      <c r="M1032" s="2"/>
      <c r="N1032" s="2"/>
      <c r="O1032" s="95"/>
      <c r="P1032" s="95"/>
      <c r="Q1032" s="95"/>
      <c r="R1032" s="95"/>
      <c r="AE1032" s="95"/>
      <c r="AF1032" s="95"/>
      <c r="AG1032" s="95"/>
      <c r="AH1032" s="2"/>
      <c r="AI1032" s="2"/>
      <c r="AJ1032" s="2"/>
      <c r="AK1032" s="2"/>
    </row>
    <row r="1033" spans="1:37" ht="15.75" customHeight="1" x14ac:dyDescent="0.2">
      <c r="A1033" s="1"/>
      <c r="B1033" s="2"/>
      <c r="C1033" s="1"/>
      <c r="D1033" s="1"/>
      <c r="E1033" s="48"/>
      <c r="F1033" s="48"/>
      <c r="G1033" s="2"/>
      <c r="H1033" s="48"/>
      <c r="I1033" s="2"/>
      <c r="J1033" s="2"/>
      <c r="K1033" s="2"/>
      <c r="L1033" s="2"/>
      <c r="M1033" s="2"/>
      <c r="N1033" s="2"/>
      <c r="O1033" s="95"/>
      <c r="P1033" s="95"/>
      <c r="Q1033" s="95"/>
      <c r="R1033" s="95"/>
      <c r="AE1033" s="95"/>
      <c r="AF1033" s="95"/>
      <c r="AG1033" s="95"/>
      <c r="AH1033" s="2"/>
      <c r="AI1033" s="2"/>
      <c r="AJ1033" s="2"/>
      <c r="AK1033" s="2"/>
    </row>
    <row r="1034" spans="1:37" ht="15.75" customHeight="1" x14ac:dyDescent="0.2">
      <c r="A1034" s="1"/>
      <c r="B1034" s="2"/>
      <c r="C1034" s="1"/>
      <c r="D1034" s="1"/>
      <c r="E1034" s="48"/>
      <c r="F1034" s="48"/>
      <c r="G1034" s="2"/>
      <c r="H1034" s="48"/>
      <c r="I1034" s="2"/>
      <c r="J1034" s="2"/>
      <c r="K1034" s="2"/>
      <c r="L1034" s="2"/>
      <c r="M1034" s="2"/>
      <c r="N1034" s="2"/>
      <c r="O1034" s="95"/>
      <c r="P1034" s="95"/>
      <c r="Q1034" s="95"/>
      <c r="R1034" s="95"/>
      <c r="AE1034" s="95"/>
      <c r="AF1034" s="95"/>
      <c r="AG1034" s="95"/>
      <c r="AH1034" s="2"/>
      <c r="AI1034" s="2"/>
      <c r="AJ1034" s="2"/>
      <c r="AK1034" s="2"/>
    </row>
    <row r="1035" spans="1:37" ht="15.75" customHeight="1" x14ac:dyDescent="0.2">
      <c r="A1035" s="1"/>
      <c r="B1035" s="2"/>
      <c r="C1035" s="1"/>
      <c r="D1035" s="1"/>
      <c r="E1035" s="48"/>
      <c r="F1035" s="48"/>
      <c r="G1035" s="2"/>
      <c r="H1035" s="48"/>
      <c r="I1035" s="2"/>
      <c r="J1035" s="2"/>
      <c r="K1035" s="2"/>
      <c r="L1035" s="2"/>
      <c r="M1035" s="2"/>
      <c r="N1035" s="2"/>
      <c r="O1035" s="95"/>
      <c r="P1035" s="95"/>
      <c r="Q1035" s="95"/>
      <c r="R1035" s="95"/>
      <c r="AE1035" s="95"/>
      <c r="AF1035" s="95"/>
      <c r="AG1035" s="95"/>
      <c r="AH1035" s="2"/>
      <c r="AI1035" s="2"/>
      <c r="AJ1035" s="2"/>
      <c r="AK1035" s="2"/>
    </row>
    <row r="1036" spans="1:37" ht="15.75" customHeight="1" x14ac:dyDescent="0.2">
      <c r="A1036" s="1"/>
      <c r="B1036" s="2"/>
      <c r="C1036" s="1"/>
      <c r="D1036" s="1"/>
      <c r="E1036" s="48"/>
      <c r="F1036" s="48"/>
      <c r="G1036" s="2"/>
      <c r="H1036" s="48"/>
      <c r="I1036" s="2"/>
      <c r="J1036" s="2"/>
      <c r="K1036" s="2"/>
      <c r="L1036" s="2"/>
      <c r="M1036" s="2"/>
      <c r="N1036" s="2"/>
      <c r="O1036" s="95"/>
      <c r="P1036" s="95"/>
      <c r="Q1036" s="95"/>
      <c r="R1036" s="95"/>
      <c r="AE1036" s="95"/>
      <c r="AF1036" s="95"/>
      <c r="AG1036" s="95"/>
      <c r="AH1036" s="2"/>
      <c r="AI1036" s="2"/>
      <c r="AJ1036" s="2"/>
      <c r="AK1036" s="2"/>
    </row>
    <row r="1037" spans="1:37" ht="15.75" customHeight="1" x14ac:dyDescent="0.2">
      <c r="A1037" s="1"/>
      <c r="B1037" s="2"/>
      <c r="C1037" s="1"/>
      <c r="D1037" s="1"/>
      <c r="E1037" s="48"/>
      <c r="F1037" s="48"/>
      <c r="G1037" s="2"/>
      <c r="H1037" s="48"/>
      <c r="I1037" s="2"/>
      <c r="J1037" s="2"/>
      <c r="K1037" s="2"/>
      <c r="L1037" s="2"/>
      <c r="M1037" s="2"/>
      <c r="N1037" s="2"/>
      <c r="O1037" s="95"/>
      <c r="P1037" s="95"/>
      <c r="Q1037" s="95"/>
      <c r="R1037" s="95"/>
      <c r="AE1037" s="95"/>
      <c r="AF1037" s="95"/>
      <c r="AG1037" s="95"/>
      <c r="AH1037" s="2"/>
      <c r="AI1037" s="2"/>
      <c r="AJ1037" s="2"/>
      <c r="AK1037" s="2"/>
    </row>
    <row r="1038" spans="1:37" ht="15.75" customHeight="1" x14ac:dyDescent="0.2">
      <c r="A1038" s="1"/>
      <c r="B1038" s="2"/>
      <c r="C1038" s="1"/>
      <c r="D1038" s="1"/>
      <c r="E1038" s="48"/>
      <c r="F1038" s="48"/>
      <c r="G1038" s="2"/>
      <c r="H1038" s="48"/>
      <c r="I1038" s="2"/>
      <c r="J1038" s="2"/>
      <c r="K1038" s="2"/>
      <c r="L1038" s="2"/>
      <c r="M1038" s="2"/>
      <c r="N1038" s="2"/>
      <c r="O1038" s="95"/>
      <c r="P1038" s="95"/>
      <c r="Q1038" s="95"/>
      <c r="R1038" s="95"/>
      <c r="AE1038" s="95"/>
      <c r="AF1038" s="95"/>
      <c r="AG1038" s="95"/>
      <c r="AH1038" s="2"/>
      <c r="AI1038" s="2"/>
      <c r="AJ1038" s="2"/>
      <c r="AK1038" s="2"/>
    </row>
    <row r="1039" spans="1:37" ht="15.75" customHeight="1" x14ac:dyDescent="0.2">
      <c r="A1039" s="1"/>
      <c r="B1039" s="2"/>
      <c r="C1039" s="1"/>
      <c r="D1039" s="1"/>
      <c r="E1039" s="48"/>
      <c r="F1039" s="48"/>
      <c r="G1039" s="2"/>
      <c r="H1039" s="48"/>
      <c r="I1039" s="2"/>
      <c r="J1039" s="2"/>
      <c r="K1039" s="2"/>
      <c r="L1039" s="2"/>
      <c r="M1039" s="2"/>
      <c r="N1039" s="2"/>
      <c r="O1039" s="95"/>
      <c r="P1039" s="95"/>
      <c r="Q1039" s="95"/>
      <c r="R1039" s="95"/>
      <c r="AE1039" s="95"/>
      <c r="AF1039" s="95"/>
      <c r="AG1039" s="95"/>
      <c r="AH1039" s="2"/>
      <c r="AI1039" s="2"/>
      <c r="AJ1039" s="2"/>
      <c r="AK1039" s="2"/>
    </row>
    <row r="1040" spans="1:37" ht="15.75" customHeight="1" x14ac:dyDescent="0.2">
      <c r="A1040" s="1"/>
      <c r="B1040" s="2"/>
      <c r="C1040" s="1"/>
      <c r="D1040" s="1"/>
      <c r="E1040" s="48"/>
      <c r="F1040" s="48"/>
      <c r="G1040" s="2"/>
      <c r="H1040" s="48"/>
      <c r="I1040" s="2"/>
      <c r="J1040" s="2"/>
      <c r="K1040" s="2"/>
      <c r="L1040" s="2"/>
      <c r="M1040" s="2"/>
      <c r="N1040" s="2"/>
      <c r="O1040" s="95"/>
      <c r="P1040" s="95"/>
      <c r="Q1040" s="95"/>
      <c r="R1040" s="95"/>
      <c r="AE1040" s="95"/>
      <c r="AF1040" s="95"/>
      <c r="AG1040" s="95"/>
      <c r="AH1040" s="2"/>
      <c r="AI1040" s="2"/>
      <c r="AJ1040" s="2"/>
      <c r="AK1040" s="2"/>
    </row>
    <row r="1041" spans="1:37" ht="15.75" customHeight="1" x14ac:dyDescent="0.2">
      <c r="A1041" s="1"/>
      <c r="B1041" s="2"/>
      <c r="C1041" s="1"/>
      <c r="D1041" s="1"/>
      <c r="E1041" s="48"/>
      <c r="F1041" s="48"/>
      <c r="G1041" s="2"/>
      <c r="H1041" s="48"/>
      <c r="I1041" s="2"/>
      <c r="J1041" s="2"/>
      <c r="K1041" s="2"/>
      <c r="L1041" s="2"/>
      <c r="M1041" s="2"/>
      <c r="N1041" s="2"/>
      <c r="O1041" s="95"/>
      <c r="P1041" s="95"/>
      <c r="Q1041" s="95"/>
      <c r="R1041" s="95"/>
      <c r="AE1041" s="95"/>
      <c r="AF1041" s="95"/>
      <c r="AG1041" s="95"/>
      <c r="AH1041" s="2"/>
      <c r="AI1041" s="2"/>
      <c r="AJ1041" s="2"/>
      <c r="AK1041" s="2"/>
    </row>
    <row r="1042" spans="1:37" ht="15.75" customHeight="1" x14ac:dyDescent="0.2">
      <c r="A1042" s="1"/>
      <c r="B1042" s="2"/>
      <c r="C1042" s="1"/>
      <c r="D1042" s="1"/>
      <c r="E1042" s="48"/>
      <c r="F1042" s="48"/>
      <c r="G1042" s="2"/>
      <c r="H1042" s="48"/>
      <c r="I1042" s="2"/>
      <c r="J1042" s="2"/>
      <c r="K1042" s="2"/>
      <c r="L1042" s="2"/>
      <c r="M1042" s="2"/>
      <c r="N1042" s="2"/>
      <c r="O1042" s="95"/>
      <c r="P1042" s="95"/>
      <c r="Q1042" s="95"/>
      <c r="R1042" s="95"/>
      <c r="AE1042" s="95"/>
      <c r="AF1042" s="95"/>
      <c r="AG1042" s="95"/>
      <c r="AH1042" s="2"/>
      <c r="AI1042" s="2"/>
      <c r="AJ1042" s="2"/>
      <c r="AK1042" s="2"/>
    </row>
    <row r="1043" spans="1:37" ht="15.75" customHeight="1" x14ac:dyDescent="0.2">
      <c r="A1043" s="1"/>
      <c r="B1043" s="2"/>
      <c r="C1043" s="1"/>
      <c r="D1043" s="1"/>
      <c r="E1043" s="48"/>
      <c r="F1043" s="48"/>
      <c r="G1043" s="2"/>
      <c r="H1043" s="48"/>
      <c r="I1043" s="2"/>
      <c r="J1043" s="2"/>
      <c r="K1043" s="2"/>
      <c r="L1043" s="2"/>
      <c r="M1043" s="2"/>
      <c r="N1043" s="2"/>
      <c r="O1043" s="95"/>
      <c r="P1043" s="95"/>
      <c r="Q1043" s="95"/>
      <c r="R1043" s="95"/>
      <c r="AE1043" s="95"/>
      <c r="AF1043" s="95"/>
      <c r="AG1043" s="95"/>
      <c r="AH1043" s="2"/>
      <c r="AI1043" s="2"/>
      <c r="AJ1043" s="2"/>
      <c r="AK1043" s="2"/>
    </row>
    <row r="1044" spans="1:37" ht="15.75" customHeight="1" x14ac:dyDescent="0.2">
      <c r="A1044" s="1"/>
      <c r="B1044" s="2"/>
      <c r="C1044" s="1"/>
      <c r="D1044" s="1"/>
      <c r="E1044" s="48"/>
      <c r="F1044" s="48"/>
      <c r="G1044" s="2"/>
      <c r="H1044" s="48"/>
      <c r="I1044" s="2"/>
      <c r="J1044" s="2"/>
      <c r="K1044" s="2"/>
      <c r="L1044" s="2"/>
      <c r="M1044" s="2"/>
      <c r="N1044" s="2"/>
      <c r="O1044" s="95"/>
      <c r="P1044" s="95"/>
      <c r="Q1044" s="95"/>
      <c r="R1044" s="95"/>
      <c r="AE1044" s="95"/>
      <c r="AF1044" s="95"/>
      <c r="AG1044" s="95"/>
      <c r="AH1044" s="2"/>
      <c r="AI1044" s="2"/>
      <c r="AJ1044" s="2"/>
      <c r="AK1044" s="2"/>
    </row>
    <row r="1045" spans="1:37" ht="15.75" customHeight="1" x14ac:dyDescent="0.2">
      <c r="A1045" s="1"/>
      <c r="B1045" s="2"/>
      <c r="C1045" s="1"/>
      <c r="D1045" s="1"/>
      <c r="E1045" s="48"/>
      <c r="F1045" s="48"/>
      <c r="G1045" s="2"/>
      <c r="H1045" s="48"/>
      <c r="I1045" s="2"/>
      <c r="J1045" s="2"/>
      <c r="K1045" s="2"/>
      <c r="L1045" s="2"/>
      <c r="M1045" s="2"/>
      <c r="N1045" s="2"/>
      <c r="O1045" s="95"/>
      <c r="P1045" s="95"/>
      <c r="Q1045" s="95"/>
      <c r="R1045" s="95"/>
      <c r="AE1045" s="95"/>
      <c r="AF1045" s="95"/>
      <c r="AG1045" s="95"/>
      <c r="AH1045" s="2"/>
      <c r="AI1045" s="2"/>
      <c r="AJ1045" s="2"/>
      <c r="AK1045" s="2"/>
    </row>
    <row r="1046" spans="1:37" ht="15.75" customHeight="1" x14ac:dyDescent="0.2">
      <c r="A1046" s="1"/>
      <c r="B1046" s="2"/>
      <c r="C1046" s="1"/>
      <c r="D1046" s="1"/>
      <c r="E1046" s="48"/>
      <c r="F1046" s="48"/>
      <c r="G1046" s="2"/>
      <c r="H1046" s="48"/>
      <c r="I1046" s="2"/>
      <c r="J1046" s="2"/>
      <c r="K1046" s="2"/>
      <c r="L1046" s="2"/>
      <c r="M1046" s="2"/>
      <c r="N1046" s="2"/>
      <c r="O1046" s="95"/>
      <c r="P1046" s="95"/>
      <c r="Q1046" s="95"/>
      <c r="R1046" s="95"/>
      <c r="AE1046" s="95"/>
      <c r="AF1046" s="95"/>
      <c r="AG1046" s="95"/>
      <c r="AH1046" s="2"/>
      <c r="AI1046" s="2"/>
      <c r="AJ1046" s="2"/>
      <c r="AK1046" s="2"/>
    </row>
    <row r="1047" spans="1:37" ht="15.75" customHeight="1" x14ac:dyDescent="0.2">
      <c r="A1047" s="1"/>
      <c r="B1047" s="2"/>
      <c r="C1047" s="1"/>
      <c r="D1047" s="1"/>
      <c r="E1047" s="48"/>
      <c r="F1047" s="48"/>
      <c r="G1047" s="2"/>
      <c r="H1047" s="48"/>
      <c r="I1047" s="2"/>
      <c r="J1047" s="2"/>
      <c r="K1047" s="2"/>
      <c r="L1047" s="2"/>
      <c r="M1047" s="2"/>
      <c r="N1047" s="2"/>
      <c r="O1047" s="95"/>
      <c r="P1047" s="95"/>
      <c r="Q1047" s="95"/>
      <c r="R1047" s="95"/>
      <c r="AE1047" s="95"/>
      <c r="AF1047" s="95"/>
      <c r="AG1047" s="95"/>
      <c r="AH1047" s="2"/>
      <c r="AI1047" s="2"/>
      <c r="AJ1047" s="2"/>
      <c r="AK1047" s="2"/>
    </row>
    <row r="1048" spans="1:37" ht="15.75" customHeight="1" x14ac:dyDescent="0.2">
      <c r="A1048" s="1"/>
      <c r="B1048" s="2"/>
      <c r="C1048" s="1"/>
      <c r="D1048" s="1"/>
      <c r="E1048" s="48"/>
      <c r="F1048" s="48"/>
      <c r="G1048" s="2"/>
      <c r="H1048" s="48"/>
      <c r="I1048" s="2"/>
      <c r="J1048" s="2"/>
      <c r="K1048" s="2"/>
      <c r="L1048" s="2"/>
      <c r="M1048" s="2"/>
      <c r="N1048" s="2"/>
      <c r="O1048" s="95"/>
      <c r="P1048" s="95"/>
      <c r="Q1048" s="95"/>
      <c r="R1048" s="95"/>
      <c r="AE1048" s="95"/>
      <c r="AF1048" s="95"/>
      <c r="AG1048" s="95"/>
      <c r="AH1048" s="2"/>
      <c r="AI1048" s="2"/>
      <c r="AJ1048" s="2"/>
      <c r="AK1048" s="2"/>
    </row>
    <row r="1049" spans="1:37" ht="15.75" customHeight="1" x14ac:dyDescent="0.2">
      <c r="A1049" s="1"/>
      <c r="B1049" s="2"/>
      <c r="C1049" s="1"/>
      <c r="D1049" s="1"/>
      <c r="E1049" s="48"/>
      <c r="F1049" s="48"/>
      <c r="G1049" s="2"/>
      <c r="H1049" s="48"/>
      <c r="I1049" s="2"/>
      <c r="J1049" s="2"/>
      <c r="K1049" s="2"/>
      <c r="L1049" s="2"/>
      <c r="M1049" s="2"/>
      <c r="N1049" s="2"/>
      <c r="O1049" s="95"/>
      <c r="P1049" s="95"/>
      <c r="Q1049" s="95"/>
      <c r="R1049" s="95"/>
      <c r="AE1049" s="95"/>
      <c r="AF1049" s="95"/>
      <c r="AG1049" s="95"/>
      <c r="AH1049" s="2"/>
      <c r="AI1049" s="2"/>
      <c r="AJ1049" s="2"/>
      <c r="AK1049" s="2"/>
    </row>
    <row r="1050" spans="1:37" ht="15.75" customHeight="1" x14ac:dyDescent="0.2">
      <c r="A1050" s="1"/>
      <c r="B1050" s="2"/>
      <c r="C1050" s="1"/>
      <c r="D1050" s="1"/>
      <c r="E1050" s="48"/>
      <c r="F1050" s="48"/>
      <c r="G1050" s="2"/>
      <c r="H1050" s="48"/>
      <c r="I1050" s="2"/>
      <c r="J1050" s="2"/>
      <c r="K1050" s="2"/>
      <c r="L1050" s="2"/>
      <c r="M1050" s="2"/>
      <c r="N1050" s="2"/>
      <c r="O1050" s="95"/>
      <c r="P1050" s="95"/>
      <c r="Q1050" s="95"/>
      <c r="R1050" s="95"/>
      <c r="AE1050" s="95"/>
      <c r="AF1050" s="95"/>
      <c r="AG1050" s="95"/>
      <c r="AH1050" s="2"/>
      <c r="AI1050" s="2"/>
      <c r="AJ1050" s="2"/>
      <c r="AK1050" s="2"/>
    </row>
    <row r="1051" spans="1:37" ht="15.75" customHeight="1" x14ac:dyDescent="0.2">
      <c r="A1051" s="1"/>
      <c r="B1051" s="2"/>
      <c r="C1051" s="1"/>
      <c r="D1051" s="1"/>
      <c r="E1051" s="48"/>
      <c r="F1051" s="48"/>
      <c r="G1051" s="2"/>
      <c r="H1051" s="48"/>
      <c r="I1051" s="2"/>
      <c r="J1051" s="2"/>
      <c r="K1051" s="2"/>
      <c r="L1051" s="2"/>
      <c r="M1051" s="2"/>
      <c r="N1051" s="2"/>
      <c r="O1051" s="95"/>
      <c r="P1051" s="95"/>
      <c r="Q1051" s="95"/>
      <c r="R1051" s="95"/>
      <c r="AE1051" s="95"/>
      <c r="AF1051" s="95"/>
      <c r="AG1051" s="95"/>
      <c r="AH1051" s="2"/>
      <c r="AI1051" s="2"/>
      <c r="AJ1051" s="2"/>
      <c r="AK1051" s="2"/>
    </row>
    <row r="1052" spans="1:37" ht="15.75" customHeight="1" x14ac:dyDescent="0.2">
      <c r="A1052" s="1"/>
      <c r="B1052" s="2"/>
      <c r="C1052" s="1"/>
      <c r="D1052" s="1"/>
      <c r="E1052" s="48"/>
      <c r="F1052" s="48"/>
      <c r="G1052" s="2"/>
      <c r="H1052" s="48"/>
      <c r="I1052" s="2"/>
      <c r="J1052" s="2"/>
      <c r="K1052" s="2"/>
      <c r="L1052" s="2"/>
      <c r="M1052" s="2"/>
      <c r="N1052" s="2"/>
      <c r="O1052" s="95"/>
      <c r="P1052" s="95"/>
      <c r="Q1052" s="95"/>
      <c r="R1052" s="95"/>
      <c r="AE1052" s="95"/>
      <c r="AF1052" s="95"/>
      <c r="AG1052" s="95"/>
      <c r="AH1052" s="2"/>
      <c r="AI1052" s="2"/>
      <c r="AJ1052" s="2"/>
      <c r="AK1052" s="2"/>
    </row>
    <row r="1053" spans="1:37" ht="15.75" customHeight="1" x14ac:dyDescent="0.2">
      <c r="A1053" s="1"/>
      <c r="B1053" s="2"/>
      <c r="C1053" s="1"/>
      <c r="D1053" s="1"/>
      <c r="E1053" s="48"/>
      <c r="F1053" s="48"/>
      <c r="G1053" s="2"/>
      <c r="H1053" s="48"/>
      <c r="I1053" s="2"/>
      <c r="J1053" s="2"/>
      <c r="K1053" s="2"/>
      <c r="L1053" s="2"/>
      <c r="M1053" s="2"/>
      <c r="N1053" s="2"/>
      <c r="O1053" s="95"/>
      <c r="P1053" s="95"/>
      <c r="Q1053" s="95"/>
      <c r="R1053" s="95"/>
      <c r="AE1053" s="95"/>
      <c r="AF1053" s="95"/>
      <c r="AG1053" s="95"/>
      <c r="AH1053" s="2"/>
      <c r="AI1053" s="2"/>
      <c r="AJ1053" s="2"/>
      <c r="AK1053" s="2"/>
    </row>
    <row r="1054" spans="1:37" ht="15.75" customHeight="1" x14ac:dyDescent="0.2">
      <c r="A1054" s="1"/>
      <c r="B1054" s="2"/>
      <c r="C1054" s="1"/>
      <c r="D1054" s="1"/>
      <c r="E1054" s="48"/>
      <c r="F1054" s="48"/>
      <c r="G1054" s="2"/>
      <c r="H1054" s="48"/>
      <c r="I1054" s="2"/>
      <c r="J1054" s="2"/>
      <c r="K1054" s="2"/>
      <c r="L1054" s="2"/>
      <c r="M1054" s="2"/>
      <c r="N1054" s="2"/>
      <c r="O1054" s="95"/>
      <c r="P1054" s="95"/>
      <c r="Q1054" s="95"/>
      <c r="R1054" s="95"/>
      <c r="AE1054" s="95"/>
      <c r="AF1054" s="95"/>
      <c r="AG1054" s="95"/>
      <c r="AH1054" s="2"/>
      <c r="AI1054" s="2"/>
      <c r="AJ1054" s="2"/>
      <c r="AK1054" s="2"/>
    </row>
    <row r="1055" spans="1:37" ht="15.75" customHeight="1" x14ac:dyDescent="0.2">
      <c r="A1055" s="1"/>
      <c r="B1055" s="2"/>
      <c r="C1055" s="1"/>
      <c r="D1055" s="1"/>
      <c r="E1055" s="48"/>
      <c r="F1055" s="48"/>
      <c r="G1055" s="2"/>
      <c r="H1055" s="48"/>
      <c r="I1055" s="2"/>
      <c r="J1055" s="2"/>
      <c r="K1055" s="2"/>
      <c r="L1055" s="2"/>
      <c r="M1055" s="2"/>
      <c r="N1055" s="2"/>
      <c r="O1055" s="95"/>
      <c r="P1055" s="95"/>
      <c r="Q1055" s="95"/>
      <c r="R1055" s="95"/>
      <c r="AE1055" s="95"/>
      <c r="AF1055" s="95"/>
      <c r="AG1055" s="95"/>
      <c r="AH1055" s="2"/>
      <c r="AI1055" s="2"/>
      <c r="AJ1055" s="2"/>
      <c r="AK1055" s="2"/>
    </row>
    <row r="1056" spans="1:37" ht="15.75" customHeight="1" x14ac:dyDescent="0.2">
      <c r="A1056" s="1"/>
      <c r="B1056" s="2"/>
      <c r="C1056" s="1"/>
      <c r="D1056" s="1"/>
      <c r="E1056" s="48"/>
      <c r="F1056" s="48"/>
      <c r="G1056" s="2"/>
      <c r="H1056" s="48"/>
      <c r="I1056" s="2"/>
      <c r="J1056" s="2"/>
      <c r="K1056" s="2"/>
      <c r="L1056" s="2"/>
      <c r="M1056" s="2"/>
      <c r="N1056" s="2"/>
      <c r="O1056" s="95"/>
      <c r="P1056" s="95"/>
      <c r="Q1056" s="95"/>
      <c r="R1056" s="95"/>
      <c r="AE1056" s="95"/>
      <c r="AF1056" s="95"/>
      <c r="AG1056" s="95"/>
      <c r="AH1056" s="2"/>
      <c r="AI1056" s="2"/>
      <c r="AJ1056" s="2"/>
      <c r="AK1056" s="2"/>
    </row>
    <row r="1057" spans="1:37" ht="15.75" customHeight="1" x14ac:dyDescent="0.2">
      <c r="A1057" s="1"/>
      <c r="B1057" s="2"/>
      <c r="C1057" s="1"/>
      <c r="D1057" s="1"/>
      <c r="E1057" s="48"/>
      <c r="F1057" s="48"/>
      <c r="G1057" s="2"/>
      <c r="H1057" s="48"/>
      <c r="I1057" s="2"/>
      <c r="J1057" s="2"/>
      <c r="K1057" s="2"/>
      <c r="L1057" s="2"/>
      <c r="M1057" s="2"/>
      <c r="N1057" s="2"/>
      <c r="O1057" s="95"/>
      <c r="P1057" s="95"/>
      <c r="Q1057" s="95"/>
      <c r="R1057" s="95"/>
      <c r="AE1057" s="95"/>
      <c r="AF1057" s="95"/>
      <c r="AG1057" s="95"/>
      <c r="AH1057" s="2"/>
      <c r="AI1057" s="2"/>
      <c r="AJ1057" s="2"/>
      <c r="AK1057" s="2"/>
    </row>
    <row r="1058" spans="1:37" ht="15.75" customHeight="1" x14ac:dyDescent="0.2">
      <c r="A1058" s="1"/>
      <c r="B1058" s="2"/>
      <c r="C1058" s="1"/>
      <c r="D1058" s="1"/>
      <c r="E1058" s="48"/>
      <c r="F1058" s="48"/>
      <c r="G1058" s="2"/>
      <c r="H1058" s="48"/>
      <c r="I1058" s="2"/>
      <c r="J1058" s="2"/>
      <c r="K1058" s="2"/>
      <c r="L1058" s="2"/>
      <c r="M1058" s="2"/>
      <c r="N1058" s="2"/>
      <c r="O1058" s="95"/>
      <c r="P1058" s="95"/>
      <c r="Q1058" s="95"/>
      <c r="R1058" s="95"/>
      <c r="AE1058" s="95"/>
      <c r="AF1058" s="95"/>
      <c r="AG1058" s="95"/>
      <c r="AH1058" s="2"/>
      <c r="AI1058" s="2"/>
      <c r="AJ1058" s="2"/>
      <c r="AK1058" s="2"/>
    </row>
    <row r="1059" spans="1:37" ht="15.75" customHeight="1" x14ac:dyDescent="0.2">
      <c r="A1059" s="1"/>
      <c r="B1059" s="2"/>
      <c r="C1059" s="1"/>
      <c r="D1059" s="1"/>
      <c r="E1059" s="48"/>
      <c r="F1059" s="48"/>
      <c r="G1059" s="2"/>
      <c r="H1059" s="48"/>
      <c r="I1059" s="2"/>
      <c r="J1059" s="2"/>
      <c r="K1059" s="2"/>
      <c r="L1059" s="2"/>
      <c r="M1059" s="2"/>
      <c r="N1059" s="2"/>
      <c r="O1059" s="95"/>
      <c r="P1059" s="95"/>
      <c r="Q1059" s="95"/>
      <c r="R1059" s="95"/>
      <c r="AE1059" s="95"/>
      <c r="AF1059" s="95"/>
      <c r="AG1059" s="95"/>
      <c r="AH1059" s="2"/>
      <c r="AI1059" s="2"/>
      <c r="AJ1059" s="2"/>
      <c r="AK1059" s="2"/>
    </row>
    <row r="1060" spans="1:37" ht="15.75" customHeight="1" x14ac:dyDescent="0.2">
      <c r="A1060" s="1"/>
      <c r="B1060" s="2"/>
      <c r="C1060" s="1"/>
      <c r="D1060" s="1"/>
      <c r="E1060" s="48"/>
      <c r="F1060" s="48"/>
      <c r="G1060" s="2"/>
      <c r="H1060" s="48"/>
      <c r="I1060" s="2"/>
      <c r="J1060" s="2"/>
      <c r="K1060" s="2"/>
      <c r="L1060" s="2"/>
      <c r="M1060" s="2"/>
      <c r="N1060" s="2"/>
      <c r="O1060" s="95"/>
      <c r="P1060" s="95"/>
      <c r="Q1060" s="95"/>
      <c r="R1060" s="95"/>
      <c r="AE1060" s="95"/>
      <c r="AF1060" s="95"/>
      <c r="AG1060" s="95"/>
      <c r="AH1060" s="2"/>
      <c r="AI1060" s="2"/>
      <c r="AJ1060" s="2"/>
      <c r="AK1060" s="2"/>
    </row>
    <row r="1061" spans="1:37" ht="15.75" customHeight="1" x14ac:dyDescent="0.2">
      <c r="A1061" s="1"/>
      <c r="B1061" s="2"/>
      <c r="C1061" s="1"/>
      <c r="D1061" s="1"/>
      <c r="E1061" s="48"/>
      <c r="F1061" s="48"/>
      <c r="G1061" s="2"/>
      <c r="H1061" s="48"/>
      <c r="I1061" s="2"/>
      <c r="J1061" s="2"/>
      <c r="K1061" s="2"/>
      <c r="L1061" s="2"/>
      <c r="M1061" s="2"/>
      <c r="N1061" s="2"/>
      <c r="O1061" s="95"/>
      <c r="P1061" s="95"/>
      <c r="Q1061" s="95"/>
      <c r="R1061" s="95"/>
      <c r="AE1061" s="95"/>
      <c r="AF1061" s="95"/>
      <c r="AG1061" s="95"/>
      <c r="AH1061" s="2"/>
      <c r="AI1061" s="2"/>
      <c r="AJ1061" s="2"/>
      <c r="AK1061" s="2"/>
    </row>
    <row r="1062" spans="1:37" ht="15.75" customHeight="1" x14ac:dyDescent="0.2">
      <c r="A1062" s="1"/>
      <c r="B1062" s="2"/>
      <c r="C1062" s="1"/>
      <c r="D1062" s="1"/>
      <c r="E1062" s="48"/>
      <c r="F1062" s="48"/>
      <c r="G1062" s="2"/>
      <c r="H1062" s="48"/>
      <c r="I1062" s="2"/>
      <c r="J1062" s="2"/>
      <c r="K1062" s="2"/>
      <c r="L1062" s="2"/>
      <c r="M1062" s="2"/>
      <c r="N1062" s="2"/>
      <c r="O1062" s="95"/>
      <c r="P1062" s="95"/>
      <c r="Q1062" s="95"/>
      <c r="R1062" s="95"/>
      <c r="AE1062" s="95"/>
      <c r="AF1062" s="95"/>
      <c r="AG1062" s="95"/>
      <c r="AH1062" s="2"/>
      <c r="AI1062" s="2"/>
      <c r="AJ1062" s="2"/>
      <c r="AK1062" s="2"/>
    </row>
    <row r="1063" spans="1:37" ht="15.75" customHeight="1" x14ac:dyDescent="0.2">
      <c r="A1063" s="1"/>
      <c r="B1063" s="2"/>
      <c r="C1063" s="1"/>
      <c r="D1063" s="1"/>
      <c r="E1063" s="48"/>
      <c r="F1063" s="48"/>
      <c r="G1063" s="2"/>
      <c r="H1063" s="48"/>
      <c r="I1063" s="2"/>
      <c r="J1063" s="2"/>
      <c r="K1063" s="2"/>
      <c r="L1063" s="2"/>
      <c r="M1063" s="2"/>
      <c r="N1063" s="2"/>
      <c r="O1063" s="95"/>
      <c r="P1063" s="95"/>
      <c r="Q1063" s="95"/>
      <c r="R1063" s="95"/>
      <c r="AE1063" s="95"/>
      <c r="AF1063" s="95"/>
      <c r="AG1063" s="95"/>
      <c r="AH1063" s="2"/>
      <c r="AI1063" s="2"/>
      <c r="AJ1063" s="2"/>
      <c r="AK1063" s="2"/>
    </row>
    <row r="1064" spans="1:37" ht="15.75" customHeight="1" x14ac:dyDescent="0.2">
      <c r="A1064" s="1"/>
      <c r="B1064" s="2"/>
      <c r="C1064" s="1"/>
      <c r="D1064" s="1"/>
      <c r="E1064" s="48"/>
      <c r="F1064" s="48"/>
      <c r="G1064" s="2"/>
      <c r="H1064" s="48"/>
      <c r="I1064" s="2"/>
      <c r="J1064" s="2"/>
      <c r="K1064" s="2"/>
      <c r="L1064" s="2"/>
      <c r="M1064" s="2"/>
      <c r="N1064" s="2"/>
      <c r="O1064" s="95"/>
      <c r="P1064" s="95"/>
      <c r="Q1064" s="95"/>
      <c r="R1064" s="95"/>
      <c r="AE1064" s="95"/>
      <c r="AF1064" s="95"/>
      <c r="AG1064" s="95"/>
      <c r="AH1064" s="2"/>
      <c r="AI1064" s="2"/>
      <c r="AJ1064" s="2"/>
      <c r="AK1064" s="2"/>
    </row>
    <row r="1065" spans="1:37" ht="15.75" customHeight="1" x14ac:dyDescent="0.2">
      <c r="A1065" s="1"/>
      <c r="B1065" s="2"/>
      <c r="C1065" s="1"/>
      <c r="D1065" s="1"/>
      <c r="E1065" s="48"/>
      <c r="F1065" s="48"/>
      <c r="G1065" s="2"/>
      <c r="H1065" s="48"/>
      <c r="I1065" s="2"/>
      <c r="J1065" s="2"/>
      <c r="K1065" s="2"/>
      <c r="L1065" s="2"/>
      <c r="M1065" s="2"/>
      <c r="N1065" s="2"/>
      <c r="O1065" s="95"/>
      <c r="P1065" s="95"/>
      <c r="Q1065" s="95"/>
      <c r="R1065" s="95"/>
      <c r="AE1065" s="95"/>
      <c r="AF1065" s="95"/>
      <c r="AG1065" s="95"/>
      <c r="AH1065" s="2"/>
      <c r="AI1065" s="2"/>
      <c r="AJ1065" s="2"/>
      <c r="AK1065" s="2"/>
    </row>
    <row r="1066" spans="1:37" ht="15.75" customHeight="1" x14ac:dyDescent="0.2">
      <c r="A1066" s="1"/>
      <c r="B1066" s="2"/>
      <c r="C1066" s="1"/>
      <c r="D1066" s="1"/>
      <c r="E1066" s="48"/>
      <c r="F1066" s="48"/>
      <c r="G1066" s="2"/>
      <c r="H1066" s="48"/>
      <c r="I1066" s="2"/>
      <c r="J1066" s="2"/>
      <c r="K1066" s="2"/>
      <c r="L1066" s="2"/>
      <c r="M1066" s="2"/>
      <c r="N1066" s="2"/>
      <c r="O1066" s="95"/>
      <c r="P1066" s="95"/>
      <c r="Q1066" s="95"/>
      <c r="R1066" s="95"/>
      <c r="AE1066" s="95"/>
      <c r="AF1066" s="95"/>
      <c r="AG1066" s="95"/>
      <c r="AH1066" s="2"/>
      <c r="AI1066" s="2"/>
      <c r="AJ1066" s="2"/>
      <c r="AK1066" s="2"/>
    </row>
    <row r="1067" spans="1:37" ht="15.75" customHeight="1" x14ac:dyDescent="0.2">
      <c r="A1067" s="1"/>
      <c r="B1067" s="2"/>
      <c r="C1067" s="1"/>
      <c r="D1067" s="1"/>
      <c r="E1067" s="48"/>
      <c r="F1067" s="48"/>
      <c r="G1067" s="2"/>
      <c r="H1067" s="48"/>
      <c r="I1067" s="2"/>
      <c r="J1067" s="2"/>
      <c r="K1067" s="2"/>
      <c r="L1067" s="2"/>
      <c r="M1067" s="2"/>
      <c r="N1067" s="2"/>
      <c r="O1067" s="95"/>
      <c r="P1067" s="95"/>
      <c r="Q1067" s="95"/>
      <c r="R1067" s="95"/>
      <c r="AE1067" s="95"/>
      <c r="AF1067" s="95"/>
      <c r="AG1067" s="95"/>
      <c r="AH1067" s="2"/>
      <c r="AI1067" s="2"/>
      <c r="AJ1067" s="2"/>
      <c r="AK1067" s="2"/>
    </row>
    <row r="1068" spans="1:37" ht="15.75" customHeight="1" x14ac:dyDescent="0.2">
      <c r="A1068" s="1"/>
      <c r="B1068" s="2"/>
      <c r="C1068" s="1"/>
      <c r="D1068" s="1"/>
      <c r="E1068" s="48"/>
      <c r="F1068" s="48"/>
      <c r="G1068" s="2"/>
      <c r="H1068" s="48"/>
      <c r="I1068" s="2"/>
      <c r="J1068" s="2"/>
      <c r="K1068" s="2"/>
      <c r="L1068" s="2"/>
      <c r="M1068" s="2"/>
      <c r="N1068" s="2"/>
      <c r="O1068" s="95"/>
      <c r="P1068" s="95"/>
      <c r="Q1068" s="95"/>
      <c r="R1068" s="95"/>
      <c r="AE1068" s="95"/>
      <c r="AF1068" s="95"/>
      <c r="AG1068" s="95"/>
      <c r="AH1068" s="2"/>
      <c r="AI1068" s="2"/>
      <c r="AJ1068" s="2"/>
      <c r="AK1068" s="2"/>
    </row>
    <row r="1069" spans="1:37" ht="15.75" customHeight="1" x14ac:dyDescent="0.2">
      <c r="A1069" s="1"/>
      <c r="B1069" s="2"/>
      <c r="C1069" s="1"/>
      <c r="D1069" s="1"/>
      <c r="E1069" s="48"/>
      <c r="F1069" s="48"/>
      <c r="G1069" s="2"/>
      <c r="H1069" s="48"/>
      <c r="I1069" s="2"/>
      <c r="J1069" s="2"/>
      <c r="K1069" s="2"/>
      <c r="L1069" s="2"/>
      <c r="M1069" s="2"/>
      <c r="N1069" s="2"/>
      <c r="O1069" s="95"/>
      <c r="P1069" s="95"/>
      <c r="Q1069" s="95"/>
      <c r="R1069" s="95"/>
      <c r="AE1069" s="95"/>
      <c r="AF1069" s="95"/>
      <c r="AG1069" s="95"/>
      <c r="AH1069" s="2"/>
      <c r="AI1069" s="2"/>
      <c r="AJ1069" s="2"/>
      <c r="AK1069" s="2"/>
    </row>
    <row r="1070" spans="1:37" ht="15.75" customHeight="1" x14ac:dyDescent="0.2">
      <c r="A1070" s="1"/>
      <c r="B1070" s="2"/>
      <c r="C1070" s="1"/>
      <c r="D1070" s="1"/>
      <c r="E1070" s="48"/>
      <c r="F1070" s="48"/>
      <c r="G1070" s="2"/>
      <c r="H1070" s="48"/>
      <c r="I1070" s="2"/>
      <c r="J1070" s="2"/>
      <c r="K1070" s="2"/>
      <c r="L1070" s="2"/>
      <c r="M1070" s="2"/>
      <c r="N1070" s="2"/>
      <c r="O1070" s="95"/>
      <c r="P1070" s="95"/>
      <c r="Q1070" s="95"/>
      <c r="R1070" s="95"/>
      <c r="AE1070" s="95"/>
      <c r="AF1070" s="95"/>
      <c r="AG1070" s="95"/>
      <c r="AH1070" s="2"/>
      <c r="AI1070" s="2"/>
      <c r="AJ1070" s="2"/>
      <c r="AK1070" s="2"/>
    </row>
    <row r="1071" spans="1:37" ht="15.75" customHeight="1" x14ac:dyDescent="0.2">
      <c r="A1071" s="1"/>
      <c r="B1071" s="2"/>
      <c r="C1071" s="1"/>
      <c r="D1071" s="1"/>
      <c r="E1071" s="48"/>
      <c r="F1071" s="48"/>
      <c r="G1071" s="2"/>
      <c r="H1071" s="48"/>
      <c r="I1071" s="2"/>
      <c r="J1071" s="2"/>
      <c r="K1071" s="2"/>
      <c r="L1071" s="2"/>
      <c r="M1071" s="2"/>
      <c r="N1071" s="2"/>
      <c r="O1071" s="95"/>
      <c r="P1071" s="95"/>
      <c r="Q1071" s="95"/>
      <c r="R1071" s="95"/>
      <c r="AE1071" s="95"/>
      <c r="AF1071" s="95"/>
      <c r="AG1071" s="95"/>
      <c r="AH1071" s="2"/>
      <c r="AI1071" s="2"/>
      <c r="AJ1071" s="2"/>
      <c r="AK1071" s="2"/>
    </row>
    <row r="1072" spans="1:37" ht="15.75" customHeight="1" x14ac:dyDescent="0.2">
      <c r="A1072" s="1"/>
      <c r="B1072" s="2"/>
      <c r="C1072" s="1"/>
      <c r="D1072" s="1"/>
      <c r="E1072" s="48"/>
      <c r="F1072" s="48"/>
      <c r="G1072" s="2"/>
      <c r="H1072" s="48"/>
      <c r="I1072" s="2"/>
      <c r="J1072" s="2"/>
      <c r="K1072" s="2"/>
      <c r="L1072" s="2"/>
      <c r="M1072" s="2"/>
      <c r="N1072" s="2"/>
      <c r="O1072" s="95"/>
      <c r="P1072" s="95"/>
      <c r="Q1072" s="95"/>
      <c r="R1072" s="95"/>
      <c r="AE1072" s="95"/>
      <c r="AF1072" s="95"/>
      <c r="AG1072" s="95"/>
      <c r="AH1072" s="2"/>
      <c r="AI1072" s="2"/>
      <c r="AJ1072" s="2"/>
      <c r="AK1072" s="2"/>
    </row>
    <row r="1073" spans="1:37" ht="15.75" customHeight="1" x14ac:dyDescent="0.2">
      <c r="A1073" s="1"/>
      <c r="B1073" s="2"/>
      <c r="C1073" s="1"/>
      <c r="D1073" s="1"/>
      <c r="E1073" s="48"/>
      <c r="F1073" s="48"/>
      <c r="G1073" s="2"/>
      <c r="H1073" s="48"/>
      <c r="I1073" s="2"/>
      <c r="J1073" s="2"/>
      <c r="K1073" s="2"/>
      <c r="L1073" s="2"/>
      <c r="M1073" s="2"/>
      <c r="N1073" s="2"/>
      <c r="O1073" s="95"/>
      <c r="P1073" s="95"/>
      <c r="Q1073" s="95"/>
      <c r="R1073" s="95"/>
      <c r="AE1073" s="95"/>
      <c r="AF1073" s="95"/>
      <c r="AG1073" s="95"/>
      <c r="AH1073" s="2"/>
      <c r="AI1073" s="2"/>
      <c r="AJ1073" s="2"/>
      <c r="AK1073" s="2"/>
    </row>
    <row r="1074" spans="1:37" ht="15.75" customHeight="1" x14ac:dyDescent="0.2">
      <c r="A1074" s="1"/>
      <c r="B1074" s="2"/>
      <c r="C1074" s="1"/>
      <c r="D1074" s="1"/>
      <c r="E1074" s="48"/>
      <c r="F1074" s="48"/>
      <c r="G1074" s="2"/>
      <c r="H1074" s="48"/>
      <c r="I1074" s="2"/>
      <c r="J1074" s="2"/>
      <c r="K1074" s="2"/>
      <c r="L1074" s="2"/>
      <c r="M1074" s="2"/>
      <c r="N1074" s="2"/>
      <c r="O1074" s="95"/>
      <c r="P1074" s="95"/>
      <c r="Q1074" s="95"/>
      <c r="R1074" s="95"/>
      <c r="AE1074" s="95"/>
      <c r="AF1074" s="95"/>
      <c r="AG1074" s="95"/>
      <c r="AH1074" s="2"/>
      <c r="AI1074" s="2"/>
      <c r="AJ1074" s="2"/>
      <c r="AK1074" s="2"/>
    </row>
    <row r="1075" spans="1:37" ht="15.75" customHeight="1" x14ac:dyDescent="0.2">
      <c r="A1075" s="1"/>
      <c r="B1075" s="2"/>
      <c r="C1075" s="1"/>
      <c r="D1075" s="1"/>
      <c r="E1075" s="48"/>
      <c r="F1075" s="48"/>
      <c r="G1075" s="2"/>
      <c r="H1075" s="48"/>
      <c r="I1075" s="2"/>
      <c r="J1075" s="2"/>
      <c r="K1075" s="2"/>
      <c r="L1075" s="2"/>
      <c r="M1075" s="2"/>
      <c r="N1075" s="2"/>
      <c r="O1075" s="95"/>
      <c r="P1075" s="95"/>
      <c r="Q1075" s="95"/>
      <c r="R1075" s="95"/>
      <c r="AE1075" s="95"/>
      <c r="AF1075" s="95"/>
      <c r="AG1075" s="95"/>
      <c r="AH1075" s="2"/>
      <c r="AI1075" s="2"/>
      <c r="AJ1075" s="2"/>
      <c r="AK1075" s="2"/>
    </row>
    <row r="1076" spans="1:37" ht="15.75" customHeight="1" x14ac:dyDescent="0.2">
      <c r="A1076" s="1"/>
      <c r="B1076" s="2"/>
      <c r="C1076" s="1"/>
      <c r="D1076" s="1"/>
      <c r="E1076" s="48"/>
      <c r="F1076" s="48"/>
      <c r="G1076" s="2"/>
      <c r="H1076" s="48"/>
      <c r="I1076" s="2"/>
      <c r="J1076" s="2"/>
      <c r="K1076" s="2"/>
      <c r="L1076" s="2"/>
      <c r="M1076" s="2"/>
      <c r="N1076" s="2"/>
      <c r="O1076" s="95"/>
      <c r="P1076" s="95"/>
      <c r="Q1076" s="95"/>
      <c r="R1076" s="95"/>
      <c r="AE1076" s="95"/>
      <c r="AF1076" s="95"/>
      <c r="AG1076" s="95"/>
      <c r="AH1076" s="2"/>
      <c r="AI1076" s="2"/>
      <c r="AJ1076" s="2"/>
      <c r="AK1076" s="2"/>
    </row>
    <row r="1077" spans="1:37" ht="15.75" customHeight="1" x14ac:dyDescent="0.2">
      <c r="A1077" s="1"/>
      <c r="B1077" s="2"/>
      <c r="C1077" s="1"/>
      <c r="D1077" s="1"/>
      <c r="E1077" s="48"/>
      <c r="F1077" s="48"/>
      <c r="G1077" s="2"/>
      <c r="H1077" s="48"/>
      <c r="I1077" s="2"/>
      <c r="J1077" s="2"/>
      <c r="K1077" s="2"/>
      <c r="L1077" s="2"/>
      <c r="M1077" s="2"/>
      <c r="N1077" s="2"/>
      <c r="O1077" s="95"/>
      <c r="P1077" s="95"/>
      <c r="Q1077" s="95"/>
      <c r="R1077" s="95"/>
      <c r="AE1077" s="95"/>
      <c r="AF1077" s="95"/>
      <c r="AG1077" s="95"/>
      <c r="AH1077" s="2"/>
      <c r="AI1077" s="2"/>
      <c r="AJ1077" s="2"/>
      <c r="AK1077" s="2"/>
    </row>
    <row r="1078" spans="1:37" ht="15.75" customHeight="1" x14ac:dyDescent="0.2">
      <c r="A1078" s="1"/>
      <c r="B1078" s="2"/>
      <c r="C1078" s="1"/>
      <c r="D1078" s="1"/>
      <c r="E1078" s="48"/>
      <c r="F1078" s="48"/>
      <c r="G1078" s="2"/>
      <c r="H1078" s="48"/>
      <c r="I1078" s="2"/>
      <c r="J1078" s="2"/>
      <c r="K1078" s="2"/>
      <c r="L1078" s="2"/>
      <c r="M1078" s="2"/>
      <c r="N1078" s="2"/>
      <c r="O1078" s="95"/>
      <c r="P1078" s="95"/>
      <c r="Q1078" s="95"/>
      <c r="R1078" s="95"/>
      <c r="AE1078" s="95"/>
      <c r="AF1078" s="95"/>
      <c r="AG1078" s="95"/>
      <c r="AH1078" s="2"/>
      <c r="AI1078" s="2"/>
      <c r="AJ1078" s="2"/>
      <c r="AK1078" s="2"/>
    </row>
    <row r="1079" spans="1:37" ht="15.75" customHeight="1" x14ac:dyDescent="0.2">
      <c r="A1079" s="1"/>
      <c r="B1079" s="2"/>
      <c r="C1079" s="1"/>
      <c r="D1079" s="1"/>
      <c r="E1079" s="48"/>
      <c r="F1079" s="48"/>
      <c r="G1079" s="2"/>
      <c r="H1079" s="48"/>
      <c r="I1079" s="2"/>
      <c r="J1079" s="2"/>
      <c r="K1079" s="2"/>
      <c r="L1079" s="2"/>
      <c r="M1079" s="2"/>
      <c r="N1079" s="2"/>
      <c r="O1079" s="95"/>
      <c r="P1079" s="95"/>
      <c r="Q1079" s="95"/>
      <c r="R1079" s="95"/>
      <c r="AE1079" s="95"/>
      <c r="AF1079" s="95"/>
      <c r="AG1079" s="95"/>
      <c r="AH1079" s="2"/>
      <c r="AI1079" s="2"/>
      <c r="AJ1079" s="2"/>
      <c r="AK1079" s="2"/>
    </row>
    <row r="1080" spans="1:37" ht="15.75" customHeight="1" x14ac:dyDescent="0.2">
      <c r="A1080" s="1"/>
      <c r="B1080" s="2"/>
      <c r="C1080" s="1"/>
      <c r="D1080" s="1"/>
      <c r="E1080" s="48"/>
      <c r="F1080" s="48"/>
      <c r="G1080" s="2"/>
      <c r="H1080" s="48"/>
      <c r="I1080" s="2"/>
      <c r="J1080" s="2"/>
      <c r="K1080" s="2"/>
      <c r="L1080" s="2"/>
      <c r="M1080" s="2"/>
      <c r="N1080" s="2"/>
      <c r="O1080" s="95"/>
      <c r="P1080" s="95"/>
      <c r="Q1080" s="95"/>
      <c r="R1080" s="95"/>
      <c r="AE1080" s="95"/>
      <c r="AF1080" s="95"/>
      <c r="AG1080" s="95"/>
      <c r="AH1080" s="2"/>
      <c r="AI1080" s="2"/>
      <c r="AJ1080" s="2"/>
      <c r="AK1080" s="2"/>
    </row>
    <row r="1081" spans="1:37" ht="15.75" customHeight="1" x14ac:dyDescent="0.2">
      <c r="A1081" s="1"/>
      <c r="B1081" s="2"/>
      <c r="C1081" s="1"/>
      <c r="D1081" s="1"/>
      <c r="E1081" s="48"/>
      <c r="F1081" s="48"/>
      <c r="G1081" s="2"/>
      <c r="H1081" s="48"/>
      <c r="I1081" s="2"/>
      <c r="J1081" s="2"/>
      <c r="K1081" s="2"/>
      <c r="L1081" s="2"/>
      <c r="M1081" s="2"/>
      <c r="N1081" s="2"/>
      <c r="O1081" s="95"/>
      <c r="P1081" s="95"/>
      <c r="Q1081" s="95"/>
      <c r="R1081" s="95"/>
      <c r="AE1081" s="95"/>
      <c r="AF1081" s="95"/>
      <c r="AG1081" s="95"/>
      <c r="AH1081" s="2"/>
      <c r="AI1081" s="2"/>
      <c r="AJ1081" s="2"/>
      <c r="AK1081" s="2"/>
    </row>
    <row r="1082" spans="1:37" ht="15.75" customHeight="1" x14ac:dyDescent="0.2">
      <c r="A1082" s="1"/>
      <c r="B1082" s="2"/>
      <c r="C1082" s="1"/>
      <c r="D1082" s="1"/>
      <c r="E1082" s="48"/>
      <c r="F1082" s="48"/>
      <c r="G1082" s="2"/>
      <c r="H1082" s="48"/>
      <c r="I1082" s="2"/>
      <c r="J1082" s="2"/>
      <c r="K1082" s="2"/>
      <c r="L1082" s="2"/>
      <c r="M1082" s="2"/>
      <c r="N1082" s="2"/>
      <c r="O1082" s="95"/>
      <c r="P1082" s="95"/>
      <c r="Q1082" s="95"/>
      <c r="R1082" s="95"/>
      <c r="AE1082" s="95"/>
      <c r="AF1082" s="95"/>
      <c r="AG1082" s="95"/>
      <c r="AH1082" s="2"/>
      <c r="AI1082" s="2"/>
      <c r="AJ1082" s="2"/>
      <c r="AK1082" s="2"/>
    </row>
    <row r="1083" spans="1:37" ht="15.75" customHeight="1" x14ac:dyDescent="0.2">
      <c r="A1083" s="1"/>
      <c r="B1083" s="2"/>
      <c r="C1083" s="1"/>
      <c r="D1083" s="1"/>
      <c r="E1083" s="48"/>
      <c r="F1083" s="48"/>
      <c r="G1083" s="2"/>
      <c r="H1083" s="48"/>
      <c r="I1083" s="2"/>
      <c r="J1083" s="2"/>
      <c r="K1083" s="2"/>
      <c r="L1083" s="2"/>
      <c r="M1083" s="2"/>
      <c r="N1083" s="2"/>
      <c r="O1083" s="95"/>
      <c r="P1083" s="95"/>
      <c r="Q1083" s="95"/>
      <c r="R1083" s="95"/>
      <c r="AE1083" s="95"/>
      <c r="AF1083" s="95"/>
      <c r="AG1083" s="95"/>
      <c r="AH1083" s="2"/>
      <c r="AI1083" s="2"/>
      <c r="AJ1083" s="2"/>
      <c r="AK1083" s="2"/>
    </row>
    <row r="1084" spans="1:37" ht="15.75" customHeight="1" x14ac:dyDescent="0.2">
      <c r="A1084" s="1"/>
      <c r="B1084" s="2"/>
      <c r="C1084" s="1"/>
      <c r="D1084" s="1"/>
      <c r="E1084" s="48"/>
      <c r="F1084" s="48"/>
      <c r="G1084" s="2"/>
      <c r="H1084" s="48"/>
      <c r="I1084" s="2"/>
      <c r="J1084" s="2"/>
      <c r="K1084" s="2"/>
      <c r="L1084" s="2"/>
      <c r="M1084" s="2"/>
      <c r="N1084" s="2"/>
      <c r="O1084" s="95"/>
      <c r="P1084" s="95"/>
      <c r="Q1084" s="95"/>
      <c r="R1084" s="95"/>
      <c r="AE1084" s="95"/>
      <c r="AF1084" s="95"/>
      <c r="AG1084" s="95"/>
      <c r="AH1084" s="2"/>
      <c r="AI1084" s="2"/>
      <c r="AJ1084" s="2"/>
      <c r="AK1084" s="2"/>
    </row>
    <row r="1085" spans="1:37" ht="15.75" customHeight="1" x14ac:dyDescent="0.2">
      <c r="A1085" s="1"/>
      <c r="B1085" s="2"/>
      <c r="C1085" s="1"/>
      <c r="D1085" s="1"/>
      <c r="E1085" s="48"/>
      <c r="F1085" s="48"/>
      <c r="G1085" s="2"/>
      <c r="H1085" s="48"/>
      <c r="I1085" s="2"/>
      <c r="J1085" s="2"/>
      <c r="K1085" s="2"/>
      <c r="L1085" s="2"/>
      <c r="M1085" s="2"/>
      <c r="N1085" s="2"/>
      <c r="O1085" s="95"/>
      <c r="P1085" s="95"/>
      <c r="Q1085" s="95"/>
      <c r="R1085" s="95"/>
      <c r="AE1085" s="95"/>
      <c r="AF1085" s="95"/>
      <c r="AG1085" s="95"/>
      <c r="AH1085" s="2"/>
      <c r="AI1085" s="2"/>
      <c r="AJ1085" s="2"/>
      <c r="AK1085" s="2"/>
    </row>
    <row r="1086" spans="1:37" ht="15.75" customHeight="1" x14ac:dyDescent="0.2">
      <c r="A1086" s="1"/>
      <c r="B1086" s="2"/>
      <c r="C1086" s="1"/>
      <c r="D1086" s="1"/>
      <c r="E1086" s="48"/>
      <c r="F1086" s="48"/>
      <c r="G1086" s="2"/>
      <c r="H1086" s="48"/>
      <c r="I1086" s="2"/>
      <c r="J1086" s="2"/>
      <c r="K1086" s="2"/>
      <c r="L1086" s="2"/>
      <c r="M1086" s="2"/>
      <c r="N1086" s="2"/>
      <c r="O1086" s="95"/>
      <c r="P1086" s="95"/>
      <c r="Q1086" s="95"/>
      <c r="R1086" s="95"/>
      <c r="AE1086" s="95"/>
      <c r="AF1086" s="95"/>
      <c r="AG1086" s="95"/>
      <c r="AH1086" s="2"/>
      <c r="AI1086" s="2"/>
      <c r="AJ1086" s="2"/>
      <c r="AK1086" s="2"/>
    </row>
    <row r="1087" spans="1:37" ht="15.75" customHeight="1" x14ac:dyDescent="0.2">
      <c r="A1087" s="1"/>
      <c r="B1087" s="2"/>
      <c r="C1087" s="1"/>
      <c r="D1087" s="1"/>
      <c r="E1087" s="48"/>
      <c r="F1087" s="48"/>
      <c r="G1087" s="2"/>
      <c r="H1087" s="48"/>
      <c r="I1087" s="2"/>
      <c r="J1087" s="2"/>
      <c r="K1087" s="2"/>
      <c r="L1087" s="2"/>
      <c r="M1087" s="2"/>
      <c r="N1087" s="2"/>
      <c r="O1087" s="95"/>
      <c r="P1087" s="95"/>
      <c r="Q1087" s="95"/>
      <c r="R1087" s="95"/>
      <c r="AE1087" s="95"/>
      <c r="AF1087" s="95"/>
      <c r="AG1087" s="95"/>
      <c r="AH1087" s="2"/>
      <c r="AI1087" s="2"/>
      <c r="AJ1087" s="2"/>
      <c r="AK1087" s="2"/>
    </row>
    <row r="1088" spans="1:37" ht="15.75" customHeight="1" x14ac:dyDescent="0.2">
      <c r="A1088" s="1"/>
      <c r="B1088" s="2"/>
      <c r="C1088" s="1"/>
      <c r="D1088" s="1"/>
      <c r="E1088" s="48"/>
      <c r="F1088" s="48"/>
      <c r="G1088" s="2"/>
      <c r="H1088" s="48"/>
      <c r="I1088" s="2"/>
      <c r="J1088" s="2"/>
      <c r="K1088" s="2"/>
      <c r="L1088" s="2"/>
      <c r="M1088" s="2"/>
      <c r="N1088" s="2"/>
      <c r="O1088" s="95"/>
      <c r="P1088" s="95"/>
      <c r="Q1088" s="95"/>
      <c r="R1088" s="95"/>
      <c r="AE1088" s="95"/>
      <c r="AF1088" s="95"/>
      <c r="AG1088" s="95"/>
      <c r="AH1088" s="2"/>
      <c r="AI1088" s="2"/>
      <c r="AJ1088" s="2"/>
      <c r="AK1088" s="2"/>
    </row>
    <row r="1089" spans="1:37" ht="15.75" customHeight="1" x14ac:dyDescent="0.2">
      <c r="A1089" s="1"/>
      <c r="B1089" s="2"/>
      <c r="C1089" s="1"/>
      <c r="D1089" s="1"/>
      <c r="E1089" s="48"/>
      <c r="F1089" s="48"/>
      <c r="G1089" s="2"/>
      <c r="H1089" s="48"/>
      <c r="I1089" s="2"/>
      <c r="J1089" s="2"/>
      <c r="K1089" s="2"/>
      <c r="L1089" s="2"/>
      <c r="M1089" s="2"/>
      <c r="N1089" s="2"/>
      <c r="O1089" s="95"/>
      <c r="P1089" s="95"/>
      <c r="Q1089" s="95"/>
      <c r="R1089" s="95"/>
      <c r="AE1089" s="95"/>
      <c r="AF1089" s="95"/>
      <c r="AG1089" s="95"/>
      <c r="AH1089" s="2"/>
      <c r="AI1089" s="2"/>
      <c r="AJ1089" s="2"/>
      <c r="AK1089" s="2"/>
    </row>
    <row r="1090" spans="1:37" ht="15.75" customHeight="1" x14ac:dyDescent="0.2">
      <c r="A1090" s="1"/>
      <c r="B1090" s="2"/>
      <c r="C1090" s="1"/>
      <c r="D1090" s="1"/>
      <c r="E1090" s="48"/>
      <c r="F1090" s="48"/>
      <c r="G1090" s="2"/>
      <c r="H1090" s="48"/>
      <c r="I1090" s="2"/>
      <c r="J1090" s="2"/>
      <c r="K1090" s="2"/>
      <c r="L1090" s="2"/>
      <c r="M1090" s="2"/>
      <c r="N1090" s="2"/>
      <c r="O1090" s="95"/>
      <c r="P1090" s="95"/>
      <c r="Q1090" s="95"/>
      <c r="R1090" s="95"/>
      <c r="AE1090" s="95"/>
      <c r="AF1090" s="95"/>
      <c r="AG1090" s="95"/>
      <c r="AH1090" s="2"/>
      <c r="AI1090" s="2"/>
      <c r="AJ1090" s="2"/>
      <c r="AK1090" s="2"/>
    </row>
    <row r="1091" spans="1:37" ht="15.75" customHeight="1" x14ac:dyDescent="0.2">
      <c r="A1091" s="1"/>
      <c r="B1091" s="2"/>
      <c r="C1091" s="1"/>
      <c r="D1091" s="1"/>
      <c r="E1091" s="48"/>
      <c r="F1091" s="48"/>
      <c r="G1091" s="2"/>
      <c r="H1091" s="48"/>
      <c r="I1091" s="2"/>
      <c r="J1091" s="2"/>
      <c r="K1091" s="2"/>
      <c r="L1091" s="2"/>
      <c r="M1091" s="2"/>
      <c r="N1091" s="2"/>
      <c r="O1091" s="95"/>
      <c r="P1091" s="95"/>
      <c r="Q1091" s="95"/>
      <c r="R1091" s="95"/>
      <c r="AE1091" s="95"/>
      <c r="AF1091" s="95"/>
      <c r="AG1091" s="95"/>
      <c r="AH1091" s="2"/>
      <c r="AI1091" s="2"/>
      <c r="AJ1091" s="2"/>
      <c r="AK1091" s="2"/>
    </row>
    <row r="1092" spans="1:37" ht="15.75" customHeight="1" x14ac:dyDescent="0.2">
      <c r="A1092" s="1"/>
      <c r="B1092" s="2"/>
      <c r="C1092" s="1"/>
      <c r="D1092" s="1"/>
      <c r="E1092" s="48"/>
      <c r="F1092" s="48"/>
      <c r="G1092" s="2"/>
      <c r="H1092" s="48"/>
      <c r="I1092" s="2"/>
      <c r="J1092" s="2"/>
      <c r="K1092" s="2"/>
      <c r="L1092" s="2"/>
      <c r="M1092" s="2"/>
      <c r="N1092" s="2"/>
      <c r="O1092" s="95"/>
      <c r="P1092" s="95"/>
      <c r="Q1092" s="95"/>
      <c r="R1092" s="95"/>
      <c r="AE1092" s="95"/>
      <c r="AF1092" s="95"/>
      <c r="AG1092" s="95"/>
      <c r="AH1092" s="2"/>
      <c r="AI1092" s="2"/>
      <c r="AJ1092" s="2"/>
      <c r="AK1092" s="2"/>
    </row>
    <row r="1093" spans="1:37" ht="15.75" customHeight="1" x14ac:dyDescent="0.2">
      <c r="A1093" s="1"/>
      <c r="B1093" s="2"/>
      <c r="C1093" s="1"/>
      <c r="D1093" s="1"/>
      <c r="E1093" s="48"/>
      <c r="F1093" s="48"/>
      <c r="G1093" s="2"/>
      <c r="H1093" s="48"/>
      <c r="I1093" s="2"/>
      <c r="J1093" s="2"/>
      <c r="K1093" s="2"/>
      <c r="L1093" s="2"/>
      <c r="M1093" s="2"/>
      <c r="N1093" s="2"/>
      <c r="O1093" s="95"/>
      <c r="P1093" s="95"/>
      <c r="Q1093" s="95"/>
      <c r="R1093" s="95"/>
      <c r="AE1093" s="95"/>
      <c r="AF1093" s="95"/>
      <c r="AG1093" s="95"/>
      <c r="AH1093" s="2"/>
      <c r="AI1093" s="2"/>
      <c r="AJ1093" s="2"/>
      <c r="AK1093" s="2"/>
    </row>
    <row r="1094" spans="1:37" ht="15.75" customHeight="1" x14ac:dyDescent="0.2">
      <c r="A1094" s="1"/>
      <c r="B1094" s="2"/>
      <c r="C1094" s="1"/>
      <c r="D1094" s="1"/>
      <c r="E1094" s="48"/>
      <c r="F1094" s="48"/>
      <c r="G1094" s="2"/>
      <c r="H1094" s="48"/>
      <c r="I1094" s="2"/>
      <c r="J1094" s="2"/>
      <c r="K1094" s="2"/>
      <c r="L1094" s="2"/>
      <c r="M1094" s="2"/>
      <c r="N1094" s="2"/>
      <c r="O1094" s="95"/>
      <c r="P1094" s="95"/>
      <c r="Q1094" s="95"/>
      <c r="R1094" s="95"/>
      <c r="AE1094" s="95"/>
      <c r="AF1094" s="95"/>
      <c r="AG1094" s="95"/>
      <c r="AH1094" s="2"/>
      <c r="AI1094" s="2"/>
      <c r="AJ1094" s="2"/>
      <c r="AK1094" s="2"/>
    </row>
    <row r="1095" spans="1:37" ht="15.75" customHeight="1" x14ac:dyDescent="0.2">
      <c r="A1095" s="1"/>
      <c r="B1095" s="2"/>
      <c r="C1095" s="1"/>
      <c r="D1095" s="1"/>
      <c r="E1095" s="48"/>
      <c r="F1095" s="48"/>
      <c r="G1095" s="2"/>
      <c r="H1095" s="48"/>
      <c r="I1095" s="2"/>
      <c r="J1095" s="2"/>
      <c r="K1095" s="2"/>
      <c r="L1095" s="2"/>
      <c r="M1095" s="2"/>
      <c r="N1095" s="2"/>
      <c r="O1095" s="95"/>
      <c r="P1095" s="95"/>
      <c r="Q1095" s="95"/>
      <c r="R1095" s="95"/>
      <c r="AE1095" s="95"/>
      <c r="AF1095" s="95"/>
      <c r="AG1095" s="95"/>
      <c r="AH1095" s="2"/>
      <c r="AI1095" s="2"/>
      <c r="AJ1095" s="2"/>
      <c r="AK1095" s="2"/>
    </row>
    <row r="1096" spans="1:37" ht="15.75" customHeight="1" x14ac:dyDescent="0.2">
      <c r="A1096" s="1"/>
      <c r="B1096" s="2"/>
      <c r="C1096" s="1"/>
      <c r="D1096" s="1"/>
      <c r="E1096" s="48"/>
      <c r="F1096" s="48"/>
      <c r="G1096" s="2"/>
      <c r="H1096" s="48"/>
      <c r="I1096" s="2"/>
      <c r="J1096" s="2"/>
      <c r="K1096" s="2"/>
      <c r="L1096" s="2"/>
      <c r="M1096" s="2"/>
      <c r="N1096" s="2"/>
      <c r="O1096" s="95"/>
      <c r="P1096" s="95"/>
      <c r="Q1096" s="95"/>
      <c r="R1096" s="95"/>
      <c r="AE1096" s="95"/>
      <c r="AF1096" s="95"/>
      <c r="AG1096" s="95"/>
      <c r="AH1096" s="2"/>
      <c r="AI1096" s="2"/>
      <c r="AJ1096" s="2"/>
      <c r="AK1096" s="2"/>
    </row>
    <row r="1097" spans="1:37" ht="15.75" customHeight="1" x14ac:dyDescent="0.2">
      <c r="A1097" s="1"/>
      <c r="B1097" s="2"/>
      <c r="C1097" s="1"/>
      <c r="D1097" s="1"/>
      <c r="E1097" s="48"/>
      <c r="F1097" s="48"/>
      <c r="G1097" s="2"/>
      <c r="H1097" s="48"/>
      <c r="I1097" s="2"/>
      <c r="J1097" s="2"/>
      <c r="K1097" s="2"/>
      <c r="L1097" s="2"/>
      <c r="M1097" s="2"/>
      <c r="N1097" s="2"/>
      <c r="O1097" s="95"/>
      <c r="P1097" s="95"/>
      <c r="Q1097" s="95"/>
      <c r="R1097" s="95"/>
      <c r="AE1097" s="95"/>
      <c r="AF1097" s="95"/>
      <c r="AG1097" s="95"/>
      <c r="AH1097" s="2"/>
      <c r="AI1097" s="2"/>
      <c r="AJ1097" s="2"/>
      <c r="AK1097" s="2"/>
    </row>
    <row r="1098" spans="1:37" ht="15.75" customHeight="1" x14ac:dyDescent="0.2">
      <c r="A1098" s="1"/>
      <c r="B1098" s="2"/>
      <c r="C1098" s="1"/>
      <c r="D1098" s="1"/>
      <c r="E1098" s="48"/>
      <c r="F1098" s="48"/>
      <c r="G1098" s="2"/>
      <c r="H1098" s="48"/>
      <c r="I1098" s="2"/>
      <c r="J1098" s="2"/>
      <c r="K1098" s="2"/>
      <c r="L1098" s="2"/>
      <c r="M1098" s="2"/>
      <c r="N1098" s="2"/>
      <c r="O1098" s="95"/>
      <c r="P1098" s="95"/>
      <c r="Q1098" s="95"/>
      <c r="R1098" s="95"/>
      <c r="AE1098" s="95"/>
      <c r="AF1098" s="95"/>
      <c r="AG1098" s="95"/>
      <c r="AH1098" s="2"/>
      <c r="AI1098" s="2"/>
      <c r="AJ1098" s="2"/>
      <c r="AK1098" s="2"/>
    </row>
    <row r="1099" spans="1:37" ht="15.75" customHeight="1" x14ac:dyDescent="0.2">
      <c r="A1099" s="1"/>
      <c r="B1099" s="2"/>
      <c r="C1099" s="1"/>
      <c r="D1099" s="1"/>
      <c r="E1099" s="48"/>
      <c r="F1099" s="48"/>
      <c r="G1099" s="2"/>
      <c r="H1099" s="48"/>
      <c r="I1099" s="2"/>
      <c r="J1099" s="2"/>
      <c r="K1099" s="2"/>
      <c r="L1099" s="2"/>
      <c r="M1099" s="2"/>
      <c r="N1099" s="2"/>
      <c r="O1099" s="95"/>
      <c r="P1099" s="95"/>
      <c r="Q1099" s="95"/>
      <c r="R1099" s="95"/>
      <c r="AE1099" s="95"/>
      <c r="AF1099" s="95"/>
      <c r="AG1099" s="95"/>
      <c r="AH1099" s="2"/>
      <c r="AI1099" s="2"/>
      <c r="AJ1099" s="2"/>
      <c r="AK1099" s="2"/>
    </row>
    <row r="1100" spans="1:37" ht="15.75" customHeight="1" x14ac:dyDescent="0.2">
      <c r="A1100" s="1"/>
      <c r="B1100" s="2"/>
      <c r="C1100" s="1"/>
      <c r="D1100" s="1"/>
      <c r="E1100" s="48"/>
      <c r="F1100" s="48"/>
      <c r="G1100" s="2"/>
      <c r="H1100" s="48"/>
      <c r="I1100" s="2"/>
      <c r="J1100" s="2"/>
      <c r="K1100" s="2"/>
      <c r="L1100" s="2"/>
      <c r="M1100" s="2"/>
      <c r="N1100" s="2"/>
      <c r="O1100" s="95"/>
      <c r="P1100" s="95"/>
      <c r="Q1100" s="95"/>
      <c r="R1100" s="95"/>
      <c r="AE1100" s="95"/>
      <c r="AF1100" s="95"/>
      <c r="AG1100" s="95"/>
      <c r="AH1100" s="2"/>
      <c r="AI1100" s="2"/>
      <c r="AJ1100" s="2"/>
      <c r="AK1100" s="2"/>
    </row>
    <row r="1101" spans="1:37" ht="15.75" customHeight="1" x14ac:dyDescent="0.2">
      <c r="A1101" s="1"/>
      <c r="B1101" s="2"/>
      <c r="C1101" s="1"/>
      <c r="D1101" s="1"/>
      <c r="E1101" s="48"/>
      <c r="F1101" s="48"/>
      <c r="G1101" s="2"/>
      <c r="H1101" s="48"/>
      <c r="I1101" s="2"/>
      <c r="J1101" s="2"/>
      <c r="K1101" s="2"/>
      <c r="L1101" s="2"/>
      <c r="M1101" s="2"/>
      <c r="N1101" s="2"/>
      <c r="O1101" s="95"/>
      <c r="P1101" s="95"/>
      <c r="Q1101" s="95"/>
      <c r="R1101" s="95"/>
      <c r="AE1101" s="95"/>
      <c r="AF1101" s="95"/>
      <c r="AG1101" s="95"/>
      <c r="AH1101" s="2"/>
      <c r="AI1101" s="2"/>
      <c r="AJ1101" s="2"/>
      <c r="AK1101" s="2"/>
    </row>
    <row r="1102" spans="1:37" ht="15.75" customHeight="1" x14ac:dyDescent="0.2">
      <c r="A1102" s="1"/>
      <c r="B1102" s="2"/>
      <c r="C1102" s="1"/>
      <c r="D1102" s="1"/>
      <c r="E1102" s="48"/>
      <c r="F1102" s="48"/>
      <c r="G1102" s="2"/>
      <c r="H1102" s="48"/>
      <c r="I1102" s="2"/>
      <c r="J1102" s="2"/>
      <c r="K1102" s="2"/>
      <c r="L1102" s="2"/>
      <c r="M1102" s="2"/>
      <c r="N1102" s="2"/>
      <c r="O1102" s="95"/>
      <c r="P1102" s="95"/>
      <c r="Q1102" s="95"/>
      <c r="R1102" s="95"/>
      <c r="AE1102" s="95"/>
      <c r="AF1102" s="95"/>
      <c r="AG1102" s="95"/>
      <c r="AH1102" s="2"/>
      <c r="AI1102" s="2"/>
      <c r="AJ1102" s="2"/>
      <c r="AK1102" s="2"/>
    </row>
    <row r="1103" spans="1:37" ht="15.75" customHeight="1" x14ac:dyDescent="0.2">
      <c r="A1103" s="1"/>
      <c r="B1103" s="2"/>
      <c r="C1103" s="1"/>
      <c r="D1103" s="1"/>
      <c r="E1103" s="48"/>
      <c r="F1103" s="48"/>
      <c r="G1103" s="2"/>
      <c r="H1103" s="48"/>
      <c r="I1103" s="2"/>
      <c r="J1103" s="2"/>
      <c r="K1103" s="2"/>
      <c r="L1103" s="2"/>
      <c r="M1103" s="2"/>
      <c r="N1103" s="2"/>
      <c r="O1103" s="95"/>
      <c r="P1103" s="95"/>
      <c r="Q1103" s="95"/>
      <c r="R1103" s="95"/>
      <c r="AE1103" s="95"/>
      <c r="AF1103" s="95"/>
      <c r="AG1103" s="95"/>
      <c r="AH1103" s="2"/>
      <c r="AI1103" s="2"/>
      <c r="AJ1103" s="2"/>
      <c r="AK1103" s="2"/>
    </row>
    <row r="1104" spans="1:37" ht="15.75" customHeight="1" x14ac:dyDescent="0.2">
      <c r="A1104" s="1"/>
      <c r="B1104" s="2"/>
      <c r="C1104" s="1"/>
      <c r="D1104" s="1"/>
      <c r="E1104" s="48"/>
      <c r="F1104" s="48"/>
      <c r="G1104" s="2"/>
      <c r="H1104" s="48"/>
      <c r="I1104" s="2"/>
      <c r="J1104" s="2"/>
      <c r="K1104" s="2"/>
      <c r="L1104" s="2"/>
      <c r="M1104" s="2"/>
      <c r="N1104" s="2"/>
      <c r="O1104" s="95"/>
      <c r="P1104" s="95"/>
      <c r="Q1104" s="95"/>
      <c r="R1104" s="95"/>
      <c r="AE1104" s="95"/>
      <c r="AF1104" s="95"/>
      <c r="AG1104" s="95"/>
      <c r="AH1104" s="2"/>
      <c r="AI1104" s="2"/>
      <c r="AJ1104" s="2"/>
      <c r="AK1104" s="2"/>
    </row>
    <row r="1105" spans="1:37" ht="15.75" customHeight="1" x14ac:dyDescent="0.2">
      <c r="A1105" s="1"/>
      <c r="B1105" s="2"/>
      <c r="C1105" s="1"/>
      <c r="D1105" s="1"/>
      <c r="E1105" s="48"/>
      <c r="F1105" s="48"/>
      <c r="G1105" s="2"/>
      <c r="H1105" s="48"/>
      <c r="I1105" s="2"/>
      <c r="J1105" s="2"/>
      <c r="K1105" s="2"/>
      <c r="L1105" s="2"/>
      <c r="M1105" s="2"/>
      <c r="N1105" s="2"/>
      <c r="O1105" s="95"/>
      <c r="P1105" s="95"/>
      <c r="Q1105" s="95"/>
      <c r="R1105" s="95"/>
      <c r="AE1105" s="95"/>
      <c r="AF1105" s="95"/>
      <c r="AG1105" s="95"/>
      <c r="AH1105" s="2"/>
      <c r="AI1105" s="2"/>
      <c r="AJ1105" s="2"/>
      <c r="AK1105" s="2"/>
    </row>
  </sheetData>
  <autoFilter ref="A81:AL81" xr:uid="{623C4224-8CE7-8744-97E8-CAFD51B22C4E}">
    <filterColumn colId="1" showButton="0"/>
    <filterColumn colId="4" showButton="0"/>
    <filterColumn colId="5" showButton="0"/>
    <filterColumn colId="6" showButton="0"/>
    <filterColumn colId="9" showButton="0"/>
    <filterColumn colId="10" showButton="0"/>
    <filterColumn colId="11" showButton="0"/>
    <filterColumn colId="12" showButton="0"/>
  </autoFilter>
  <mergeCells count="447">
    <mergeCell ref="R3:AB3"/>
    <mergeCell ref="AD3:AL3"/>
    <mergeCell ref="L15:M15"/>
    <mergeCell ref="C211:D211"/>
    <mergeCell ref="J211:N211"/>
    <mergeCell ref="M239:N239"/>
    <mergeCell ref="M238:N238"/>
    <mergeCell ref="C228:D228"/>
    <mergeCell ref="K228:N228"/>
    <mergeCell ref="C229:D229"/>
    <mergeCell ref="K229:N229"/>
    <mergeCell ref="C224:D224"/>
    <mergeCell ref="K224:N224"/>
    <mergeCell ref="C225:D225"/>
    <mergeCell ref="K239:L239"/>
    <mergeCell ref="K238:L238"/>
    <mergeCell ref="K237:L237"/>
    <mergeCell ref="K236:L236"/>
    <mergeCell ref="K225:N225"/>
    <mergeCell ref="C223:D223"/>
    <mergeCell ref="K223:N223"/>
    <mergeCell ref="C219:D219"/>
    <mergeCell ref="K219:L219"/>
    <mergeCell ref="M219:N219"/>
    <mergeCell ref="C220:D220"/>
    <mergeCell ref="K220:L220"/>
    <mergeCell ref="M220:N220"/>
    <mergeCell ref="J331:N331"/>
    <mergeCell ref="B332:B336"/>
    <mergeCell ref="J332:N332"/>
    <mergeCell ref="J333:N333"/>
    <mergeCell ref="B313:D313"/>
    <mergeCell ref="I313:N313"/>
    <mergeCell ref="B314:D314"/>
    <mergeCell ref="I314:N314"/>
    <mergeCell ref="K270:N279"/>
    <mergeCell ref="K280:N280"/>
    <mergeCell ref="B296:D296"/>
    <mergeCell ref="B297:D297"/>
    <mergeCell ref="E297:H297"/>
    <mergeCell ref="B300:D300"/>
    <mergeCell ref="E300:F300"/>
    <mergeCell ref="G300:H300"/>
    <mergeCell ref="I300:N300"/>
    <mergeCell ref="I307:N307"/>
    <mergeCell ref="B308:D308"/>
    <mergeCell ref="E308:F308"/>
    <mergeCell ref="G308:H308"/>
    <mergeCell ref="E315:H315"/>
    <mergeCell ref="B317:N317"/>
    <mergeCell ref="B318:N318"/>
    <mergeCell ref="C250:D250"/>
    <mergeCell ref="C249:D249"/>
    <mergeCell ref="C247:D247"/>
    <mergeCell ref="C243:D243"/>
    <mergeCell ref="C242:D242"/>
    <mergeCell ref="K240:N249"/>
    <mergeCell ref="K250:N250"/>
    <mergeCell ref="E313:H313"/>
    <mergeCell ref="E314:H314"/>
    <mergeCell ref="B311:D311"/>
    <mergeCell ref="E311:F311"/>
    <mergeCell ref="G311:H311"/>
    <mergeCell ref="I311:N311"/>
    <mergeCell ref="B312:D312"/>
    <mergeCell ref="E312:F312"/>
    <mergeCell ref="G312:H312"/>
    <mergeCell ref="I312:N312"/>
    <mergeCell ref="I308:N308"/>
    <mergeCell ref="B309:D309"/>
    <mergeCell ref="E309:F309"/>
    <mergeCell ref="G309:H309"/>
    <mergeCell ref="I309:N309"/>
    <mergeCell ref="G310:H310"/>
    <mergeCell ref="B304:D304"/>
    <mergeCell ref="B319:N319"/>
    <mergeCell ref="B329:B330"/>
    <mergeCell ref="D329:D330"/>
    <mergeCell ref="E329:E330"/>
    <mergeCell ref="F329:F330"/>
    <mergeCell ref="J329:N330"/>
    <mergeCell ref="B320:N320"/>
    <mergeCell ref="B321:N321"/>
    <mergeCell ref="B315:D315"/>
    <mergeCell ref="I315:N315"/>
    <mergeCell ref="E304:F304"/>
    <mergeCell ref="G304:H304"/>
    <mergeCell ref="I304:N304"/>
    <mergeCell ref="B305:D305"/>
    <mergeCell ref="E305:F305"/>
    <mergeCell ref="G305:H305"/>
    <mergeCell ref="I305:N305"/>
    <mergeCell ref="B306:D306"/>
    <mergeCell ref="E306:F306"/>
    <mergeCell ref="G306:H306"/>
    <mergeCell ref="I306:N306"/>
    <mergeCell ref="B310:D310"/>
    <mergeCell ref="E310:F310"/>
    <mergeCell ref="I310:N310"/>
    <mergeCell ref="B307:D307"/>
    <mergeCell ref="E307:F307"/>
    <mergeCell ref="G307:H307"/>
    <mergeCell ref="E294:F294"/>
    <mergeCell ref="G294:H294"/>
    <mergeCell ref="I294:N294"/>
    <mergeCell ref="E295:F295"/>
    <mergeCell ref="G295:H295"/>
    <mergeCell ref="I295:N295"/>
    <mergeCell ref="B303:D303"/>
    <mergeCell ref="E303:F303"/>
    <mergeCell ref="G303:H303"/>
    <mergeCell ref="I303:N303"/>
    <mergeCell ref="B302:D302"/>
    <mergeCell ref="E302:F302"/>
    <mergeCell ref="G302:H302"/>
    <mergeCell ref="I302:N302"/>
    <mergeCell ref="E296:F296"/>
    <mergeCell ref="G296:H296"/>
    <mergeCell ref="I296:N296"/>
    <mergeCell ref="I297:N297"/>
    <mergeCell ref="B301:D301"/>
    <mergeCell ref="E301:F301"/>
    <mergeCell ref="G301:H301"/>
    <mergeCell ref="I301:N301"/>
    <mergeCell ref="E288:F288"/>
    <mergeCell ref="G288:H288"/>
    <mergeCell ref="I288:N288"/>
    <mergeCell ref="E289:F289"/>
    <mergeCell ref="G289:H289"/>
    <mergeCell ref="I289:N289"/>
    <mergeCell ref="I292:N292"/>
    <mergeCell ref="E293:F293"/>
    <mergeCell ref="G293:H293"/>
    <mergeCell ref="I293:N293"/>
    <mergeCell ref="E290:F290"/>
    <mergeCell ref="G290:H290"/>
    <mergeCell ref="I290:N290"/>
    <mergeCell ref="E291:F291"/>
    <mergeCell ref="G291:H291"/>
    <mergeCell ref="I291:N291"/>
    <mergeCell ref="E292:F292"/>
    <mergeCell ref="G292:H292"/>
    <mergeCell ref="E285:F285"/>
    <mergeCell ref="G285:H285"/>
    <mergeCell ref="I285:N285"/>
    <mergeCell ref="E286:F286"/>
    <mergeCell ref="G286:H286"/>
    <mergeCell ref="I286:N286"/>
    <mergeCell ref="E287:F287"/>
    <mergeCell ref="G287:H287"/>
    <mergeCell ref="I287:N287"/>
    <mergeCell ref="J207:N207"/>
    <mergeCell ref="J206:N206"/>
    <mergeCell ref="J205:N205"/>
    <mergeCell ref="J210:N210"/>
    <mergeCell ref="J208:N208"/>
    <mergeCell ref="C205:D205"/>
    <mergeCell ref="C206:D206"/>
    <mergeCell ref="C207:D207"/>
    <mergeCell ref="C208:D208"/>
    <mergeCell ref="C210:D210"/>
    <mergeCell ref="C209:D209"/>
    <mergeCell ref="J209:N209"/>
    <mergeCell ref="B191:C192"/>
    <mergeCell ref="J187:N200"/>
    <mergeCell ref="B204:K204"/>
    <mergeCell ref="M237:N237"/>
    <mergeCell ref="M236:N236"/>
    <mergeCell ref="K235:N235"/>
    <mergeCell ref="C235:D235"/>
    <mergeCell ref="B234:N234"/>
    <mergeCell ref="C233:D233"/>
    <mergeCell ref="K233:N233"/>
    <mergeCell ref="C230:D230"/>
    <mergeCell ref="K230:N230"/>
    <mergeCell ref="C231:D231"/>
    <mergeCell ref="K231:N231"/>
    <mergeCell ref="C232:D232"/>
    <mergeCell ref="K232:N232"/>
    <mergeCell ref="C227:D227"/>
    <mergeCell ref="K227:N227"/>
    <mergeCell ref="C226:D226"/>
    <mergeCell ref="K226:N226"/>
    <mergeCell ref="C221:D221"/>
    <mergeCell ref="K221:N221"/>
    <mergeCell ref="C222:D222"/>
    <mergeCell ref="K222:N222"/>
    <mergeCell ref="B388:N388"/>
    <mergeCell ref="B411:N411"/>
    <mergeCell ref="B412:N412"/>
    <mergeCell ref="B415:E415"/>
    <mergeCell ref="J416:N416"/>
    <mergeCell ref="G417:H417"/>
    <mergeCell ref="J417:N417"/>
    <mergeCell ref="C379:D379"/>
    <mergeCell ref="H379:N379"/>
    <mergeCell ref="C380:D380"/>
    <mergeCell ref="H380:N380"/>
    <mergeCell ref="C381:D381"/>
    <mergeCell ref="H381:N381"/>
    <mergeCell ref="C378:D378"/>
    <mergeCell ref="H378:N378"/>
    <mergeCell ref="B373:N373"/>
    <mergeCell ref="B374:N374"/>
    <mergeCell ref="J335:N335"/>
    <mergeCell ref="J336:N336"/>
    <mergeCell ref="J337:N337"/>
    <mergeCell ref="J338:N338"/>
    <mergeCell ref="J334:N334"/>
    <mergeCell ref="B351:N351"/>
    <mergeCell ref="C344:D344"/>
    <mergeCell ref="H344:N344"/>
    <mergeCell ref="C337:E337"/>
    <mergeCell ref="B338:E338"/>
    <mergeCell ref="C341:D341"/>
    <mergeCell ref="H341:N341"/>
    <mergeCell ref="C342:D342"/>
    <mergeCell ref="H342:N342"/>
    <mergeCell ref="C343:D343"/>
    <mergeCell ref="H343:N343"/>
    <mergeCell ref="B284:D284"/>
    <mergeCell ref="E284:F284"/>
    <mergeCell ref="G284:H284"/>
    <mergeCell ref="I284:N284"/>
    <mergeCell ref="B267:N267"/>
    <mergeCell ref="C268:D268"/>
    <mergeCell ref="K268:N268"/>
    <mergeCell ref="C269:D269"/>
    <mergeCell ref="K269:L269"/>
    <mergeCell ref="M269:N269"/>
    <mergeCell ref="C270:D270"/>
    <mergeCell ref="C271:D271"/>
    <mergeCell ref="C272:D272"/>
    <mergeCell ref="C273:D273"/>
    <mergeCell ref="C274:D274"/>
    <mergeCell ref="C277:D277"/>
    <mergeCell ref="C278:D278"/>
    <mergeCell ref="C279:D279"/>
    <mergeCell ref="C280:D280"/>
    <mergeCell ref="C256:D256"/>
    <mergeCell ref="C257:D257"/>
    <mergeCell ref="C258:D258"/>
    <mergeCell ref="C259:D259"/>
    <mergeCell ref="C260:D260"/>
    <mergeCell ref="C263:D263"/>
    <mergeCell ref="C264:D264"/>
    <mergeCell ref="C265:D265"/>
    <mergeCell ref="K265:N265"/>
    <mergeCell ref="K257:N264"/>
    <mergeCell ref="M256:N256"/>
    <mergeCell ref="K256:L256"/>
    <mergeCell ref="C254:D254"/>
    <mergeCell ref="K254:L254"/>
    <mergeCell ref="M254:N254"/>
    <mergeCell ref="C255:D255"/>
    <mergeCell ref="K255:L255"/>
    <mergeCell ref="M255:N255"/>
    <mergeCell ref="B251:N251"/>
    <mergeCell ref="C252:D252"/>
    <mergeCell ref="K252:N252"/>
    <mergeCell ref="C253:D253"/>
    <mergeCell ref="K253:L253"/>
    <mergeCell ref="M253:N253"/>
    <mergeCell ref="C217:D217"/>
    <mergeCell ref="K217:L217"/>
    <mergeCell ref="M217:N217"/>
    <mergeCell ref="C218:D218"/>
    <mergeCell ref="K218:L218"/>
    <mergeCell ref="M218:N218"/>
    <mergeCell ref="B213:N213"/>
    <mergeCell ref="B214:N214"/>
    <mergeCell ref="C215:D215"/>
    <mergeCell ref="K215:N215"/>
    <mergeCell ref="C216:D216"/>
    <mergeCell ref="K216:L216"/>
    <mergeCell ref="M216:N216"/>
    <mergeCell ref="B193:C194"/>
    <mergeCell ref="B195:C196"/>
    <mergeCell ref="B197:C198"/>
    <mergeCell ref="B199:C200"/>
    <mergeCell ref="B201:C202"/>
    <mergeCell ref="J201:N201"/>
    <mergeCell ref="J202:N202"/>
    <mergeCell ref="B161:C162"/>
    <mergeCell ref="J161:N174"/>
    <mergeCell ref="B163:C164"/>
    <mergeCell ref="B165:C166"/>
    <mergeCell ref="B167:C168"/>
    <mergeCell ref="B169:C170"/>
    <mergeCell ref="B171:C172"/>
    <mergeCell ref="B173:C174"/>
    <mergeCell ref="B175:C176"/>
    <mergeCell ref="J175:N186"/>
    <mergeCell ref="B177:C178"/>
    <mergeCell ref="B179:C180"/>
    <mergeCell ref="B181:C182"/>
    <mergeCell ref="B183:C184"/>
    <mergeCell ref="B185:C186"/>
    <mergeCell ref="B187:C188"/>
    <mergeCell ref="B189:C190"/>
    <mergeCell ref="B149:C150"/>
    <mergeCell ref="J149:N160"/>
    <mergeCell ref="B151:C152"/>
    <mergeCell ref="B153:C154"/>
    <mergeCell ref="B155:C156"/>
    <mergeCell ref="B157:C158"/>
    <mergeCell ref="B159:C160"/>
    <mergeCell ref="B131:C132"/>
    <mergeCell ref="J131:N148"/>
    <mergeCell ref="B133:C134"/>
    <mergeCell ref="B135:C136"/>
    <mergeCell ref="B137:C138"/>
    <mergeCell ref="B139:C140"/>
    <mergeCell ref="B141:C142"/>
    <mergeCell ref="B143:C144"/>
    <mergeCell ref="B145:C146"/>
    <mergeCell ref="B147:C148"/>
    <mergeCell ref="C125:D125"/>
    <mergeCell ref="J125:N125"/>
    <mergeCell ref="C126:D126"/>
    <mergeCell ref="J126:N126"/>
    <mergeCell ref="B129:C130"/>
    <mergeCell ref="D129:D130"/>
    <mergeCell ref="E129:H129"/>
    <mergeCell ref="J129:N130"/>
    <mergeCell ref="C122:D122"/>
    <mergeCell ref="J122:N122"/>
    <mergeCell ref="C123:D123"/>
    <mergeCell ref="J123:N123"/>
    <mergeCell ref="C124:D124"/>
    <mergeCell ref="J124:N124"/>
    <mergeCell ref="B111:C112"/>
    <mergeCell ref="B119:C120"/>
    <mergeCell ref="J119:N119"/>
    <mergeCell ref="J120:N120"/>
    <mergeCell ref="B121:N121"/>
    <mergeCell ref="B93:C94"/>
    <mergeCell ref="J93:N110"/>
    <mergeCell ref="B95:C96"/>
    <mergeCell ref="B97:C98"/>
    <mergeCell ref="B99:C100"/>
    <mergeCell ref="B101:C102"/>
    <mergeCell ref="B103:C104"/>
    <mergeCell ref="B105:C106"/>
    <mergeCell ref="B107:C108"/>
    <mergeCell ref="B109:C110"/>
    <mergeCell ref="B113:C114"/>
    <mergeCell ref="B115:C116"/>
    <mergeCell ref="B117:C118"/>
    <mergeCell ref="J111:N118"/>
    <mergeCell ref="B85:C86"/>
    <mergeCell ref="B87:C88"/>
    <mergeCell ref="B89:C90"/>
    <mergeCell ref="B91:C92"/>
    <mergeCell ref="B68:C68"/>
    <mergeCell ref="J68:N68"/>
    <mergeCell ref="B81:C82"/>
    <mergeCell ref="D81:D82"/>
    <mergeCell ref="E81:H81"/>
    <mergeCell ref="J81:N82"/>
    <mergeCell ref="E9:G9"/>
    <mergeCell ref="H9:H10"/>
    <mergeCell ref="I9:I10"/>
    <mergeCell ref="K9:K10"/>
    <mergeCell ref="B11:B12"/>
    <mergeCell ref="L12:M12"/>
    <mergeCell ref="B49:B50"/>
    <mergeCell ref="B43:B44"/>
    <mergeCell ref="L44:M44"/>
    <mergeCell ref="B45:B46"/>
    <mergeCell ref="L46:M46"/>
    <mergeCell ref="B47:B48"/>
    <mergeCell ref="L48:M48"/>
    <mergeCell ref="B31:B32"/>
    <mergeCell ref="B29:B30"/>
    <mergeCell ref="B33:B34"/>
    <mergeCell ref="B35:B36"/>
    <mergeCell ref="B37:B38"/>
    <mergeCell ref="B25:B26"/>
    <mergeCell ref="B27:B28"/>
    <mergeCell ref="B41:B42"/>
    <mergeCell ref="L42:M42"/>
    <mergeCell ref="B1:N1"/>
    <mergeCell ref="B2:N2"/>
    <mergeCell ref="B3:N3"/>
    <mergeCell ref="B5:N5"/>
    <mergeCell ref="B6:N6"/>
    <mergeCell ref="B7:N7"/>
    <mergeCell ref="L36:M36"/>
    <mergeCell ref="L38:M38"/>
    <mergeCell ref="B39:B40"/>
    <mergeCell ref="L40:M40"/>
    <mergeCell ref="L26:M26"/>
    <mergeCell ref="L28:M28"/>
    <mergeCell ref="L30:M30"/>
    <mergeCell ref="L32:M32"/>
    <mergeCell ref="L34:M34"/>
    <mergeCell ref="B23:C23"/>
    <mergeCell ref="E23:G23"/>
    <mergeCell ref="I23:I24"/>
    <mergeCell ref="K23:K24"/>
    <mergeCell ref="B13:B14"/>
    <mergeCell ref="L14:M14"/>
    <mergeCell ref="B15:B16"/>
    <mergeCell ref="B9:C9"/>
    <mergeCell ref="D9:D10"/>
    <mergeCell ref="B51:N51"/>
    <mergeCell ref="B52:B53"/>
    <mergeCell ref="L52:M52"/>
    <mergeCell ref="L53:M53"/>
    <mergeCell ref="Q45:R45"/>
    <mergeCell ref="Q44:R44"/>
    <mergeCell ref="Q43:R43"/>
    <mergeCell ref="Q42:R42"/>
    <mergeCell ref="C61:C63"/>
    <mergeCell ref="D61:D63"/>
    <mergeCell ref="E61:E63"/>
    <mergeCell ref="F61:F63"/>
    <mergeCell ref="G61:G63"/>
    <mergeCell ref="H61:H63"/>
    <mergeCell ref="I61:I63"/>
    <mergeCell ref="J61:N61"/>
    <mergeCell ref="Q50:R50"/>
    <mergeCell ref="Q75:R75"/>
    <mergeCell ref="Q77:R77"/>
    <mergeCell ref="Q76:R76"/>
    <mergeCell ref="Q106:R106"/>
    <mergeCell ref="B54:B55"/>
    <mergeCell ref="L54:M54"/>
    <mergeCell ref="L55:M55"/>
    <mergeCell ref="B57:N57"/>
    <mergeCell ref="B59:B60"/>
    <mergeCell ref="C59:C60"/>
    <mergeCell ref="D59:D60"/>
    <mergeCell ref="E59:G59"/>
    <mergeCell ref="H59:H60"/>
    <mergeCell ref="I59:I60"/>
    <mergeCell ref="J62:N62"/>
    <mergeCell ref="J63:N63"/>
    <mergeCell ref="J64:N64"/>
    <mergeCell ref="J65:N65"/>
    <mergeCell ref="J66:N66"/>
    <mergeCell ref="J67:N67"/>
    <mergeCell ref="J59:N60"/>
    <mergeCell ref="B61:B63"/>
    <mergeCell ref="B83:C84"/>
    <mergeCell ref="J83:N92"/>
  </mergeCells>
  <phoneticPr fontId="40" type="noConversion"/>
  <pageMargins left="0" right="0" top="0.25" bottom="0.25" header="0.3" footer="0.3"/>
  <pageSetup paperSize="9" orientation="landscape" horizontalDpi="0" verticalDpi="0"/>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5DFF3-7CF6-DC4E-A429-A32A7CF291B2}">
  <sheetPr codeName="Sheet2"/>
  <dimension ref="A1:AO1235"/>
  <sheetViews>
    <sheetView topLeftCell="B100" zoomScale="130" zoomScaleNormal="130" workbookViewId="0">
      <selection activeCell="J109" sqref="J109:N126"/>
    </sheetView>
  </sheetViews>
  <sheetFormatPr baseColWidth="10" defaultColWidth="14.5" defaultRowHeight="15" customHeight="1" x14ac:dyDescent="0.2"/>
  <cols>
    <col min="1" max="1" width="5" style="476" hidden="1" customWidth="1"/>
    <col min="2" max="2" width="9.33203125" style="476" customWidth="1"/>
    <col min="3" max="3" width="9.6640625" style="476" customWidth="1"/>
    <col min="4" max="4" width="10.6640625" style="476" customWidth="1"/>
    <col min="5" max="5" width="12.33203125" style="476" customWidth="1"/>
    <col min="6" max="8" width="11" style="476" customWidth="1"/>
    <col min="9" max="9" width="10.83203125" style="476" customWidth="1"/>
    <col min="10" max="10" width="9.6640625" style="476" customWidth="1"/>
    <col min="11" max="11" width="8.33203125" style="476" customWidth="1"/>
    <col min="12" max="12" width="7.33203125" style="476" customWidth="1"/>
    <col min="13" max="13" width="6.5" style="476" customWidth="1"/>
    <col min="14" max="14" width="8.5" style="476" customWidth="1"/>
    <col min="15" max="15" width="8.6640625" style="340" customWidth="1"/>
    <col min="16" max="16" width="9" style="476" customWidth="1"/>
    <col min="17" max="17" width="12" style="2" customWidth="1"/>
    <col min="18" max="24" width="12" style="742" customWidth="1"/>
    <col min="25" max="27" width="12" style="95" customWidth="1"/>
    <col min="28" max="28" width="10.83203125" style="95" customWidth="1"/>
    <col min="29" max="29" width="7.1640625" style="95" customWidth="1"/>
    <col min="30" max="30" width="12" style="95" customWidth="1"/>
    <col min="31" max="33" width="12" style="484" customWidth="1"/>
    <col min="34" max="34" width="8.83203125" style="476" customWidth="1"/>
    <col min="35" max="35" width="11.33203125" style="476" customWidth="1"/>
    <col min="36" max="38" width="8.83203125" style="476" customWidth="1"/>
    <col min="39" max="16384" width="14.5" style="476"/>
  </cols>
  <sheetData>
    <row r="1" spans="1:41" ht="24" customHeight="1" x14ac:dyDescent="0.2">
      <c r="A1" s="1"/>
      <c r="B1" s="2523" t="s">
        <v>0</v>
      </c>
      <c r="C1" s="2524"/>
      <c r="D1" s="2524"/>
      <c r="E1" s="2524"/>
      <c r="F1" s="2524"/>
      <c r="G1" s="2524"/>
      <c r="H1" s="2524"/>
      <c r="I1" s="2524"/>
      <c r="J1" s="2524"/>
      <c r="K1" s="2524"/>
      <c r="L1" s="2524"/>
      <c r="M1" s="2524"/>
      <c r="N1" s="2525"/>
      <c r="O1" s="1286"/>
      <c r="P1" s="95"/>
      <c r="Q1" s="95"/>
      <c r="AE1" s="95"/>
      <c r="AF1" s="95"/>
      <c r="AG1" s="95"/>
      <c r="AH1" s="2"/>
      <c r="AI1" s="2"/>
      <c r="AJ1" s="2"/>
      <c r="AK1" s="2"/>
    </row>
    <row r="2" spans="1:41" ht="24" customHeight="1" x14ac:dyDescent="0.2">
      <c r="A2" s="1"/>
      <c r="B2" s="2526" t="s">
        <v>1</v>
      </c>
      <c r="C2" s="2476"/>
      <c r="D2" s="2476"/>
      <c r="E2" s="2476"/>
      <c r="F2" s="2476"/>
      <c r="G2" s="2476"/>
      <c r="H2" s="2476"/>
      <c r="I2" s="2476"/>
      <c r="J2" s="2476"/>
      <c r="K2" s="2476"/>
      <c r="L2" s="2476"/>
      <c r="M2" s="2476"/>
      <c r="N2" s="2527"/>
      <c r="O2" s="1286"/>
      <c r="P2" s="95"/>
      <c r="Q2" s="95"/>
      <c r="AE2" s="95"/>
      <c r="AF2" s="95"/>
      <c r="AG2" s="95"/>
      <c r="AH2" s="2"/>
      <c r="AI2" s="2"/>
      <c r="AJ2" s="2"/>
      <c r="AK2" s="2"/>
    </row>
    <row r="3" spans="1:41" ht="24" customHeight="1" x14ac:dyDescent="0.2">
      <c r="A3" s="1"/>
      <c r="B3" s="2528" t="s">
        <v>2</v>
      </c>
      <c r="C3" s="2529"/>
      <c r="D3" s="2529"/>
      <c r="E3" s="2529"/>
      <c r="F3" s="2529"/>
      <c r="G3" s="2529"/>
      <c r="H3" s="2529"/>
      <c r="I3" s="2529"/>
      <c r="J3" s="2529"/>
      <c r="K3" s="2529"/>
      <c r="L3" s="2529"/>
      <c r="M3" s="2529"/>
      <c r="N3" s="2530"/>
      <c r="O3" s="1286"/>
      <c r="P3" s="95"/>
      <c r="Q3" s="95"/>
      <c r="R3" s="2770" t="s">
        <v>579</v>
      </c>
      <c r="S3" s="2770"/>
      <c r="T3" s="2770"/>
      <c r="U3" s="2770"/>
      <c r="V3" s="2770"/>
      <c r="W3" s="2770"/>
      <c r="X3" s="2770"/>
      <c r="Y3" s="2770"/>
      <c r="Z3" s="2770"/>
      <c r="AA3" s="2770"/>
      <c r="AB3" s="2770"/>
      <c r="AD3" s="2770" t="s">
        <v>579</v>
      </c>
      <c r="AE3" s="2770"/>
      <c r="AF3" s="2770"/>
      <c r="AG3" s="2770"/>
      <c r="AH3" s="2770"/>
      <c r="AI3" s="2770"/>
      <c r="AJ3" s="2770"/>
      <c r="AK3" s="2770"/>
      <c r="AL3" s="2770"/>
      <c r="AM3" s="960"/>
      <c r="AN3" s="960"/>
      <c r="AO3" s="960"/>
    </row>
    <row r="4" spans="1:41" ht="15.75" customHeight="1" x14ac:dyDescent="0.2">
      <c r="A4" s="1"/>
      <c r="B4" s="2"/>
      <c r="C4" s="1"/>
      <c r="D4" s="1"/>
      <c r="E4" s="48"/>
      <c r="F4" s="48"/>
      <c r="G4" s="2"/>
      <c r="H4" s="48"/>
      <c r="I4" s="2"/>
      <c r="J4" s="2"/>
      <c r="K4" s="2"/>
      <c r="L4" s="2"/>
      <c r="M4" s="2"/>
      <c r="N4" s="2"/>
      <c r="O4" s="1286"/>
      <c r="P4" s="95"/>
      <c r="Q4" s="95"/>
      <c r="AE4" s="95"/>
      <c r="AF4" s="95"/>
      <c r="AG4" s="95"/>
      <c r="AH4" s="2"/>
      <c r="AI4" s="2"/>
      <c r="AJ4" s="2"/>
      <c r="AK4" s="2"/>
    </row>
    <row r="5" spans="1:41" ht="37.5" customHeight="1" x14ac:dyDescent="0.2">
      <c r="A5" s="1"/>
      <c r="B5" s="2531" t="s">
        <v>859</v>
      </c>
      <c r="C5" s="2532"/>
      <c r="D5" s="2532"/>
      <c r="E5" s="2532"/>
      <c r="F5" s="2532"/>
      <c r="G5" s="2532"/>
      <c r="H5" s="2532"/>
      <c r="I5" s="2532"/>
      <c r="J5" s="2532"/>
      <c r="K5" s="2532"/>
      <c r="L5" s="2532"/>
      <c r="M5" s="2532"/>
      <c r="N5" s="2532"/>
      <c r="O5" s="1287"/>
      <c r="Q5" s="456" t="s">
        <v>332</v>
      </c>
      <c r="R5" s="732" t="s">
        <v>304</v>
      </c>
      <c r="S5" s="743" t="s">
        <v>74</v>
      </c>
      <c r="T5" s="743" t="s">
        <v>18</v>
      </c>
      <c r="U5" s="743" t="s">
        <v>19</v>
      </c>
      <c r="V5" s="743" t="s">
        <v>20</v>
      </c>
      <c r="W5" s="744" t="s">
        <v>336</v>
      </c>
      <c r="X5" s="744" t="s">
        <v>10</v>
      </c>
      <c r="Y5" s="473" t="s">
        <v>331</v>
      </c>
      <c r="Z5" s="238" t="s">
        <v>81</v>
      </c>
      <c r="AA5" s="496" t="s">
        <v>360</v>
      </c>
      <c r="AB5" s="694" t="s">
        <v>393</v>
      </c>
      <c r="AC5" s="695"/>
      <c r="AD5" s="456" t="s">
        <v>394</v>
      </c>
      <c r="AE5" s="455" t="s">
        <v>361</v>
      </c>
      <c r="AF5" s="133" t="s">
        <v>18</v>
      </c>
      <c r="AG5" s="133" t="s">
        <v>19</v>
      </c>
      <c r="AH5" s="97" t="s">
        <v>20</v>
      </c>
      <c r="AI5" s="473" t="s">
        <v>336</v>
      </c>
      <c r="AJ5" s="473" t="s">
        <v>10</v>
      </c>
      <c r="AK5" s="473" t="s">
        <v>331</v>
      </c>
      <c r="AL5" s="98" t="s">
        <v>337</v>
      </c>
    </row>
    <row r="6" spans="1:41" ht="25.5" customHeight="1" x14ac:dyDescent="0.2">
      <c r="A6" s="1"/>
      <c r="B6" s="2475" t="s">
        <v>76</v>
      </c>
      <c r="C6" s="2476"/>
      <c r="D6" s="2476"/>
      <c r="E6" s="2476"/>
      <c r="F6" s="2476"/>
      <c r="G6" s="2476"/>
      <c r="H6" s="2476"/>
      <c r="I6" s="2476"/>
      <c r="J6" s="2476"/>
      <c r="K6" s="2476"/>
      <c r="L6" s="2476"/>
      <c r="M6" s="2476"/>
      <c r="N6" s="2476"/>
      <c r="O6" s="1286"/>
      <c r="P6" s="95"/>
      <c r="Q6" s="211" t="s">
        <v>154</v>
      </c>
      <c r="R6" s="732" t="s">
        <v>305</v>
      </c>
      <c r="S6" s="743">
        <f>'T1.2025'!E10</f>
        <v>0</v>
      </c>
      <c r="T6" s="743">
        <f>'T1.2025'!F61</f>
        <v>0</v>
      </c>
      <c r="U6" s="743">
        <f>'T1.2025'!G61</f>
        <v>0</v>
      </c>
      <c r="V6" s="743">
        <f>'T1.2025'!H61</f>
        <v>0</v>
      </c>
      <c r="W6" s="745">
        <f t="shared" ref="W6:W45" si="0">SUM(T6:V6)</f>
        <v>0</v>
      </c>
      <c r="X6" s="745">
        <f>'T1.2025'!J10</f>
        <v>0</v>
      </c>
      <c r="Y6" s="373"/>
      <c r="Z6" s="113">
        <f>'T1.2025'!M10</f>
        <v>0</v>
      </c>
      <c r="AA6" s="690">
        <f>'T1.2025'!N10</f>
        <v>0</v>
      </c>
      <c r="AB6" s="211">
        <f>'T1.2025'!O10</f>
        <v>0</v>
      </c>
      <c r="AD6" s="211" t="s">
        <v>154</v>
      </c>
      <c r="AE6" s="693">
        <f>'T1.2025'!E8</f>
        <v>0</v>
      </c>
      <c r="AF6" s="372">
        <f>'T1.2025'!F8</f>
        <v>0</v>
      </c>
      <c r="AG6" s="372">
        <f>'T1.2025'!G8</f>
        <v>0</v>
      </c>
      <c r="AH6" s="372">
        <f>'T1.2025'!H8</f>
        <v>0</v>
      </c>
      <c r="AI6" s="97">
        <f>SUM(AF6:AH6)</f>
        <v>0</v>
      </c>
      <c r="AJ6" s="97">
        <f>'T1.2025'!J8</f>
        <v>0</v>
      </c>
      <c r="AK6" s="97">
        <f>'T1.2025'!K8</f>
        <v>0</v>
      </c>
      <c r="AL6" s="97">
        <f>'T1.2025'!O8</f>
        <v>0</v>
      </c>
    </row>
    <row r="7" spans="1:41" ht="24" customHeight="1" x14ac:dyDescent="0.2">
      <c r="A7" s="1"/>
      <c r="B7" s="2475" t="s">
        <v>77</v>
      </c>
      <c r="C7" s="2476"/>
      <c r="D7" s="2476"/>
      <c r="E7" s="2476"/>
      <c r="F7" s="2476"/>
      <c r="G7" s="2476"/>
      <c r="H7" s="2476"/>
      <c r="I7" s="2476"/>
      <c r="J7" s="2476"/>
      <c r="K7" s="2476"/>
      <c r="L7" s="2476"/>
      <c r="M7" s="2476"/>
      <c r="N7" s="2476"/>
      <c r="O7" s="1286"/>
      <c r="P7" s="95"/>
      <c r="Q7" s="211"/>
      <c r="R7" s="732" t="s">
        <v>306</v>
      </c>
      <c r="S7" s="746"/>
      <c r="T7" s="743">
        <f>'T1.2025'!F51</f>
        <v>0</v>
      </c>
      <c r="U7" s="743">
        <f>'T1.2025'!G51</f>
        <v>0</v>
      </c>
      <c r="V7" s="743">
        <f>'T1.2025'!H51</f>
        <v>0</v>
      </c>
      <c r="W7" s="745">
        <f t="shared" si="0"/>
        <v>0</v>
      </c>
      <c r="X7" s="745"/>
      <c r="Y7" s="373"/>
      <c r="Z7" s="373"/>
      <c r="AA7" s="373"/>
      <c r="AB7" s="211"/>
      <c r="AD7" s="211"/>
      <c r="AE7" s="498"/>
      <c r="AF7" s="211"/>
      <c r="AG7" s="211"/>
      <c r="AH7" s="211"/>
      <c r="AI7" s="97"/>
      <c r="AJ7" s="373"/>
      <c r="AK7" s="373"/>
      <c r="AL7" s="97"/>
    </row>
    <row r="8" spans="1:41" ht="21.75" customHeight="1" x14ac:dyDescent="0.2">
      <c r="A8" s="1"/>
      <c r="B8" s="49"/>
      <c r="C8" s="42"/>
      <c r="D8" s="1"/>
      <c r="E8" s="48"/>
      <c r="F8" s="48"/>
      <c r="G8" s="2"/>
      <c r="H8" s="48"/>
      <c r="I8" s="2"/>
      <c r="J8" s="2"/>
      <c r="K8" s="99"/>
      <c r="L8" s="2"/>
      <c r="M8" s="2"/>
      <c r="N8" s="2"/>
      <c r="O8" s="1286"/>
      <c r="P8" s="95"/>
      <c r="Q8" s="211"/>
      <c r="R8" s="1248" t="s">
        <v>307</v>
      </c>
      <c r="S8" s="458"/>
      <c r="T8" s="732">
        <f>'T1.2025'!F71</f>
        <v>0</v>
      </c>
      <c r="U8" s="732">
        <f>'T1.2025'!G71</f>
        <v>0</v>
      </c>
      <c r="V8" s="732">
        <f>'T1.2025'!H71</f>
        <v>0</v>
      </c>
      <c r="W8" s="745">
        <f t="shared" si="0"/>
        <v>0</v>
      </c>
      <c r="X8" s="745"/>
      <c r="Y8" s="373"/>
      <c r="Z8" s="373"/>
      <c r="AA8" s="373"/>
      <c r="AB8" s="211"/>
      <c r="AD8" s="211"/>
      <c r="AE8" s="467"/>
      <c r="AF8" s="466"/>
      <c r="AG8" s="466"/>
      <c r="AH8" s="455"/>
      <c r="AI8" s="97"/>
      <c r="AJ8" s="373"/>
      <c r="AK8" s="373"/>
      <c r="AL8" s="97"/>
    </row>
    <row r="9" spans="1:41" ht="50" customHeight="1" x14ac:dyDescent="0.2">
      <c r="A9" s="1"/>
      <c r="B9" s="2552" t="s">
        <v>6</v>
      </c>
      <c r="C9" s="2482"/>
      <c r="D9" s="2479" t="s">
        <v>78</v>
      </c>
      <c r="E9" s="2552" t="s">
        <v>8</v>
      </c>
      <c r="F9" s="2481"/>
      <c r="G9" s="2482"/>
      <c r="H9" s="2553" t="s">
        <v>9</v>
      </c>
      <c r="I9" s="2479" t="s">
        <v>10</v>
      </c>
      <c r="J9" s="101" t="s">
        <v>79</v>
      </c>
      <c r="K9" s="2479" t="s">
        <v>80</v>
      </c>
      <c r="L9" s="102" t="s">
        <v>81</v>
      </c>
      <c r="M9" s="1321" t="s">
        <v>82</v>
      </c>
      <c r="N9" s="1320" t="s">
        <v>75</v>
      </c>
      <c r="O9" s="1287"/>
      <c r="P9" s="103"/>
      <c r="Q9" s="211" t="s">
        <v>155</v>
      </c>
      <c r="R9" s="1248" t="s">
        <v>305</v>
      </c>
      <c r="S9" s="747">
        <f>'T2.2025 '!E11</f>
        <v>107045</v>
      </c>
      <c r="T9" s="732">
        <f>'T2.2025 '!F57</f>
        <v>91149.119999999995</v>
      </c>
      <c r="U9" s="732">
        <f>'T2.2025 '!G57</f>
        <v>5847.84</v>
      </c>
      <c r="V9" s="732">
        <f>'T2.2025 '!H57</f>
        <v>5804.64</v>
      </c>
      <c r="W9" s="732">
        <f>'T2.2025 '!I57</f>
        <v>102801.59999999999</v>
      </c>
      <c r="X9" s="766">
        <f>'T2.2025 '!J11</f>
        <v>6.6</v>
      </c>
      <c r="Y9" s="732">
        <f>'T2.2025 '!K11</f>
        <v>15576</v>
      </c>
      <c r="Z9" s="768">
        <f>'T2.2025 '!M11</f>
        <v>649.44000000000005</v>
      </c>
      <c r="AA9" s="373">
        <f>'T2.2025 '!N11</f>
        <v>1362.1</v>
      </c>
      <c r="AB9" s="211">
        <f>'T2.2025 '!O11</f>
        <v>36</v>
      </c>
      <c r="AD9" s="211" t="s">
        <v>155</v>
      </c>
      <c r="AE9" s="211">
        <f>'T2.2025 '!E9</f>
        <v>94338.462</v>
      </c>
      <c r="AF9" s="211">
        <f>'T2.2025 '!F9</f>
        <v>81862.2</v>
      </c>
      <c r="AG9" s="211">
        <f>'T2.2025 '!G9</f>
        <v>5518.8</v>
      </c>
      <c r="AH9" s="211">
        <f>'T2.2025 '!H9</f>
        <v>4599</v>
      </c>
      <c r="AI9" s="384">
        <f t="shared" ref="AI9:AI45" si="1">SUM(AF9:AH9)</f>
        <v>91980</v>
      </c>
      <c r="AJ9" s="767">
        <f>'T2.2025 '!J9</f>
        <v>7</v>
      </c>
      <c r="AK9" s="373">
        <f>AI9/AJ9</f>
        <v>13140</v>
      </c>
      <c r="AL9" s="97">
        <f>'T2.2025 '!O9</f>
        <v>40</v>
      </c>
    </row>
    <row r="10" spans="1:41" ht="50" customHeight="1" x14ac:dyDescent="0.2">
      <c r="A10" s="1"/>
      <c r="B10" s="102" t="s">
        <v>16</v>
      </c>
      <c r="C10" s="102" t="s">
        <v>17</v>
      </c>
      <c r="D10" s="2478"/>
      <c r="E10" s="104" t="s">
        <v>18</v>
      </c>
      <c r="F10" s="104" t="s">
        <v>19</v>
      </c>
      <c r="G10" s="102" t="s">
        <v>20</v>
      </c>
      <c r="H10" s="2478"/>
      <c r="I10" s="2554"/>
      <c r="J10" s="102" t="s">
        <v>21</v>
      </c>
      <c r="K10" s="2478"/>
      <c r="L10" s="102" t="s">
        <v>13</v>
      </c>
      <c r="M10" s="1321" t="s">
        <v>14</v>
      </c>
      <c r="N10" s="1320" t="s">
        <v>972</v>
      </c>
      <c r="O10" s="1287"/>
      <c r="P10" s="103"/>
      <c r="Q10" s="210"/>
      <c r="R10" s="1248" t="s">
        <v>306</v>
      </c>
      <c r="S10" s="458"/>
      <c r="T10" s="732"/>
      <c r="U10" s="743"/>
      <c r="V10" s="743"/>
      <c r="W10" s="745">
        <f t="shared" si="0"/>
        <v>0</v>
      </c>
      <c r="X10" s="745"/>
      <c r="Y10" s="373"/>
      <c r="Z10" s="373"/>
      <c r="AA10" s="373"/>
      <c r="AB10" s="211"/>
      <c r="AD10" s="210"/>
      <c r="AE10" s="498"/>
      <c r="AF10" s="764"/>
      <c r="AG10" s="764"/>
      <c r="AH10" s="765"/>
      <c r="AI10" s="97">
        <f t="shared" si="1"/>
        <v>0</v>
      </c>
      <c r="AJ10" s="373"/>
      <c r="AK10" s="373"/>
      <c r="AL10" s="97"/>
    </row>
    <row r="11" spans="1:41" ht="50" customHeight="1" x14ac:dyDescent="0.2">
      <c r="A11" s="1"/>
      <c r="B11" s="2549" t="s">
        <v>348</v>
      </c>
      <c r="C11" s="105" t="s">
        <v>21</v>
      </c>
      <c r="D11" s="533">
        <f t="shared" ref="D11:J11" si="2">AE46</f>
        <v>1674275.7853908949</v>
      </c>
      <c r="E11" s="106">
        <f t="shared" si="2"/>
        <v>1198573.2350000001</v>
      </c>
      <c r="F11" s="106">
        <f t="shared" si="2"/>
        <v>80802.69</v>
      </c>
      <c r="G11" s="106">
        <f t="shared" si="2"/>
        <v>67335.574999999997</v>
      </c>
      <c r="H11" s="106">
        <f t="shared" si="2"/>
        <v>1346711.5</v>
      </c>
      <c r="I11" s="770">
        <f t="shared" si="2"/>
        <v>111.75</v>
      </c>
      <c r="J11" s="106">
        <f t="shared" si="2"/>
        <v>12051.1096196868</v>
      </c>
      <c r="K11" s="107"/>
      <c r="L11" s="108"/>
      <c r="M11" s="108"/>
      <c r="N11" s="963">
        <f>AL46</f>
        <v>40</v>
      </c>
      <c r="O11" s="1286"/>
      <c r="P11" s="95"/>
      <c r="Q11" s="211"/>
      <c r="R11" s="1248" t="s">
        <v>307</v>
      </c>
      <c r="S11" s="748"/>
      <c r="T11" s="732"/>
      <c r="U11" s="743"/>
      <c r="V11" s="743"/>
      <c r="W11" s="745">
        <f t="shared" si="0"/>
        <v>0</v>
      </c>
      <c r="X11" s="745"/>
      <c r="Y11" s="373"/>
      <c r="Z11" s="373"/>
      <c r="AA11" s="373"/>
      <c r="AB11" s="211"/>
      <c r="AD11" s="211"/>
      <c r="AE11" s="372"/>
      <c r="AF11" s="211"/>
      <c r="AG11" s="211"/>
      <c r="AH11" s="384"/>
      <c r="AI11" s="97">
        <f t="shared" si="1"/>
        <v>0</v>
      </c>
      <c r="AJ11" s="373"/>
      <c r="AK11" s="373"/>
      <c r="AL11" s="97"/>
    </row>
    <row r="12" spans="1:41" ht="50" customHeight="1" x14ac:dyDescent="0.2">
      <c r="A12" s="1"/>
      <c r="B12" s="2478"/>
      <c r="C12" s="105" t="s">
        <v>22</v>
      </c>
      <c r="D12" s="109"/>
      <c r="E12" s="110">
        <v>89</v>
      </c>
      <c r="F12" s="110">
        <v>6</v>
      </c>
      <c r="G12" s="110">
        <v>5</v>
      </c>
      <c r="H12" s="111">
        <v>100</v>
      </c>
      <c r="I12" s="112"/>
      <c r="J12" s="111"/>
      <c r="K12" s="958">
        <v>97.5</v>
      </c>
      <c r="L12" s="2539">
        <f>100-K12</f>
        <v>2.5</v>
      </c>
      <c r="M12" s="2939"/>
      <c r="N12" s="964"/>
      <c r="O12" s="1286"/>
      <c r="P12" s="95"/>
      <c r="Q12" s="211" t="s">
        <v>156</v>
      </c>
      <c r="R12" s="1248" t="s">
        <v>305</v>
      </c>
      <c r="S12" s="458">
        <f>'T3.2025 '!E10</f>
        <v>496651</v>
      </c>
      <c r="T12" s="1249">
        <f>'T3.2025 '!F53</f>
        <v>222083.99999999997</v>
      </c>
      <c r="U12" s="1249">
        <f>'T3.2025 '!G53</f>
        <v>7130.88</v>
      </c>
      <c r="V12" s="1249">
        <f>'T3.2025 '!H53</f>
        <v>9993.6</v>
      </c>
      <c r="W12" s="849">
        <f>SUM(T12:V12)</f>
        <v>239208.47999999998</v>
      </c>
      <c r="X12" s="574">
        <f>'T3.2025 '!G80</f>
        <v>15.159073000516337</v>
      </c>
      <c r="Y12" s="575">
        <f>+W12/X12</f>
        <v>15779.888387096773</v>
      </c>
      <c r="Z12" s="73">
        <f>'T3.2025 '!M10</f>
        <v>1677.66</v>
      </c>
      <c r="AA12" s="73">
        <f>'T3.2025 '!N10</f>
        <v>2278.54</v>
      </c>
      <c r="AB12" s="211">
        <f>'T3.2025 '!O10</f>
        <v>25</v>
      </c>
      <c r="AD12" s="211" t="s">
        <v>156</v>
      </c>
      <c r="AE12" s="848">
        <f>'T3.2025 '!E8</f>
        <v>487415.38461538462</v>
      </c>
      <c r="AF12" s="848">
        <f>'T3.2025 '!F8</f>
        <v>422954.7</v>
      </c>
      <c r="AG12" s="848">
        <f>'T3.2025 '!G8</f>
        <v>28513.8</v>
      </c>
      <c r="AH12" s="848">
        <f>'T3.2025 '!H8</f>
        <v>23761.5</v>
      </c>
      <c r="AI12" s="97">
        <f t="shared" si="1"/>
        <v>475230</v>
      </c>
      <c r="AJ12" s="574">
        <f>'T3.2025 '!J8</f>
        <v>31</v>
      </c>
      <c r="AK12" s="373">
        <f>AI12/AJ12</f>
        <v>15330</v>
      </c>
      <c r="AL12" s="97">
        <f>'T3.2025 '!O9</f>
        <v>40</v>
      </c>
    </row>
    <row r="13" spans="1:41" ht="50" customHeight="1" x14ac:dyDescent="0.2">
      <c r="A13" s="1"/>
      <c r="B13" s="2549" t="s">
        <v>349</v>
      </c>
      <c r="C13" s="105" t="s">
        <v>21</v>
      </c>
      <c r="D13" s="533">
        <f>S46</f>
        <v>1733166</v>
      </c>
      <c r="E13" s="106">
        <f t="shared" ref="E13:J13" si="3">T46</f>
        <v>1562421.6</v>
      </c>
      <c r="F13" s="106">
        <f t="shared" si="3"/>
        <v>50064.479999999996</v>
      </c>
      <c r="G13" s="106">
        <f t="shared" si="3"/>
        <v>90155.51999999999</v>
      </c>
      <c r="H13" s="106">
        <f t="shared" si="3"/>
        <v>1702641.5999999999</v>
      </c>
      <c r="I13" s="109">
        <f t="shared" si="3"/>
        <v>111.95000633718044</v>
      </c>
      <c r="J13" s="106">
        <f t="shared" si="3"/>
        <v>15208.945990336444</v>
      </c>
      <c r="K13" s="113"/>
      <c r="L13" s="962">
        <f>Z46</f>
        <v>7357.02</v>
      </c>
      <c r="M13" s="962">
        <f>AA46</f>
        <v>7800.7999999999993</v>
      </c>
      <c r="N13" s="113">
        <f>AB46</f>
        <v>26</v>
      </c>
      <c r="O13" s="1286"/>
      <c r="P13" s="95"/>
      <c r="Q13" s="211"/>
      <c r="R13" s="1248" t="s">
        <v>306</v>
      </c>
      <c r="S13" s="747"/>
      <c r="T13" s="732">
        <f>'T3.2025 '!F63</f>
        <v>231760.8</v>
      </c>
      <c r="U13" s="743">
        <f>'T3.2025 '!G63</f>
        <v>2617.92</v>
      </c>
      <c r="V13" s="743">
        <f>'T3.2025 '!H63</f>
        <v>15589.44</v>
      </c>
      <c r="W13" s="745">
        <f t="shared" si="0"/>
        <v>249968.16</v>
      </c>
      <c r="X13" s="961">
        <f>'T3.2025 '!G81</f>
        <v>15.840933336664103</v>
      </c>
      <c r="Y13" s="575">
        <f t="shared" ref="Y13:Y21" si="4">+W13/X13</f>
        <v>15779.888387096773</v>
      </c>
      <c r="Z13" s="373"/>
      <c r="AA13" s="373"/>
      <c r="AB13" s="211"/>
      <c r="AD13" s="211"/>
      <c r="AE13" s="372"/>
      <c r="AF13" s="211"/>
      <c r="AG13" s="211"/>
      <c r="AH13" s="384"/>
      <c r="AI13" s="97">
        <f t="shared" si="1"/>
        <v>0</v>
      </c>
      <c r="AJ13" s="373"/>
      <c r="AK13" s="373"/>
      <c r="AL13" s="97"/>
    </row>
    <row r="14" spans="1:41" ht="50" customHeight="1" x14ac:dyDescent="0.2">
      <c r="A14" s="1"/>
      <c r="B14" s="2550"/>
      <c r="C14" s="114" t="s">
        <v>22</v>
      </c>
      <c r="D14" s="115"/>
      <c r="E14" s="116">
        <f>E13/H13*100</f>
        <v>91.764561608268011</v>
      </c>
      <c r="F14" s="116">
        <f>F13/H13*100</f>
        <v>2.9404003755106185</v>
      </c>
      <c r="G14" s="116">
        <f>G13/H13*100</f>
        <v>5.2950380162213815</v>
      </c>
      <c r="H14" s="1206">
        <f>SUM(E14:G14)</f>
        <v>100.00000000000001</v>
      </c>
      <c r="I14" s="116"/>
      <c r="J14" s="116"/>
      <c r="K14" s="117">
        <f>H13/D13*100</f>
        <v>98.238806900204594</v>
      </c>
      <c r="L14" s="2544">
        <f>100-K14</f>
        <v>1.7611930997954062</v>
      </c>
      <c r="M14" s="2545"/>
      <c r="N14" s="965"/>
      <c r="O14" s="1287"/>
      <c r="P14" s="103"/>
      <c r="Q14" s="210"/>
      <c r="R14" s="1248" t="s">
        <v>307</v>
      </c>
      <c r="S14" s="458"/>
      <c r="T14" s="732"/>
      <c r="U14" s="743"/>
      <c r="V14" s="743"/>
      <c r="W14" s="745">
        <f t="shared" si="0"/>
        <v>0</v>
      </c>
      <c r="X14" s="745"/>
      <c r="Y14" s="575"/>
      <c r="Z14" s="373"/>
      <c r="AA14" s="373"/>
      <c r="AB14" s="211"/>
      <c r="AD14" s="210"/>
      <c r="AE14" s="372"/>
      <c r="AF14" s="211"/>
      <c r="AG14" s="211"/>
      <c r="AH14" s="384"/>
      <c r="AI14" s="97">
        <f t="shared" si="1"/>
        <v>0</v>
      </c>
      <c r="AJ14" s="373"/>
      <c r="AK14" s="373"/>
      <c r="AL14" s="97"/>
    </row>
    <row r="15" spans="1:41" ht="50" customHeight="1" x14ac:dyDescent="0.2">
      <c r="A15" s="1"/>
      <c r="B15" s="2551" t="s">
        <v>83</v>
      </c>
      <c r="C15" s="12" t="s">
        <v>21</v>
      </c>
      <c r="D15" s="478">
        <f t="shared" ref="D15:H16" si="5">+D13-D11</f>
        <v>58890.21460910514</v>
      </c>
      <c r="E15" s="118">
        <f t="shared" si="5"/>
        <v>363848.36499999999</v>
      </c>
      <c r="F15" s="118">
        <f t="shared" si="5"/>
        <v>-30738.210000000006</v>
      </c>
      <c r="G15" s="118">
        <f t="shared" si="5"/>
        <v>22819.944999999992</v>
      </c>
      <c r="H15" s="118">
        <f t="shared" si="5"/>
        <v>355930.09999999986</v>
      </c>
      <c r="I15" s="74"/>
      <c r="J15" s="118"/>
      <c r="K15" s="74"/>
      <c r="L15" s="2853"/>
      <c r="M15" s="2853"/>
      <c r="N15" s="1446">
        <f>N11-N13</f>
        <v>14</v>
      </c>
      <c r="O15" s="1286"/>
      <c r="P15" s="95"/>
      <c r="Q15" s="211" t="s">
        <v>157</v>
      </c>
      <c r="R15" s="1248" t="s">
        <v>305</v>
      </c>
      <c r="S15" s="747">
        <f>'T4.2025 '!E11</f>
        <v>446786</v>
      </c>
      <c r="T15" s="732">
        <f>'T4.2025 '!F62</f>
        <v>363058.56</v>
      </c>
      <c r="U15" s="743">
        <f>'T4.2025 '!G62</f>
        <v>11676.96</v>
      </c>
      <c r="V15" s="743">
        <f>'T4.2025 '!H62</f>
        <v>17922.240000000002</v>
      </c>
      <c r="W15" s="745">
        <f t="shared" si="0"/>
        <v>392657.76</v>
      </c>
      <c r="X15" s="961">
        <f>'T4.2025 '!G89</f>
        <v>26.706703144588381</v>
      </c>
      <c r="Y15" s="575">
        <f t="shared" si="4"/>
        <v>14702.592000000001</v>
      </c>
      <c r="Z15" s="373">
        <f>'T4.2025 '!M11</f>
        <v>1512</v>
      </c>
      <c r="AA15" s="373">
        <f>'T4.2025 '!N11</f>
        <v>1572.48</v>
      </c>
      <c r="AB15" s="211">
        <f>'T4.2025 '!O11</f>
        <v>24</v>
      </c>
      <c r="AD15" s="211" t="s">
        <v>157</v>
      </c>
      <c r="AE15" s="372">
        <f>'T4.2025 '!E9</f>
        <v>436836.73469387757</v>
      </c>
      <c r="AF15" s="211">
        <f>'T4.2025 '!F9</f>
        <v>381009</v>
      </c>
      <c r="AG15" s="211">
        <f>'T4.2025 '!G9</f>
        <v>25686</v>
      </c>
      <c r="AH15" s="384">
        <f>'T4.2025 '!H9</f>
        <v>21405</v>
      </c>
      <c r="AI15" s="97">
        <f t="shared" si="1"/>
        <v>428100</v>
      </c>
      <c r="AJ15" s="767">
        <f>'T4.2025 '!J9</f>
        <v>30</v>
      </c>
      <c r="AK15" s="373">
        <f>AI15/AJ15</f>
        <v>14270</v>
      </c>
      <c r="AL15" s="97">
        <v>40</v>
      </c>
    </row>
    <row r="16" spans="1:41" ht="50" customHeight="1" x14ac:dyDescent="0.2">
      <c r="A16" s="1"/>
      <c r="B16" s="2470"/>
      <c r="C16" s="12" t="s">
        <v>22</v>
      </c>
      <c r="D16" s="72">
        <f t="shared" si="5"/>
        <v>0</v>
      </c>
      <c r="E16" s="119">
        <f t="shared" si="5"/>
        <v>2.7645616082680107</v>
      </c>
      <c r="F16" s="119">
        <f t="shared" si="5"/>
        <v>-3.0595996244893815</v>
      </c>
      <c r="G16" s="119">
        <f t="shared" si="5"/>
        <v>0.29503801622138148</v>
      </c>
      <c r="H16" s="74"/>
      <c r="I16" s="74"/>
      <c r="J16" s="74"/>
      <c r="K16" s="28"/>
      <c r="L16" s="2940"/>
      <c r="M16" s="2940"/>
      <c r="N16" s="28"/>
      <c r="O16" s="1286"/>
      <c r="P16" s="95"/>
      <c r="Q16" s="211"/>
      <c r="R16" s="1248" t="s">
        <v>306</v>
      </c>
      <c r="S16" s="747"/>
      <c r="T16" s="732">
        <f>'T4.2025 '!F72</f>
        <v>44935.199999999997</v>
      </c>
      <c r="U16" s="743">
        <f>'T4.2025 '!G72</f>
        <v>853.92</v>
      </c>
      <c r="V16" s="743">
        <f>'T4.2025 '!H72</f>
        <v>2630.8799999999997</v>
      </c>
      <c r="W16" s="745">
        <f t="shared" si="0"/>
        <v>48419.999999999993</v>
      </c>
      <c r="X16" s="961">
        <f>'T4.2025 '!G90</f>
        <v>3.2932968554116164</v>
      </c>
      <c r="Y16" s="575">
        <f t="shared" si="4"/>
        <v>14702.592000000001</v>
      </c>
      <c r="Z16" s="373"/>
      <c r="AA16" s="373"/>
      <c r="AB16" s="211"/>
      <c r="AD16" s="211"/>
      <c r="AE16" s="372"/>
      <c r="AF16" s="211"/>
      <c r="AG16" s="211"/>
      <c r="AH16" s="384"/>
      <c r="AI16" s="97">
        <f t="shared" si="1"/>
        <v>0</v>
      </c>
      <c r="AJ16" s="373"/>
      <c r="AK16" s="373"/>
      <c r="AL16" s="97"/>
    </row>
    <row r="17" spans="1:38" ht="21.75" hidden="1" customHeight="1" x14ac:dyDescent="0.2">
      <c r="A17" s="1"/>
      <c r="B17" s="45"/>
      <c r="C17" s="2"/>
      <c r="D17" s="78"/>
      <c r="E17" s="99"/>
      <c r="F17" s="99"/>
      <c r="G17" s="99"/>
      <c r="H17" s="99"/>
      <c r="I17" s="99"/>
      <c r="J17" s="99"/>
      <c r="K17" s="48"/>
      <c r="L17" s="48"/>
      <c r="M17" s="48"/>
      <c r="N17" s="48"/>
      <c r="O17" s="1286"/>
      <c r="P17" s="95"/>
      <c r="Q17" s="211"/>
      <c r="R17" s="1248" t="s">
        <v>307</v>
      </c>
      <c r="S17" s="458"/>
      <c r="T17" s="732"/>
      <c r="U17" s="743"/>
      <c r="V17" s="743"/>
      <c r="W17" s="745">
        <f t="shared" si="0"/>
        <v>0</v>
      </c>
      <c r="X17" s="745"/>
      <c r="Y17" s="575"/>
      <c r="Z17" s="373"/>
      <c r="AA17" s="373"/>
      <c r="AB17" s="211"/>
      <c r="AD17" s="211"/>
      <c r="AE17" s="372"/>
      <c r="AF17" s="211"/>
      <c r="AG17" s="211"/>
      <c r="AH17" s="384"/>
      <c r="AI17" s="97">
        <f t="shared" si="1"/>
        <v>0</v>
      </c>
      <c r="AJ17" s="373"/>
      <c r="AK17" s="373"/>
      <c r="AL17" s="97"/>
    </row>
    <row r="18" spans="1:38" ht="21.75" hidden="1" customHeight="1" x14ac:dyDescent="0.2">
      <c r="A18" s="1"/>
      <c r="B18" s="45"/>
      <c r="C18" s="2"/>
      <c r="D18" s="78"/>
      <c r="E18" s="99"/>
      <c r="F18" s="99"/>
      <c r="G18" s="99"/>
      <c r="H18" s="99"/>
      <c r="I18" s="99"/>
      <c r="J18" s="99"/>
      <c r="K18" s="48"/>
      <c r="L18" s="48"/>
      <c r="M18" s="48"/>
      <c r="N18" s="48"/>
      <c r="O18" s="1286"/>
      <c r="P18" s="95"/>
      <c r="Q18" s="211" t="s">
        <v>158</v>
      </c>
      <c r="R18" s="1248" t="s">
        <v>305</v>
      </c>
      <c r="S18" s="747">
        <f>'T5.2025'!E11</f>
        <v>366803</v>
      </c>
      <c r="T18" s="732">
        <f>'T5.2025'!F68</f>
        <v>250378.56</v>
      </c>
      <c r="U18" s="743">
        <f>'T5.2025'!G68</f>
        <v>9181.4399999999987</v>
      </c>
      <c r="V18" s="743">
        <f>'T5.2025'!H68</f>
        <v>13044.96</v>
      </c>
      <c r="W18" s="745">
        <f t="shared" si="0"/>
        <v>272604.96000000002</v>
      </c>
      <c r="X18" s="961">
        <f>'T5.2025'!G95</f>
        <v>18.690230247280478</v>
      </c>
      <c r="Y18" s="575">
        <f t="shared" si="4"/>
        <v>14585.425454545451</v>
      </c>
      <c r="Z18" s="373">
        <f>'T5.2025'!M11</f>
        <v>1689.12</v>
      </c>
      <c r="AA18" s="373">
        <f>'T5.2025'!N11</f>
        <v>1297.4399999999998</v>
      </c>
      <c r="AB18" s="211">
        <f>'T5.2025'!O11</f>
        <v>26</v>
      </c>
      <c r="AD18" s="211" t="s">
        <v>158</v>
      </c>
      <c r="AE18" s="372">
        <f>'T5.2025'!E9</f>
        <v>358470.91836734692</v>
      </c>
      <c r="AF18" s="211">
        <f>'T5.2025'!F9</f>
        <v>312658.33500000002</v>
      </c>
      <c r="AG18" s="211">
        <f>'T5.2025'!G9</f>
        <v>21078.09</v>
      </c>
      <c r="AH18" s="384">
        <f>'T5.2025'!H9</f>
        <v>17565.075000000001</v>
      </c>
      <c r="AI18" s="97">
        <f t="shared" si="1"/>
        <v>351301.50000000006</v>
      </c>
      <c r="AJ18" s="768">
        <f>'T5.2025'!J9</f>
        <v>24.75</v>
      </c>
      <c r="AK18" s="373">
        <f>AI18/AJ18</f>
        <v>14194.000000000002</v>
      </c>
      <c r="AL18" s="97">
        <f>'T5.2025'!O9</f>
        <v>40</v>
      </c>
    </row>
    <row r="19" spans="1:38" ht="21.75" hidden="1" customHeight="1" x14ac:dyDescent="0.2">
      <c r="A19" s="1"/>
      <c r="B19" s="45"/>
      <c r="C19" s="2"/>
      <c r="D19" s="78"/>
      <c r="E19" s="99"/>
      <c r="F19" s="99"/>
      <c r="G19" s="99"/>
      <c r="H19" s="99"/>
      <c r="I19" s="99"/>
      <c r="J19" s="99"/>
      <c r="K19" s="48"/>
      <c r="L19" s="48"/>
      <c r="M19" s="48"/>
      <c r="N19" s="48"/>
      <c r="O19" s="1286"/>
      <c r="P19" s="95"/>
      <c r="Q19" s="211"/>
      <c r="R19" s="1248" t="s">
        <v>306</v>
      </c>
      <c r="S19" s="747"/>
      <c r="T19" s="732">
        <f>'T5.2025'!F78</f>
        <v>30405.599999999999</v>
      </c>
      <c r="U19" s="743">
        <f>'T5.2025'!G78</f>
        <v>172.8</v>
      </c>
      <c r="V19" s="743">
        <f>'T5.2025'!H78</f>
        <v>3666.24</v>
      </c>
      <c r="W19" s="745">
        <f t="shared" si="0"/>
        <v>34244.639999999999</v>
      </c>
      <c r="X19" s="961">
        <f>'T5.2025'!G96</f>
        <v>2.3478670613155055</v>
      </c>
      <c r="Y19" s="575">
        <f t="shared" si="4"/>
        <v>14585.425454545451</v>
      </c>
      <c r="Z19" s="373"/>
      <c r="AA19" s="373"/>
      <c r="AB19" s="211"/>
      <c r="AD19" s="211"/>
      <c r="AE19" s="372"/>
      <c r="AF19" s="211"/>
      <c r="AG19" s="211"/>
      <c r="AH19" s="384"/>
      <c r="AI19" s="97">
        <f t="shared" si="1"/>
        <v>0</v>
      </c>
      <c r="AJ19" s="373"/>
      <c r="AK19" s="373"/>
      <c r="AL19" s="97"/>
    </row>
    <row r="20" spans="1:38" ht="15" hidden="1" customHeight="1" x14ac:dyDescent="0.2">
      <c r="A20" s="1"/>
      <c r="B20" s="45"/>
      <c r="C20" s="2"/>
      <c r="D20" s="78"/>
      <c r="E20" s="99"/>
      <c r="F20" s="99"/>
      <c r="G20" s="99"/>
      <c r="H20" s="99"/>
      <c r="I20" s="99"/>
      <c r="J20" s="99"/>
      <c r="K20" s="48"/>
      <c r="L20" s="48"/>
      <c r="M20" s="48"/>
      <c r="N20" s="48"/>
      <c r="O20" s="1286"/>
      <c r="P20" s="95"/>
      <c r="Q20" s="211"/>
      <c r="R20" s="1248" t="s">
        <v>307</v>
      </c>
      <c r="S20" s="458"/>
      <c r="T20" s="732">
        <f>'T5.2025'!F88</f>
        <v>51896.159999999996</v>
      </c>
      <c r="U20" s="743">
        <f>'T5.2025'!G88</f>
        <v>158.4</v>
      </c>
      <c r="V20" s="743">
        <f>'T5.2025'!H88</f>
        <v>2085.12</v>
      </c>
      <c r="W20" s="745">
        <f t="shared" si="0"/>
        <v>54139.68</v>
      </c>
      <c r="X20" s="961">
        <f>'T5.2025'!G97</f>
        <v>3.7119026914040227</v>
      </c>
      <c r="Y20" s="575">
        <f t="shared" si="4"/>
        <v>14585.425454545451</v>
      </c>
      <c r="Z20" s="373"/>
      <c r="AA20" s="373"/>
      <c r="AB20" s="211"/>
      <c r="AD20" s="211"/>
      <c r="AE20" s="372"/>
      <c r="AF20" s="211"/>
      <c r="AG20" s="211"/>
      <c r="AH20" s="384"/>
      <c r="AI20" s="97">
        <f t="shared" si="1"/>
        <v>0</v>
      </c>
      <c r="AJ20" s="373"/>
      <c r="AK20" s="373"/>
      <c r="AL20" s="97"/>
    </row>
    <row r="21" spans="1:38" ht="28" customHeight="1" x14ac:dyDescent="0.2">
      <c r="A21" s="1"/>
      <c r="B21" s="5" t="s">
        <v>84</v>
      </c>
      <c r="O21" s="1286"/>
      <c r="P21" s="95"/>
      <c r="Q21" s="211" t="s">
        <v>159</v>
      </c>
      <c r="R21" s="1248" t="s">
        <v>305</v>
      </c>
      <c r="S21" s="747">
        <f>'T6.2025'!E11</f>
        <v>315881</v>
      </c>
      <c r="T21" s="732">
        <f>'T6.2025'!F11</f>
        <v>276753.59999999998</v>
      </c>
      <c r="U21" s="743">
        <f>'T6.2025'!G11</f>
        <v>12424.32</v>
      </c>
      <c r="V21" s="743">
        <f>'T6.2025'!H11</f>
        <v>19418.400000000001</v>
      </c>
      <c r="W21" s="745">
        <f t="shared" si="0"/>
        <v>308596.32</v>
      </c>
      <c r="X21" s="961">
        <f>'T6.2025'!G97</f>
        <v>19.600000000000001</v>
      </c>
      <c r="Y21" s="575">
        <f t="shared" si="4"/>
        <v>15744.710204081632</v>
      </c>
      <c r="Z21" s="373">
        <f>'T6.2025'!M11</f>
        <v>1828.8</v>
      </c>
      <c r="AA21" s="373">
        <f>'T6.2025'!N11</f>
        <v>1290.24</v>
      </c>
      <c r="AB21" s="211">
        <f>'T6.2025'!O11</f>
        <v>19</v>
      </c>
      <c r="AD21" s="211" t="s">
        <v>159</v>
      </c>
      <c r="AE21" s="372">
        <f>'T6.2025'!E9</f>
        <v>297214.28571428574</v>
      </c>
      <c r="AF21" s="211">
        <f>'T6.2025'!F9</f>
        <v>89</v>
      </c>
      <c r="AG21" s="211">
        <f>'T6.2025'!G9</f>
        <v>6</v>
      </c>
      <c r="AH21" s="384">
        <f>'T6.2025'!H9</f>
        <v>5</v>
      </c>
      <c r="AI21" s="97">
        <f t="shared" si="1"/>
        <v>100</v>
      </c>
      <c r="AJ21" s="768">
        <f>'T6.2025'!J9</f>
        <v>19</v>
      </c>
      <c r="AK21" s="373">
        <f>AI21/AJ21</f>
        <v>5.2631578947368425</v>
      </c>
      <c r="AL21" s="97">
        <v>40</v>
      </c>
    </row>
    <row r="22" spans="1:38" ht="15" hidden="1" customHeight="1" x14ac:dyDescent="0.2">
      <c r="A22" s="1"/>
      <c r="B22" s="49"/>
      <c r="C22" s="42"/>
      <c r="D22" s="1"/>
      <c r="E22" s="48"/>
      <c r="F22" s="48"/>
      <c r="G22" s="2"/>
      <c r="H22" s="48"/>
      <c r="I22" s="2"/>
      <c r="J22" s="2"/>
      <c r="K22" s="99"/>
      <c r="L22" s="2"/>
      <c r="M22" s="2"/>
      <c r="N22" s="2"/>
      <c r="O22" s="1286"/>
      <c r="P22" s="95"/>
      <c r="Q22" s="211"/>
      <c r="R22" s="1248" t="s">
        <v>306</v>
      </c>
      <c r="S22" s="458"/>
      <c r="T22" s="732"/>
      <c r="U22" s="743"/>
      <c r="V22" s="743"/>
      <c r="W22" s="745">
        <f t="shared" si="0"/>
        <v>0</v>
      </c>
      <c r="X22" s="745"/>
      <c r="Y22" s="373"/>
      <c r="Z22" s="373"/>
      <c r="AA22" s="373"/>
      <c r="AB22" s="211"/>
      <c r="AD22" s="211"/>
      <c r="AE22" s="372"/>
      <c r="AF22" s="211"/>
      <c r="AG22" s="211"/>
      <c r="AH22" s="384"/>
      <c r="AI22" s="97">
        <f t="shared" si="1"/>
        <v>0</v>
      </c>
      <c r="AJ22" s="373"/>
      <c r="AK22" s="373"/>
      <c r="AL22" s="97"/>
    </row>
    <row r="23" spans="1:38" s="1" customFormat="1" ht="53" customHeight="1" x14ac:dyDescent="0.2">
      <c r="B23" s="2480" t="s">
        <v>6</v>
      </c>
      <c r="C23" s="2546"/>
      <c r="D23" s="101" t="s">
        <v>85</v>
      </c>
      <c r="E23" s="2480" t="s">
        <v>8</v>
      </c>
      <c r="F23" s="2547"/>
      <c r="G23" s="2546"/>
      <c r="H23" s="101" t="s">
        <v>9</v>
      </c>
      <c r="I23" s="2479" t="s">
        <v>10</v>
      </c>
      <c r="J23" s="101" t="s">
        <v>86</v>
      </c>
      <c r="K23" s="2479" t="s">
        <v>80</v>
      </c>
      <c r="L23" s="101" t="s">
        <v>81</v>
      </c>
      <c r="M23" s="1320" t="s">
        <v>87</v>
      </c>
      <c r="N23" s="1320" t="s">
        <v>75</v>
      </c>
      <c r="O23" s="1286"/>
      <c r="P23" s="95"/>
      <c r="Q23" s="211"/>
      <c r="R23" s="1248" t="s">
        <v>307</v>
      </c>
      <c r="S23" s="747"/>
      <c r="T23" s="732"/>
      <c r="U23" s="743"/>
      <c r="V23" s="743"/>
      <c r="W23" s="745">
        <f t="shared" si="0"/>
        <v>0</v>
      </c>
      <c r="X23" s="745"/>
      <c r="Y23" s="373"/>
      <c r="Z23" s="373"/>
      <c r="AA23" s="373"/>
      <c r="AB23" s="211"/>
      <c r="AC23" s="95"/>
      <c r="AD23" s="211"/>
      <c r="AE23" s="372"/>
      <c r="AF23" s="211"/>
      <c r="AG23" s="211"/>
      <c r="AH23" s="384"/>
      <c r="AI23" s="97">
        <f t="shared" si="1"/>
        <v>0</v>
      </c>
      <c r="AJ23" s="373"/>
      <c r="AK23" s="373"/>
      <c r="AL23" s="97"/>
    </row>
    <row r="24" spans="1:38" ht="39" customHeight="1" x14ac:dyDescent="0.2">
      <c r="A24" s="1"/>
      <c r="B24" s="101" t="s">
        <v>16</v>
      </c>
      <c r="C24" s="101" t="s">
        <v>17</v>
      </c>
      <c r="D24" s="121"/>
      <c r="E24" s="101" t="s">
        <v>18</v>
      </c>
      <c r="F24" s="101" t="s">
        <v>19</v>
      </c>
      <c r="G24" s="101" t="s">
        <v>20</v>
      </c>
      <c r="H24" s="122"/>
      <c r="I24" s="2548"/>
      <c r="J24" s="101" t="s">
        <v>21</v>
      </c>
      <c r="K24" s="2548"/>
      <c r="L24" s="101" t="s">
        <v>13</v>
      </c>
      <c r="M24" s="1320" t="s">
        <v>88</v>
      </c>
      <c r="N24" s="1320" t="s">
        <v>972</v>
      </c>
      <c r="O24" s="1286"/>
      <c r="P24" s="95"/>
      <c r="Q24" s="211" t="s">
        <v>160</v>
      </c>
      <c r="R24" s="1248" t="s">
        <v>305</v>
      </c>
      <c r="S24" s="747"/>
      <c r="T24" s="732"/>
      <c r="U24" s="743"/>
      <c r="V24" s="743"/>
      <c r="W24" s="745">
        <f t="shared" si="0"/>
        <v>0</v>
      </c>
      <c r="X24" s="745"/>
      <c r="Y24" s="373"/>
      <c r="Z24" s="373"/>
      <c r="AA24" s="373"/>
      <c r="AB24" s="211"/>
      <c r="AD24" s="211" t="s">
        <v>160</v>
      </c>
      <c r="AE24" s="372"/>
      <c r="AF24" s="211"/>
      <c r="AG24" s="211"/>
      <c r="AH24" s="384"/>
      <c r="AI24" s="97">
        <f t="shared" si="1"/>
        <v>0</v>
      </c>
      <c r="AJ24" s="373"/>
      <c r="AK24" s="373"/>
      <c r="AL24" s="97"/>
    </row>
    <row r="25" spans="1:38" ht="39" customHeight="1" x14ac:dyDescent="0.2">
      <c r="A25" s="1"/>
      <c r="B25" s="2549" t="s">
        <v>338</v>
      </c>
      <c r="C25" s="105" t="s">
        <v>21</v>
      </c>
      <c r="D25" s="533">
        <f t="shared" ref="D25:J25" si="6">AE137</f>
        <v>1058326.5306122447</v>
      </c>
      <c r="E25" s="106">
        <f t="shared" si="6"/>
        <v>550429.4</v>
      </c>
      <c r="F25" s="106">
        <f t="shared" si="6"/>
        <v>49476.800000000003</v>
      </c>
      <c r="G25" s="106">
        <f t="shared" si="6"/>
        <v>18553.8</v>
      </c>
      <c r="H25" s="106">
        <f t="shared" si="6"/>
        <v>618460</v>
      </c>
      <c r="I25" s="109">
        <f t="shared" si="6"/>
        <v>74.599999999999994</v>
      </c>
      <c r="J25" s="106">
        <f t="shared" si="6"/>
        <v>8290.3485254691695</v>
      </c>
      <c r="K25" s="105"/>
      <c r="L25" s="123"/>
      <c r="M25" s="123"/>
      <c r="N25" s="1510">
        <f>AL137</f>
        <v>40</v>
      </c>
      <c r="O25" s="1286"/>
      <c r="P25" s="95"/>
      <c r="Q25" s="211"/>
      <c r="R25" s="1248" t="s">
        <v>306</v>
      </c>
      <c r="S25" s="458"/>
      <c r="T25" s="732"/>
      <c r="U25" s="743"/>
      <c r="V25" s="743"/>
      <c r="W25" s="745">
        <f t="shared" si="0"/>
        <v>0</v>
      </c>
      <c r="X25" s="745"/>
      <c r="Y25" s="373"/>
      <c r="Z25" s="373"/>
      <c r="AA25" s="373"/>
      <c r="AB25" s="211"/>
      <c r="AD25" s="211"/>
      <c r="AE25" s="372"/>
      <c r="AF25" s="211"/>
      <c r="AG25" s="211"/>
      <c r="AH25" s="384"/>
      <c r="AI25" s="97">
        <f t="shared" si="1"/>
        <v>0</v>
      </c>
      <c r="AJ25" s="373"/>
      <c r="AK25" s="373"/>
      <c r="AL25" s="97"/>
    </row>
    <row r="26" spans="1:38" ht="39" customHeight="1" x14ac:dyDescent="0.2">
      <c r="A26" s="1"/>
      <c r="B26" s="2565"/>
      <c r="C26" s="105" t="s">
        <v>22</v>
      </c>
      <c r="D26" s="109"/>
      <c r="E26" s="110">
        <v>89</v>
      </c>
      <c r="F26" s="110">
        <f>F25/H25*100</f>
        <v>8</v>
      </c>
      <c r="G26" s="110">
        <f>G25/H25*100</f>
        <v>3</v>
      </c>
      <c r="H26" s="111">
        <f>SUM(E26:G26)</f>
        <v>100</v>
      </c>
      <c r="I26" s="111"/>
      <c r="J26" s="111"/>
      <c r="K26" s="110">
        <v>97.5</v>
      </c>
      <c r="L26" s="2539">
        <f>100-K26</f>
        <v>2.5</v>
      </c>
      <c r="M26" s="2540"/>
      <c r="N26" s="1510"/>
      <c r="O26" s="1286"/>
      <c r="P26" s="95"/>
      <c r="Q26" s="211"/>
      <c r="R26" s="1248" t="s">
        <v>307</v>
      </c>
      <c r="S26" s="747"/>
      <c r="T26" s="732"/>
      <c r="U26" s="743"/>
      <c r="V26" s="743"/>
      <c r="W26" s="745">
        <f t="shared" si="0"/>
        <v>0</v>
      </c>
      <c r="X26" s="745"/>
      <c r="Y26" s="373"/>
      <c r="Z26" s="373"/>
      <c r="AA26" s="373"/>
      <c r="AB26" s="211"/>
      <c r="AD26" s="211"/>
      <c r="AE26" s="372"/>
      <c r="AF26" s="211"/>
      <c r="AG26" s="211"/>
      <c r="AH26" s="384"/>
      <c r="AI26" s="97">
        <f t="shared" si="1"/>
        <v>0</v>
      </c>
      <c r="AJ26" s="373"/>
      <c r="AK26" s="373"/>
      <c r="AL26" s="97"/>
    </row>
    <row r="27" spans="1:38" ht="39" customHeight="1" x14ac:dyDescent="0.2">
      <c r="A27" s="1"/>
      <c r="B27" s="2549" t="s">
        <v>339</v>
      </c>
      <c r="C27" s="124" t="s">
        <v>21</v>
      </c>
      <c r="D27" s="1381">
        <f t="shared" ref="D27:J27" si="7">S137</f>
        <v>1085392</v>
      </c>
      <c r="E27" s="160">
        <f t="shared" si="7"/>
        <v>985953.91999999993</v>
      </c>
      <c r="F27" s="160">
        <f t="shared" si="7"/>
        <v>184.32</v>
      </c>
      <c r="G27" s="160">
        <f t="shared" si="7"/>
        <v>76234.880000000005</v>
      </c>
      <c r="H27" s="160">
        <f t="shared" si="7"/>
        <v>1062373.1199999999</v>
      </c>
      <c r="I27" s="125">
        <f t="shared" si="7"/>
        <v>74.95</v>
      </c>
      <c r="J27" s="160">
        <f t="shared" si="7"/>
        <v>14174.424549699797</v>
      </c>
      <c r="K27" s="124"/>
      <c r="L27" s="1317">
        <f>Z137</f>
        <v>5328</v>
      </c>
      <c r="M27" s="1513">
        <f>AA137</f>
        <v>7905.6</v>
      </c>
      <c r="N27" s="1511">
        <f>AB137</f>
        <v>22</v>
      </c>
      <c r="O27" s="1286"/>
      <c r="P27" s="95"/>
      <c r="Q27" s="211" t="s">
        <v>161</v>
      </c>
      <c r="R27" s="1248" t="s">
        <v>305</v>
      </c>
      <c r="S27" s="747"/>
      <c r="T27" s="732"/>
      <c r="U27" s="743"/>
      <c r="V27" s="743"/>
      <c r="W27" s="745">
        <f t="shared" si="0"/>
        <v>0</v>
      </c>
      <c r="X27" s="745"/>
      <c r="Y27" s="373"/>
      <c r="Z27" s="373"/>
      <c r="AA27" s="373"/>
      <c r="AB27" s="211"/>
      <c r="AD27" s="211" t="s">
        <v>161</v>
      </c>
      <c r="AE27" s="372"/>
      <c r="AF27" s="211"/>
      <c r="AG27" s="211"/>
      <c r="AH27" s="384"/>
      <c r="AI27" s="97">
        <f t="shared" si="1"/>
        <v>0</v>
      </c>
      <c r="AJ27" s="373"/>
      <c r="AK27" s="373"/>
      <c r="AL27" s="97"/>
    </row>
    <row r="28" spans="1:38" ht="39" customHeight="1" x14ac:dyDescent="0.2">
      <c r="A28" s="1"/>
      <c r="B28" s="2565"/>
      <c r="C28" s="124" t="s">
        <v>22</v>
      </c>
      <c r="D28" s="125"/>
      <c r="E28" s="126">
        <f>+E27/H27*100</f>
        <v>92.806745712843338</v>
      </c>
      <c r="F28" s="126">
        <f>+F27/H27*100</f>
        <v>1.7349836562129888E-2</v>
      </c>
      <c r="G28" s="126">
        <f>+G27/H27*100</f>
        <v>7.1759044505945351</v>
      </c>
      <c r="H28" s="127">
        <f>SUM(E28:G28)</f>
        <v>100</v>
      </c>
      <c r="I28" s="127"/>
      <c r="J28" s="126"/>
      <c r="K28" s="126">
        <f>H27/D27*100</f>
        <v>97.879210460368228</v>
      </c>
      <c r="L28" s="2937">
        <f>100-K28</f>
        <v>2.1207895396317724</v>
      </c>
      <c r="M28" s="2938"/>
      <c r="N28" s="1173"/>
      <c r="O28" s="1286"/>
      <c r="P28" s="95"/>
      <c r="Q28" s="211"/>
      <c r="R28" s="1248" t="s">
        <v>306</v>
      </c>
      <c r="S28" s="749"/>
      <c r="T28" s="743"/>
      <c r="U28" s="743"/>
      <c r="V28" s="743"/>
      <c r="W28" s="745">
        <f t="shared" si="0"/>
        <v>0</v>
      </c>
      <c r="X28" s="745"/>
      <c r="Y28" s="373"/>
      <c r="Z28" s="373"/>
      <c r="AA28" s="373"/>
      <c r="AB28" s="211"/>
      <c r="AD28" s="211"/>
      <c r="AE28" s="372"/>
      <c r="AF28" s="211"/>
      <c r="AG28" s="211"/>
      <c r="AH28" s="384"/>
      <c r="AI28" s="97">
        <f t="shared" si="1"/>
        <v>0</v>
      </c>
      <c r="AJ28" s="373"/>
      <c r="AK28" s="373"/>
      <c r="AL28" s="97"/>
    </row>
    <row r="29" spans="1:38" ht="39" customHeight="1" x14ac:dyDescent="0.2">
      <c r="A29" s="1"/>
      <c r="B29" s="2549" t="s">
        <v>342</v>
      </c>
      <c r="C29" s="129" t="s">
        <v>21</v>
      </c>
      <c r="D29" s="140">
        <f>AE91</f>
        <v>488254.56410256412</v>
      </c>
      <c r="E29" s="140">
        <f t="shared" ref="E29:J29" si="8">AF91</f>
        <v>446436.82239999995</v>
      </c>
      <c r="F29" s="140">
        <f t="shared" si="8"/>
        <v>17544.308400000002</v>
      </c>
      <c r="G29" s="140">
        <f t="shared" si="8"/>
        <v>12822.8292</v>
      </c>
      <c r="H29" s="140">
        <f t="shared" si="8"/>
        <v>476803.95999999996</v>
      </c>
      <c r="I29" s="1445">
        <f t="shared" si="8"/>
        <v>38.15</v>
      </c>
      <c r="J29" s="1442">
        <f t="shared" si="8"/>
        <v>12500.137876802097</v>
      </c>
      <c r="K29" s="131"/>
      <c r="L29" s="129"/>
      <c r="M29" s="129"/>
      <c r="N29" s="1434">
        <f>AL91</f>
        <v>100</v>
      </c>
      <c r="O29" s="1286"/>
      <c r="P29" s="95"/>
      <c r="Q29" s="211"/>
      <c r="R29" s="1248" t="s">
        <v>307</v>
      </c>
      <c r="S29" s="746"/>
      <c r="T29" s="746"/>
      <c r="U29" s="746"/>
      <c r="V29" s="746"/>
      <c r="W29" s="745">
        <f t="shared" si="0"/>
        <v>0</v>
      </c>
      <c r="X29" s="750"/>
      <c r="Y29" s="371"/>
      <c r="Z29" s="371"/>
      <c r="AA29" s="371"/>
      <c r="AB29" s="211"/>
      <c r="AD29" s="211"/>
      <c r="AE29" s="372"/>
      <c r="AF29" s="211"/>
      <c r="AG29" s="211"/>
      <c r="AH29" s="455"/>
      <c r="AI29" s="97">
        <f t="shared" si="1"/>
        <v>0</v>
      </c>
      <c r="AJ29" s="371"/>
      <c r="AK29" s="371"/>
      <c r="AL29" s="133"/>
    </row>
    <row r="30" spans="1:38" ht="39" customHeight="1" x14ac:dyDescent="0.2">
      <c r="A30" s="1"/>
      <c r="B30" s="2565"/>
      <c r="C30" s="129" t="s">
        <v>22</v>
      </c>
      <c r="D30" s="130"/>
      <c r="E30" s="134">
        <v>92</v>
      </c>
      <c r="F30" s="134">
        <v>5</v>
      </c>
      <c r="G30" s="134">
        <v>3</v>
      </c>
      <c r="H30" s="131">
        <f>SUM(E30:G30)</f>
        <v>100</v>
      </c>
      <c r="I30" s="131"/>
      <c r="J30" s="131"/>
      <c r="K30" s="134">
        <v>97.5</v>
      </c>
      <c r="L30" s="2543">
        <f>100-K30</f>
        <v>2.5</v>
      </c>
      <c r="M30" s="2482"/>
      <c r="N30" s="1435"/>
      <c r="O30" s="1286"/>
      <c r="P30" s="95"/>
      <c r="Q30" s="211" t="s">
        <v>162</v>
      </c>
      <c r="R30" s="1248" t="s">
        <v>305</v>
      </c>
      <c r="S30" s="747"/>
      <c r="T30" s="732"/>
      <c r="U30" s="743"/>
      <c r="V30" s="743"/>
      <c r="W30" s="745">
        <f t="shared" si="0"/>
        <v>0</v>
      </c>
      <c r="X30" s="745"/>
      <c r="Y30" s="373"/>
      <c r="Z30" s="373"/>
      <c r="AA30" s="373"/>
      <c r="AB30" s="211"/>
      <c r="AD30" s="211" t="s">
        <v>162</v>
      </c>
      <c r="AE30" s="372"/>
      <c r="AF30" s="211"/>
      <c r="AG30" s="211"/>
      <c r="AH30" s="384"/>
      <c r="AI30" s="97">
        <f t="shared" si="1"/>
        <v>0</v>
      </c>
      <c r="AJ30" s="373"/>
      <c r="AK30" s="373"/>
      <c r="AL30" s="97"/>
    </row>
    <row r="31" spans="1:38" ht="39" customHeight="1" x14ac:dyDescent="0.2">
      <c r="A31" s="1"/>
      <c r="B31" s="2549" t="s">
        <v>343</v>
      </c>
      <c r="C31" s="135" t="s">
        <v>21</v>
      </c>
      <c r="D31" s="160">
        <f>S91</f>
        <v>497019</v>
      </c>
      <c r="E31" s="160">
        <f t="shared" ref="E31:J31" si="9">T91</f>
        <v>420913.5</v>
      </c>
      <c r="F31" s="160">
        <f t="shared" si="9"/>
        <v>0</v>
      </c>
      <c r="G31" s="160">
        <f t="shared" si="9"/>
        <v>5400</v>
      </c>
      <c r="H31" s="160">
        <f t="shared" si="9"/>
        <v>426313.5</v>
      </c>
      <c r="I31" s="1441">
        <f t="shared" si="9"/>
        <v>33.214596838394172</v>
      </c>
      <c r="J31" s="1443" t="e">
        <f t="shared" si="9"/>
        <v>#DIV/0!</v>
      </c>
      <c r="K31" s="135"/>
      <c r="L31" s="1429">
        <f>Z91</f>
        <v>1851</v>
      </c>
      <c r="M31" s="1429">
        <f>AA91</f>
        <v>2887</v>
      </c>
      <c r="N31" s="1436">
        <f>AB91</f>
        <v>146</v>
      </c>
      <c r="O31" s="1286"/>
      <c r="P31" s="95"/>
      <c r="Q31" s="211"/>
      <c r="R31" s="1248" t="s">
        <v>306</v>
      </c>
      <c r="S31" s="749"/>
      <c r="T31" s="743"/>
      <c r="U31" s="743"/>
      <c r="V31" s="743"/>
      <c r="W31" s="745">
        <f t="shared" si="0"/>
        <v>0</v>
      </c>
      <c r="X31" s="745"/>
      <c r="Y31" s="373"/>
      <c r="Z31" s="373"/>
      <c r="AA31" s="373"/>
      <c r="AB31" s="211"/>
      <c r="AD31" s="211"/>
      <c r="AE31" s="372"/>
      <c r="AF31" s="211"/>
      <c r="AG31" s="211"/>
      <c r="AH31" s="384"/>
      <c r="AI31" s="97">
        <f t="shared" si="1"/>
        <v>0</v>
      </c>
      <c r="AJ31" s="373"/>
      <c r="AK31" s="373"/>
      <c r="AL31" s="97"/>
    </row>
    <row r="32" spans="1:38" ht="39" customHeight="1" x14ac:dyDescent="0.2">
      <c r="A32" s="1"/>
      <c r="B32" s="2536"/>
      <c r="C32" s="1382" t="s">
        <v>22</v>
      </c>
      <c r="D32" s="1383"/>
      <c r="E32" s="1384">
        <f>E31/H31*100</f>
        <v>98.733326530827668</v>
      </c>
      <c r="F32" s="1384">
        <f>+F31/H31*100</f>
        <v>0</v>
      </c>
      <c r="G32" s="1384">
        <f>+G31/H31*100</f>
        <v>1.2666734691723345</v>
      </c>
      <c r="H32" s="1385">
        <f>SUM(E32:G32)</f>
        <v>100</v>
      </c>
      <c r="I32" s="1385"/>
      <c r="J32" s="1385"/>
      <c r="K32" s="1384">
        <f>H31/D31*100</f>
        <v>85.774085095338407</v>
      </c>
      <c r="L32" s="2558">
        <f>100-K32</f>
        <v>14.225914904661593</v>
      </c>
      <c r="M32" s="2559"/>
      <c r="N32" s="1437"/>
      <c r="O32" s="1286"/>
      <c r="P32" s="95"/>
      <c r="Q32" s="211"/>
      <c r="R32" s="1248" t="s">
        <v>307</v>
      </c>
      <c r="S32" s="746"/>
      <c r="T32" s="746"/>
      <c r="U32" s="746"/>
      <c r="V32" s="746"/>
      <c r="W32" s="745">
        <f t="shared" si="0"/>
        <v>0</v>
      </c>
      <c r="X32" s="750"/>
      <c r="Y32" s="371"/>
      <c r="Z32" s="371"/>
      <c r="AA32" s="371"/>
      <c r="AB32" s="211"/>
      <c r="AD32" s="211"/>
      <c r="AE32" s="372"/>
      <c r="AF32" s="211"/>
      <c r="AG32" s="211"/>
      <c r="AH32" s="455"/>
      <c r="AI32" s="97">
        <f t="shared" si="1"/>
        <v>0</v>
      </c>
      <c r="AJ32" s="371"/>
      <c r="AK32" s="371"/>
      <c r="AL32" s="133"/>
    </row>
    <row r="33" spans="1:38" ht="39" customHeight="1" x14ac:dyDescent="0.2">
      <c r="A33" s="1"/>
      <c r="B33" s="2551" t="s">
        <v>340</v>
      </c>
      <c r="C33" s="57" t="s">
        <v>21</v>
      </c>
      <c r="D33" s="149">
        <f>AE92</f>
        <v>23338.461538461539</v>
      </c>
      <c r="E33" s="149">
        <f t="shared" ref="E33:J33" si="10">AF92</f>
        <v>20934.599999999999</v>
      </c>
      <c r="F33" s="149">
        <f t="shared" si="10"/>
        <v>1137.75</v>
      </c>
      <c r="G33" s="149">
        <f t="shared" si="10"/>
        <v>682.65</v>
      </c>
      <c r="H33" s="149">
        <f t="shared" si="10"/>
        <v>22755</v>
      </c>
      <c r="I33" s="1185">
        <f t="shared" si="10"/>
        <v>1.85</v>
      </c>
      <c r="J33" s="149">
        <f t="shared" si="10"/>
        <v>12300</v>
      </c>
      <c r="K33" s="150"/>
      <c r="L33" s="57"/>
      <c r="M33" s="57"/>
      <c r="N33" s="1432">
        <v>100</v>
      </c>
      <c r="O33" s="1286"/>
      <c r="P33" s="95"/>
      <c r="Q33" s="211" t="s">
        <v>111</v>
      </c>
      <c r="R33" s="1248" t="s">
        <v>305</v>
      </c>
      <c r="S33" s="747"/>
      <c r="T33" s="732"/>
      <c r="U33" s="743"/>
      <c r="V33" s="743"/>
      <c r="W33" s="745">
        <f t="shared" si="0"/>
        <v>0</v>
      </c>
      <c r="X33" s="745"/>
      <c r="Y33" s="373"/>
      <c r="Z33" s="373"/>
      <c r="AA33" s="373"/>
      <c r="AB33" s="211"/>
      <c r="AD33" s="211" t="s">
        <v>111</v>
      </c>
      <c r="AE33" s="372"/>
      <c r="AF33" s="211"/>
      <c r="AG33" s="211"/>
      <c r="AH33" s="384"/>
      <c r="AI33" s="97">
        <f t="shared" si="1"/>
        <v>0</v>
      </c>
      <c r="AJ33" s="373"/>
      <c r="AK33" s="373"/>
      <c r="AL33" s="97"/>
    </row>
    <row r="34" spans="1:38" ht="39" customHeight="1" x14ac:dyDescent="0.2">
      <c r="A34" s="1"/>
      <c r="B34" s="2551"/>
      <c r="C34" s="57" t="s">
        <v>22</v>
      </c>
      <c r="D34" s="149"/>
      <c r="E34" s="152">
        <v>92</v>
      </c>
      <c r="F34" s="152">
        <v>5</v>
      </c>
      <c r="G34" s="152">
        <v>3</v>
      </c>
      <c r="H34" s="231">
        <f>SUM(E34:G34)</f>
        <v>100</v>
      </c>
      <c r="I34" s="231"/>
      <c r="J34" s="1386"/>
      <c r="K34" s="152">
        <v>97.5</v>
      </c>
      <c r="L34" s="2933">
        <f>100-K34</f>
        <v>2.5</v>
      </c>
      <c r="M34" s="2862"/>
      <c r="N34" s="1319"/>
      <c r="O34" s="1286"/>
      <c r="P34" s="95"/>
      <c r="Q34" s="211"/>
      <c r="R34" s="1248" t="s">
        <v>306</v>
      </c>
      <c r="S34" s="749"/>
      <c r="T34" s="743"/>
      <c r="U34" s="743"/>
      <c r="V34" s="743"/>
      <c r="W34" s="745">
        <f t="shared" si="0"/>
        <v>0</v>
      </c>
      <c r="X34" s="745"/>
      <c r="Y34" s="373"/>
      <c r="Z34" s="373"/>
      <c r="AA34" s="373"/>
      <c r="AB34" s="211"/>
      <c r="AD34" s="211"/>
      <c r="AE34" s="372"/>
      <c r="AF34" s="211"/>
      <c r="AG34" s="211"/>
      <c r="AH34" s="384"/>
      <c r="AI34" s="97">
        <f t="shared" si="1"/>
        <v>0</v>
      </c>
      <c r="AJ34" s="373"/>
      <c r="AK34" s="373"/>
      <c r="AL34" s="97"/>
    </row>
    <row r="35" spans="1:38" ht="39" customHeight="1" x14ac:dyDescent="0.2">
      <c r="A35" s="1"/>
      <c r="B35" s="2551" t="s">
        <v>341</v>
      </c>
      <c r="C35" s="144" t="s">
        <v>21</v>
      </c>
      <c r="D35" s="145">
        <f>S92</f>
        <v>23615</v>
      </c>
      <c r="E35" s="145">
        <f t="shared" ref="E35:J35" si="11">T92</f>
        <v>79593</v>
      </c>
      <c r="F35" s="145">
        <f t="shared" si="11"/>
        <v>0</v>
      </c>
      <c r="G35" s="145">
        <f t="shared" si="11"/>
        <v>8863.5</v>
      </c>
      <c r="H35" s="145">
        <f t="shared" si="11"/>
        <v>88456.5</v>
      </c>
      <c r="I35" s="1440">
        <f t="shared" si="11"/>
        <v>6.7854031616058226</v>
      </c>
      <c r="J35" s="1444" t="e">
        <f t="shared" si="11"/>
        <v>#DIV/0!</v>
      </c>
      <c r="K35" s="144"/>
      <c r="L35" s="483">
        <f>Z92</f>
        <v>0</v>
      </c>
      <c r="M35" s="483">
        <f>AA92</f>
        <v>0</v>
      </c>
      <c r="N35" s="1433">
        <f>AB92</f>
        <v>146</v>
      </c>
      <c r="O35" s="1286"/>
      <c r="P35" s="95"/>
      <c r="Q35" s="211"/>
      <c r="R35" s="1248" t="s">
        <v>307</v>
      </c>
      <c r="S35" s="746"/>
      <c r="T35" s="746"/>
      <c r="U35" s="746"/>
      <c r="V35" s="746"/>
      <c r="W35" s="745">
        <f t="shared" si="0"/>
        <v>0</v>
      </c>
      <c r="X35" s="750"/>
      <c r="Y35" s="371"/>
      <c r="Z35" s="371"/>
      <c r="AA35" s="371"/>
      <c r="AB35" s="211"/>
      <c r="AD35" s="211"/>
      <c r="AE35" s="372"/>
      <c r="AF35" s="211"/>
      <c r="AG35" s="211"/>
      <c r="AH35" s="455"/>
      <c r="AI35" s="97">
        <f t="shared" si="1"/>
        <v>0</v>
      </c>
      <c r="AJ35" s="371"/>
      <c r="AK35" s="371"/>
      <c r="AL35" s="133"/>
    </row>
    <row r="36" spans="1:38" ht="39" customHeight="1" x14ac:dyDescent="0.2">
      <c r="A36" s="1"/>
      <c r="B36" s="2551"/>
      <c r="C36" s="144" t="s">
        <v>22</v>
      </c>
      <c r="D36" s="147"/>
      <c r="E36" s="148">
        <f>+E35/H35*100</f>
        <v>89.979820589781426</v>
      </c>
      <c r="F36" s="148">
        <f>+F35/H35*100</f>
        <v>0</v>
      </c>
      <c r="G36" s="148">
        <f>+G35/H35*100</f>
        <v>10.020179410218583</v>
      </c>
      <c r="H36" s="146">
        <f>SUM(E36:G36)</f>
        <v>100.00000000000001</v>
      </c>
      <c r="I36" s="146"/>
      <c r="J36" s="146"/>
      <c r="K36" s="148">
        <f>H35/D35*100</f>
        <v>374.57759898369682</v>
      </c>
      <c r="L36" s="2934">
        <f>100-K36</f>
        <v>-274.57759898369682</v>
      </c>
      <c r="M36" s="2935"/>
      <c r="N36" s="1318"/>
      <c r="O36" s="1286"/>
      <c r="P36" s="95"/>
      <c r="Q36" s="211" t="s">
        <v>29</v>
      </c>
      <c r="R36" s="1248" t="s">
        <v>305</v>
      </c>
      <c r="S36" s="747"/>
      <c r="T36" s="732"/>
      <c r="U36" s="743"/>
      <c r="V36" s="743"/>
      <c r="W36" s="745">
        <f t="shared" si="0"/>
        <v>0</v>
      </c>
      <c r="X36" s="745"/>
      <c r="Y36" s="373"/>
      <c r="Z36" s="373"/>
      <c r="AA36" s="373"/>
      <c r="AB36" s="211"/>
      <c r="AD36" s="211" t="s">
        <v>29</v>
      </c>
      <c r="AE36" s="372"/>
      <c r="AF36" s="211"/>
      <c r="AG36" s="211"/>
      <c r="AH36" s="384"/>
      <c r="AI36" s="97">
        <f t="shared" si="1"/>
        <v>0</v>
      </c>
      <c r="AJ36" s="373"/>
      <c r="AK36" s="373"/>
      <c r="AL36" s="97"/>
    </row>
    <row r="37" spans="1:38" ht="39" customHeight="1" x14ac:dyDescent="0.2">
      <c r="A37" s="1"/>
      <c r="B37" s="2927" t="s">
        <v>1000</v>
      </c>
      <c r="C37" s="17" t="s">
        <v>21</v>
      </c>
      <c r="D37" s="1447">
        <f t="shared" ref="D37:I37" si="12">D29+D33</f>
        <v>511593.02564102568</v>
      </c>
      <c r="E37" s="1447">
        <f t="shared" si="12"/>
        <v>467371.42239999992</v>
      </c>
      <c r="F37" s="1447">
        <f t="shared" si="12"/>
        <v>18682.058400000002</v>
      </c>
      <c r="G37" s="1447">
        <f t="shared" si="12"/>
        <v>13505.4792</v>
      </c>
      <c r="H37" s="1447">
        <f t="shared" si="12"/>
        <v>499558.95999999996</v>
      </c>
      <c r="I37" s="1448">
        <f t="shared" si="12"/>
        <v>40</v>
      </c>
      <c r="J37" s="1447">
        <f>H37/I37+11</f>
        <v>12499.973999999998</v>
      </c>
      <c r="K37" s="23"/>
      <c r="L37" s="17"/>
      <c r="M37" s="17"/>
      <c r="N37" s="1449">
        <v>100</v>
      </c>
      <c r="O37" s="1286"/>
      <c r="P37" s="95"/>
      <c r="Q37" s="211"/>
      <c r="R37" s="1248"/>
      <c r="S37" s="747"/>
      <c r="T37" s="732"/>
      <c r="U37" s="743"/>
      <c r="V37" s="743"/>
      <c r="W37" s="745"/>
      <c r="X37" s="745"/>
      <c r="Y37" s="373"/>
      <c r="Z37" s="373"/>
      <c r="AA37" s="373"/>
      <c r="AB37" s="211"/>
      <c r="AD37" s="211"/>
      <c r="AE37" s="372"/>
      <c r="AF37" s="211"/>
      <c r="AG37" s="211"/>
      <c r="AH37" s="384"/>
      <c r="AI37" s="97"/>
      <c r="AJ37" s="373"/>
      <c r="AK37" s="373"/>
      <c r="AL37" s="97"/>
    </row>
    <row r="38" spans="1:38" ht="39" customHeight="1" x14ac:dyDescent="0.2">
      <c r="A38" s="1"/>
      <c r="B38" s="2927"/>
      <c r="C38" s="17" t="s">
        <v>22</v>
      </c>
      <c r="D38" s="1447"/>
      <c r="E38" s="1450">
        <v>92</v>
      </c>
      <c r="F38" s="1450">
        <v>5</v>
      </c>
      <c r="G38" s="1450">
        <v>3</v>
      </c>
      <c r="H38" s="1451">
        <f>SUM(E38:G38)</f>
        <v>100</v>
      </c>
      <c r="I38" s="1451"/>
      <c r="J38" s="1451"/>
      <c r="K38" s="1450">
        <v>97.5</v>
      </c>
      <c r="L38" s="2928">
        <f>100-K38</f>
        <v>2.5</v>
      </c>
      <c r="M38" s="2862"/>
      <c r="N38" s="1452"/>
      <c r="O38" s="1286"/>
      <c r="P38" s="95"/>
      <c r="Q38" s="211"/>
      <c r="R38" s="1248"/>
      <c r="S38" s="747"/>
      <c r="T38" s="732"/>
      <c r="U38" s="743"/>
      <c r="V38" s="743"/>
      <c r="W38" s="745"/>
      <c r="X38" s="745"/>
      <c r="Y38" s="373"/>
      <c r="Z38" s="373"/>
      <c r="AA38" s="373"/>
      <c r="AB38" s="211"/>
      <c r="AD38" s="211"/>
      <c r="AE38" s="372"/>
      <c r="AF38" s="211"/>
      <c r="AG38" s="211"/>
      <c r="AH38" s="384"/>
      <c r="AI38" s="97"/>
      <c r="AJ38" s="373"/>
      <c r="AK38" s="373"/>
      <c r="AL38" s="97"/>
    </row>
    <row r="39" spans="1:38" ht="39" customHeight="1" x14ac:dyDescent="0.2">
      <c r="A39" s="1"/>
      <c r="B39" s="2927" t="s">
        <v>1001</v>
      </c>
      <c r="C39" s="17" t="s">
        <v>21</v>
      </c>
      <c r="D39" s="1453">
        <f t="shared" ref="D39:I39" si="13">D31+D35</f>
        <v>520634</v>
      </c>
      <c r="E39" s="1453">
        <f t="shared" si="13"/>
        <v>500506.5</v>
      </c>
      <c r="F39" s="1453">
        <f t="shared" si="13"/>
        <v>0</v>
      </c>
      <c r="G39" s="1453">
        <f t="shared" si="13"/>
        <v>14263.5</v>
      </c>
      <c r="H39" s="1453">
        <f t="shared" si="13"/>
        <v>514770</v>
      </c>
      <c r="I39" s="1454">
        <f t="shared" si="13"/>
        <v>39.999999999999993</v>
      </c>
      <c r="J39" s="1453">
        <f>H39/I39</f>
        <v>12869.250000000002</v>
      </c>
      <c r="K39" s="1365">
        <f>H39/D39*100</f>
        <v>98.873680935167513</v>
      </c>
      <c r="L39" s="2929">
        <f>100-K39</f>
        <v>1.1263190648324866</v>
      </c>
      <c r="M39" s="2930"/>
      <c r="N39" s="1449">
        <v>146</v>
      </c>
      <c r="O39" s="1286"/>
      <c r="P39" s="95"/>
      <c r="Q39" s="211"/>
      <c r="R39" s="1248"/>
      <c r="S39" s="747"/>
      <c r="T39" s="732"/>
      <c r="U39" s="743"/>
      <c r="V39" s="743"/>
      <c r="W39" s="745"/>
      <c r="X39" s="745"/>
      <c r="Y39" s="373"/>
      <c r="Z39" s="373"/>
      <c r="AA39" s="373"/>
      <c r="AB39" s="211"/>
      <c r="AD39" s="211"/>
      <c r="AE39" s="372"/>
      <c r="AF39" s="211"/>
      <c r="AG39" s="211"/>
      <c r="AH39" s="384"/>
      <c r="AI39" s="97"/>
      <c r="AJ39" s="373"/>
      <c r="AK39" s="373"/>
      <c r="AL39" s="97"/>
    </row>
    <row r="40" spans="1:38" ht="39" customHeight="1" x14ac:dyDescent="0.2">
      <c r="A40" s="1"/>
      <c r="B40" s="2927"/>
      <c r="C40" s="17" t="s">
        <v>22</v>
      </c>
      <c r="D40" s="1447"/>
      <c r="E40" s="1450">
        <f>+E39/H39*100</f>
        <v>97.229150882918574</v>
      </c>
      <c r="F40" s="1450">
        <f>+F39/H39*100</f>
        <v>0</v>
      </c>
      <c r="G40" s="1450">
        <f>+G39/H39*100</f>
        <v>2.7708491170814149</v>
      </c>
      <c r="H40" s="23">
        <f>SUM(E40:G40)</f>
        <v>99.999999999999986</v>
      </c>
      <c r="I40" s="23"/>
      <c r="J40" s="23"/>
      <c r="K40" s="1455">
        <f>H39/D39*100</f>
        <v>98.873680935167513</v>
      </c>
      <c r="L40" s="2931">
        <f>100-K40</f>
        <v>1.1263190648324866</v>
      </c>
      <c r="M40" s="2932"/>
      <c r="N40" s="1452"/>
      <c r="O40" s="1286"/>
      <c r="P40" s="95"/>
      <c r="Q40" s="211"/>
      <c r="R40" s="1248"/>
      <c r="S40" s="747"/>
      <c r="T40" s="732"/>
      <c r="U40" s="743"/>
      <c r="V40" s="743"/>
      <c r="W40" s="745"/>
      <c r="X40" s="745"/>
      <c r="Y40" s="373"/>
      <c r="Z40" s="373"/>
      <c r="AA40" s="373"/>
      <c r="AB40" s="211"/>
      <c r="AD40" s="211"/>
      <c r="AE40" s="372"/>
      <c r="AF40" s="211"/>
      <c r="AG40" s="211"/>
      <c r="AH40" s="384"/>
      <c r="AI40" s="97"/>
      <c r="AJ40" s="373"/>
      <c r="AK40" s="373"/>
      <c r="AL40" s="97"/>
    </row>
    <row r="41" spans="1:38" ht="39" customHeight="1" x14ac:dyDescent="0.2">
      <c r="A41" s="1"/>
      <c r="B41" s="2927" t="s">
        <v>344</v>
      </c>
      <c r="C41" s="17" t="s">
        <v>21</v>
      </c>
      <c r="D41" s="1447">
        <f t="shared" ref="D41:J41" si="14">AE121</f>
        <v>117312.82051282052</v>
      </c>
      <c r="E41" s="1447">
        <f t="shared" si="14"/>
        <v>101798.2</v>
      </c>
      <c r="F41" s="1447">
        <f t="shared" si="14"/>
        <v>5719</v>
      </c>
      <c r="G41" s="1447">
        <f t="shared" si="14"/>
        <v>6862.8</v>
      </c>
      <c r="H41" s="1447">
        <f t="shared" si="14"/>
        <v>114380</v>
      </c>
      <c r="I41" s="1448">
        <f t="shared" si="14"/>
        <v>9.5</v>
      </c>
      <c r="J41" s="1447">
        <f t="shared" si="14"/>
        <v>12040</v>
      </c>
      <c r="K41" s="23"/>
      <c r="L41" s="17"/>
      <c r="M41" s="17"/>
      <c r="N41" s="1449">
        <v>100</v>
      </c>
      <c r="O41" s="1286"/>
      <c r="P41" s="95"/>
      <c r="Q41" s="211"/>
      <c r="R41" s="1248" t="s">
        <v>306</v>
      </c>
      <c r="S41" s="458"/>
      <c r="T41" s="732"/>
      <c r="U41" s="743"/>
      <c r="V41" s="743"/>
      <c r="W41" s="745">
        <f t="shared" si="0"/>
        <v>0</v>
      </c>
      <c r="X41" s="745"/>
      <c r="Y41" s="373"/>
      <c r="Z41" s="373"/>
      <c r="AA41" s="373"/>
      <c r="AB41" s="211"/>
      <c r="AD41" s="211"/>
      <c r="AE41" s="372"/>
      <c r="AF41" s="211"/>
      <c r="AG41" s="211"/>
      <c r="AH41" s="384"/>
      <c r="AI41" s="97">
        <f t="shared" si="1"/>
        <v>0</v>
      </c>
      <c r="AJ41" s="373"/>
      <c r="AK41" s="373"/>
      <c r="AL41" s="97"/>
    </row>
    <row r="42" spans="1:38" ht="39" customHeight="1" x14ac:dyDescent="0.2">
      <c r="A42" s="1"/>
      <c r="B42" s="2927"/>
      <c r="C42" s="17" t="s">
        <v>22</v>
      </c>
      <c r="D42" s="1447"/>
      <c r="E42" s="1450">
        <v>92</v>
      </c>
      <c r="F42" s="1450">
        <v>5</v>
      </c>
      <c r="G42" s="1450">
        <v>3</v>
      </c>
      <c r="H42" s="23">
        <f>SUM(E42:G42)</f>
        <v>100</v>
      </c>
      <c r="I42" s="1456"/>
      <c r="J42" s="23"/>
      <c r="K42" s="1450">
        <v>97.5</v>
      </c>
      <c r="L42" s="2936">
        <f>100-K42</f>
        <v>2.5</v>
      </c>
      <c r="M42" s="2936"/>
      <c r="N42" s="1452"/>
      <c r="O42" s="1286"/>
      <c r="P42" s="95"/>
      <c r="Q42" s="211"/>
      <c r="R42" s="1248" t="s">
        <v>307</v>
      </c>
      <c r="S42" s="458"/>
      <c r="T42" s="1251"/>
      <c r="U42" s="746"/>
      <c r="V42" s="746"/>
      <c r="W42" s="745">
        <f t="shared" si="0"/>
        <v>0</v>
      </c>
      <c r="X42" s="750"/>
      <c r="Y42" s="371"/>
      <c r="Z42" s="371"/>
      <c r="AA42" s="371"/>
      <c r="AB42" s="211"/>
      <c r="AD42" s="211"/>
      <c r="AE42" s="372"/>
      <c r="AF42" s="211"/>
      <c r="AG42" s="211"/>
      <c r="AH42" s="455"/>
      <c r="AI42" s="97">
        <f t="shared" si="1"/>
        <v>0</v>
      </c>
      <c r="AJ42" s="371"/>
      <c r="AK42" s="371"/>
      <c r="AL42" s="133"/>
    </row>
    <row r="43" spans="1:38" ht="39" customHeight="1" x14ac:dyDescent="0.2">
      <c r="A43" s="1"/>
      <c r="B43" s="2921" t="s">
        <v>345</v>
      </c>
      <c r="C43" s="1457" t="s">
        <v>21</v>
      </c>
      <c r="D43" s="1458">
        <f t="shared" ref="D43:J43" si="15">S121</f>
        <v>119675</v>
      </c>
      <c r="E43" s="1458">
        <f t="shared" si="15"/>
        <v>93891.6</v>
      </c>
      <c r="F43" s="1458">
        <f t="shared" si="15"/>
        <v>0</v>
      </c>
      <c r="G43" s="1458">
        <f t="shared" si="15"/>
        <v>5347.08</v>
      </c>
      <c r="H43" s="1458">
        <f t="shared" si="15"/>
        <v>99238.680000000008</v>
      </c>
      <c r="I43" s="1459">
        <f t="shared" si="15"/>
        <v>8.0883283144158753</v>
      </c>
      <c r="J43" s="1460">
        <f t="shared" si="15"/>
        <v>12269.368421052632</v>
      </c>
      <c r="K43" s="1457"/>
      <c r="L43" s="1461">
        <f>Z121</f>
        <v>712.8</v>
      </c>
      <c r="M43" s="1461">
        <f>AA121</f>
        <v>758.52</v>
      </c>
      <c r="N43" s="1462">
        <f>AB121</f>
        <v>230</v>
      </c>
      <c r="O43" s="1288"/>
      <c r="P43" s="158"/>
      <c r="Q43" s="383" t="s">
        <v>31</v>
      </c>
      <c r="R43" s="1248" t="s">
        <v>305</v>
      </c>
      <c r="S43" s="747"/>
      <c r="T43" s="732"/>
      <c r="U43" s="743"/>
      <c r="V43" s="743"/>
      <c r="W43" s="745">
        <f t="shared" si="0"/>
        <v>0</v>
      </c>
      <c r="X43" s="745"/>
      <c r="Y43" s="373"/>
      <c r="Z43" s="373"/>
      <c r="AA43" s="373"/>
      <c r="AB43" s="211"/>
      <c r="AD43" s="383" t="s">
        <v>31</v>
      </c>
      <c r="AE43" s="372"/>
      <c r="AF43" s="211"/>
      <c r="AG43" s="211"/>
      <c r="AH43" s="384"/>
      <c r="AI43" s="97">
        <f t="shared" si="1"/>
        <v>0</v>
      </c>
      <c r="AJ43" s="373"/>
      <c r="AK43" s="373"/>
      <c r="AL43" s="97"/>
    </row>
    <row r="44" spans="1:38" ht="39" customHeight="1" x14ac:dyDescent="0.2">
      <c r="A44" s="1"/>
      <c r="B44" s="2478"/>
      <c r="C44" s="1463" t="s">
        <v>22</v>
      </c>
      <c r="D44" s="1464"/>
      <c r="E44" s="1465">
        <f>+E43/H43*100</f>
        <v>94.611899311840915</v>
      </c>
      <c r="F44" s="1465">
        <f>+F43/H43*100</f>
        <v>0</v>
      </c>
      <c r="G44" s="1465">
        <f>+G43/H43*100</f>
        <v>5.388100688159092</v>
      </c>
      <c r="H44" s="665">
        <f>SUM(E44:G44)</f>
        <v>100</v>
      </c>
      <c r="I44" s="665"/>
      <c r="J44" s="665"/>
      <c r="K44" s="1465">
        <f>H43/D43*100</f>
        <v>82.923484437016924</v>
      </c>
      <c r="L44" s="2922">
        <f>100-K44</f>
        <v>17.076515562983076</v>
      </c>
      <c r="M44" s="2482"/>
      <c r="N44" s="1466"/>
      <c r="O44" s="1288"/>
      <c r="P44" s="158"/>
      <c r="Q44" s="382"/>
      <c r="R44" s="1248" t="s">
        <v>306</v>
      </c>
      <c r="S44" s="458"/>
      <c r="T44" s="732"/>
      <c r="U44" s="743"/>
      <c r="V44" s="743"/>
      <c r="W44" s="745">
        <f t="shared" si="0"/>
        <v>0</v>
      </c>
      <c r="X44" s="745"/>
      <c r="Y44" s="373"/>
      <c r="Z44" s="373"/>
      <c r="AA44" s="373"/>
      <c r="AB44" s="211"/>
      <c r="AD44" s="382"/>
      <c r="AE44" s="372"/>
      <c r="AF44" s="211"/>
      <c r="AG44" s="211"/>
      <c r="AH44" s="384"/>
      <c r="AI44" s="97">
        <f t="shared" si="1"/>
        <v>0</v>
      </c>
      <c r="AJ44" s="373"/>
      <c r="AK44" s="373"/>
      <c r="AL44" s="97"/>
    </row>
    <row r="45" spans="1:38" ht="39" customHeight="1" x14ac:dyDescent="0.2">
      <c r="A45" s="1"/>
      <c r="B45" s="2923" t="s">
        <v>346</v>
      </c>
      <c r="C45" s="1463" t="s">
        <v>21</v>
      </c>
      <c r="D45" s="1464">
        <f>AE99</f>
        <v>0</v>
      </c>
      <c r="E45" s="1464">
        <f t="shared" ref="E45:J45" si="16">AF99</f>
        <v>0</v>
      </c>
      <c r="F45" s="1464">
        <f t="shared" si="16"/>
        <v>0</v>
      </c>
      <c r="G45" s="1464">
        <f t="shared" si="16"/>
        <v>0</v>
      </c>
      <c r="H45" s="1464">
        <f t="shared" si="16"/>
        <v>0</v>
      </c>
      <c r="I45" s="1464">
        <f t="shared" si="16"/>
        <v>0</v>
      </c>
      <c r="J45" s="1464">
        <f t="shared" si="16"/>
        <v>0</v>
      </c>
      <c r="K45" s="665"/>
      <c r="L45" s="1463"/>
      <c r="M45" s="1463"/>
      <c r="N45" s="1434">
        <v>100</v>
      </c>
      <c r="O45" s="1286"/>
      <c r="P45" s="95"/>
      <c r="Q45" s="466"/>
      <c r="R45" s="1250" t="s">
        <v>307</v>
      </c>
      <c r="S45" s="458"/>
      <c r="T45" s="1251"/>
      <c r="U45" s="746"/>
      <c r="V45" s="746"/>
      <c r="W45" s="745">
        <f t="shared" si="0"/>
        <v>0</v>
      </c>
      <c r="X45" s="750"/>
      <c r="Y45" s="371"/>
      <c r="Z45" s="371"/>
      <c r="AA45" s="371"/>
      <c r="AB45" s="211"/>
      <c r="AD45" s="466"/>
      <c r="AE45" s="467"/>
      <c r="AF45" s="211"/>
      <c r="AG45" s="211"/>
      <c r="AH45" s="455"/>
      <c r="AI45" s="97">
        <f t="shared" si="1"/>
        <v>0</v>
      </c>
      <c r="AJ45" s="371"/>
      <c r="AK45" s="371"/>
      <c r="AL45" s="133"/>
    </row>
    <row r="46" spans="1:38" ht="39" customHeight="1" x14ac:dyDescent="0.2">
      <c r="A46" s="1"/>
      <c r="B46" s="2478"/>
      <c r="C46" s="1463" t="s">
        <v>22</v>
      </c>
      <c r="D46" s="1464"/>
      <c r="E46" s="1465">
        <v>89</v>
      </c>
      <c r="F46" s="1465">
        <v>8</v>
      </c>
      <c r="G46" s="1465">
        <v>3</v>
      </c>
      <c r="H46" s="665">
        <f>SUM(E46:G46)</f>
        <v>100</v>
      </c>
      <c r="I46" s="665"/>
      <c r="J46" s="665"/>
      <c r="K46" s="1465">
        <v>97.5</v>
      </c>
      <c r="L46" s="2924">
        <f>100-K46</f>
        <v>2.5</v>
      </c>
      <c r="M46" s="2482"/>
      <c r="N46" s="1174"/>
      <c r="O46" s="1286"/>
      <c r="P46" s="95"/>
      <c r="Q46" s="2466" t="s">
        <v>89</v>
      </c>
      <c r="R46" s="2925"/>
      <c r="S46" s="752">
        <f>SUM(S6:S45)</f>
        <v>1733166</v>
      </c>
      <c r="T46" s="751">
        <f t="shared" ref="T46:AA46" si="17">SUM(T6:T45)</f>
        <v>1562421.6</v>
      </c>
      <c r="U46" s="752">
        <f t="shared" si="17"/>
        <v>50064.479999999996</v>
      </c>
      <c r="V46" s="752">
        <f t="shared" si="17"/>
        <v>90155.51999999999</v>
      </c>
      <c r="W46" s="753">
        <f t="shared" si="17"/>
        <v>1702641.5999999999</v>
      </c>
      <c r="X46" s="769">
        <f t="shared" si="17"/>
        <v>111.95000633718044</v>
      </c>
      <c r="Y46" s="474">
        <f>W46/X46</f>
        <v>15208.945990336444</v>
      </c>
      <c r="Z46" s="474">
        <f t="shared" si="17"/>
        <v>7357.02</v>
      </c>
      <c r="AA46" s="474">
        <f t="shared" si="17"/>
        <v>7800.7999999999993</v>
      </c>
      <c r="AB46" s="774">
        <f>SUM(AB6:AB45)/5</f>
        <v>26</v>
      </c>
      <c r="AC46" s="103"/>
      <c r="AD46" s="468" t="s">
        <v>89</v>
      </c>
      <c r="AE46" s="468">
        <f t="shared" ref="AE46:AJ46" si="18">SUM(AE6:AE45)</f>
        <v>1674275.7853908949</v>
      </c>
      <c r="AF46" s="468">
        <f t="shared" si="18"/>
        <v>1198573.2350000001</v>
      </c>
      <c r="AG46" s="468">
        <f t="shared" si="18"/>
        <v>80802.69</v>
      </c>
      <c r="AH46" s="468">
        <f t="shared" si="18"/>
        <v>67335.574999999997</v>
      </c>
      <c r="AI46" s="474">
        <f t="shared" si="18"/>
        <v>1346711.5</v>
      </c>
      <c r="AJ46" s="704">
        <f t="shared" si="18"/>
        <v>111.75</v>
      </c>
      <c r="AK46" s="474">
        <f>AI46/AJ46</f>
        <v>12051.1096196868</v>
      </c>
      <c r="AL46" s="774">
        <v>40</v>
      </c>
    </row>
    <row r="47" spans="1:38" ht="39" customHeight="1" x14ac:dyDescent="0.2">
      <c r="A47" s="1"/>
      <c r="B47" s="2923" t="s">
        <v>347</v>
      </c>
      <c r="C47" s="1463" t="s">
        <v>21</v>
      </c>
      <c r="D47" s="1467">
        <f>S122</f>
        <v>0</v>
      </c>
      <c r="E47" s="1467">
        <f t="shared" ref="E47:J47" si="19">T122</f>
        <v>16918.2</v>
      </c>
      <c r="F47" s="1467">
        <f t="shared" si="19"/>
        <v>0</v>
      </c>
      <c r="G47" s="1467">
        <f t="shared" si="19"/>
        <v>402.12</v>
      </c>
      <c r="H47" s="1467">
        <f t="shared" si="19"/>
        <v>17320.32</v>
      </c>
      <c r="I47" s="1468">
        <f t="shared" si="19"/>
        <v>1.4116716855841247</v>
      </c>
      <c r="J47" s="1467">
        <f t="shared" si="19"/>
        <v>12269.368421052632</v>
      </c>
      <c r="K47" s="1463"/>
      <c r="L47" s="1469">
        <f>Z122</f>
        <v>0</v>
      </c>
      <c r="M47" s="1469">
        <f>AA122</f>
        <v>0</v>
      </c>
      <c r="N47" s="1174">
        <f>AB122</f>
        <v>0</v>
      </c>
      <c r="O47" s="1286"/>
      <c r="P47" s="95"/>
      <c r="Q47" s="2466" t="s">
        <v>308</v>
      </c>
      <c r="R47" s="2925"/>
      <c r="S47" s="752"/>
      <c r="T47" s="1515">
        <f>T6+T9+T12+T15+T18+T21+T24+T27+T30+T33+T36+T43</f>
        <v>1203423.8399999999</v>
      </c>
      <c r="U47" s="755">
        <f>U6+U9+U12+U15+U18+U21+U24+U27+U30+U33+U36+U43</f>
        <v>46261.439999999995</v>
      </c>
      <c r="V47" s="755">
        <f>V6+V9+V12+V15+V18+V21+V24+V27+V30+V33+V36+V43</f>
        <v>66183.839999999997</v>
      </c>
      <c r="W47" s="756">
        <f>W6+W9+W12+W15+W18+W21+W24+W27+W30+W33+W36+W43</f>
        <v>1315869.1200000001</v>
      </c>
      <c r="X47" s="1209">
        <f>X6+X9+X12+X15+X18+X21+X24+X27+X30+X33+X36+X43</f>
        <v>86.756006392385189</v>
      </c>
      <c r="Y47" s="474">
        <f t="shared" ref="Y47:Y53" si="20">W47/X47</f>
        <v>15167.469950708768</v>
      </c>
      <c r="Z47" s="756">
        <f>Z6+Z9+Z12+Z15+Z18+Z21+Z24+Z27+Z30+Z33+Z36+Z43</f>
        <v>7357.02</v>
      </c>
      <c r="AA47" s="756">
        <f>AA6+AA9+AA12+AA15+AA18+AA21+AA24+AA27+AA30+AA33+AA36+AA43</f>
        <v>7800.7999999999993</v>
      </c>
      <c r="AB47" s="472"/>
      <c r="AD47" s="472" t="s">
        <v>308</v>
      </c>
      <c r="AE47" s="697"/>
      <c r="AF47" s="468"/>
      <c r="AG47" s="468"/>
      <c r="AH47" s="497">
        <f>AH6+AH9+AH12+AH15+AH18+AH21+AH24+AH27+AH30+AH33+AH36+AH43</f>
        <v>67335.574999999997</v>
      </c>
      <c r="AI47" s="470">
        <f>AI6+AI9+AI12+AI15+AI18+AI21+AI24+AI27+AI30+AI33+AI36+AI43</f>
        <v>1346711.5</v>
      </c>
      <c r="AJ47" s="472"/>
      <c r="AK47" s="472"/>
      <c r="AL47" s="472"/>
    </row>
    <row r="48" spans="1:38" ht="39" customHeight="1" x14ac:dyDescent="0.2">
      <c r="A48" s="1"/>
      <c r="B48" s="2550"/>
      <c r="C48" s="1470" t="s">
        <v>22</v>
      </c>
      <c r="D48" s="1471"/>
      <c r="E48" s="1472">
        <f>+E47/H47*100</f>
        <v>97.678333887595613</v>
      </c>
      <c r="F48" s="1472">
        <f>+F47/H47*100</f>
        <v>0</v>
      </c>
      <c r="G48" s="1472">
        <f>+G47/H47*100</f>
        <v>2.3216661124043898</v>
      </c>
      <c r="H48" s="1473">
        <f>SUM(E48:G48)</f>
        <v>100</v>
      </c>
      <c r="I48" s="1473"/>
      <c r="J48" s="1473"/>
      <c r="K48" s="1472" t="e">
        <f>H47/D47*100</f>
        <v>#DIV/0!</v>
      </c>
      <c r="L48" s="2926" t="e">
        <f>100-K48</f>
        <v>#DIV/0!</v>
      </c>
      <c r="M48" s="2492"/>
      <c r="N48" s="1474"/>
      <c r="O48" s="1286"/>
      <c r="P48" s="95"/>
      <c r="Q48" s="2466" t="s">
        <v>309</v>
      </c>
      <c r="R48" s="2925"/>
      <c r="S48" s="752"/>
      <c r="T48" s="1515">
        <f>T7+T10+T13+T16+T19+T22+T25+T28+T31+T34+T41+T44</f>
        <v>307101.59999999998</v>
      </c>
      <c r="U48" s="755">
        <f>U7+U10+U13+U16+U19+U22+U25+U28+U31+U34+U41+U44</f>
        <v>3644.6400000000003</v>
      </c>
      <c r="V48" s="755">
        <f>V7+V10+V13+V16+V19+V22+V25+V28+V31+V34+V41+V44</f>
        <v>21886.559999999998</v>
      </c>
      <c r="W48" s="756">
        <f>W7+W10+W13+W16+W19+W22+W25+W28+W31+W34+W41+W44</f>
        <v>332632.8</v>
      </c>
      <c r="X48" s="1209">
        <f>X7+X10+X13+X16+X19+X22+X25+X28+X31+X34+X41+X44</f>
        <v>21.482097253391224</v>
      </c>
      <c r="Y48" s="474">
        <f t="shared" si="20"/>
        <v>15484.186486842649</v>
      </c>
      <c r="Z48" s="756">
        <f>Z7+Z10+Z13+Z16+Z19+Z22+Z25+Z28+Z31+Z34+Z41+Z44</f>
        <v>0</v>
      </c>
      <c r="AA48" s="756">
        <f>AA7+AA10+AA13+AA16+AA19+AA22+AA25+AA28+AA31+AA34+AA41+AA44</f>
        <v>0</v>
      </c>
      <c r="AB48" s="472"/>
      <c r="AD48" s="472" t="s">
        <v>309</v>
      </c>
      <c r="AE48" s="697"/>
      <c r="AF48" s="468"/>
      <c r="AG48" s="468"/>
      <c r="AH48" s="497">
        <f>AH7+AH10+AH13+AH16+AH19+AH22+AH25+AH28+AH31+AH34+AH41+AH44</f>
        <v>0</v>
      </c>
      <c r="AI48" s="470">
        <f>AI7+AI10+AI13+AI16+AI19+AI22+AI25+AI28+AI31+AI34+AI41+AI44</f>
        <v>0</v>
      </c>
      <c r="AJ48" s="472"/>
      <c r="AK48" s="472"/>
      <c r="AL48" s="472"/>
    </row>
    <row r="49" spans="1:38" ht="39" customHeight="1" x14ac:dyDescent="0.2">
      <c r="A49" s="1"/>
      <c r="B49" s="2927" t="s">
        <v>1002</v>
      </c>
      <c r="C49" s="17" t="s">
        <v>21</v>
      </c>
      <c r="D49" s="1447">
        <f t="shared" ref="D49:I49" si="21">D41+D45</f>
        <v>117312.82051282052</v>
      </c>
      <c r="E49" s="1447">
        <f t="shared" si="21"/>
        <v>101798.2</v>
      </c>
      <c r="F49" s="1447">
        <f t="shared" si="21"/>
        <v>5719</v>
      </c>
      <c r="G49" s="1447">
        <f t="shared" si="21"/>
        <v>6862.8</v>
      </c>
      <c r="H49" s="1447">
        <f t="shared" si="21"/>
        <v>114380</v>
      </c>
      <c r="I49" s="1448">
        <f t="shared" si="21"/>
        <v>9.5</v>
      </c>
      <c r="J49" s="1447">
        <f>H49/I49</f>
        <v>12040</v>
      </c>
      <c r="K49" s="23"/>
      <c r="L49" s="17"/>
      <c r="M49" s="17"/>
      <c r="N49" s="1449">
        <v>100</v>
      </c>
      <c r="O49" s="1286"/>
      <c r="P49" s="95"/>
      <c r="Q49" s="468"/>
      <c r="R49" s="474"/>
      <c r="S49" s="752"/>
      <c r="T49" s="1515"/>
      <c r="U49" s="755"/>
      <c r="V49" s="755"/>
      <c r="W49" s="756"/>
      <c r="X49" s="1209"/>
      <c r="Y49" s="474"/>
      <c r="Z49" s="756"/>
      <c r="AA49" s="756"/>
      <c r="AB49" s="472"/>
      <c r="AD49" s="472"/>
      <c r="AE49" s="697"/>
      <c r="AF49" s="468"/>
      <c r="AG49" s="468"/>
      <c r="AH49" s="497"/>
      <c r="AI49" s="470"/>
      <c r="AJ49" s="472"/>
      <c r="AK49" s="471"/>
      <c r="AL49" s="471"/>
    </row>
    <row r="50" spans="1:38" ht="39" customHeight="1" x14ac:dyDescent="0.2">
      <c r="A50" s="1"/>
      <c r="B50" s="2927"/>
      <c r="C50" s="17" t="s">
        <v>22</v>
      </c>
      <c r="D50" s="1447"/>
      <c r="E50" s="1450">
        <v>92</v>
      </c>
      <c r="F50" s="1450">
        <v>5</v>
      </c>
      <c r="G50" s="1450">
        <v>3</v>
      </c>
      <c r="H50" s="1451">
        <f>SUM(E50:G50)</f>
        <v>100</v>
      </c>
      <c r="I50" s="1451"/>
      <c r="J50" s="1451"/>
      <c r="K50" s="1450">
        <v>97.5</v>
      </c>
      <c r="L50" s="2928">
        <f>100-K50</f>
        <v>2.5</v>
      </c>
      <c r="M50" s="2862"/>
      <c r="N50" s="1452"/>
      <c r="O50" s="1286"/>
      <c r="P50" s="95"/>
      <c r="Q50" s="468"/>
      <c r="R50" s="474"/>
      <c r="S50" s="752"/>
      <c r="T50" s="1515"/>
      <c r="U50" s="755"/>
      <c r="V50" s="755"/>
      <c r="W50" s="756"/>
      <c r="X50" s="1209"/>
      <c r="Y50" s="474"/>
      <c r="Z50" s="756"/>
      <c r="AA50" s="756"/>
      <c r="AB50" s="472"/>
      <c r="AD50" s="472"/>
      <c r="AE50" s="697"/>
      <c r="AF50" s="468"/>
      <c r="AG50" s="468"/>
      <c r="AH50" s="497"/>
      <c r="AI50" s="470"/>
      <c r="AJ50" s="472"/>
      <c r="AK50" s="471"/>
      <c r="AL50" s="471"/>
    </row>
    <row r="51" spans="1:38" ht="39" customHeight="1" x14ac:dyDescent="0.2">
      <c r="A51" s="1"/>
      <c r="B51" s="2927" t="s">
        <v>1003</v>
      </c>
      <c r="C51" s="17" t="s">
        <v>21</v>
      </c>
      <c r="D51" s="1453">
        <f t="shared" ref="D51:I51" si="22">D43+D47</f>
        <v>119675</v>
      </c>
      <c r="E51" s="1453">
        <f t="shared" si="22"/>
        <v>110809.8</v>
      </c>
      <c r="F51" s="1453">
        <f t="shared" si="22"/>
        <v>0</v>
      </c>
      <c r="G51" s="1453">
        <f t="shared" si="22"/>
        <v>5749.2</v>
      </c>
      <c r="H51" s="1453">
        <f t="shared" si="22"/>
        <v>116559</v>
      </c>
      <c r="I51" s="1454">
        <f t="shared" si="22"/>
        <v>9.5</v>
      </c>
      <c r="J51" s="1453">
        <f>H51/I51</f>
        <v>12269.368421052632</v>
      </c>
      <c r="K51" s="1365">
        <f>H51/D51*100</f>
        <v>97.396281595989137</v>
      </c>
      <c r="L51" s="2929">
        <f>100-K51</f>
        <v>2.6037184040108627</v>
      </c>
      <c r="M51" s="2930"/>
      <c r="N51" s="1449">
        <v>230</v>
      </c>
      <c r="O51" s="1286"/>
      <c r="P51" s="95"/>
      <c r="Q51" s="468"/>
      <c r="R51" s="468"/>
      <c r="S51" s="752"/>
      <c r="T51" s="1515"/>
      <c r="U51" s="755"/>
      <c r="V51" s="755"/>
      <c r="W51" s="756"/>
      <c r="X51" s="1209"/>
      <c r="Y51" s="474"/>
      <c r="Z51" s="756"/>
      <c r="AA51" s="756"/>
      <c r="AB51" s="472"/>
      <c r="AD51" s="472"/>
      <c r="AE51" s="697"/>
      <c r="AF51" s="468"/>
      <c r="AG51" s="468"/>
      <c r="AH51" s="497"/>
      <c r="AI51" s="470"/>
      <c r="AJ51" s="472"/>
      <c r="AK51" s="471"/>
      <c r="AL51" s="471"/>
    </row>
    <row r="52" spans="1:38" ht="39" customHeight="1" x14ac:dyDescent="0.2">
      <c r="A52" s="1"/>
      <c r="B52" s="2927"/>
      <c r="C52" s="17" t="s">
        <v>22</v>
      </c>
      <c r="D52" s="1447"/>
      <c r="E52" s="1450">
        <f>+E51/H51*100</f>
        <v>95.067562350397651</v>
      </c>
      <c r="F52" s="1450">
        <f>+F51/H51*100</f>
        <v>0</v>
      </c>
      <c r="G52" s="1450">
        <f>+G51/H51*100</f>
        <v>4.9324376496023472</v>
      </c>
      <c r="H52" s="23">
        <f>SUM(E52:G52)</f>
        <v>100</v>
      </c>
      <c r="I52" s="23"/>
      <c r="J52" s="23"/>
      <c r="K52" s="1455">
        <f>H51/D51*100</f>
        <v>97.396281595989137</v>
      </c>
      <c r="L52" s="2931">
        <f>100-K52</f>
        <v>2.6037184040108627</v>
      </c>
      <c r="M52" s="2932"/>
      <c r="N52" s="1452"/>
      <c r="O52" s="1286"/>
      <c r="P52" s="95"/>
      <c r="Q52" s="468"/>
      <c r="R52" s="468"/>
      <c r="S52" s="752"/>
      <c r="T52" s="1515"/>
      <c r="U52" s="755"/>
      <c r="V52" s="755"/>
      <c r="W52" s="756"/>
      <c r="X52" s="1209"/>
      <c r="Y52" s="474"/>
      <c r="Z52" s="756"/>
      <c r="AA52" s="756"/>
      <c r="AB52" s="472"/>
      <c r="AD52" s="472"/>
      <c r="AE52" s="697"/>
      <c r="AF52" s="468"/>
      <c r="AG52" s="468"/>
      <c r="AH52" s="497"/>
      <c r="AI52" s="470"/>
      <c r="AJ52" s="472"/>
      <c r="AK52" s="471"/>
      <c r="AL52" s="471"/>
    </row>
    <row r="53" spans="1:38" ht="51" customHeight="1" x14ac:dyDescent="0.2">
      <c r="A53" s="1"/>
      <c r="B53" s="2916" t="s">
        <v>93</v>
      </c>
      <c r="C53" s="1477" t="s">
        <v>21</v>
      </c>
      <c r="D53" s="1478">
        <f t="shared" ref="D53:I53" si="23">D25+D29+D33+D41+D45</f>
        <v>1687232.3767660907</v>
      </c>
      <c r="E53" s="1479">
        <f t="shared" si="23"/>
        <v>1119599.0223999999</v>
      </c>
      <c r="F53" s="1479">
        <f t="shared" si="23"/>
        <v>73877.858399999997</v>
      </c>
      <c r="G53" s="1479">
        <f t="shared" si="23"/>
        <v>38922.0792</v>
      </c>
      <c r="H53" s="1479">
        <f t="shared" si="23"/>
        <v>1232398.96</v>
      </c>
      <c r="I53" s="1480">
        <f t="shared" si="23"/>
        <v>124.1</v>
      </c>
      <c r="J53" s="1481">
        <f>H53/I53</f>
        <v>9930.692667203868</v>
      </c>
      <c r="K53" s="1477"/>
      <c r="L53" s="1387"/>
      <c r="M53" s="1388"/>
      <c r="N53" s="1431">
        <v>100</v>
      </c>
      <c r="O53" s="1289"/>
      <c r="P53" s="165"/>
      <c r="Q53" s="2466" t="s">
        <v>310</v>
      </c>
      <c r="R53" s="2466"/>
      <c r="S53" s="759"/>
      <c r="T53" s="755">
        <f>T8+T11+T14+T17+T20+T23+T26+T29+T32+T35+T42+T45</f>
        <v>51896.159999999996</v>
      </c>
      <c r="U53" s="755">
        <f>U8+U11+U14+U17+U20+U23+U26+U29+U32+U35+U42+U45</f>
        <v>158.4</v>
      </c>
      <c r="V53" s="755">
        <f>V8+V11+V14+V17+V20+V23+V26+V29+V32+V35+V42+V45</f>
        <v>2085.12</v>
      </c>
      <c r="W53" s="756">
        <f>W8+W11+W14+W17+W20+W23+W26+W29+W32+W35+W42+W45</f>
        <v>54139.68</v>
      </c>
      <c r="X53" s="1209">
        <f>X8+X11+X14+X17+X20+X23+X26+X29+X32+X35+X42+X45</f>
        <v>3.7119026914040227</v>
      </c>
      <c r="Y53" s="474">
        <f t="shared" si="20"/>
        <v>14585.425454545451</v>
      </c>
      <c r="Z53" s="756">
        <f>Z8+Z11+Z14+Z17+Z20+Z23+Z26+Z29+Z32+Z35+Z42+Z45</f>
        <v>0</v>
      </c>
      <c r="AA53" s="756">
        <f>AA8+AA11+AA14+AA17+AA20+AA23+AA26+AA29+AA32+AA35+AA42+AA45</f>
        <v>0</v>
      </c>
      <c r="AB53" s="472"/>
      <c r="AD53" s="472" t="s">
        <v>310</v>
      </c>
      <c r="AE53" s="697"/>
      <c r="AF53" s="468"/>
      <c r="AG53" s="468"/>
      <c r="AH53" s="497">
        <f>AH8+AH11+AH14+AH17+AH20+AH23+AH26+AH29+AH32+AH35+AH42+AH45</f>
        <v>0</v>
      </c>
      <c r="AI53" s="470">
        <f>AI8+AI11+AI14+AI17+AI20+AI23+AI26+AI29+AI32+AI35+AI42+AI45</f>
        <v>0</v>
      </c>
      <c r="AJ53" s="472"/>
      <c r="AK53" s="471"/>
      <c r="AL53" s="471"/>
    </row>
    <row r="54" spans="1:38" ht="39" customHeight="1" x14ac:dyDescent="0.2">
      <c r="A54" s="1"/>
      <c r="B54" s="2917"/>
      <c r="C54" s="1477" t="s">
        <v>22</v>
      </c>
      <c r="D54" s="1482"/>
      <c r="E54" s="1483">
        <f>E53/$H$53*100</f>
        <v>90.847124895334204</v>
      </c>
      <c r="F54" s="1483">
        <f>F53/$H$53*100</f>
        <v>5.9946381649007554</v>
      </c>
      <c r="G54" s="1483">
        <f>G53/$H$53*100</f>
        <v>3.1582369397650254</v>
      </c>
      <c r="H54" s="1484">
        <f>H53/$H$53*100</f>
        <v>100</v>
      </c>
      <c r="I54" s="1484"/>
      <c r="J54" s="1484"/>
      <c r="K54" s="1483">
        <v>97.5</v>
      </c>
      <c r="L54" s="2918">
        <f>100-K54</f>
        <v>2.5</v>
      </c>
      <c r="M54" s="2919"/>
      <c r="N54" s="1390"/>
      <c r="O54" s="1289"/>
      <c r="P54" s="165"/>
      <c r="AE54" s="95"/>
      <c r="AF54" s="95"/>
      <c r="AG54" s="95"/>
    </row>
    <row r="55" spans="1:38" ht="39" customHeight="1" x14ac:dyDescent="0.2">
      <c r="A55" s="1"/>
      <c r="B55" s="2916" t="s">
        <v>94</v>
      </c>
      <c r="C55" s="1477" t="s">
        <v>21</v>
      </c>
      <c r="D55" s="1478">
        <f t="shared" ref="D55:I55" si="24">D27+D31+D35+D43+D47</f>
        <v>1725701</v>
      </c>
      <c r="E55" s="1479">
        <f t="shared" si="24"/>
        <v>1597270.22</v>
      </c>
      <c r="F55" s="1485">
        <f t="shared" si="24"/>
        <v>184.32</v>
      </c>
      <c r="G55" s="1479">
        <f t="shared" si="24"/>
        <v>96247.58</v>
      </c>
      <c r="H55" s="1479">
        <f>H27+H31+H35+H43+H47</f>
        <v>1693702.1199999999</v>
      </c>
      <c r="I55" s="1480">
        <f t="shared" si="24"/>
        <v>124.45</v>
      </c>
      <c r="J55" s="1479">
        <f>H55/I55</f>
        <v>13609.498754519886</v>
      </c>
      <c r="K55" s="1477"/>
      <c r="L55" s="1430">
        <f>L27+L31+L35+L43+L47</f>
        <v>7891.8</v>
      </c>
      <c r="M55" s="1389">
        <f>M27+M31+M35+M43+M47</f>
        <v>11551.12</v>
      </c>
      <c r="N55" s="1431">
        <f>(N27+N31+N35+N43+N47)/5</f>
        <v>108.8</v>
      </c>
      <c r="O55" s="1289"/>
      <c r="P55" s="165"/>
      <c r="Q55" s="456" t="s">
        <v>333</v>
      </c>
      <c r="R55" s="732" t="s">
        <v>304</v>
      </c>
      <c r="S55" s="743" t="s">
        <v>74</v>
      </c>
      <c r="T55" s="743" t="s">
        <v>18</v>
      </c>
      <c r="U55" s="743" t="s">
        <v>19</v>
      </c>
      <c r="V55" s="743" t="s">
        <v>20</v>
      </c>
      <c r="W55" s="760" t="s">
        <v>336</v>
      </c>
      <c r="X55" s="760" t="s">
        <v>10</v>
      </c>
      <c r="Y55" s="632" t="s">
        <v>331</v>
      </c>
      <c r="Z55" s="238" t="s">
        <v>81</v>
      </c>
      <c r="AA55" s="496" t="s">
        <v>360</v>
      </c>
      <c r="AB55" s="382" t="s">
        <v>337</v>
      </c>
      <c r="AC55" s="158"/>
      <c r="AD55" s="456" t="s">
        <v>395</v>
      </c>
      <c r="AE55" s="455" t="s">
        <v>361</v>
      </c>
      <c r="AF55" s="133" t="s">
        <v>18</v>
      </c>
      <c r="AG55" s="133" t="s">
        <v>19</v>
      </c>
      <c r="AH55" s="97" t="s">
        <v>20</v>
      </c>
      <c r="AI55" s="632" t="s">
        <v>336</v>
      </c>
      <c r="AJ55" s="632" t="s">
        <v>10</v>
      </c>
      <c r="AK55" s="632" t="s">
        <v>331</v>
      </c>
      <c r="AL55" s="202" t="s">
        <v>337</v>
      </c>
    </row>
    <row r="56" spans="1:38" ht="39" customHeight="1" x14ac:dyDescent="0.2">
      <c r="A56" s="1"/>
      <c r="B56" s="2917"/>
      <c r="C56" s="1477" t="s">
        <v>22</v>
      </c>
      <c r="D56" s="1486"/>
      <c r="E56" s="1483">
        <f>+E55/H55*100</f>
        <v>94.306442740946679</v>
      </c>
      <c r="F56" s="1483">
        <f>+F55/H55*100</f>
        <v>1.0882669261818011E-2</v>
      </c>
      <c r="G56" s="1483">
        <f>+G55/H55*100</f>
        <v>5.6826745897915041</v>
      </c>
      <c r="H56" s="1484">
        <f>SUM(E56:G56)</f>
        <v>100</v>
      </c>
      <c r="I56" s="1487"/>
      <c r="J56" s="1488"/>
      <c r="K56" s="1489">
        <f>H55/D55*100</f>
        <v>98.145745989600741</v>
      </c>
      <c r="L56" s="2920">
        <f>100-K56</f>
        <v>1.8542540103992593</v>
      </c>
      <c r="M56" s="2917"/>
      <c r="N56" s="1490"/>
      <c r="O56" s="1289"/>
      <c r="P56" s="165"/>
      <c r="Q56" s="12" t="s">
        <v>157</v>
      </c>
      <c r="R56" s="732" t="s">
        <v>316</v>
      </c>
      <c r="S56" s="743"/>
      <c r="T56" s="743"/>
      <c r="U56" s="743"/>
      <c r="V56" s="743"/>
      <c r="W56" s="743">
        <f>SUM(T56:V56)</f>
        <v>0</v>
      </c>
      <c r="X56" s="743"/>
      <c r="Y56" s="97"/>
      <c r="Z56" s="97"/>
      <c r="AA56" s="373"/>
      <c r="AB56" s="211"/>
      <c r="AD56" s="12" t="s">
        <v>157</v>
      </c>
      <c r="AE56" s="455"/>
      <c r="AF56" s="455"/>
      <c r="AG56" s="455"/>
      <c r="AH56" s="97"/>
      <c r="AI56" s="97">
        <f>SUM(AH56:AH56)</f>
        <v>0</v>
      </c>
      <c r="AJ56" s="97"/>
      <c r="AK56" s="97"/>
      <c r="AL56" s="97"/>
    </row>
    <row r="57" spans="1:38" ht="39" customHeight="1" x14ac:dyDescent="0.2">
      <c r="A57" s="1"/>
      <c r="B57" s="2916" t="s">
        <v>83</v>
      </c>
      <c r="C57" s="1391" t="s">
        <v>21</v>
      </c>
      <c r="D57" s="1392">
        <f>+D56-D54</f>
        <v>0</v>
      </c>
      <c r="E57" s="1393">
        <f>+E56-E54</f>
        <v>3.4593178456124747</v>
      </c>
      <c r="F57" s="1393">
        <f>+F56-F54</f>
        <v>-5.9837554956389374</v>
      </c>
      <c r="G57" s="1393">
        <f>+G56-G54</f>
        <v>2.5244376500264787</v>
      </c>
      <c r="H57" s="1393">
        <f>+H56-H54</f>
        <v>0</v>
      </c>
      <c r="I57" s="1393"/>
      <c r="J57" s="1393"/>
      <c r="K57" s="1400"/>
      <c r="L57" s="1394"/>
      <c r="M57" s="1388"/>
      <c r="N57" s="1491"/>
      <c r="O57" s="1289"/>
      <c r="P57" s="165"/>
      <c r="Q57" s="454" t="s">
        <v>158</v>
      </c>
      <c r="R57" s="1251" t="s">
        <v>316</v>
      </c>
      <c r="S57" s="743"/>
      <c r="T57" s="743"/>
      <c r="U57" s="743"/>
      <c r="V57" s="743"/>
      <c r="W57" s="743">
        <f>SUM(T57:V57)</f>
        <v>0</v>
      </c>
      <c r="X57" s="743"/>
      <c r="Y57" s="97"/>
      <c r="Z57" s="97"/>
      <c r="AA57" s="373"/>
      <c r="AB57" s="211"/>
      <c r="AD57" s="383" t="s">
        <v>158</v>
      </c>
      <c r="AE57" s="693"/>
      <c r="AF57" s="211"/>
      <c r="AG57" s="211"/>
      <c r="AH57" s="384"/>
      <c r="AI57" s="97">
        <f>SUM(AH57:AH57)</f>
        <v>0</v>
      </c>
      <c r="AJ57" s="97"/>
      <c r="AK57" s="97"/>
      <c r="AL57" s="97"/>
    </row>
    <row r="58" spans="1:38" ht="35" customHeight="1" x14ac:dyDescent="0.2">
      <c r="A58" s="1"/>
      <c r="B58" s="2917"/>
      <c r="C58" s="1391" t="s">
        <v>22</v>
      </c>
      <c r="D58" s="1395">
        <f>D55-D53</f>
        <v>38468.623233909253</v>
      </c>
      <c r="E58" s="1396">
        <f>E55-E53</f>
        <v>477671.19760000007</v>
      </c>
      <c r="F58" s="1396">
        <f>F55-F53</f>
        <v>-73693.53839999999</v>
      </c>
      <c r="G58" s="1396">
        <f>G55-G53</f>
        <v>57325.500800000002</v>
      </c>
      <c r="H58" s="1393"/>
      <c r="I58" s="1393"/>
      <c r="J58" s="1393"/>
      <c r="K58" s="1400"/>
      <c r="L58" s="1394"/>
      <c r="M58" s="1388"/>
      <c r="N58" s="1491"/>
      <c r="O58" s="1289"/>
      <c r="P58" s="165"/>
      <c r="Q58" s="2522" t="s">
        <v>89</v>
      </c>
      <c r="R58" s="2522"/>
      <c r="S58" s="761">
        <f t="shared" ref="S58:AB58" si="25">SUM(S56:S57)</f>
        <v>0</v>
      </c>
      <c r="T58" s="762">
        <f t="shared" si="25"/>
        <v>0</v>
      </c>
      <c r="U58" s="762">
        <f t="shared" si="25"/>
        <v>0</v>
      </c>
      <c r="V58" s="762">
        <f t="shared" si="25"/>
        <v>0</v>
      </c>
      <c r="W58" s="762">
        <f t="shared" si="25"/>
        <v>0</v>
      </c>
      <c r="X58" s="762">
        <f t="shared" si="25"/>
        <v>0</v>
      </c>
      <c r="Y58" s="139">
        <f t="shared" si="25"/>
        <v>0</v>
      </c>
      <c r="Z58" s="139"/>
      <c r="AA58" s="696"/>
      <c r="AB58" s="210">
        <f t="shared" si="25"/>
        <v>0</v>
      </c>
      <c r="AC58" s="103"/>
      <c r="AD58" s="210"/>
      <c r="AE58" s="698"/>
      <c r="AF58" s="382"/>
      <c r="AG58" s="382"/>
      <c r="AH58" s="386">
        <f>SUM(AH56:AH57)</f>
        <v>0</v>
      </c>
      <c r="AI58" s="139">
        <f>SUM(AI56:AI57)</f>
        <v>0</v>
      </c>
      <c r="AJ58" s="139">
        <f>SUM(AJ56:AJ57)</f>
        <v>0</v>
      </c>
      <c r="AK58" s="139">
        <f>SUM(AK56:AK57)</f>
        <v>0</v>
      </c>
      <c r="AL58" s="139">
        <f>SUM(AL56:AL57)</f>
        <v>0</v>
      </c>
    </row>
    <row r="59" spans="1:38" ht="5" customHeight="1" x14ac:dyDescent="0.2">
      <c r="A59" s="1"/>
      <c r="B59" s="2512"/>
      <c r="C59" s="2512"/>
      <c r="D59" s="2512"/>
      <c r="E59" s="2512"/>
      <c r="F59" s="2512"/>
      <c r="G59" s="2512"/>
      <c r="H59" s="2512"/>
      <c r="I59" s="2512"/>
      <c r="J59" s="2512"/>
      <c r="K59" s="2512"/>
      <c r="L59" s="2512"/>
      <c r="M59" s="2512"/>
      <c r="N59" s="2512"/>
      <c r="O59" s="1289"/>
      <c r="P59" s="165"/>
      <c r="Q59" s="165"/>
      <c r="W59" s="763"/>
      <c r="X59" s="763"/>
      <c r="Y59" s="103"/>
      <c r="Z59" s="103"/>
      <c r="AA59" s="103"/>
      <c r="AE59" s="95"/>
      <c r="AF59" s="95"/>
      <c r="AG59" s="95"/>
      <c r="AH59" s="95"/>
      <c r="AI59" s="103"/>
      <c r="AJ59" s="103"/>
      <c r="AK59" s="103"/>
      <c r="AL59" s="95"/>
    </row>
    <row r="60" spans="1:38" ht="44" customHeight="1" x14ac:dyDescent="0.2">
      <c r="A60" s="1"/>
      <c r="B60" s="2914" t="s">
        <v>95</v>
      </c>
      <c r="C60" s="178" t="s">
        <v>21</v>
      </c>
      <c r="D60" s="1380">
        <f t="shared" ref="D60:I60" si="26">D11+D53</f>
        <v>3361508.1621569856</v>
      </c>
      <c r="E60" s="180">
        <f t="shared" si="26"/>
        <v>2318172.2574</v>
      </c>
      <c r="F60" s="180">
        <f t="shared" si="26"/>
        <v>154680.5484</v>
      </c>
      <c r="G60" s="180">
        <f t="shared" si="26"/>
        <v>106257.65419999999</v>
      </c>
      <c r="H60" s="180">
        <f t="shared" si="26"/>
        <v>2579110.46</v>
      </c>
      <c r="I60" s="181">
        <f t="shared" si="26"/>
        <v>235.85</v>
      </c>
      <c r="J60" s="182"/>
      <c r="K60" s="181"/>
      <c r="L60" s="2471"/>
      <c r="M60" s="2472"/>
      <c r="N60" s="178"/>
      <c r="O60" s="1289"/>
      <c r="P60" s="165"/>
      <c r="Q60" s="456" t="s">
        <v>350</v>
      </c>
      <c r="R60" s="458" t="s">
        <v>304</v>
      </c>
      <c r="S60" s="458" t="s">
        <v>74</v>
      </c>
      <c r="T60" s="458" t="s">
        <v>18</v>
      </c>
      <c r="U60" s="458" t="s">
        <v>19</v>
      </c>
      <c r="V60" s="458" t="s">
        <v>20</v>
      </c>
      <c r="W60" s="760" t="s">
        <v>336</v>
      </c>
      <c r="X60" s="760" t="s">
        <v>10</v>
      </c>
      <c r="Y60" s="632" t="s">
        <v>331</v>
      </c>
      <c r="Z60" s="238" t="s">
        <v>81</v>
      </c>
      <c r="AA60" s="496" t="s">
        <v>360</v>
      </c>
      <c r="AB60" s="382" t="s">
        <v>337</v>
      </c>
      <c r="AC60" s="158"/>
      <c r="AD60" s="456" t="s">
        <v>397</v>
      </c>
      <c r="AE60" s="455" t="s">
        <v>361</v>
      </c>
      <c r="AF60" s="133" t="s">
        <v>18</v>
      </c>
      <c r="AG60" s="133" t="s">
        <v>19</v>
      </c>
      <c r="AH60" s="97" t="s">
        <v>20</v>
      </c>
      <c r="AI60" s="632" t="s">
        <v>336</v>
      </c>
      <c r="AJ60" s="632" t="s">
        <v>10</v>
      </c>
      <c r="AK60" s="632" t="s">
        <v>331</v>
      </c>
      <c r="AL60" s="202" t="s">
        <v>337</v>
      </c>
    </row>
    <row r="61" spans="1:38" ht="44" customHeight="1" x14ac:dyDescent="0.2">
      <c r="A61" s="1"/>
      <c r="B61" s="2915"/>
      <c r="C61" s="178" t="s">
        <v>22</v>
      </c>
      <c r="D61" s="183"/>
      <c r="E61" s="184">
        <f>E60/$H$60*100</f>
        <v>89.882627880932247</v>
      </c>
      <c r="F61" s="184">
        <f>F60/$H$60*100</f>
        <v>5.9974379073318174</v>
      </c>
      <c r="G61" s="184">
        <f>G60/$H$60*100</f>
        <v>4.1199342117359334</v>
      </c>
      <c r="H61" s="185">
        <f>H60/$H$60*100</f>
        <v>100</v>
      </c>
      <c r="I61" s="186"/>
      <c r="J61" s="186"/>
      <c r="K61" s="184">
        <v>98</v>
      </c>
      <c r="L61" s="2473">
        <f>100-K61</f>
        <v>2</v>
      </c>
      <c r="M61" s="2474"/>
      <c r="N61" s="178"/>
      <c r="O61" s="1289"/>
      <c r="P61" s="165"/>
      <c r="Q61" s="383" t="s">
        <v>154</v>
      </c>
      <c r="R61" s="458" t="s">
        <v>317</v>
      </c>
      <c r="S61" s="458">
        <f>'T1.2025'!E16</f>
        <v>92105</v>
      </c>
      <c r="T61" s="458">
        <f>'T1.2025'!F16</f>
        <v>91914</v>
      </c>
      <c r="U61" s="458">
        <f>'T1.2025'!G16</f>
        <v>0</v>
      </c>
      <c r="V61" s="458">
        <f>'T1.2025'!H16</f>
        <v>606</v>
      </c>
      <c r="W61" s="458">
        <f>SUM(T61:V61)</f>
        <v>92520</v>
      </c>
      <c r="X61" s="734">
        <f>'T1.2025'!J14</f>
        <v>7.15</v>
      </c>
      <c r="Y61" s="458">
        <f>'T1.2025'!K16</f>
        <v>12940</v>
      </c>
      <c r="Z61" s="211"/>
      <c r="AA61" s="699"/>
      <c r="AB61" s="211">
        <f>'T1.2025'!O16</f>
        <v>147</v>
      </c>
      <c r="AD61" s="383" t="s">
        <v>154</v>
      </c>
      <c r="AE61" s="693">
        <f>'T1.2025'!E14</f>
        <v>90200</v>
      </c>
      <c r="AF61" s="693">
        <f>'T1.2025'!F14</f>
        <v>80909.399999999994</v>
      </c>
      <c r="AG61" s="693">
        <f>'T1.2025'!G14</f>
        <v>4397.25</v>
      </c>
      <c r="AH61" s="693">
        <f>'T1.2025'!H14</f>
        <v>2638.35</v>
      </c>
      <c r="AI61" s="693">
        <f>'T1.2025'!I14</f>
        <v>87945</v>
      </c>
      <c r="AJ61" s="475">
        <f>'T1.2025'!J14</f>
        <v>7.15</v>
      </c>
      <c r="AK61" s="211">
        <f>'T1.2025'!K14</f>
        <v>12300</v>
      </c>
      <c r="AL61" s="211">
        <f>'T1.2025'!O14</f>
        <v>100</v>
      </c>
    </row>
    <row r="62" spans="1:38" ht="44" customHeight="1" x14ac:dyDescent="0.2">
      <c r="A62" s="1"/>
      <c r="B62" s="2914" t="s">
        <v>96</v>
      </c>
      <c r="C62" s="178" t="s">
        <v>21</v>
      </c>
      <c r="D62" s="1380">
        <f t="shared" ref="D62:I62" si="27">D13+D55</f>
        <v>3458867</v>
      </c>
      <c r="E62" s="180">
        <f t="shared" si="27"/>
        <v>3159691.8200000003</v>
      </c>
      <c r="F62" s="180">
        <f t="shared" si="27"/>
        <v>50248.799999999996</v>
      </c>
      <c r="G62" s="180">
        <f t="shared" si="27"/>
        <v>186403.09999999998</v>
      </c>
      <c r="H62" s="180">
        <f t="shared" si="27"/>
        <v>3396343.7199999997</v>
      </c>
      <c r="I62" s="181">
        <f t="shared" si="27"/>
        <v>236.40000633718046</v>
      </c>
      <c r="J62" s="182"/>
      <c r="K62" s="181"/>
      <c r="L62" s="2471"/>
      <c r="M62" s="2472"/>
      <c r="N62" s="178"/>
      <c r="O62" s="1289"/>
      <c r="P62" s="165"/>
      <c r="Q62" s="12"/>
      <c r="R62" s="458" t="s">
        <v>20</v>
      </c>
      <c r="S62" s="458">
        <f>'T1.2025'!E22</f>
        <v>23615</v>
      </c>
      <c r="T62" s="458">
        <f>'T1.2025'!F22</f>
        <v>21199.5</v>
      </c>
      <c r="U62" s="458">
        <f>'T1.2025'!G22</f>
        <v>0</v>
      </c>
      <c r="V62" s="458">
        <f>'T1.2025'!H22</f>
        <v>2161.5</v>
      </c>
      <c r="W62" s="458">
        <f>'T1.2025'!I22</f>
        <v>23361</v>
      </c>
      <c r="X62" s="734">
        <f>'T1.2025'!J22</f>
        <v>1.85</v>
      </c>
      <c r="Y62" s="211">
        <f>'T1.2025'!K22</f>
        <v>12628</v>
      </c>
      <c r="Z62" s="211">
        <f>'T1.2025'!M22</f>
        <v>0</v>
      </c>
      <c r="AA62" s="699">
        <f>'T1.2025'!N22</f>
        <v>0</v>
      </c>
      <c r="AB62" s="211">
        <f>'T1.2025'!O22</f>
        <v>171</v>
      </c>
      <c r="AC62" s="741"/>
      <c r="AD62" s="12"/>
      <c r="AE62" s="693">
        <f>'T1.2025'!E20</f>
        <v>23338.461538461539</v>
      </c>
      <c r="AF62" s="211">
        <f>'T1.2025'!F20</f>
        <v>20934.599999999999</v>
      </c>
      <c r="AG62" s="211">
        <f>'T1.2025'!G20</f>
        <v>1137.75</v>
      </c>
      <c r="AH62" s="211">
        <f>'T1.2025'!H20</f>
        <v>682.65</v>
      </c>
      <c r="AI62" s="211">
        <f>'T1.2025'!I20</f>
        <v>22755</v>
      </c>
      <c r="AJ62" s="740">
        <f>'T1.2025'!J20</f>
        <v>1.85</v>
      </c>
      <c r="AK62" s="385">
        <f>'T1.2025'!K20</f>
        <v>12300</v>
      </c>
      <c r="AL62" s="385">
        <f>'T1.2025'!O20</f>
        <v>100</v>
      </c>
    </row>
    <row r="63" spans="1:38" ht="44" customHeight="1" x14ac:dyDescent="0.2">
      <c r="A63" s="1"/>
      <c r="B63" s="2915"/>
      <c r="C63" s="178" t="s">
        <v>22</v>
      </c>
      <c r="D63" s="187"/>
      <c r="E63" s="184">
        <f>E62/$H$62*100</f>
        <v>93.032156945528484</v>
      </c>
      <c r="F63" s="184">
        <f>F62/$H$62*100</f>
        <v>1.4794968985059027</v>
      </c>
      <c r="G63" s="184">
        <f>G62/$H$62*100</f>
        <v>5.488346155965627</v>
      </c>
      <c r="H63" s="185">
        <f>H62/$H$62*100</f>
        <v>100</v>
      </c>
      <c r="I63" s="188"/>
      <c r="J63" s="189"/>
      <c r="K63" s="184">
        <f>H62/D62*100</f>
        <v>98.192376867916565</v>
      </c>
      <c r="L63" s="2473" cm="1">
        <f t="array" ref="L63">100-K63:K63</f>
        <v>1.8076231320834353</v>
      </c>
      <c r="M63" s="2474"/>
      <c r="N63" s="188"/>
      <c r="O63" s="1289"/>
      <c r="P63" s="165"/>
      <c r="Q63" s="383" t="s">
        <v>156</v>
      </c>
      <c r="R63" s="458" t="s">
        <v>317</v>
      </c>
      <c r="S63" s="458"/>
      <c r="T63" s="458"/>
      <c r="U63" s="458"/>
      <c r="V63" s="458"/>
      <c r="W63" s="458">
        <f t="shared" ref="W63:W90" si="28">SUM(T63:V63)</f>
        <v>0</v>
      </c>
      <c r="X63" s="458"/>
      <c r="Y63" s="211"/>
      <c r="Z63" s="211"/>
      <c r="AA63" s="699"/>
      <c r="AB63" s="211"/>
      <c r="AD63" s="383" t="s">
        <v>156</v>
      </c>
      <c r="AE63" s="693"/>
      <c r="AF63" s="211"/>
      <c r="AG63" s="211"/>
      <c r="AH63" s="211"/>
      <c r="AI63" s="211">
        <f t="shared" ref="AI63:AI90" si="29">SUM(AH63:AH63)</f>
        <v>0</v>
      </c>
      <c r="AJ63" s="211"/>
      <c r="AK63" s="211"/>
      <c r="AL63" s="211"/>
    </row>
    <row r="64" spans="1:38" ht="8" customHeight="1" x14ac:dyDescent="0.2">
      <c r="A64" s="1"/>
      <c r="O64" s="1289"/>
      <c r="P64" s="165"/>
      <c r="Q64" s="12"/>
      <c r="R64" s="458" t="s">
        <v>20</v>
      </c>
      <c r="S64" s="458"/>
      <c r="T64" s="458"/>
      <c r="U64" s="458"/>
      <c r="V64" s="458"/>
      <c r="W64" s="458">
        <f t="shared" si="28"/>
        <v>0</v>
      </c>
      <c r="X64" s="458"/>
      <c r="Y64" s="211"/>
      <c r="Z64" s="211"/>
      <c r="AA64" s="699"/>
      <c r="AB64" s="211"/>
      <c r="AD64" s="12"/>
      <c r="AE64" s="693"/>
      <c r="AF64" s="211"/>
      <c r="AG64" s="211"/>
      <c r="AH64" s="385"/>
      <c r="AI64" s="211">
        <f t="shared" si="29"/>
        <v>0</v>
      </c>
      <c r="AJ64" s="385"/>
      <c r="AK64" s="385"/>
      <c r="AL64" s="385"/>
    </row>
    <row r="65" spans="1:38" ht="29" customHeight="1" x14ac:dyDescent="0.2">
      <c r="A65" s="1"/>
      <c r="B65" s="2475" t="s">
        <v>916</v>
      </c>
      <c r="C65" s="2476"/>
      <c r="D65" s="2476"/>
      <c r="E65" s="2476"/>
      <c r="F65" s="2476"/>
      <c r="G65" s="2476"/>
      <c r="H65" s="2476"/>
      <c r="I65" s="2476"/>
      <c r="J65" s="2476"/>
      <c r="K65" s="2476"/>
      <c r="L65" s="2476"/>
      <c r="M65" s="2476"/>
      <c r="N65" s="2476"/>
      <c r="O65" s="1289"/>
      <c r="P65" s="165"/>
      <c r="Q65" s="383" t="s">
        <v>157</v>
      </c>
      <c r="R65" s="458" t="s">
        <v>317</v>
      </c>
      <c r="S65" s="458">
        <f>'T4.2025 '!E23</f>
        <v>152023</v>
      </c>
      <c r="T65" s="458">
        <f>'T4.2025 '!F23</f>
        <v>145629</v>
      </c>
      <c r="U65" s="458">
        <f>'T4.2025 '!G23</f>
        <v>0</v>
      </c>
      <c r="V65" s="458">
        <f>'T4.2025 '!H23</f>
        <v>2659.5</v>
      </c>
      <c r="W65" s="458">
        <f t="shared" si="28"/>
        <v>148288.5</v>
      </c>
      <c r="X65" s="734">
        <f>'T4.2025 '!J23</f>
        <v>12</v>
      </c>
      <c r="Y65" s="211">
        <f t="shared" ref="Y65:Y76" si="30">W65/X65</f>
        <v>12357.375</v>
      </c>
      <c r="Z65" s="211">
        <f>'T4.2025 '!M23</f>
        <v>642</v>
      </c>
      <c r="AA65" s="699">
        <f>'T4.2025 '!N23</f>
        <v>1421.75</v>
      </c>
      <c r="AB65" s="211">
        <f>'T4.2025 '!O23</f>
        <v>120</v>
      </c>
      <c r="AD65" s="383" t="s">
        <v>157</v>
      </c>
      <c r="AE65" s="693">
        <f>'T4.2025 '!E21</f>
        <v>151152</v>
      </c>
      <c r="AF65" s="211">
        <f>'T4.2025 '!F21</f>
        <v>139241.22239999997</v>
      </c>
      <c r="AG65" s="211">
        <f>'T4.2025 '!G21</f>
        <v>5925.1583999999993</v>
      </c>
      <c r="AH65" s="211">
        <f>'T4.2025 '!H21</f>
        <v>2962.5791999999997</v>
      </c>
      <c r="AI65" s="211">
        <f>SUM(AF65:AH65)</f>
        <v>148128.95999999996</v>
      </c>
      <c r="AJ65" s="475">
        <f>'T4.2025 '!J21</f>
        <v>12</v>
      </c>
      <c r="AK65" s="211">
        <f>AI65/AJ65</f>
        <v>12344.079999999996</v>
      </c>
      <c r="AL65" s="211">
        <v>100</v>
      </c>
    </row>
    <row r="66" spans="1:38" ht="11" customHeight="1" x14ac:dyDescent="0.2">
      <c r="A66" s="1"/>
      <c r="B66" s="49"/>
      <c r="C66" s="42"/>
      <c r="D66" s="1"/>
      <c r="E66" s="48"/>
      <c r="F66" s="48"/>
      <c r="G66" s="2"/>
      <c r="H66" s="48"/>
      <c r="I66" s="2"/>
      <c r="J66" s="2"/>
      <c r="K66" s="99"/>
      <c r="L66" s="2"/>
      <c r="M66" s="2"/>
      <c r="N66" s="2"/>
      <c r="O66" s="1289"/>
      <c r="P66" s="165"/>
      <c r="Q66" s="383"/>
      <c r="R66" s="458" t="s">
        <v>20</v>
      </c>
      <c r="S66" s="458"/>
      <c r="T66" s="458"/>
      <c r="U66" s="458"/>
      <c r="V66" s="458"/>
      <c r="W66" s="458">
        <f t="shared" si="28"/>
        <v>0</v>
      </c>
      <c r="X66" s="458"/>
      <c r="Y66" s="211" t="e">
        <f t="shared" si="30"/>
        <v>#DIV/0!</v>
      </c>
      <c r="Z66" s="211"/>
      <c r="AA66" s="699"/>
      <c r="AB66" s="211"/>
      <c r="AD66" s="383"/>
      <c r="AE66" s="693"/>
      <c r="AF66" s="211"/>
      <c r="AG66" s="211"/>
      <c r="AH66" s="211"/>
      <c r="AI66" s="211"/>
      <c r="AJ66" s="475"/>
      <c r="AK66" s="211"/>
      <c r="AL66" s="211"/>
    </row>
    <row r="67" spans="1:38" ht="34" customHeight="1" x14ac:dyDescent="0.2">
      <c r="A67" s="1"/>
      <c r="B67" s="2910" t="s">
        <v>39</v>
      </c>
      <c r="C67" s="2911" t="s">
        <v>6</v>
      </c>
      <c r="D67" s="2911" t="s">
        <v>85</v>
      </c>
      <c r="E67" s="2911" t="s">
        <v>8</v>
      </c>
      <c r="F67" s="2470"/>
      <c r="G67" s="2470"/>
      <c r="H67" s="2911" t="s">
        <v>9</v>
      </c>
      <c r="I67" s="2911" t="s">
        <v>10</v>
      </c>
      <c r="J67" s="2911" t="s">
        <v>47</v>
      </c>
      <c r="K67" s="2470"/>
      <c r="L67" s="2470"/>
      <c r="M67" s="2470"/>
      <c r="N67" s="2470"/>
      <c r="O67" s="1289"/>
      <c r="P67" s="165"/>
      <c r="Q67" s="383" t="s">
        <v>158</v>
      </c>
      <c r="R67" s="458" t="s">
        <v>317</v>
      </c>
      <c r="S67" s="458">
        <f>'T5.2025'!E17</f>
        <v>252891</v>
      </c>
      <c r="T67" s="458">
        <f>'T5.2025'!F120</f>
        <v>183370.5</v>
      </c>
      <c r="U67" s="458">
        <f>'T5.2025'!G120</f>
        <v>0</v>
      </c>
      <c r="V67" s="458">
        <f>'T5.2025'!H120</f>
        <v>2134.5</v>
      </c>
      <c r="W67" s="458">
        <f t="shared" si="28"/>
        <v>185505</v>
      </c>
      <c r="X67" s="734">
        <f>'T5.2025'!G188</f>
        <v>14.064596838394177</v>
      </c>
      <c r="Y67" s="211">
        <f t="shared" si="30"/>
        <v>13189.5</v>
      </c>
      <c r="Z67" s="211">
        <f>'T5.2025'!M17</f>
        <v>1209</v>
      </c>
      <c r="AA67" s="699">
        <f>'T5.2025'!N17</f>
        <v>1465.25</v>
      </c>
      <c r="AB67" s="211">
        <f>'T5.2025'!O17</f>
        <v>146</v>
      </c>
      <c r="AD67" s="383" t="s">
        <v>158</v>
      </c>
      <c r="AE67" s="693">
        <f>'T5.2025'!E15</f>
        <v>246902.56410256409</v>
      </c>
      <c r="AF67" s="211">
        <f>'T5.2025'!F15</f>
        <v>226286.2</v>
      </c>
      <c r="AG67" s="211">
        <f>'T5.2025'!G15</f>
        <v>7221.9</v>
      </c>
      <c r="AH67" s="211">
        <f>'T5.2025'!H15</f>
        <v>7221.9</v>
      </c>
      <c r="AI67" s="211">
        <f>SUM(AF67:AH67)</f>
        <v>240730</v>
      </c>
      <c r="AJ67" s="475">
        <f>'T5.2025'!J15</f>
        <v>19</v>
      </c>
      <c r="AK67" s="211">
        <f>AI67/AJ67</f>
        <v>12670</v>
      </c>
      <c r="AL67" s="211">
        <v>100</v>
      </c>
    </row>
    <row r="68" spans="1:38" ht="34" customHeight="1" x14ac:dyDescent="0.2">
      <c r="A68" s="1"/>
      <c r="B68" s="2470"/>
      <c r="C68" s="2470"/>
      <c r="D68" s="2470"/>
      <c r="E68" s="217" t="s">
        <v>18</v>
      </c>
      <c r="F68" s="217" t="s">
        <v>19</v>
      </c>
      <c r="G68" s="217" t="s">
        <v>20</v>
      </c>
      <c r="H68" s="2470"/>
      <c r="I68" s="2470"/>
      <c r="J68" s="2470"/>
      <c r="K68" s="2470"/>
      <c r="L68" s="2470"/>
      <c r="M68" s="2470"/>
      <c r="N68" s="2470"/>
      <c r="O68" s="1289"/>
      <c r="P68" s="165"/>
      <c r="Q68" s="383"/>
      <c r="R68" s="458" t="s">
        <v>20</v>
      </c>
      <c r="S68" s="458"/>
      <c r="T68" s="458">
        <f>'T5.2025'!F136</f>
        <v>58393.5</v>
      </c>
      <c r="U68" s="458">
        <f>'T5.2025'!G136</f>
        <v>0</v>
      </c>
      <c r="V68" s="458">
        <f>'T5.2025'!H136</f>
        <v>6702</v>
      </c>
      <c r="W68" s="458">
        <f t="shared" si="28"/>
        <v>65095.5</v>
      </c>
      <c r="X68" s="734">
        <f>'T5.2025'!G189</f>
        <v>4.9354031616058229</v>
      </c>
      <c r="Y68" s="211">
        <f t="shared" si="30"/>
        <v>13189.5</v>
      </c>
      <c r="Z68" s="211"/>
      <c r="AA68" s="699"/>
      <c r="AB68" s="211"/>
      <c r="AD68" s="383"/>
      <c r="AE68" s="693"/>
      <c r="AF68" s="211"/>
      <c r="AG68" s="211"/>
      <c r="AH68" s="211"/>
      <c r="AI68" s="211">
        <f t="shared" si="29"/>
        <v>0</v>
      </c>
      <c r="AJ68" s="211"/>
      <c r="AK68" s="211"/>
      <c r="AL68" s="211"/>
    </row>
    <row r="69" spans="1:38" ht="21" customHeight="1" x14ac:dyDescent="0.2">
      <c r="A69" s="1"/>
      <c r="B69" s="2599">
        <v>1</v>
      </c>
      <c r="C69" s="2599" t="s">
        <v>73</v>
      </c>
      <c r="D69" s="2913">
        <f>D13</f>
        <v>1733166</v>
      </c>
      <c r="E69" s="2912">
        <f>E13</f>
        <v>1562421.6</v>
      </c>
      <c r="F69" s="2912">
        <f>F13</f>
        <v>50064.479999999996</v>
      </c>
      <c r="G69" s="2912">
        <f>G13</f>
        <v>90155.51999999999</v>
      </c>
      <c r="H69" s="2912">
        <f>H13</f>
        <v>1702641.5999999999</v>
      </c>
      <c r="I69" s="2606">
        <f>X46</f>
        <v>111.95000633718044</v>
      </c>
      <c r="J69" s="2906" t="s">
        <v>977</v>
      </c>
      <c r="K69" s="2906"/>
      <c r="L69" s="2906"/>
      <c r="M69" s="2906"/>
      <c r="N69" s="2906"/>
      <c r="O69" s="1289"/>
      <c r="P69" s="165"/>
      <c r="Q69" s="383" t="s">
        <v>159</v>
      </c>
      <c r="R69" s="458" t="s">
        <v>317</v>
      </c>
      <c r="S69" s="458"/>
      <c r="T69" s="458"/>
      <c r="U69" s="458"/>
      <c r="V69" s="458"/>
      <c r="W69" s="458">
        <f t="shared" si="28"/>
        <v>0</v>
      </c>
      <c r="X69" s="458"/>
      <c r="Y69" s="211" t="e">
        <f t="shared" si="30"/>
        <v>#DIV/0!</v>
      </c>
      <c r="Z69" s="211"/>
      <c r="AA69" s="699"/>
      <c r="AB69" s="211"/>
      <c r="AD69" s="383" t="s">
        <v>159</v>
      </c>
      <c r="AE69" s="693"/>
      <c r="AF69" s="211"/>
      <c r="AG69" s="211"/>
      <c r="AH69" s="211"/>
      <c r="AI69" s="211">
        <f t="shared" si="29"/>
        <v>0</v>
      </c>
      <c r="AJ69" s="211"/>
      <c r="AK69" s="211"/>
      <c r="AL69" s="211"/>
    </row>
    <row r="70" spans="1:38" ht="21" customHeight="1" x14ac:dyDescent="0.2">
      <c r="A70" s="1"/>
      <c r="B70" s="2599"/>
      <c r="C70" s="2599"/>
      <c r="D70" s="2913"/>
      <c r="E70" s="2912"/>
      <c r="F70" s="2912"/>
      <c r="G70" s="2912"/>
      <c r="H70" s="2912"/>
      <c r="I70" s="2606"/>
      <c r="J70" s="2906"/>
      <c r="K70" s="2906"/>
      <c r="L70" s="2906"/>
      <c r="M70" s="2906"/>
      <c r="N70" s="2906"/>
      <c r="O70" s="1289"/>
      <c r="P70" s="165"/>
      <c r="Q70" s="383"/>
      <c r="R70" s="458" t="s">
        <v>20</v>
      </c>
      <c r="S70" s="458"/>
      <c r="T70" s="458"/>
      <c r="U70" s="458"/>
      <c r="V70" s="458"/>
      <c r="W70" s="458">
        <f t="shared" si="28"/>
        <v>0</v>
      </c>
      <c r="X70" s="458"/>
      <c r="Y70" s="211" t="e">
        <f t="shared" si="30"/>
        <v>#DIV/0!</v>
      </c>
      <c r="Z70" s="211"/>
      <c r="AA70" s="699"/>
      <c r="AB70" s="211"/>
      <c r="AD70" s="383"/>
      <c r="AE70" s="693"/>
      <c r="AF70" s="211"/>
      <c r="AG70" s="211"/>
      <c r="AH70" s="211"/>
      <c r="AI70" s="211">
        <f t="shared" si="29"/>
        <v>0</v>
      </c>
      <c r="AJ70" s="211"/>
      <c r="AK70" s="211"/>
      <c r="AL70" s="211"/>
    </row>
    <row r="71" spans="1:38" ht="21" customHeight="1" x14ac:dyDescent="0.2">
      <c r="A71" s="1"/>
      <c r="B71" s="2599"/>
      <c r="C71" s="2599"/>
      <c r="D71" s="2913"/>
      <c r="E71" s="2912"/>
      <c r="F71" s="2912"/>
      <c r="G71" s="2912"/>
      <c r="H71" s="2912"/>
      <c r="I71" s="2606"/>
      <c r="J71" s="2906"/>
      <c r="K71" s="2906"/>
      <c r="L71" s="2906"/>
      <c r="M71" s="2906"/>
      <c r="N71" s="2906"/>
      <c r="O71" s="1289"/>
      <c r="P71" s="165"/>
      <c r="Q71" s="383" t="s">
        <v>160</v>
      </c>
      <c r="R71" s="458" t="s">
        <v>317</v>
      </c>
      <c r="S71" s="458"/>
      <c r="T71" s="458"/>
      <c r="U71" s="458"/>
      <c r="V71" s="458"/>
      <c r="W71" s="458">
        <f t="shared" si="28"/>
        <v>0</v>
      </c>
      <c r="X71" s="458"/>
      <c r="Y71" s="211" t="e">
        <f t="shared" si="30"/>
        <v>#DIV/0!</v>
      </c>
      <c r="Z71" s="211"/>
      <c r="AA71" s="699"/>
      <c r="AB71" s="211"/>
      <c r="AD71" s="383" t="s">
        <v>160</v>
      </c>
      <c r="AE71" s="693"/>
      <c r="AF71" s="211"/>
      <c r="AG71" s="211"/>
      <c r="AH71" s="211"/>
      <c r="AI71" s="211">
        <f t="shared" si="29"/>
        <v>0</v>
      </c>
      <c r="AJ71" s="211"/>
      <c r="AK71" s="211"/>
      <c r="AL71" s="211"/>
    </row>
    <row r="72" spans="1:38" ht="50" customHeight="1" x14ac:dyDescent="0.2">
      <c r="A72" s="1"/>
      <c r="B72" s="57">
        <v>2</v>
      </c>
      <c r="C72" s="57" t="s">
        <v>99</v>
      </c>
      <c r="D72" s="1492">
        <f>D27</f>
        <v>1085392</v>
      </c>
      <c r="E72" s="149">
        <f>E27</f>
        <v>985953.91999999993</v>
      </c>
      <c r="F72" s="149">
        <f>F27</f>
        <v>184.32</v>
      </c>
      <c r="G72" s="149">
        <f>G27</f>
        <v>76234.880000000005</v>
      </c>
      <c r="H72" s="149">
        <f>H27</f>
        <v>1062373.1199999999</v>
      </c>
      <c r="I72" s="1185">
        <f>X137</f>
        <v>74.95</v>
      </c>
      <c r="J72" s="2906" t="s">
        <v>854</v>
      </c>
      <c r="K72" s="2470"/>
      <c r="L72" s="2470"/>
      <c r="M72" s="2470"/>
      <c r="N72" s="2470"/>
      <c r="O72" s="1289"/>
      <c r="P72" s="165"/>
      <c r="Q72" s="383"/>
      <c r="R72" s="458" t="s">
        <v>20</v>
      </c>
      <c r="S72" s="458"/>
      <c r="T72" s="458"/>
      <c r="U72" s="458"/>
      <c r="V72" s="458"/>
      <c r="W72" s="458">
        <f t="shared" si="28"/>
        <v>0</v>
      </c>
      <c r="X72" s="458"/>
      <c r="Y72" s="211" t="e">
        <f t="shared" si="30"/>
        <v>#DIV/0!</v>
      </c>
      <c r="Z72" s="211"/>
      <c r="AA72" s="699"/>
      <c r="AB72" s="211"/>
      <c r="AD72" s="383"/>
      <c r="AE72" s="693"/>
      <c r="AF72" s="211"/>
      <c r="AG72" s="211"/>
      <c r="AH72" s="211"/>
      <c r="AI72" s="211">
        <f t="shared" si="29"/>
        <v>0</v>
      </c>
      <c r="AJ72" s="211"/>
      <c r="AK72" s="211"/>
      <c r="AL72" s="211"/>
    </row>
    <row r="73" spans="1:38" ht="50" hidden="1" customHeight="1" x14ac:dyDescent="0.2">
      <c r="A73" s="1"/>
      <c r="B73" s="57">
        <v>4</v>
      </c>
      <c r="C73" s="57" t="s">
        <v>91</v>
      </c>
      <c r="D73" s="149"/>
      <c r="E73" s="150"/>
      <c r="F73" s="150"/>
      <c r="G73" s="150"/>
      <c r="H73" s="150"/>
      <c r="I73" s="1493"/>
      <c r="J73" s="2906" t="s">
        <v>853</v>
      </c>
      <c r="K73" s="2470"/>
      <c r="L73" s="2470"/>
      <c r="M73" s="2470"/>
      <c r="N73" s="2470"/>
      <c r="O73" s="1289"/>
      <c r="P73" s="165"/>
      <c r="Q73" s="383" t="s">
        <v>161</v>
      </c>
      <c r="R73" s="458" t="s">
        <v>317</v>
      </c>
      <c r="S73" s="458"/>
      <c r="T73" s="458"/>
      <c r="U73" s="458"/>
      <c r="V73" s="458"/>
      <c r="W73" s="458">
        <f t="shared" si="28"/>
        <v>0</v>
      </c>
      <c r="X73" s="458"/>
      <c r="Y73" s="211" t="e">
        <f t="shared" si="30"/>
        <v>#DIV/0!</v>
      </c>
      <c r="Z73" s="211"/>
      <c r="AA73" s="699"/>
      <c r="AB73" s="211"/>
      <c r="AD73" s="383" t="s">
        <v>161</v>
      </c>
      <c r="AE73" s="693"/>
      <c r="AF73" s="211"/>
      <c r="AG73" s="211"/>
      <c r="AH73" s="211"/>
      <c r="AI73" s="211">
        <f t="shared" si="29"/>
        <v>0</v>
      </c>
      <c r="AJ73" s="211"/>
      <c r="AK73" s="211"/>
      <c r="AL73" s="211"/>
    </row>
    <row r="74" spans="1:38" ht="50" customHeight="1" x14ac:dyDescent="0.2">
      <c r="A74" s="1"/>
      <c r="B74" s="57">
        <v>3</v>
      </c>
      <c r="C74" s="57" t="s">
        <v>92</v>
      </c>
      <c r="D74" s="149">
        <f>D35+D31</f>
        <v>520634</v>
      </c>
      <c r="E74" s="149">
        <f>E35+E31</f>
        <v>500506.5</v>
      </c>
      <c r="F74" s="149">
        <f>F35+F31</f>
        <v>0</v>
      </c>
      <c r="G74" s="149">
        <f>G35+G31</f>
        <v>14263.5</v>
      </c>
      <c r="H74" s="149">
        <f>H35+H31</f>
        <v>514770</v>
      </c>
      <c r="I74" s="1185">
        <f>X93</f>
        <v>39.999999999999993</v>
      </c>
      <c r="J74" s="2906" t="s">
        <v>852</v>
      </c>
      <c r="K74" s="2470"/>
      <c r="L74" s="2470"/>
      <c r="M74" s="2470"/>
      <c r="N74" s="2470"/>
      <c r="O74" s="1289"/>
      <c r="P74" s="165"/>
      <c r="Q74" s="383"/>
      <c r="R74" s="458" t="s">
        <v>20</v>
      </c>
      <c r="S74" s="458"/>
      <c r="T74" s="458"/>
      <c r="U74" s="458"/>
      <c r="V74" s="458"/>
      <c r="W74" s="458">
        <f t="shared" si="28"/>
        <v>0</v>
      </c>
      <c r="X74" s="458"/>
      <c r="Y74" s="211" t="e">
        <f t="shared" si="30"/>
        <v>#DIV/0!</v>
      </c>
      <c r="Z74" s="211"/>
      <c r="AA74" s="699"/>
      <c r="AB74" s="211"/>
      <c r="AD74" s="383"/>
      <c r="AE74" s="693"/>
      <c r="AF74" s="211"/>
      <c r="AG74" s="211"/>
      <c r="AH74" s="211"/>
      <c r="AI74" s="211">
        <f t="shared" si="29"/>
        <v>0</v>
      </c>
      <c r="AJ74" s="211"/>
      <c r="AK74" s="211"/>
      <c r="AL74" s="211"/>
    </row>
    <row r="75" spans="1:38" ht="50" customHeight="1" x14ac:dyDescent="0.2">
      <c r="A75" s="1"/>
      <c r="B75" s="57">
        <v>4</v>
      </c>
      <c r="C75" s="57" t="s">
        <v>100</v>
      </c>
      <c r="D75" s="149">
        <f>D43+D47</f>
        <v>119675</v>
      </c>
      <c r="E75" s="149">
        <f>E43+E47</f>
        <v>110809.8</v>
      </c>
      <c r="F75" s="149">
        <f>F43+F47</f>
        <v>0</v>
      </c>
      <c r="G75" s="149">
        <f>G43+G47</f>
        <v>5749.2</v>
      </c>
      <c r="H75" s="149">
        <f>H43+H47</f>
        <v>116559</v>
      </c>
      <c r="I75" s="1185">
        <f>X120</f>
        <v>9.5</v>
      </c>
      <c r="J75" s="2906" t="s">
        <v>851</v>
      </c>
      <c r="K75" s="2470"/>
      <c r="L75" s="2470"/>
      <c r="M75" s="2470"/>
      <c r="N75" s="2470"/>
      <c r="O75" s="1289"/>
      <c r="P75" s="165"/>
      <c r="Q75" s="383" t="s">
        <v>162</v>
      </c>
      <c r="R75" s="458" t="s">
        <v>317</v>
      </c>
      <c r="S75" s="458"/>
      <c r="T75" s="458"/>
      <c r="U75" s="458"/>
      <c r="V75" s="458"/>
      <c r="W75" s="458">
        <f t="shared" si="28"/>
        <v>0</v>
      </c>
      <c r="X75" s="458"/>
      <c r="Y75" s="211" t="e">
        <f t="shared" si="30"/>
        <v>#DIV/0!</v>
      </c>
      <c r="Z75" s="211"/>
      <c r="AA75" s="699"/>
      <c r="AB75" s="211"/>
      <c r="AD75" s="383" t="s">
        <v>162</v>
      </c>
      <c r="AE75" s="693"/>
      <c r="AF75" s="211"/>
      <c r="AG75" s="211"/>
      <c r="AH75" s="211"/>
      <c r="AI75" s="211">
        <f t="shared" si="29"/>
        <v>0</v>
      </c>
      <c r="AJ75" s="211"/>
      <c r="AK75" s="211"/>
      <c r="AL75" s="211"/>
    </row>
    <row r="76" spans="1:38" ht="58" customHeight="1" x14ac:dyDescent="0.2">
      <c r="A76" s="1"/>
      <c r="B76" s="2907" t="s">
        <v>101</v>
      </c>
      <c r="C76" s="2470"/>
      <c r="D76" s="1379">
        <f>D62</f>
        <v>3458867</v>
      </c>
      <c r="E76" s="1376">
        <f>E62</f>
        <v>3159691.8200000003</v>
      </c>
      <c r="F76" s="1376">
        <f>F62</f>
        <v>50248.799999999996</v>
      </c>
      <c r="G76" s="1376">
        <f>G62</f>
        <v>186403.09999999998</v>
      </c>
      <c r="H76" s="1376">
        <f>H62</f>
        <v>3396343.7199999997</v>
      </c>
      <c r="I76" s="1377">
        <f>SUM(I69:I75)</f>
        <v>236.40000633718046</v>
      </c>
      <c r="J76" s="2908"/>
      <c r="K76" s="2470"/>
      <c r="L76" s="2470"/>
      <c r="M76" s="2470"/>
      <c r="N76" s="2470"/>
      <c r="O76" s="1289"/>
      <c r="P76" s="165"/>
      <c r="Q76" s="383"/>
      <c r="R76" s="458" t="s">
        <v>20</v>
      </c>
      <c r="S76" s="458"/>
      <c r="T76" s="458"/>
      <c r="U76" s="458"/>
      <c r="V76" s="458"/>
      <c r="W76" s="458">
        <f t="shared" si="28"/>
        <v>0</v>
      </c>
      <c r="X76" s="458"/>
      <c r="Y76" s="211" t="e">
        <f t="shared" si="30"/>
        <v>#DIV/0!</v>
      </c>
      <c r="Z76" s="211"/>
      <c r="AA76" s="699"/>
      <c r="AB76" s="211"/>
      <c r="AD76" s="383"/>
      <c r="AE76" s="693"/>
      <c r="AF76" s="211"/>
      <c r="AG76" s="211"/>
      <c r="AH76" s="211"/>
      <c r="AI76" s="211">
        <f t="shared" si="29"/>
        <v>0</v>
      </c>
      <c r="AJ76" s="211"/>
      <c r="AK76" s="211"/>
      <c r="AL76" s="211"/>
    </row>
    <row r="77" spans="1:38" ht="12" customHeight="1" x14ac:dyDescent="0.2">
      <c r="A77" s="1"/>
      <c r="B77" s="45"/>
      <c r="C77" s="71"/>
      <c r="D77" s="194"/>
      <c r="E77" s="195"/>
      <c r="F77" s="195"/>
      <c r="G77" s="195"/>
      <c r="H77" s="196"/>
      <c r="I77" s="197"/>
      <c r="J77" s="198"/>
      <c r="K77" s="199"/>
      <c r="L77" s="2"/>
      <c r="M77" s="199"/>
      <c r="N77" s="197"/>
      <c r="O77" s="1289"/>
      <c r="P77" s="165"/>
      <c r="Q77" s="383" t="s">
        <v>111</v>
      </c>
      <c r="R77" s="458" t="s">
        <v>317</v>
      </c>
      <c r="S77" s="458"/>
      <c r="T77" s="458"/>
      <c r="U77" s="458"/>
      <c r="V77" s="458"/>
      <c r="W77" s="458">
        <f t="shared" si="28"/>
        <v>0</v>
      </c>
      <c r="X77" s="458"/>
      <c r="Y77" s="211"/>
      <c r="Z77" s="211"/>
      <c r="AA77" s="699"/>
      <c r="AB77" s="211"/>
      <c r="AD77" s="383" t="s">
        <v>111</v>
      </c>
      <c r="AE77" s="693"/>
      <c r="AF77" s="211"/>
      <c r="AG77" s="211"/>
      <c r="AH77" s="211"/>
      <c r="AI77" s="211">
        <f t="shared" si="29"/>
        <v>0</v>
      </c>
      <c r="AJ77" s="211"/>
      <c r="AK77" s="211"/>
      <c r="AL77" s="211"/>
    </row>
    <row r="78" spans="1:38" ht="32" customHeight="1" x14ac:dyDescent="0.2">
      <c r="A78" s="1"/>
      <c r="B78" s="2909" t="s">
        <v>973</v>
      </c>
      <c r="C78" s="2909"/>
      <c r="D78" s="2909"/>
      <c r="E78" s="2909"/>
      <c r="F78" s="2909"/>
      <c r="G78" s="2909"/>
      <c r="H78" s="2909"/>
      <c r="I78" s="2909"/>
      <c r="J78" s="2909"/>
      <c r="K78" s="2909"/>
      <c r="L78" s="2909"/>
      <c r="M78" s="2909"/>
      <c r="N78" s="2909"/>
      <c r="O78" s="1289"/>
      <c r="P78" s="165"/>
      <c r="Q78" s="383"/>
      <c r="R78" s="458"/>
      <c r="S78" s="458"/>
      <c r="T78" s="458"/>
      <c r="U78" s="458"/>
      <c r="V78" s="458"/>
      <c r="W78" s="458"/>
      <c r="X78" s="458"/>
      <c r="Y78" s="211"/>
      <c r="Z78" s="211"/>
      <c r="AA78" s="699"/>
      <c r="AB78" s="211"/>
      <c r="AD78" s="383"/>
      <c r="AE78" s="693"/>
      <c r="AF78" s="211"/>
      <c r="AG78" s="211"/>
      <c r="AH78" s="211"/>
      <c r="AI78" s="211"/>
      <c r="AJ78" s="211"/>
      <c r="AK78" s="211"/>
      <c r="AL78" s="211"/>
    </row>
    <row r="79" spans="1:38" ht="35" customHeight="1" x14ac:dyDescent="0.2">
      <c r="A79" s="1"/>
      <c r="B79" s="2910" t="s">
        <v>39</v>
      </c>
      <c r="C79" s="2911" t="s">
        <v>6</v>
      </c>
      <c r="D79" s="2911" t="s">
        <v>85</v>
      </c>
      <c r="E79" s="2911" t="s">
        <v>8</v>
      </c>
      <c r="F79" s="2470"/>
      <c r="G79" s="2470"/>
      <c r="H79" s="2911" t="s">
        <v>9</v>
      </c>
      <c r="I79" s="2911" t="s">
        <v>10</v>
      </c>
      <c r="J79" s="2911" t="s">
        <v>47</v>
      </c>
      <c r="K79" s="2470"/>
      <c r="L79" s="2470"/>
      <c r="M79" s="2470"/>
      <c r="N79" s="2470"/>
      <c r="O79" s="1289"/>
      <c r="P79" s="165"/>
      <c r="Q79" s="383"/>
      <c r="R79" s="458"/>
      <c r="S79" s="458"/>
      <c r="T79" s="458"/>
      <c r="U79" s="458"/>
      <c r="V79" s="458"/>
      <c r="W79" s="458"/>
      <c r="X79" s="458"/>
      <c r="Y79" s="211"/>
      <c r="Z79" s="211"/>
      <c r="AA79" s="699"/>
      <c r="AB79" s="211"/>
      <c r="AD79" s="383"/>
      <c r="AE79" s="693"/>
      <c r="AF79" s="211"/>
      <c r="AG79" s="211"/>
      <c r="AH79" s="211"/>
      <c r="AI79" s="211"/>
      <c r="AJ79" s="211"/>
      <c r="AK79" s="211"/>
      <c r="AL79" s="211"/>
    </row>
    <row r="80" spans="1:38" ht="35" customHeight="1" x14ac:dyDescent="0.2">
      <c r="A80" s="1"/>
      <c r="B80" s="2470"/>
      <c r="C80" s="2470"/>
      <c r="D80" s="2470"/>
      <c r="E80" s="217" t="s">
        <v>18</v>
      </c>
      <c r="F80" s="217" t="s">
        <v>19</v>
      </c>
      <c r="G80" s="217" t="s">
        <v>20</v>
      </c>
      <c r="H80" s="2470"/>
      <c r="I80" s="2470"/>
      <c r="J80" s="2470"/>
      <c r="K80" s="2470"/>
      <c r="L80" s="2470"/>
      <c r="M80" s="2470"/>
      <c r="N80" s="2470"/>
      <c r="O80" s="1289"/>
      <c r="P80" s="165"/>
      <c r="Q80" s="383"/>
      <c r="R80" s="458"/>
      <c r="S80" s="458"/>
      <c r="T80" s="458"/>
      <c r="U80" s="458"/>
      <c r="V80" s="458"/>
      <c r="W80" s="458"/>
      <c r="X80" s="458"/>
      <c r="Y80" s="211"/>
      <c r="Z80" s="211"/>
      <c r="AA80" s="699"/>
      <c r="AB80" s="211"/>
      <c r="AD80" s="383"/>
      <c r="AE80" s="693"/>
      <c r="AF80" s="211"/>
      <c r="AG80" s="211"/>
      <c r="AH80" s="211"/>
      <c r="AI80" s="211"/>
      <c r="AJ80" s="211"/>
      <c r="AK80" s="211"/>
      <c r="AL80" s="211"/>
    </row>
    <row r="81" spans="1:38" ht="61" customHeight="1" x14ac:dyDescent="0.2">
      <c r="A81" s="1"/>
      <c r="B81" s="57">
        <v>1</v>
      </c>
      <c r="C81" s="57" t="s">
        <v>73</v>
      </c>
      <c r="D81" s="269" t="e">
        <f>'[1]KH-MY MỚI 2025 (OK)'!$D$32</f>
        <v>#REF!</v>
      </c>
      <c r="E81" s="150" t="e">
        <f>'[1]KH-MY MỚI 2025 (OK)'!$E$32</f>
        <v>#REF!</v>
      </c>
      <c r="F81" s="150" t="e">
        <f>'[1]KH-MY MỚI 2025 (OK)'!$F$32</f>
        <v>#REF!</v>
      </c>
      <c r="G81" s="150" t="e">
        <f>'[1]KH-MY MỚI 2025 (OK)'!$G$32</f>
        <v>#REF!</v>
      </c>
      <c r="H81" s="150" t="e">
        <f>SUM(E81:G81)</f>
        <v>#REF!</v>
      </c>
      <c r="I81" s="151" t="e">
        <f>'[1]KH-MY MỚI 2025 (OK)'!$I$32</f>
        <v>#REF!</v>
      </c>
      <c r="J81" s="2906" t="s">
        <v>379</v>
      </c>
      <c r="K81" s="2906"/>
      <c r="L81" s="2906"/>
      <c r="M81" s="2906"/>
      <c r="N81" s="2906"/>
      <c r="O81" s="1289"/>
      <c r="P81" s="165"/>
      <c r="Q81" s="383"/>
      <c r="R81" s="458"/>
      <c r="S81" s="458"/>
      <c r="T81" s="458"/>
      <c r="U81" s="458"/>
      <c r="V81" s="458"/>
      <c r="W81" s="458"/>
      <c r="X81" s="458"/>
      <c r="Y81" s="211"/>
      <c r="Z81" s="211"/>
      <c r="AA81" s="699"/>
      <c r="AB81" s="211"/>
      <c r="AD81" s="383"/>
      <c r="AE81" s="693"/>
      <c r="AF81" s="211"/>
      <c r="AG81" s="211"/>
      <c r="AH81" s="211"/>
      <c r="AI81" s="211"/>
      <c r="AJ81" s="211"/>
      <c r="AK81" s="211"/>
      <c r="AL81" s="211"/>
    </row>
    <row r="82" spans="1:38" ht="61" customHeight="1" x14ac:dyDescent="0.2">
      <c r="A82" s="1"/>
      <c r="B82" s="57">
        <v>2</v>
      </c>
      <c r="C82" s="57" t="s">
        <v>99</v>
      </c>
      <c r="D82" s="149" t="e">
        <f>'[1]KH-MY MỚI 2025 (OK)'!$D$135</f>
        <v>#REF!</v>
      </c>
      <c r="E82" s="149" t="e">
        <f>'[1]KH-MY MỚI 2025 (OK)'!$E$135</f>
        <v>#REF!</v>
      </c>
      <c r="F82" s="149" t="e">
        <f>'[1]KH-MY MỚI 2025 (OK)'!$F$135</f>
        <v>#REF!</v>
      </c>
      <c r="G82" s="149" t="e">
        <f>'[1]KH-MY MỚI 2025 (OK)'!$G$135</f>
        <v>#REF!</v>
      </c>
      <c r="H82" s="149" t="e">
        <f>SUM(E82:G82)</f>
        <v>#REF!</v>
      </c>
      <c r="I82" s="1185" t="e">
        <f>'[1]KH-MY MỚI 2025 (OK)'!$I$135</f>
        <v>#REF!</v>
      </c>
      <c r="J82" s="2906" t="s">
        <v>975</v>
      </c>
      <c r="K82" s="2470"/>
      <c r="L82" s="2470"/>
      <c r="M82" s="2470"/>
      <c r="N82" s="2470"/>
      <c r="O82" s="1289"/>
      <c r="P82" s="165"/>
      <c r="Q82" s="383"/>
      <c r="R82" s="458"/>
      <c r="S82" s="458"/>
      <c r="T82" s="458"/>
      <c r="U82" s="458"/>
      <c r="V82" s="458"/>
      <c r="W82" s="458"/>
      <c r="X82" s="458"/>
      <c r="Y82" s="211"/>
      <c r="Z82" s="211"/>
      <c r="AA82" s="699"/>
      <c r="AB82" s="211"/>
      <c r="AD82" s="383"/>
      <c r="AE82" s="693"/>
      <c r="AF82" s="211"/>
      <c r="AG82" s="211"/>
      <c r="AH82" s="211"/>
      <c r="AI82" s="211"/>
      <c r="AJ82" s="211"/>
      <c r="AK82" s="211"/>
      <c r="AL82" s="211"/>
    </row>
    <row r="83" spans="1:38" ht="61" customHeight="1" x14ac:dyDescent="0.2">
      <c r="A83" s="1"/>
      <c r="B83" s="57">
        <v>3</v>
      </c>
      <c r="C83" s="57" t="s">
        <v>92</v>
      </c>
      <c r="D83" s="149" t="e">
        <f>'[1]KH-MY MỚI 2025 (OK)'!$D$87</f>
        <v>#REF!</v>
      </c>
      <c r="E83" s="149" t="e">
        <f>'[1]KH-MY MỚI 2025 (OK)'!$E$87</f>
        <v>#REF!</v>
      </c>
      <c r="F83" s="149" t="e">
        <f>'[1]KH-MY MỚI 2025 (OK)'!$F$87</f>
        <v>#REF!</v>
      </c>
      <c r="G83" s="149" t="e">
        <f>'[1]KH-MY MỚI 2025 (OK)'!$G$87</f>
        <v>#REF!</v>
      </c>
      <c r="H83" s="149" t="e">
        <f>SUM(E83:G83)</f>
        <v>#REF!</v>
      </c>
      <c r="I83" s="1185" t="e">
        <f>'[1]KH-MY MỚI 2025 (OK)'!$I$87</f>
        <v>#REF!</v>
      </c>
      <c r="J83" s="2906" t="s">
        <v>974</v>
      </c>
      <c r="K83" s="2470"/>
      <c r="L83" s="2470"/>
      <c r="M83" s="2470"/>
      <c r="N83" s="2470"/>
      <c r="O83" s="1289"/>
      <c r="P83" s="165"/>
      <c r="Q83" s="383"/>
      <c r="R83" s="458"/>
      <c r="S83" s="458"/>
      <c r="T83" s="458"/>
      <c r="U83" s="458"/>
      <c r="V83" s="458"/>
      <c r="W83" s="458"/>
      <c r="X83" s="458"/>
      <c r="Y83" s="211"/>
      <c r="Z83" s="211"/>
      <c r="AA83" s="699"/>
      <c r="AB83" s="211"/>
      <c r="AD83" s="383"/>
      <c r="AE83" s="693"/>
      <c r="AF83" s="211"/>
      <c r="AG83" s="211"/>
      <c r="AH83" s="211"/>
      <c r="AI83" s="211"/>
      <c r="AJ83" s="211"/>
      <c r="AK83" s="211"/>
      <c r="AL83" s="211"/>
    </row>
    <row r="84" spans="1:38" ht="61" customHeight="1" x14ac:dyDescent="0.2">
      <c r="A84" s="1"/>
      <c r="B84" s="57">
        <v>4</v>
      </c>
      <c r="C84" s="57" t="s">
        <v>100</v>
      </c>
      <c r="D84" s="149" t="e">
        <f>'[1]KH-MY MỚI 2025 (OK)'!$D$99</f>
        <v>#REF!</v>
      </c>
      <c r="E84" s="149" t="e">
        <f>'[1]KH-MY MỚI 2025 (OK)'!$E$99</f>
        <v>#REF!</v>
      </c>
      <c r="F84" s="149" t="e">
        <f>'[1]KH-MY MỚI 2025 (OK)'!$F$99</f>
        <v>#REF!</v>
      </c>
      <c r="G84" s="149" t="e">
        <f>'[1]KH-MY MỚI 2025 (OK)'!$G$99</f>
        <v>#REF!</v>
      </c>
      <c r="H84" s="149" t="e">
        <f>SUM(E84:G84)</f>
        <v>#REF!</v>
      </c>
      <c r="I84" s="1185" t="e">
        <f>'[1]KH-MY MỚI 2025 (OK)'!$I$99</f>
        <v>#REF!</v>
      </c>
      <c r="J84" s="2906" t="s">
        <v>976</v>
      </c>
      <c r="K84" s="2470"/>
      <c r="L84" s="2470"/>
      <c r="M84" s="2470"/>
      <c r="N84" s="2470"/>
      <c r="O84" s="1289"/>
      <c r="P84" s="165"/>
      <c r="Q84" s="383"/>
      <c r="R84" s="458"/>
      <c r="S84" s="458"/>
      <c r="T84" s="458"/>
      <c r="U84" s="458"/>
      <c r="V84" s="458"/>
      <c r="W84" s="458"/>
      <c r="X84" s="458"/>
      <c r="Y84" s="211"/>
      <c r="Z84" s="211"/>
      <c r="AA84" s="699"/>
      <c r="AB84" s="211"/>
      <c r="AD84" s="383"/>
      <c r="AE84" s="693"/>
      <c r="AF84" s="211"/>
      <c r="AG84" s="211"/>
      <c r="AH84" s="211"/>
      <c r="AI84" s="211"/>
      <c r="AJ84" s="211"/>
      <c r="AK84" s="211"/>
      <c r="AL84" s="211"/>
    </row>
    <row r="85" spans="1:38" ht="61" customHeight="1" x14ac:dyDescent="0.2">
      <c r="A85" s="1"/>
      <c r="B85" s="2907" t="s">
        <v>101</v>
      </c>
      <c r="C85" s="2470"/>
      <c r="D85" s="1379" t="e">
        <f t="shared" ref="D85:I85" si="31">SUM(D81:D84)</f>
        <v>#REF!</v>
      </c>
      <c r="E85" s="1375" t="e">
        <f t="shared" si="31"/>
        <v>#REF!</v>
      </c>
      <c r="F85" s="1375" t="e">
        <f t="shared" si="31"/>
        <v>#REF!</v>
      </c>
      <c r="G85" s="1375" t="e">
        <f t="shared" si="31"/>
        <v>#REF!</v>
      </c>
      <c r="H85" s="1375" t="e">
        <f t="shared" si="31"/>
        <v>#REF!</v>
      </c>
      <c r="I85" s="1377" t="e">
        <f t="shared" si="31"/>
        <v>#REF!</v>
      </c>
      <c r="J85" s="2908"/>
      <c r="K85" s="2470"/>
      <c r="L85" s="2470"/>
      <c r="M85" s="2470"/>
      <c r="N85" s="2470"/>
      <c r="O85" s="1289"/>
      <c r="P85" s="165"/>
      <c r="Q85" s="383"/>
      <c r="R85" s="458"/>
      <c r="S85" s="458"/>
      <c r="T85" s="458"/>
      <c r="U85" s="458"/>
      <c r="V85" s="458"/>
      <c r="W85" s="458"/>
      <c r="X85" s="458"/>
      <c r="Y85" s="211"/>
      <c r="Z85" s="211"/>
      <c r="AA85" s="699"/>
      <c r="AB85" s="211"/>
      <c r="AD85" s="383"/>
      <c r="AE85" s="693"/>
      <c r="AF85" s="211"/>
      <c r="AG85" s="211"/>
      <c r="AH85" s="211"/>
      <c r="AI85" s="211"/>
      <c r="AJ85" s="211"/>
      <c r="AK85" s="211"/>
      <c r="AL85" s="211"/>
    </row>
    <row r="86" spans="1:38" ht="61" customHeight="1" x14ac:dyDescent="0.2">
      <c r="A86" s="1"/>
      <c r="B86" s="2916" t="s">
        <v>83</v>
      </c>
      <c r="C86" s="1397" t="s">
        <v>21</v>
      </c>
      <c r="D86" s="1398" t="e">
        <f t="shared" ref="D86:I86" si="32">D85-D76</f>
        <v>#REF!</v>
      </c>
      <c r="E86" s="1398" t="e">
        <f t="shared" si="32"/>
        <v>#REF!</v>
      </c>
      <c r="F86" s="1398" t="e">
        <f t="shared" si="32"/>
        <v>#REF!</v>
      </c>
      <c r="G86" s="1398" t="e">
        <f t="shared" si="32"/>
        <v>#REF!</v>
      </c>
      <c r="H86" s="1398" t="e">
        <f t="shared" si="32"/>
        <v>#REF!</v>
      </c>
      <c r="I86" s="1399" t="e">
        <f t="shared" si="32"/>
        <v>#REF!</v>
      </c>
      <c r="J86" s="2942"/>
      <c r="K86" s="2942"/>
      <c r="L86" s="2942"/>
      <c r="M86" s="2942"/>
      <c r="N86" s="2942"/>
      <c r="O86" s="1289"/>
      <c r="P86" s="165"/>
      <c r="Q86" s="383"/>
      <c r="R86" s="458" t="s">
        <v>20</v>
      </c>
      <c r="S86" s="458"/>
      <c r="T86" s="458"/>
      <c r="U86" s="458"/>
      <c r="V86" s="458"/>
      <c r="W86" s="458">
        <f t="shared" si="28"/>
        <v>0</v>
      </c>
      <c r="X86" s="458"/>
      <c r="Y86" s="211"/>
      <c r="Z86" s="211"/>
      <c r="AA86" s="699"/>
      <c r="AB86" s="211"/>
      <c r="AD86" s="383"/>
      <c r="AE86" s="693"/>
      <c r="AF86" s="211"/>
      <c r="AG86" s="211"/>
      <c r="AH86" s="211"/>
      <c r="AI86" s="211">
        <f t="shared" si="29"/>
        <v>0</v>
      </c>
      <c r="AJ86" s="211"/>
      <c r="AK86" s="211"/>
      <c r="AL86" s="211"/>
    </row>
    <row r="87" spans="1:38" ht="52" customHeight="1" x14ac:dyDescent="0.2">
      <c r="A87" s="1"/>
      <c r="B87" s="2917"/>
      <c r="C87" s="1391" t="s">
        <v>22</v>
      </c>
      <c r="D87" s="1395"/>
      <c r="E87" s="1396"/>
      <c r="F87" s="1396"/>
      <c r="G87" s="1396"/>
      <c r="H87" s="1393"/>
      <c r="I87" s="1393"/>
      <c r="J87" s="2945"/>
      <c r="K87" s="2946"/>
      <c r="L87" s="2946"/>
      <c r="M87" s="2946"/>
      <c r="N87" s="2947"/>
      <c r="O87" s="1289"/>
      <c r="P87" s="165"/>
      <c r="Q87" s="383" t="s">
        <v>29</v>
      </c>
      <c r="R87" s="458" t="s">
        <v>317</v>
      </c>
      <c r="S87" s="458"/>
      <c r="T87" s="458"/>
      <c r="U87" s="458"/>
      <c r="V87" s="458"/>
      <c r="W87" s="458">
        <f t="shared" si="28"/>
        <v>0</v>
      </c>
      <c r="X87" s="458"/>
      <c r="Y87" s="211"/>
      <c r="Z87" s="211"/>
      <c r="AA87" s="699"/>
      <c r="AB87" s="211"/>
      <c r="AD87" s="383" t="s">
        <v>29</v>
      </c>
      <c r="AE87" s="693"/>
      <c r="AF87" s="211"/>
      <c r="AG87" s="211"/>
      <c r="AH87" s="211"/>
      <c r="AI87" s="211">
        <f t="shared" si="29"/>
        <v>0</v>
      </c>
      <c r="AJ87" s="211"/>
      <c r="AK87" s="211"/>
      <c r="AL87" s="211"/>
    </row>
    <row r="88" spans="1:38" ht="52" customHeight="1" x14ac:dyDescent="0.2">
      <c r="A88" s="1"/>
      <c r="B88" s="209"/>
      <c r="C88" s="209"/>
      <c r="D88" s="1378"/>
      <c r="E88" s="1378"/>
      <c r="F88" s="1378"/>
      <c r="G88" s="1378"/>
      <c r="H88" s="1378"/>
      <c r="I88" s="194"/>
      <c r="J88" s="2943"/>
      <c r="K88" s="2611"/>
      <c r="L88" s="2611"/>
      <c r="M88" s="2611"/>
      <c r="N88" s="2611"/>
      <c r="O88" s="1289"/>
      <c r="P88" s="165"/>
      <c r="Q88" s="383"/>
      <c r="R88" s="458" t="s">
        <v>20</v>
      </c>
      <c r="S88" s="458"/>
      <c r="T88" s="458"/>
      <c r="U88" s="458"/>
      <c r="V88" s="458"/>
      <c r="W88" s="458">
        <f t="shared" si="28"/>
        <v>0</v>
      </c>
      <c r="X88" s="458"/>
      <c r="Y88" s="211"/>
      <c r="Z88" s="211"/>
      <c r="AA88" s="699"/>
      <c r="AB88" s="211"/>
      <c r="AD88" s="383"/>
      <c r="AE88" s="693"/>
      <c r="AF88" s="211"/>
      <c r="AG88" s="211"/>
      <c r="AH88" s="211"/>
      <c r="AI88" s="211">
        <f t="shared" si="29"/>
        <v>0</v>
      </c>
      <c r="AJ88" s="211"/>
      <c r="AK88" s="211"/>
      <c r="AL88" s="211"/>
    </row>
    <row r="89" spans="1:38" ht="52" customHeight="1" x14ac:dyDescent="0.2">
      <c r="A89" s="1"/>
      <c r="B89" s="2944"/>
      <c r="C89" s="2611"/>
      <c r="D89" s="1373"/>
      <c r="E89" s="1372"/>
      <c r="F89" s="1372"/>
      <c r="G89" s="1372"/>
      <c r="H89" s="1372"/>
      <c r="I89" s="1374"/>
      <c r="J89" s="2943"/>
      <c r="K89" s="2611"/>
      <c r="L89" s="2611"/>
      <c r="M89" s="2611"/>
      <c r="N89" s="2611"/>
      <c r="O89" s="1289"/>
      <c r="P89" s="165"/>
      <c r="Q89" s="383" t="s">
        <v>31</v>
      </c>
      <c r="R89" s="458" t="s">
        <v>317</v>
      </c>
      <c r="S89" s="458"/>
      <c r="T89" s="458"/>
      <c r="U89" s="458"/>
      <c r="V89" s="458"/>
      <c r="W89" s="458">
        <f t="shared" si="28"/>
        <v>0</v>
      </c>
      <c r="X89" s="458"/>
      <c r="Y89" s="211"/>
      <c r="Z89" s="211"/>
      <c r="AA89" s="699"/>
      <c r="AB89" s="211"/>
      <c r="AD89" s="383" t="s">
        <v>31</v>
      </c>
      <c r="AE89" s="693"/>
      <c r="AF89" s="211"/>
      <c r="AG89" s="211"/>
      <c r="AH89" s="211"/>
      <c r="AI89" s="211">
        <f t="shared" si="29"/>
        <v>0</v>
      </c>
      <c r="AJ89" s="211"/>
      <c r="AK89" s="211"/>
      <c r="AL89" s="211"/>
    </row>
    <row r="90" spans="1:38" ht="36.75" customHeight="1" x14ac:dyDescent="0.2">
      <c r="A90" s="1"/>
      <c r="O90" s="1289"/>
      <c r="P90" s="165"/>
      <c r="Q90" s="383"/>
      <c r="R90" s="458" t="s">
        <v>20</v>
      </c>
      <c r="S90" s="458"/>
      <c r="T90" s="458"/>
      <c r="U90" s="458"/>
      <c r="V90" s="458"/>
      <c r="W90" s="458">
        <f t="shared" si="28"/>
        <v>0</v>
      </c>
      <c r="X90" s="458"/>
      <c r="Y90" s="211"/>
      <c r="Z90" s="211"/>
      <c r="AA90" s="699"/>
      <c r="AB90" s="211"/>
      <c r="AD90" s="383"/>
      <c r="AE90" s="693"/>
      <c r="AF90" s="211"/>
      <c r="AG90" s="211"/>
      <c r="AH90" s="211"/>
      <c r="AI90" s="211">
        <f t="shared" si="29"/>
        <v>0</v>
      </c>
      <c r="AJ90" s="211"/>
      <c r="AK90" s="211"/>
      <c r="AL90" s="211"/>
    </row>
    <row r="91" spans="1:38" ht="36.75" customHeight="1" x14ac:dyDescent="0.2">
      <c r="A91" s="1"/>
      <c r="O91" s="1289"/>
      <c r="P91" s="165"/>
      <c r="Q91" s="2466" t="s">
        <v>319</v>
      </c>
      <c r="R91" s="2466"/>
      <c r="S91" s="752">
        <f t="shared" ref="S91:AA91" si="33">S61+S63+S65+S67+S69+S71+S73+S75+S77+S87+S89</f>
        <v>497019</v>
      </c>
      <c r="T91" s="752">
        <f t="shared" si="33"/>
        <v>420913.5</v>
      </c>
      <c r="U91" s="752">
        <f t="shared" si="33"/>
        <v>0</v>
      </c>
      <c r="V91" s="752">
        <f t="shared" si="33"/>
        <v>5400</v>
      </c>
      <c r="W91" s="752">
        <f t="shared" si="33"/>
        <v>426313.5</v>
      </c>
      <c r="X91" s="773">
        <f t="shared" si="33"/>
        <v>33.214596838394172</v>
      </c>
      <c r="Y91" s="468" t="e">
        <f t="shared" si="33"/>
        <v>#DIV/0!</v>
      </c>
      <c r="Z91" s="468">
        <f t="shared" si="33"/>
        <v>1851</v>
      </c>
      <c r="AA91" s="474">
        <f t="shared" si="33"/>
        <v>2887</v>
      </c>
      <c r="AB91" s="468">
        <f>(AB61+AB62+AB65+AB67)/4</f>
        <v>146</v>
      </c>
      <c r="AC91" s="103"/>
      <c r="AD91" s="468" t="s">
        <v>319</v>
      </c>
      <c r="AE91" s="469">
        <f t="shared" ref="AE91:AJ91" si="34">AE61+AE63+AE65+AE67+AE69+AE71+AE73+AE75+AE77+AE87+AE89</f>
        <v>488254.56410256412</v>
      </c>
      <c r="AF91" s="469">
        <f t="shared" si="34"/>
        <v>446436.82239999995</v>
      </c>
      <c r="AG91" s="469">
        <f t="shared" si="34"/>
        <v>17544.308400000002</v>
      </c>
      <c r="AH91" s="468">
        <f t="shared" si="34"/>
        <v>12822.8292</v>
      </c>
      <c r="AI91" s="468">
        <f t="shared" si="34"/>
        <v>476803.95999999996</v>
      </c>
      <c r="AJ91" s="774">
        <f t="shared" si="34"/>
        <v>38.15</v>
      </c>
      <c r="AK91" s="1224">
        <f>AI91/AJ91+2</f>
        <v>12500.137876802097</v>
      </c>
      <c r="AL91" s="468">
        <v>100</v>
      </c>
    </row>
    <row r="92" spans="1:38" ht="25.5" customHeight="1" x14ac:dyDescent="0.2">
      <c r="A92" s="1"/>
      <c r="B92" s="45"/>
      <c r="C92" s="1"/>
      <c r="D92" s="78"/>
      <c r="E92" s="99"/>
      <c r="F92" s="99"/>
      <c r="G92" s="99"/>
      <c r="H92" s="99"/>
      <c r="I92" s="99"/>
      <c r="J92" s="99"/>
      <c r="K92" s="48"/>
      <c r="L92" s="48"/>
      <c r="M92" s="48"/>
      <c r="N92" s="48"/>
      <c r="O92" s="1289"/>
      <c r="P92" s="165"/>
      <c r="Q92" s="2466" t="s">
        <v>318</v>
      </c>
      <c r="R92" s="2466"/>
      <c r="S92" s="752">
        <f t="shared" ref="S92:AA92" si="35">S62+S64+S66+S68+S70+S72+S74+S76+S86+S88+S90</f>
        <v>23615</v>
      </c>
      <c r="T92" s="752">
        <f t="shared" si="35"/>
        <v>79593</v>
      </c>
      <c r="U92" s="752">
        <f t="shared" si="35"/>
        <v>0</v>
      </c>
      <c r="V92" s="752">
        <f t="shared" si="35"/>
        <v>8863.5</v>
      </c>
      <c r="W92" s="752">
        <f t="shared" si="35"/>
        <v>88456.5</v>
      </c>
      <c r="X92" s="773">
        <f t="shared" si="35"/>
        <v>6.7854031616058226</v>
      </c>
      <c r="Y92" s="468" t="e">
        <f t="shared" si="35"/>
        <v>#DIV/0!</v>
      </c>
      <c r="Z92" s="468">
        <f t="shared" si="35"/>
        <v>0</v>
      </c>
      <c r="AA92" s="474">
        <f t="shared" si="35"/>
        <v>0</v>
      </c>
      <c r="AB92" s="468">
        <f>AB91</f>
        <v>146</v>
      </c>
      <c r="AC92" s="103"/>
      <c r="AD92" s="468" t="s">
        <v>318</v>
      </c>
      <c r="AE92" s="469">
        <f t="shared" ref="AE92:AJ92" si="36">AE62+AE64+AE66+AE68+AE70+AE72+AE74+AE76+AE86+AE88+AE90</f>
        <v>23338.461538461539</v>
      </c>
      <c r="AF92" s="468">
        <f t="shared" si="36"/>
        <v>20934.599999999999</v>
      </c>
      <c r="AG92" s="468">
        <f t="shared" si="36"/>
        <v>1137.75</v>
      </c>
      <c r="AH92" s="468">
        <f t="shared" si="36"/>
        <v>682.65</v>
      </c>
      <c r="AI92" s="468">
        <f t="shared" si="36"/>
        <v>22755</v>
      </c>
      <c r="AJ92" s="774">
        <f t="shared" si="36"/>
        <v>1.85</v>
      </c>
      <c r="AK92" s="1224">
        <f>AI92/AJ92</f>
        <v>12300</v>
      </c>
      <c r="AL92" s="468">
        <v>100</v>
      </c>
    </row>
    <row r="93" spans="1:38" ht="25.5" customHeight="1" x14ac:dyDescent="0.2">
      <c r="A93" s="1"/>
      <c r="B93" s="45"/>
      <c r="C93" s="1"/>
      <c r="D93" s="78"/>
      <c r="E93" s="99"/>
      <c r="F93" s="99"/>
      <c r="G93" s="99"/>
      <c r="H93" s="99"/>
      <c r="I93" s="99"/>
      <c r="J93" s="99"/>
      <c r="K93" s="48"/>
      <c r="L93" s="48"/>
      <c r="M93" s="48"/>
      <c r="N93" s="48"/>
      <c r="O93" s="1289"/>
      <c r="P93" s="165"/>
      <c r="Q93" s="2466" t="s">
        <v>89</v>
      </c>
      <c r="R93" s="2466"/>
      <c r="S93" s="752">
        <f>SUM(S91:S92)</f>
        <v>520634</v>
      </c>
      <c r="T93" s="752">
        <f t="shared" ref="T93:AA93" si="37">SUM(T91:T92)</f>
        <v>500506.5</v>
      </c>
      <c r="U93" s="752">
        <f t="shared" si="37"/>
        <v>0</v>
      </c>
      <c r="V93" s="752">
        <f t="shared" si="37"/>
        <v>14263.5</v>
      </c>
      <c r="W93" s="752">
        <f t="shared" si="37"/>
        <v>514770</v>
      </c>
      <c r="X93" s="773">
        <f t="shared" si="37"/>
        <v>39.999999999999993</v>
      </c>
      <c r="Y93" s="468" t="e">
        <f t="shared" si="37"/>
        <v>#DIV/0!</v>
      </c>
      <c r="Z93" s="468">
        <f t="shared" si="37"/>
        <v>1851</v>
      </c>
      <c r="AA93" s="468">
        <f t="shared" si="37"/>
        <v>2887</v>
      </c>
      <c r="AB93" s="468">
        <f>AB91</f>
        <v>146</v>
      </c>
      <c r="AC93" s="103"/>
      <c r="AD93" s="468" t="s">
        <v>89</v>
      </c>
      <c r="AE93" s="469">
        <f t="shared" ref="AE93:AK93" si="38">SUM(AE91:AE92)</f>
        <v>511593.02564102568</v>
      </c>
      <c r="AF93" s="469">
        <f t="shared" si="38"/>
        <v>467371.42239999992</v>
      </c>
      <c r="AG93" s="469">
        <f t="shared" si="38"/>
        <v>18682.058400000002</v>
      </c>
      <c r="AH93" s="469">
        <f t="shared" si="38"/>
        <v>13505.4792</v>
      </c>
      <c r="AI93" s="469">
        <f t="shared" si="38"/>
        <v>499558.95999999996</v>
      </c>
      <c r="AJ93" s="1208">
        <f t="shared" si="38"/>
        <v>40</v>
      </c>
      <c r="AK93" s="469">
        <f t="shared" si="38"/>
        <v>24800.137876802095</v>
      </c>
      <c r="AL93" s="468">
        <v>100</v>
      </c>
    </row>
    <row r="94" spans="1:38" ht="25.5" customHeight="1" x14ac:dyDescent="0.2">
      <c r="A94" s="1"/>
      <c r="B94" s="45"/>
      <c r="C94" s="1"/>
      <c r="D94" s="78"/>
      <c r="E94" s="99"/>
      <c r="F94" s="99"/>
      <c r="G94" s="99"/>
      <c r="H94" s="99"/>
      <c r="I94" s="99"/>
      <c r="J94" s="99"/>
      <c r="K94" s="48"/>
      <c r="L94" s="48"/>
      <c r="M94" s="48"/>
      <c r="N94" s="48"/>
      <c r="O94" s="1289"/>
      <c r="P94" s="165"/>
      <c r="Q94" s="1401"/>
      <c r="R94" s="1401"/>
      <c r="S94" s="1402"/>
      <c r="T94" s="1402"/>
      <c r="U94" s="1402"/>
      <c r="V94" s="1402"/>
      <c r="W94" s="1402"/>
      <c r="X94" s="1403"/>
      <c r="Y94" s="1401"/>
      <c r="Z94" s="1401"/>
      <c r="AA94" s="1401"/>
      <c r="AB94" s="1401"/>
      <c r="AC94" s="103"/>
      <c r="AD94" s="1401"/>
      <c r="AE94" s="1401"/>
      <c r="AF94" s="1401"/>
      <c r="AG94" s="1401"/>
      <c r="AH94" s="1401"/>
      <c r="AI94" s="1401"/>
      <c r="AJ94" s="1404"/>
      <c r="AK94" s="1401"/>
      <c r="AL94" s="1401"/>
    </row>
    <row r="95" spans="1:38" ht="33" customHeight="1" x14ac:dyDescent="0.2">
      <c r="A95" s="1"/>
      <c r="B95" s="42" t="s">
        <v>917</v>
      </c>
      <c r="C95" s="42"/>
      <c r="D95" s="43"/>
      <c r="E95" s="43"/>
      <c r="F95" s="43"/>
      <c r="G95" s="43"/>
      <c r="H95" s="43"/>
      <c r="I95" s="43"/>
      <c r="J95" s="43"/>
      <c r="K95" s="43"/>
      <c r="L95" s="43"/>
      <c r="M95" s="43"/>
      <c r="N95" s="43"/>
      <c r="O95" s="1289"/>
      <c r="P95" s="165"/>
      <c r="AE95" s="95"/>
      <c r="AF95" s="95"/>
      <c r="AG95" s="95"/>
    </row>
    <row r="96" spans="1:38" ht="31" customHeight="1" x14ac:dyDescent="0.2">
      <c r="A96" s="1"/>
      <c r="B96" s="42" t="s">
        <v>104</v>
      </c>
      <c r="C96" s="42"/>
      <c r="D96" s="43"/>
      <c r="E96" s="43"/>
      <c r="F96" s="43"/>
      <c r="G96" s="43"/>
      <c r="H96" s="43"/>
      <c r="I96" s="43"/>
      <c r="J96" s="43"/>
      <c r="K96" s="43"/>
      <c r="L96" s="43"/>
      <c r="M96" s="43"/>
      <c r="N96" s="43"/>
      <c r="O96" s="1286"/>
      <c r="P96" s="95"/>
      <c r="AE96" s="95"/>
      <c r="AF96" s="95"/>
      <c r="AG96" s="95"/>
    </row>
    <row r="97" spans="1:38" ht="33" customHeight="1" x14ac:dyDescent="0.2">
      <c r="A97" s="1"/>
      <c r="B97" s="2573" t="s">
        <v>105</v>
      </c>
      <c r="C97" s="2574"/>
      <c r="D97" s="2551" t="s">
        <v>17</v>
      </c>
      <c r="E97" s="2577" t="s">
        <v>106</v>
      </c>
      <c r="F97" s="2577"/>
      <c r="G97" s="2577"/>
      <c r="H97" s="2578"/>
      <c r="I97" s="201" t="s">
        <v>107</v>
      </c>
      <c r="J97" s="2579" t="s">
        <v>47</v>
      </c>
      <c r="K97" s="2580"/>
      <c r="L97" s="2580"/>
      <c r="M97" s="2580"/>
      <c r="N97" s="2581"/>
      <c r="O97" s="1289"/>
      <c r="P97" s="165"/>
      <c r="Q97" s="456" t="s">
        <v>334</v>
      </c>
      <c r="R97" s="458" t="s">
        <v>304</v>
      </c>
      <c r="S97" s="458" t="s">
        <v>74</v>
      </c>
      <c r="T97" s="458" t="s">
        <v>18</v>
      </c>
      <c r="U97" s="458" t="s">
        <v>19</v>
      </c>
      <c r="V97" s="458" t="s">
        <v>20</v>
      </c>
      <c r="W97" s="760" t="s">
        <v>336</v>
      </c>
      <c r="X97" s="760" t="s">
        <v>10</v>
      </c>
      <c r="Y97" s="632" t="s">
        <v>331</v>
      </c>
      <c r="Z97" s="238" t="s">
        <v>81</v>
      </c>
      <c r="AA97" s="496" t="s">
        <v>360</v>
      </c>
      <c r="AB97" s="382" t="s">
        <v>337</v>
      </c>
      <c r="AC97" s="158"/>
      <c r="AD97" s="456" t="s">
        <v>396</v>
      </c>
      <c r="AE97" s="455" t="s">
        <v>361</v>
      </c>
      <c r="AF97" s="133" t="s">
        <v>18</v>
      </c>
      <c r="AG97" s="133" t="s">
        <v>19</v>
      </c>
      <c r="AH97" s="97" t="s">
        <v>20</v>
      </c>
      <c r="AI97" s="632" t="s">
        <v>336</v>
      </c>
      <c r="AJ97" s="632" t="s">
        <v>10</v>
      </c>
      <c r="AK97" s="632" t="s">
        <v>331</v>
      </c>
      <c r="AL97" s="202" t="s">
        <v>337</v>
      </c>
    </row>
    <row r="98" spans="1:38" ht="58" customHeight="1" x14ac:dyDescent="0.2">
      <c r="A98" s="1"/>
      <c r="B98" s="2728"/>
      <c r="C98" s="2730"/>
      <c r="D98" s="2566"/>
      <c r="E98" s="706" t="s">
        <v>18</v>
      </c>
      <c r="F98" s="705" t="s">
        <v>19</v>
      </c>
      <c r="G98" s="705" t="s">
        <v>20</v>
      </c>
      <c r="H98" s="705" t="s">
        <v>108</v>
      </c>
      <c r="I98" s="1475" t="s">
        <v>22</v>
      </c>
      <c r="J98" s="2616"/>
      <c r="K98" s="2729"/>
      <c r="L98" s="2729"/>
      <c r="M98" s="2729"/>
      <c r="N98" s="2617"/>
      <c r="O98" s="1289"/>
      <c r="P98" s="165"/>
      <c r="Q98" s="383" t="s">
        <v>154</v>
      </c>
      <c r="R98" s="458" t="s">
        <v>20</v>
      </c>
      <c r="S98" s="458"/>
      <c r="T98" s="458"/>
      <c r="U98" s="458"/>
      <c r="V98" s="458"/>
      <c r="W98" s="458"/>
      <c r="X98" s="458"/>
      <c r="Y98" s="211"/>
      <c r="Z98" s="475"/>
      <c r="AA98" s="701"/>
      <c r="AB98" s="211"/>
      <c r="AD98" s="383" t="s">
        <v>154</v>
      </c>
      <c r="AE98" s="693"/>
      <c r="AF98" s="211"/>
      <c r="AG98" s="211"/>
      <c r="AH98" s="211"/>
      <c r="AI98" s="211"/>
      <c r="AJ98" s="475"/>
      <c r="AK98" s="211"/>
      <c r="AL98" s="211"/>
    </row>
    <row r="99" spans="1:38" ht="44" customHeight="1" x14ac:dyDescent="0.2">
      <c r="A99" s="1"/>
      <c r="B99" s="2905" t="s">
        <v>109</v>
      </c>
      <c r="C99" s="2905"/>
      <c r="D99" s="57" t="s">
        <v>21</v>
      </c>
      <c r="E99" s="834">
        <f>'TH Thương hiệu DC1'!Y7</f>
        <v>111178.56</v>
      </c>
      <c r="F99" s="834">
        <f>'TH Thương hiệu DC1'!Y8</f>
        <v>3644.6400000000003</v>
      </c>
      <c r="G99" s="834">
        <f>'TH Thương hiệu DC1'!Y9</f>
        <v>18577.439999999999</v>
      </c>
      <c r="H99" s="831">
        <f t="shared" ref="H99:H114" si="39">SUM(E99:G99)</f>
        <v>133400.63999999998</v>
      </c>
      <c r="I99" s="214"/>
      <c r="J99" s="2599" t="s">
        <v>110</v>
      </c>
      <c r="K99" s="2599"/>
      <c r="L99" s="2599"/>
      <c r="M99" s="2599"/>
      <c r="N99" s="2599"/>
      <c r="O99" s="1289"/>
      <c r="P99" s="165"/>
      <c r="Q99" s="383"/>
      <c r="R99" s="458" t="s">
        <v>307</v>
      </c>
      <c r="S99" s="458"/>
      <c r="T99" s="458"/>
      <c r="U99" s="458"/>
      <c r="V99" s="458"/>
      <c r="W99" s="458"/>
      <c r="X99" s="458"/>
      <c r="Y99" s="211"/>
      <c r="Z99" s="211"/>
      <c r="AA99" s="699"/>
      <c r="AB99" s="211"/>
      <c r="AD99" s="383"/>
      <c r="AE99" s="693"/>
      <c r="AF99" s="211"/>
      <c r="AG99" s="211"/>
      <c r="AH99" s="211"/>
      <c r="AI99" s="211"/>
      <c r="AJ99" s="475"/>
      <c r="AK99" s="211"/>
      <c r="AL99" s="211"/>
    </row>
    <row r="100" spans="1:38" ht="44" customHeight="1" x14ac:dyDescent="0.2">
      <c r="A100" s="1"/>
      <c r="B100" s="2905"/>
      <c r="C100" s="2905"/>
      <c r="D100" s="57" t="s">
        <v>22</v>
      </c>
      <c r="E100" s="1476">
        <f>E99/$H$99*100</f>
        <v>83.341849034607336</v>
      </c>
      <c r="F100" s="1476">
        <f>F99/$H$99*100</f>
        <v>2.7321008354982408</v>
      </c>
      <c r="G100" s="1476">
        <f>G99/$H$99*100</f>
        <v>13.926050129894429</v>
      </c>
      <c r="H100" s="1439">
        <f t="shared" si="39"/>
        <v>100.00000000000001</v>
      </c>
      <c r="I100" s="215">
        <f>H99/$H$135*100</f>
        <v>7.8349272615655705</v>
      </c>
      <c r="J100" s="2599"/>
      <c r="K100" s="2599"/>
      <c r="L100" s="2599"/>
      <c r="M100" s="2599"/>
      <c r="N100" s="2599"/>
      <c r="O100" s="1289"/>
      <c r="P100" s="165"/>
      <c r="Q100" s="383" t="s">
        <v>156</v>
      </c>
      <c r="R100" s="458" t="s">
        <v>20</v>
      </c>
      <c r="S100" s="458"/>
      <c r="T100" s="458"/>
      <c r="U100" s="458"/>
      <c r="V100" s="458"/>
      <c r="W100" s="458">
        <f t="shared" ref="W100:W119" si="40">SUM(T100:V100)</f>
        <v>0</v>
      </c>
      <c r="X100" s="458"/>
      <c r="Y100" s="211"/>
      <c r="Z100" s="211"/>
      <c r="AA100" s="699"/>
      <c r="AB100" s="211"/>
      <c r="AD100" s="383" t="s">
        <v>156</v>
      </c>
      <c r="AE100" s="693"/>
      <c r="AF100" s="211"/>
      <c r="AG100" s="211"/>
      <c r="AH100" s="211"/>
      <c r="AI100" s="211">
        <f t="shared" ref="AI100:AI119" si="41">SUM(AH100:AH100)</f>
        <v>0</v>
      </c>
      <c r="AJ100" s="211"/>
      <c r="AK100" s="211"/>
      <c r="AL100" s="211"/>
    </row>
    <row r="101" spans="1:38" ht="33" hidden="1" customHeight="1" x14ac:dyDescent="0.2">
      <c r="A101" s="1"/>
      <c r="B101" s="2905" t="s">
        <v>112</v>
      </c>
      <c r="C101" s="2905"/>
      <c r="D101" s="57" t="s">
        <v>21</v>
      </c>
      <c r="E101" s="834">
        <f>'TH Thương hiệu DC1'!Y10</f>
        <v>0</v>
      </c>
      <c r="F101" s="834">
        <f>'TH Thương hiệu DC1'!Y11</f>
        <v>0</v>
      </c>
      <c r="G101" s="834">
        <f>'TH Thương hiệu DC1'!Y12</f>
        <v>0</v>
      </c>
      <c r="H101" s="831">
        <f t="shared" si="39"/>
        <v>0</v>
      </c>
      <c r="I101" s="215"/>
      <c r="J101" s="2599"/>
      <c r="K101" s="2599"/>
      <c r="L101" s="2599"/>
      <c r="M101" s="2599"/>
      <c r="N101" s="2599"/>
      <c r="O101" s="1289"/>
      <c r="P101" s="165"/>
      <c r="Q101" s="383"/>
      <c r="R101" s="458" t="s">
        <v>307</v>
      </c>
      <c r="S101" s="458"/>
      <c r="T101" s="458"/>
      <c r="U101" s="458"/>
      <c r="V101" s="458"/>
      <c r="W101" s="458">
        <f t="shared" si="40"/>
        <v>0</v>
      </c>
      <c r="X101" s="458"/>
      <c r="Y101" s="211"/>
      <c r="Z101" s="211"/>
      <c r="AA101" s="699"/>
      <c r="AB101" s="211"/>
      <c r="AD101" s="383"/>
      <c r="AE101" s="693"/>
      <c r="AF101" s="211"/>
      <c r="AG101" s="211"/>
      <c r="AH101" s="211"/>
      <c r="AI101" s="211">
        <f t="shared" si="41"/>
        <v>0</v>
      </c>
      <c r="AJ101" s="211"/>
      <c r="AK101" s="211"/>
      <c r="AL101" s="211"/>
    </row>
    <row r="102" spans="1:38" ht="33" hidden="1" customHeight="1" x14ac:dyDescent="0.2">
      <c r="A102" s="1"/>
      <c r="B102" s="2905"/>
      <c r="C102" s="2905"/>
      <c r="D102" s="57" t="s">
        <v>22</v>
      </c>
      <c r="E102" s="1439" t="e">
        <f>E101/$H$101*100</f>
        <v>#DIV/0!</v>
      </c>
      <c r="F102" s="1439" t="e">
        <f>F101/$H$101*100</f>
        <v>#DIV/0!</v>
      </c>
      <c r="G102" s="1439" t="e">
        <f>G101/$H$101*100</f>
        <v>#DIV/0!</v>
      </c>
      <c r="H102" s="831" t="e">
        <f t="shared" si="39"/>
        <v>#DIV/0!</v>
      </c>
      <c r="I102" s="215">
        <f>H101/$H$135*100</f>
        <v>0</v>
      </c>
      <c r="J102" s="2599"/>
      <c r="K102" s="2599"/>
      <c r="L102" s="2599"/>
      <c r="M102" s="2599"/>
      <c r="N102" s="2599"/>
      <c r="O102" s="1289"/>
      <c r="P102" s="165"/>
      <c r="Q102" s="383" t="s">
        <v>157</v>
      </c>
      <c r="R102" s="458" t="s">
        <v>20</v>
      </c>
      <c r="S102" s="458"/>
      <c r="T102" s="458"/>
      <c r="U102" s="458"/>
      <c r="V102" s="458"/>
      <c r="W102" s="458">
        <f t="shared" si="40"/>
        <v>0</v>
      </c>
      <c r="X102" s="458"/>
      <c r="Y102" s="211"/>
      <c r="Z102" s="211"/>
      <c r="AA102" s="699"/>
      <c r="AB102" s="211"/>
      <c r="AD102" s="383" t="s">
        <v>157</v>
      </c>
      <c r="AE102" s="693"/>
      <c r="AF102" s="211"/>
      <c r="AG102" s="211"/>
      <c r="AH102" s="211"/>
      <c r="AI102" s="211">
        <f t="shared" si="41"/>
        <v>0</v>
      </c>
      <c r="AJ102" s="211"/>
      <c r="AK102" s="211"/>
      <c r="AL102" s="211"/>
    </row>
    <row r="103" spans="1:38" ht="39" customHeight="1" x14ac:dyDescent="0.2">
      <c r="A103" s="1"/>
      <c r="B103" s="2905" t="s">
        <v>113</v>
      </c>
      <c r="C103" s="2905"/>
      <c r="D103" s="57" t="s">
        <v>21</v>
      </c>
      <c r="E103" s="831">
        <f>'TH Thương hiệu DC1'!Y13</f>
        <v>164010.23999999999</v>
      </c>
      <c r="F103" s="831">
        <f>'TH Thương hiệu DC1'!Y14</f>
        <v>0</v>
      </c>
      <c r="G103" s="831">
        <f>'TH Thương hiệu DC1'!Y15</f>
        <v>0</v>
      </c>
      <c r="H103" s="831">
        <f>SUM(E103:G103)</f>
        <v>164010.23999999999</v>
      </c>
      <c r="I103" s="215"/>
      <c r="J103" s="2599"/>
      <c r="K103" s="2599"/>
      <c r="L103" s="2599"/>
      <c r="M103" s="2599"/>
      <c r="N103" s="2599"/>
      <c r="O103" s="1289"/>
      <c r="P103" s="165"/>
      <c r="Q103" s="383"/>
      <c r="R103" s="458" t="s">
        <v>307</v>
      </c>
      <c r="S103" s="458"/>
      <c r="T103" s="458"/>
      <c r="U103" s="458"/>
      <c r="V103" s="458"/>
      <c r="W103" s="458">
        <f t="shared" si="40"/>
        <v>0</v>
      </c>
      <c r="X103" s="458"/>
      <c r="Y103" s="211"/>
      <c r="Z103" s="211"/>
      <c r="AA103" s="699"/>
      <c r="AB103" s="211"/>
      <c r="AD103" s="383"/>
      <c r="AE103" s="693"/>
      <c r="AF103" s="211"/>
      <c r="AG103" s="211"/>
      <c r="AH103" s="211"/>
      <c r="AI103" s="211">
        <f t="shared" si="41"/>
        <v>0</v>
      </c>
      <c r="AJ103" s="211"/>
      <c r="AK103" s="211"/>
      <c r="AL103" s="211"/>
    </row>
    <row r="104" spans="1:38" ht="39" customHeight="1" x14ac:dyDescent="0.2">
      <c r="A104" s="1"/>
      <c r="B104" s="2905"/>
      <c r="C104" s="2905"/>
      <c r="D104" s="57" t="s">
        <v>22</v>
      </c>
      <c r="E104" s="1439">
        <f>E103/$H$103*100</f>
        <v>100</v>
      </c>
      <c r="F104" s="1439">
        <f>F103/$H$103*100</f>
        <v>0</v>
      </c>
      <c r="G104" s="1439">
        <f>G103/$H$103*100</f>
        <v>0</v>
      </c>
      <c r="H104" s="1439">
        <f>H103/$H$103*100</f>
        <v>100</v>
      </c>
      <c r="I104" s="215">
        <f>H103/$H$135*100</f>
        <v>9.6326996673472642</v>
      </c>
      <c r="J104" s="2599"/>
      <c r="K104" s="2599"/>
      <c r="L104" s="2599"/>
      <c r="M104" s="2599"/>
      <c r="N104" s="2599"/>
      <c r="O104" s="1289"/>
      <c r="P104" s="165"/>
      <c r="Q104" s="383" t="s">
        <v>158</v>
      </c>
      <c r="R104" s="458" t="s">
        <v>20</v>
      </c>
      <c r="S104" s="458">
        <f>'T5.2025'!E23</f>
        <v>119675</v>
      </c>
      <c r="T104" s="458">
        <f>'T5.2025'!F152</f>
        <v>93891.6</v>
      </c>
      <c r="U104" s="458">
        <f>'T5.2025'!G152</f>
        <v>0</v>
      </c>
      <c r="V104" s="458">
        <f>'T5.2025'!H152</f>
        <v>5347.08</v>
      </c>
      <c r="W104" s="458">
        <f t="shared" si="40"/>
        <v>99238.680000000008</v>
      </c>
      <c r="X104" s="734">
        <f>'T5.2025'!G190</f>
        <v>8.0883283144158753</v>
      </c>
      <c r="Y104" s="211">
        <f>W104/X104</f>
        <v>12269.368421052632</v>
      </c>
      <c r="Z104" s="211">
        <f>'T5.2025'!M23</f>
        <v>712.8</v>
      </c>
      <c r="AA104" s="699">
        <f>'T5.2025'!N23</f>
        <v>758.52</v>
      </c>
      <c r="AB104" s="211">
        <f>'T5.2025'!O23</f>
        <v>230</v>
      </c>
      <c r="AD104" s="383" t="s">
        <v>158</v>
      </c>
      <c r="AE104" s="693">
        <f>'T5.2025'!E21</f>
        <v>117312.82051282052</v>
      </c>
      <c r="AF104" s="211">
        <f>'T5.2025'!F21</f>
        <v>101798.2</v>
      </c>
      <c r="AG104" s="211">
        <f>'T5.2025'!G21</f>
        <v>5719</v>
      </c>
      <c r="AH104" s="211">
        <f>'T5.2025'!H21</f>
        <v>6862.8</v>
      </c>
      <c r="AI104" s="211">
        <f>SUM(AF104:AH104)</f>
        <v>114380</v>
      </c>
      <c r="AJ104" s="475">
        <f>'T5.2025'!J21</f>
        <v>9.5</v>
      </c>
      <c r="AK104" s="211">
        <f>AI104/AJ104</f>
        <v>12040</v>
      </c>
      <c r="AL104" s="211">
        <f>'T5.2025'!O21</f>
        <v>100</v>
      </c>
    </row>
    <row r="105" spans="1:38" ht="39" customHeight="1" x14ac:dyDescent="0.2">
      <c r="A105" s="1"/>
      <c r="B105" s="2905" t="s">
        <v>114</v>
      </c>
      <c r="C105" s="2905"/>
      <c r="D105" s="57" t="s">
        <v>21</v>
      </c>
      <c r="E105" s="831">
        <f>'TH Thương hiệu DC1'!Y16</f>
        <v>26395.200000000001</v>
      </c>
      <c r="F105" s="831">
        <f>'TH Thương hiệu DC1'!Y17</f>
        <v>0</v>
      </c>
      <c r="G105" s="831">
        <f>'TH Thương hiệu DC1'!Y18</f>
        <v>2674.08</v>
      </c>
      <c r="H105" s="831">
        <f t="shared" si="39"/>
        <v>29069.279999999999</v>
      </c>
      <c r="I105" s="215"/>
      <c r="J105" s="2599"/>
      <c r="K105" s="2599"/>
      <c r="L105" s="2599"/>
      <c r="M105" s="2599"/>
      <c r="N105" s="2599"/>
      <c r="O105" s="1287"/>
      <c r="P105" s="103"/>
      <c r="Q105" s="383"/>
      <c r="R105" s="458" t="s">
        <v>307</v>
      </c>
      <c r="S105" s="458"/>
      <c r="T105" s="458">
        <f>'T5.2025'!F168</f>
        <v>16918.2</v>
      </c>
      <c r="U105" s="458">
        <f>'T5.2025'!G168</f>
        <v>0</v>
      </c>
      <c r="V105" s="458">
        <f>'T5.2025'!H168</f>
        <v>402.12</v>
      </c>
      <c r="W105" s="458">
        <f t="shared" si="40"/>
        <v>17320.32</v>
      </c>
      <c r="X105" s="734">
        <f>'T5.2025'!G191</f>
        <v>1.4116716855841247</v>
      </c>
      <c r="Y105" s="211">
        <f>W105/X105</f>
        <v>12269.368421052632</v>
      </c>
      <c r="Z105" s="211"/>
      <c r="AA105" s="699"/>
      <c r="AB105" s="211"/>
      <c r="AD105" s="383"/>
      <c r="AE105" s="693"/>
      <c r="AF105" s="211"/>
      <c r="AG105" s="211"/>
      <c r="AH105" s="211"/>
      <c r="AI105" s="211">
        <f t="shared" si="41"/>
        <v>0</v>
      </c>
      <c r="AJ105" s="211"/>
      <c r="AK105" s="211"/>
      <c r="AL105" s="211"/>
    </row>
    <row r="106" spans="1:38" ht="39" customHeight="1" x14ac:dyDescent="0.2">
      <c r="A106" s="1"/>
      <c r="B106" s="2905"/>
      <c r="C106" s="2905"/>
      <c r="D106" s="57" t="s">
        <v>22</v>
      </c>
      <c r="E106" s="1439">
        <f>E105/$H$105*100</f>
        <v>90.80101055134493</v>
      </c>
      <c r="F106" s="1439">
        <f>F105/$H$105*100</f>
        <v>0</v>
      </c>
      <c r="G106" s="1439">
        <f>G105/$H$105*100</f>
        <v>9.198989448655075</v>
      </c>
      <c r="H106" s="831">
        <f t="shared" si="39"/>
        <v>100</v>
      </c>
      <c r="I106" s="215">
        <f>H105/$H$135*100</f>
        <v>1.7073058595976964</v>
      </c>
      <c r="J106" s="2599"/>
      <c r="K106" s="2599"/>
      <c r="L106" s="2599"/>
      <c r="M106" s="2599"/>
      <c r="N106" s="2599"/>
      <c r="O106" s="1287"/>
      <c r="P106" s="103"/>
      <c r="Q106" s="383" t="s">
        <v>159</v>
      </c>
      <c r="R106" s="458" t="s">
        <v>20</v>
      </c>
      <c r="S106" s="458"/>
      <c r="T106" s="458"/>
      <c r="U106" s="458"/>
      <c r="V106" s="458"/>
      <c r="W106" s="458"/>
      <c r="X106" s="734"/>
      <c r="Y106" s="211"/>
      <c r="Z106" s="211"/>
      <c r="AA106" s="699"/>
      <c r="AB106" s="211"/>
      <c r="AD106" s="383" t="s">
        <v>159</v>
      </c>
      <c r="AE106" s="693"/>
      <c r="AF106" s="211"/>
      <c r="AG106" s="211"/>
      <c r="AH106" s="211"/>
      <c r="AI106" s="211"/>
      <c r="AJ106" s="475"/>
      <c r="AK106" s="211"/>
      <c r="AL106" s="211"/>
    </row>
    <row r="107" spans="1:38" ht="39" customHeight="1" x14ac:dyDescent="0.2">
      <c r="A107" s="1"/>
      <c r="B107" s="2905" t="s">
        <v>117</v>
      </c>
      <c r="C107" s="2905"/>
      <c r="D107" s="57" t="s">
        <v>21</v>
      </c>
      <c r="E107" s="831">
        <f>'TH Thương hiệu DC1'!Y19</f>
        <v>5518.4</v>
      </c>
      <c r="F107" s="831">
        <f>'TH Thương hiệu DC1'!Y20</f>
        <v>0</v>
      </c>
      <c r="G107" s="831">
        <f>'TH Thương hiệu DC1'!Y21</f>
        <v>634.83999999999992</v>
      </c>
      <c r="H107" s="831">
        <f t="shared" si="39"/>
        <v>6153.24</v>
      </c>
      <c r="I107" s="215"/>
      <c r="J107" s="2599"/>
      <c r="K107" s="2599"/>
      <c r="L107" s="2599"/>
      <c r="M107" s="2599"/>
      <c r="N107" s="2599"/>
      <c r="O107" s="1287"/>
      <c r="P107" s="103"/>
      <c r="Q107" s="383"/>
      <c r="R107" s="458" t="s">
        <v>307</v>
      </c>
      <c r="S107" s="458"/>
      <c r="T107" s="458"/>
      <c r="U107" s="458"/>
      <c r="V107" s="458"/>
      <c r="W107" s="458"/>
      <c r="X107" s="734"/>
      <c r="Y107" s="211"/>
      <c r="Z107" s="211"/>
      <c r="AA107" s="699"/>
      <c r="AB107" s="211"/>
      <c r="AD107" s="383"/>
      <c r="AE107" s="693"/>
      <c r="AF107" s="211"/>
      <c r="AG107" s="211"/>
      <c r="AH107" s="211"/>
      <c r="AI107" s="211">
        <f t="shared" si="41"/>
        <v>0</v>
      </c>
      <c r="AJ107" s="211"/>
      <c r="AK107" s="211"/>
      <c r="AL107" s="211"/>
    </row>
    <row r="108" spans="1:38" ht="39" customHeight="1" x14ac:dyDescent="0.2">
      <c r="A108" s="1"/>
      <c r="B108" s="2905"/>
      <c r="C108" s="2905"/>
      <c r="D108" s="57" t="s">
        <v>22</v>
      </c>
      <c r="E108" s="1439">
        <f>E107/$H$107*100</f>
        <v>89.682833759125273</v>
      </c>
      <c r="F108" s="1439">
        <f>F107/$H$107*100</f>
        <v>0</v>
      </c>
      <c r="G108" s="1439">
        <f>G107/$H$107*100</f>
        <v>10.317166240874725</v>
      </c>
      <c r="H108" s="831">
        <f t="shared" si="39"/>
        <v>100</v>
      </c>
      <c r="I108" s="215">
        <f>H107/$H$135*100</f>
        <v>0.36139397699258219</v>
      </c>
      <c r="J108" s="2599"/>
      <c r="K108" s="2599"/>
      <c r="L108" s="2599"/>
      <c r="M108" s="2599"/>
      <c r="N108" s="2599"/>
      <c r="O108" s="1287"/>
      <c r="P108" s="103"/>
      <c r="Q108" s="211" t="s">
        <v>160</v>
      </c>
      <c r="R108" s="458" t="s">
        <v>20</v>
      </c>
      <c r="S108" s="457"/>
      <c r="T108" s="457"/>
      <c r="U108" s="457"/>
      <c r="V108" s="457"/>
      <c r="W108" s="458">
        <f t="shared" si="40"/>
        <v>0</v>
      </c>
      <c r="X108" s="457"/>
      <c r="Y108" s="457"/>
      <c r="Z108" s="457"/>
      <c r="AA108" s="702"/>
      <c r="AB108" s="458"/>
      <c r="AC108" s="700"/>
      <c r="AD108" s="211" t="s">
        <v>160</v>
      </c>
      <c r="AE108" s="693"/>
      <c r="AF108" s="211"/>
      <c r="AG108" s="211"/>
      <c r="AH108" s="457"/>
      <c r="AI108" s="211">
        <f t="shared" si="41"/>
        <v>0</v>
      </c>
      <c r="AJ108" s="457"/>
      <c r="AK108" s="457"/>
      <c r="AL108" s="458"/>
    </row>
    <row r="109" spans="1:38" ht="32" customHeight="1" x14ac:dyDescent="0.2">
      <c r="A109" s="1"/>
      <c r="B109" s="2904" t="s">
        <v>120</v>
      </c>
      <c r="C109" s="2904"/>
      <c r="D109" s="57" t="s">
        <v>21</v>
      </c>
      <c r="E109" s="834">
        <f>'TH Thương hiệu DC1'!Y25</f>
        <v>774043.20000000007</v>
      </c>
      <c r="F109" s="834">
        <f>'TH Thương hiệu DC1'!Y26</f>
        <v>36695.360000000001</v>
      </c>
      <c r="G109" s="834">
        <f>'TH Thương hiệu DC1'!Y27</f>
        <v>41104.6</v>
      </c>
      <c r="H109" s="831">
        <f t="shared" si="39"/>
        <v>851843.16</v>
      </c>
      <c r="I109" s="215"/>
      <c r="J109" s="2599" t="s">
        <v>121</v>
      </c>
      <c r="K109" s="2599"/>
      <c r="L109" s="2599"/>
      <c r="M109" s="2599"/>
      <c r="N109" s="2599"/>
      <c r="O109" s="1287"/>
      <c r="P109" s="103"/>
      <c r="Q109" s="12"/>
      <c r="R109" s="458" t="s">
        <v>307</v>
      </c>
      <c r="S109" s="458"/>
      <c r="T109" s="458"/>
      <c r="U109" s="458"/>
      <c r="V109" s="458"/>
      <c r="W109" s="458">
        <f t="shared" si="40"/>
        <v>0</v>
      </c>
      <c r="X109" s="458"/>
      <c r="Y109" s="211"/>
      <c r="Z109" s="211"/>
      <c r="AA109" s="699"/>
      <c r="AB109" s="211"/>
      <c r="AD109" s="12"/>
      <c r="AE109" s="693"/>
      <c r="AF109" s="211"/>
      <c r="AG109" s="211"/>
      <c r="AH109" s="477"/>
      <c r="AI109" s="211">
        <f t="shared" si="41"/>
        <v>0</v>
      </c>
      <c r="AJ109" s="477"/>
      <c r="AK109" s="477"/>
      <c r="AL109" s="477"/>
    </row>
    <row r="110" spans="1:38" ht="38" customHeight="1" x14ac:dyDescent="0.2">
      <c r="A110" s="1"/>
      <c r="B110" s="2904"/>
      <c r="C110" s="2904"/>
      <c r="D110" s="57" t="s">
        <v>22</v>
      </c>
      <c r="E110" s="1438">
        <f>E109/$H$109*100</f>
        <v>90.866868027677768</v>
      </c>
      <c r="F110" s="1438">
        <f>F109/$H$109*100</f>
        <v>4.3077601280498632</v>
      </c>
      <c r="G110" s="1438">
        <f>G109/$H$109*100</f>
        <v>4.8253718442723654</v>
      </c>
      <c r="H110" s="831">
        <f t="shared" si="39"/>
        <v>100</v>
      </c>
      <c r="I110" s="215">
        <f>H109/$H$135*100</f>
        <v>50.030713472305408</v>
      </c>
      <c r="J110" s="2599"/>
      <c r="K110" s="2599"/>
      <c r="L110" s="2599"/>
      <c r="M110" s="2599"/>
      <c r="N110" s="2599"/>
      <c r="O110" s="1287"/>
      <c r="P110" s="103"/>
      <c r="Q110" s="383" t="s">
        <v>161</v>
      </c>
      <c r="R110" s="458" t="s">
        <v>20</v>
      </c>
      <c r="S110" s="458"/>
      <c r="T110" s="458"/>
      <c r="U110" s="458"/>
      <c r="V110" s="458"/>
      <c r="W110" s="458">
        <f t="shared" si="40"/>
        <v>0</v>
      </c>
      <c r="X110" s="458"/>
      <c r="Y110" s="211"/>
      <c r="Z110" s="211"/>
      <c r="AA110" s="699"/>
      <c r="AB110" s="211"/>
      <c r="AD110" s="383" t="s">
        <v>161</v>
      </c>
      <c r="AE110" s="693"/>
      <c r="AF110" s="211"/>
      <c r="AG110" s="211"/>
      <c r="AH110" s="211"/>
      <c r="AI110" s="211">
        <f t="shared" si="41"/>
        <v>0</v>
      </c>
      <c r="AJ110" s="211"/>
      <c r="AK110" s="211"/>
      <c r="AL110" s="211"/>
    </row>
    <row r="111" spans="1:38" ht="33" hidden="1" customHeight="1" x14ac:dyDescent="0.2">
      <c r="A111" s="1"/>
      <c r="B111" s="2904" t="s">
        <v>123</v>
      </c>
      <c r="C111" s="2904"/>
      <c r="D111" s="57" t="s">
        <v>21</v>
      </c>
      <c r="E111" s="834">
        <f>'TH Thương hiệu DC1'!Y28</f>
        <v>0</v>
      </c>
      <c r="F111" s="834">
        <f>'TH Thương hiệu DC1'!Y29</f>
        <v>0</v>
      </c>
      <c r="G111" s="834">
        <f>'TH Thương hiệu DC1'!Y30</f>
        <v>0</v>
      </c>
      <c r="H111" s="831">
        <f t="shared" si="39"/>
        <v>0</v>
      </c>
      <c r="I111" s="215"/>
      <c r="J111" s="2599"/>
      <c r="K111" s="2599"/>
      <c r="L111" s="2599"/>
      <c r="M111" s="2599"/>
      <c r="N111" s="2599"/>
      <c r="O111" s="1287"/>
      <c r="P111" s="103"/>
      <c r="Q111" s="383"/>
      <c r="R111" s="458" t="s">
        <v>307</v>
      </c>
      <c r="S111" s="458"/>
      <c r="T111" s="458"/>
      <c r="U111" s="458"/>
      <c r="V111" s="458"/>
      <c r="W111" s="458">
        <f t="shared" si="40"/>
        <v>0</v>
      </c>
      <c r="X111" s="458"/>
      <c r="Y111" s="211"/>
      <c r="Z111" s="211"/>
      <c r="AA111" s="699"/>
      <c r="AB111" s="211"/>
      <c r="AD111" s="383"/>
      <c r="AE111" s="693"/>
      <c r="AF111" s="211"/>
      <c r="AG111" s="211"/>
      <c r="AH111" s="211"/>
      <c r="AI111" s="211">
        <f t="shared" si="41"/>
        <v>0</v>
      </c>
      <c r="AJ111" s="211"/>
      <c r="AK111" s="211"/>
      <c r="AL111" s="211"/>
    </row>
    <row r="112" spans="1:38" ht="33" hidden="1" customHeight="1" x14ac:dyDescent="0.2">
      <c r="A112" s="1"/>
      <c r="B112" s="2904"/>
      <c r="C112" s="2904"/>
      <c r="D112" s="57" t="s">
        <v>22</v>
      </c>
      <c r="E112" s="1438" t="e">
        <f>E111/$H$111*100</f>
        <v>#DIV/0!</v>
      </c>
      <c r="F112" s="1438" t="e">
        <f>F111/$H$111*100</f>
        <v>#DIV/0!</v>
      </c>
      <c r="G112" s="1438" t="e">
        <f>G111/$H$111*100</f>
        <v>#DIV/0!</v>
      </c>
      <c r="H112" s="831" t="e">
        <f t="shared" si="39"/>
        <v>#DIV/0!</v>
      </c>
      <c r="I112" s="215">
        <f>H111/$H$135*100</f>
        <v>0</v>
      </c>
      <c r="J112" s="2599"/>
      <c r="K112" s="2599"/>
      <c r="L112" s="2599"/>
      <c r="M112" s="2599"/>
      <c r="N112" s="2599"/>
      <c r="O112" s="1287"/>
      <c r="P112" s="103"/>
      <c r="Q112" s="383" t="s">
        <v>162</v>
      </c>
      <c r="R112" s="458" t="s">
        <v>20</v>
      </c>
      <c r="S112" s="458"/>
      <c r="T112" s="458"/>
      <c r="U112" s="458"/>
      <c r="V112" s="458"/>
      <c r="W112" s="458">
        <f t="shared" si="40"/>
        <v>0</v>
      </c>
      <c r="X112" s="458"/>
      <c r="Y112" s="211"/>
      <c r="Z112" s="211"/>
      <c r="AA112" s="699"/>
      <c r="AB112" s="211"/>
      <c r="AD112" s="383" t="s">
        <v>162</v>
      </c>
      <c r="AE112" s="693"/>
      <c r="AF112" s="211"/>
      <c r="AG112" s="211"/>
      <c r="AH112" s="211"/>
      <c r="AI112" s="211">
        <f t="shared" si="41"/>
        <v>0</v>
      </c>
      <c r="AJ112" s="211"/>
      <c r="AK112" s="211"/>
      <c r="AL112" s="211"/>
    </row>
    <row r="113" spans="1:38" ht="36" customHeight="1" x14ac:dyDescent="0.2">
      <c r="A113" s="1"/>
      <c r="B113" s="2904" t="s">
        <v>125</v>
      </c>
      <c r="C113" s="2904"/>
      <c r="D113" s="57" t="s">
        <v>21</v>
      </c>
      <c r="E113" s="834">
        <f>'TH Thương hiệu DC1'!Y31</f>
        <v>83359.760000000009</v>
      </c>
      <c r="F113" s="834">
        <f>'TH Thương hiệu DC1'!Y32</f>
        <v>0</v>
      </c>
      <c r="G113" s="834">
        <f>'TH Thương hiệu DC1'!Y33</f>
        <v>6028.12</v>
      </c>
      <c r="H113" s="831">
        <f t="shared" si="39"/>
        <v>89387.88</v>
      </c>
      <c r="I113" s="215"/>
      <c r="J113" s="2599"/>
      <c r="K113" s="2599"/>
      <c r="L113" s="2599"/>
      <c r="M113" s="2599"/>
      <c r="N113" s="2599"/>
      <c r="O113" s="1287"/>
      <c r="P113" s="103"/>
      <c r="Q113" s="383"/>
      <c r="R113" s="458" t="s">
        <v>307</v>
      </c>
      <c r="S113" s="458"/>
      <c r="T113" s="458"/>
      <c r="U113" s="458"/>
      <c r="V113" s="458"/>
      <c r="W113" s="458">
        <f t="shared" si="40"/>
        <v>0</v>
      </c>
      <c r="X113" s="458"/>
      <c r="Y113" s="211"/>
      <c r="Z113" s="211"/>
      <c r="AA113" s="699"/>
      <c r="AB113" s="211"/>
      <c r="AD113" s="383"/>
      <c r="AE113" s="693"/>
      <c r="AF113" s="211"/>
      <c r="AG113" s="211"/>
      <c r="AH113" s="211"/>
      <c r="AI113" s="211">
        <f t="shared" si="41"/>
        <v>0</v>
      </c>
      <c r="AJ113" s="211"/>
      <c r="AK113" s="211"/>
      <c r="AL113" s="211"/>
    </row>
    <row r="114" spans="1:38" ht="36" customHeight="1" x14ac:dyDescent="0.2">
      <c r="A114" s="1"/>
      <c r="B114" s="2904"/>
      <c r="C114" s="2904"/>
      <c r="D114" s="57" t="s">
        <v>22</v>
      </c>
      <c r="E114" s="1439">
        <f>E113/$H$113*100</f>
        <v>93.256222208200938</v>
      </c>
      <c r="F114" s="1439">
        <f>F113/$H$113*100</f>
        <v>0</v>
      </c>
      <c r="G114" s="1439">
        <f>G113/$H$113*100</f>
        <v>6.743777791799066</v>
      </c>
      <c r="H114" s="831">
        <f t="shared" si="39"/>
        <v>100</v>
      </c>
      <c r="I114" s="215">
        <f>H113/$H$135*100</f>
        <v>5.2499563560231195</v>
      </c>
      <c r="J114" s="2599"/>
      <c r="K114" s="2599"/>
      <c r="L114" s="2599"/>
      <c r="M114" s="2599"/>
      <c r="N114" s="2599"/>
      <c r="O114" s="1287"/>
      <c r="P114" s="103"/>
      <c r="Q114" s="383" t="s">
        <v>111</v>
      </c>
      <c r="R114" s="458" t="s">
        <v>20</v>
      </c>
      <c r="S114" s="458"/>
      <c r="T114" s="458"/>
      <c r="U114" s="458"/>
      <c r="V114" s="458"/>
      <c r="W114" s="458">
        <f t="shared" si="40"/>
        <v>0</v>
      </c>
      <c r="X114" s="458"/>
      <c r="Y114" s="211"/>
      <c r="Z114" s="211"/>
      <c r="AA114" s="699"/>
      <c r="AB114" s="211"/>
      <c r="AD114" s="383" t="s">
        <v>111</v>
      </c>
      <c r="AE114" s="693"/>
      <c r="AF114" s="211"/>
      <c r="AG114" s="211"/>
      <c r="AH114" s="211"/>
      <c r="AI114" s="211">
        <f t="shared" si="41"/>
        <v>0</v>
      </c>
      <c r="AJ114" s="211"/>
      <c r="AK114" s="211"/>
      <c r="AL114" s="211"/>
    </row>
    <row r="115" spans="1:38" ht="36" customHeight="1" x14ac:dyDescent="0.2">
      <c r="A115" s="1"/>
      <c r="B115" s="2904" t="s">
        <v>126</v>
      </c>
      <c r="C115" s="2904"/>
      <c r="D115" s="57" t="s">
        <v>21</v>
      </c>
      <c r="E115" s="834">
        <f>'TH Thương hiệu DC1'!Y34</f>
        <v>32997.360000000001</v>
      </c>
      <c r="F115" s="834">
        <f>'TH Thương hiệu DC1'!Y35</f>
        <v>0</v>
      </c>
      <c r="G115" s="834">
        <f>'TH Thương hiệu DC1'!Y36</f>
        <v>3757.08</v>
      </c>
      <c r="H115" s="831">
        <f>SUM(E115:G115)</f>
        <v>36754.44</v>
      </c>
      <c r="I115" s="215"/>
      <c r="J115" s="2599"/>
      <c r="K115" s="2599"/>
      <c r="L115" s="2599"/>
      <c r="M115" s="2599"/>
      <c r="N115" s="2599"/>
      <c r="O115" s="1287"/>
      <c r="P115" s="103"/>
      <c r="Q115" s="383"/>
      <c r="R115" s="458" t="s">
        <v>307</v>
      </c>
      <c r="S115" s="458"/>
      <c r="T115" s="458"/>
      <c r="U115" s="458"/>
      <c r="V115" s="458"/>
      <c r="W115" s="458">
        <f t="shared" si="40"/>
        <v>0</v>
      </c>
      <c r="X115" s="458"/>
      <c r="Y115" s="211"/>
      <c r="Z115" s="211"/>
      <c r="AA115" s="699"/>
      <c r="AB115" s="211"/>
      <c r="AD115" s="383"/>
      <c r="AE115" s="693"/>
      <c r="AF115" s="211"/>
      <c r="AG115" s="211"/>
      <c r="AH115" s="211"/>
      <c r="AI115" s="211">
        <f t="shared" si="41"/>
        <v>0</v>
      </c>
      <c r="AJ115" s="211"/>
      <c r="AK115" s="211"/>
      <c r="AL115" s="211"/>
    </row>
    <row r="116" spans="1:38" ht="36" customHeight="1" x14ac:dyDescent="0.2">
      <c r="A116" s="1"/>
      <c r="B116" s="2904"/>
      <c r="C116" s="2904"/>
      <c r="D116" s="57" t="s">
        <v>22</v>
      </c>
      <c r="E116" s="1439">
        <f>E115/H115*100</f>
        <v>89.777888059238549</v>
      </c>
      <c r="F116" s="1439">
        <f>F115/$H$113*100</f>
        <v>0</v>
      </c>
      <c r="G116" s="1439">
        <f>G115/H115*100</f>
        <v>10.222111940761442</v>
      </c>
      <c r="H116" s="831">
        <f>SUM(E116:G116)</f>
        <v>99.999999999999986</v>
      </c>
      <c r="I116" s="215">
        <f>H115/$H$135*100</f>
        <v>2.15867303140057</v>
      </c>
      <c r="J116" s="2599"/>
      <c r="K116" s="2599"/>
      <c r="L116" s="2599"/>
      <c r="M116" s="2599"/>
      <c r="N116" s="2599"/>
      <c r="O116" s="1287"/>
      <c r="P116" s="103"/>
      <c r="Q116" s="383" t="s">
        <v>29</v>
      </c>
      <c r="R116" s="458" t="s">
        <v>20</v>
      </c>
      <c r="S116" s="458"/>
      <c r="T116" s="458"/>
      <c r="U116" s="458"/>
      <c r="V116" s="458"/>
      <c r="W116" s="458">
        <f t="shared" si="40"/>
        <v>0</v>
      </c>
      <c r="X116" s="458"/>
      <c r="Y116" s="211"/>
      <c r="Z116" s="211"/>
      <c r="AA116" s="699"/>
      <c r="AB116" s="211"/>
      <c r="AD116" s="383" t="s">
        <v>29</v>
      </c>
      <c r="AE116" s="693"/>
      <c r="AF116" s="211"/>
      <c r="AG116" s="211"/>
      <c r="AH116" s="211"/>
      <c r="AI116" s="211">
        <f t="shared" si="41"/>
        <v>0</v>
      </c>
      <c r="AJ116" s="211"/>
      <c r="AK116" s="211"/>
      <c r="AL116" s="211"/>
    </row>
    <row r="117" spans="1:38" ht="36" customHeight="1" x14ac:dyDescent="0.2">
      <c r="A117" s="1"/>
      <c r="B117" s="2904" t="s">
        <v>112</v>
      </c>
      <c r="C117" s="2904"/>
      <c r="D117" s="57" t="s">
        <v>21</v>
      </c>
      <c r="E117" s="834">
        <f>'TH Thương hiệu DC1'!Y37</f>
        <v>49259.12</v>
      </c>
      <c r="F117" s="834">
        <f>'TH Thương hiệu DC1'!Y38</f>
        <v>1691.56</v>
      </c>
      <c r="G117" s="834">
        <f>'TH Thương hiệu DC1'!Y39</f>
        <v>2500.8000000000002</v>
      </c>
      <c r="H117" s="831">
        <f>SUM(E117:G117)</f>
        <v>53451.48</v>
      </c>
      <c r="I117" s="215"/>
      <c r="J117" s="2599"/>
      <c r="K117" s="2599"/>
      <c r="L117" s="2599"/>
      <c r="M117" s="2599"/>
      <c r="N117" s="2599"/>
      <c r="O117" s="1287"/>
      <c r="P117" s="103"/>
      <c r="Q117" s="383"/>
      <c r="R117" s="458" t="s">
        <v>307</v>
      </c>
      <c r="S117" s="458"/>
      <c r="T117" s="458"/>
      <c r="U117" s="458"/>
      <c r="V117" s="458"/>
      <c r="W117" s="458">
        <f t="shared" si="40"/>
        <v>0</v>
      </c>
      <c r="X117" s="458"/>
      <c r="Y117" s="211"/>
      <c r="Z117" s="211"/>
      <c r="AA117" s="699"/>
      <c r="AB117" s="211"/>
      <c r="AD117" s="383"/>
      <c r="AE117" s="693"/>
      <c r="AF117" s="211"/>
      <c r="AG117" s="211"/>
      <c r="AH117" s="211"/>
      <c r="AI117" s="211">
        <f t="shared" si="41"/>
        <v>0</v>
      </c>
      <c r="AJ117" s="211"/>
      <c r="AK117" s="211"/>
      <c r="AL117" s="211"/>
    </row>
    <row r="118" spans="1:38" ht="36" customHeight="1" x14ac:dyDescent="0.2">
      <c r="A118" s="1"/>
      <c r="B118" s="2904"/>
      <c r="C118" s="2904"/>
      <c r="D118" s="57" t="s">
        <v>22</v>
      </c>
      <c r="E118" s="1439">
        <f>E117/$H$117*100</f>
        <v>92.156699870611618</v>
      </c>
      <c r="F118" s="1439">
        <f>F117/$H$117*100</f>
        <v>3.1646644770172871</v>
      </c>
      <c r="G118" s="1439">
        <f>G117/$H$117*100</f>
        <v>4.678635652371085</v>
      </c>
      <c r="H118" s="831">
        <f>SUM(E118:G118)</f>
        <v>99.999999999999986</v>
      </c>
      <c r="I118" s="215">
        <f>H117/$H$135*100</f>
        <v>3.1393287005446671</v>
      </c>
      <c r="J118" s="2599"/>
      <c r="K118" s="2599"/>
      <c r="L118" s="2599"/>
      <c r="M118" s="2599"/>
      <c r="N118" s="2599"/>
      <c r="O118" s="1287"/>
      <c r="P118" s="103"/>
      <c r="Q118" s="211" t="s">
        <v>31</v>
      </c>
      <c r="R118" s="458" t="s">
        <v>20</v>
      </c>
      <c r="S118" s="457"/>
      <c r="T118" s="457"/>
      <c r="U118" s="457"/>
      <c r="V118" s="457"/>
      <c r="W118" s="458">
        <f t="shared" si="40"/>
        <v>0</v>
      </c>
      <c r="X118" s="457"/>
      <c r="Y118" s="457"/>
      <c r="Z118" s="457"/>
      <c r="AA118" s="702"/>
      <c r="AB118" s="458"/>
      <c r="AC118" s="700"/>
      <c r="AD118" s="211" t="s">
        <v>31</v>
      </c>
      <c r="AE118" s="693"/>
      <c r="AF118" s="211"/>
      <c r="AG118" s="211"/>
      <c r="AH118" s="457"/>
      <c r="AI118" s="211">
        <f t="shared" si="41"/>
        <v>0</v>
      </c>
      <c r="AJ118" s="457"/>
      <c r="AK118" s="457"/>
      <c r="AL118" s="458"/>
    </row>
    <row r="119" spans="1:38" ht="36" customHeight="1" x14ac:dyDescent="0.2">
      <c r="A119" s="1"/>
      <c r="B119" s="2904" t="s">
        <v>114</v>
      </c>
      <c r="C119" s="2904"/>
      <c r="D119" s="57" t="s">
        <v>21</v>
      </c>
      <c r="E119" s="834">
        <f>'TH Thương hiệu DC1'!Y40</f>
        <v>31897.439999999999</v>
      </c>
      <c r="F119" s="834">
        <f>'TH Thương hiệu DC1'!Y41</f>
        <v>0</v>
      </c>
      <c r="G119" s="834">
        <f>'TH Thương hiệu DC1'!Y42</f>
        <v>2551.6000000000004</v>
      </c>
      <c r="H119" s="831">
        <f>SUM(E119:G119)</f>
        <v>34449.040000000001</v>
      </c>
      <c r="I119" s="215"/>
      <c r="J119" s="2599"/>
      <c r="K119" s="2599"/>
      <c r="L119" s="2599"/>
      <c r="M119" s="2599"/>
      <c r="N119" s="2599"/>
      <c r="O119" s="1287"/>
      <c r="P119" s="103"/>
      <c r="Q119" s="12"/>
      <c r="R119" s="458" t="s">
        <v>307</v>
      </c>
      <c r="S119" s="458"/>
      <c r="T119" s="458"/>
      <c r="U119" s="458"/>
      <c r="V119" s="458"/>
      <c r="W119" s="458">
        <f t="shared" si="40"/>
        <v>0</v>
      </c>
      <c r="X119" s="458"/>
      <c r="Y119" s="211"/>
      <c r="Z119" s="211"/>
      <c r="AA119" s="699"/>
      <c r="AB119" s="211"/>
      <c r="AD119" s="12"/>
      <c r="AE119" s="693"/>
      <c r="AF119" s="211"/>
      <c r="AG119" s="211"/>
      <c r="AH119" s="477"/>
      <c r="AI119" s="211">
        <f t="shared" si="41"/>
        <v>0</v>
      </c>
      <c r="AJ119" s="477"/>
      <c r="AK119" s="477"/>
      <c r="AL119" s="477"/>
    </row>
    <row r="120" spans="1:38" ht="36" customHeight="1" x14ac:dyDescent="0.2">
      <c r="A120" s="1"/>
      <c r="B120" s="2904"/>
      <c r="C120" s="2904"/>
      <c r="D120" s="57" t="s">
        <v>22</v>
      </c>
      <c r="E120" s="216">
        <f>E119/$H$119*100</f>
        <v>92.593117253775432</v>
      </c>
      <c r="F120" s="216">
        <f>F119/$H$119*100</f>
        <v>0</v>
      </c>
      <c r="G120" s="216">
        <f>G119/$H$119*100</f>
        <v>7.4068827462245688</v>
      </c>
      <c r="H120" s="216">
        <f>H119/$H$119*100</f>
        <v>100</v>
      </c>
      <c r="I120" s="215">
        <f>H119/$H$135*100</f>
        <v>2.0232715722410544</v>
      </c>
      <c r="J120" s="2599"/>
      <c r="K120" s="2599"/>
      <c r="L120" s="2599"/>
      <c r="M120" s="2599"/>
      <c r="N120" s="2599"/>
      <c r="O120" s="1287"/>
      <c r="P120" s="103"/>
      <c r="Q120" s="474" t="s">
        <v>89</v>
      </c>
      <c r="R120" s="751"/>
      <c r="S120" s="752">
        <f t="shared" ref="S120:AB120" si="42">SUM(S98:S119)</f>
        <v>119675</v>
      </c>
      <c r="T120" s="752">
        <f t="shared" si="42"/>
        <v>110809.8</v>
      </c>
      <c r="U120" s="752">
        <f t="shared" si="42"/>
        <v>0</v>
      </c>
      <c r="V120" s="752">
        <f t="shared" si="42"/>
        <v>5749.2</v>
      </c>
      <c r="W120" s="752">
        <f t="shared" si="42"/>
        <v>116559</v>
      </c>
      <c r="X120" s="773">
        <f t="shared" si="42"/>
        <v>9.5</v>
      </c>
      <c r="Y120" s="468">
        <f t="shared" si="42"/>
        <v>24538.736842105263</v>
      </c>
      <c r="Z120" s="468">
        <f t="shared" si="42"/>
        <v>712.8</v>
      </c>
      <c r="AA120" s="474">
        <f t="shared" si="42"/>
        <v>758.52</v>
      </c>
      <c r="AB120" s="468">
        <f t="shared" si="42"/>
        <v>230</v>
      </c>
      <c r="AC120" s="103"/>
      <c r="AD120" s="468"/>
      <c r="AE120" s="468">
        <f t="shared" ref="AE120:AL120" si="43">SUM(AE98:AE119)</f>
        <v>117312.82051282052</v>
      </c>
      <c r="AF120" s="468">
        <f t="shared" si="43"/>
        <v>101798.2</v>
      </c>
      <c r="AG120" s="468">
        <f t="shared" si="43"/>
        <v>5719</v>
      </c>
      <c r="AH120" s="468">
        <f t="shared" si="43"/>
        <v>6862.8</v>
      </c>
      <c r="AI120" s="468">
        <f t="shared" si="43"/>
        <v>114380</v>
      </c>
      <c r="AJ120" s="468">
        <f t="shared" si="43"/>
        <v>9.5</v>
      </c>
      <c r="AK120" s="468">
        <f t="shared" si="43"/>
        <v>12040</v>
      </c>
      <c r="AL120" s="468">
        <f t="shared" si="43"/>
        <v>100</v>
      </c>
    </row>
    <row r="121" spans="1:38" ht="36" customHeight="1" x14ac:dyDescent="0.2">
      <c r="A121" s="1"/>
      <c r="B121" s="2904" t="s">
        <v>128</v>
      </c>
      <c r="C121" s="2904"/>
      <c r="D121" s="57" t="s">
        <v>21</v>
      </c>
      <c r="E121" s="834">
        <f>'TH Thương hiệu DC1'!Y43</f>
        <v>29594.880000000001</v>
      </c>
      <c r="F121" s="834">
        <f>'TH Thương hiệu DC1'!Y44</f>
        <v>0</v>
      </c>
      <c r="G121" s="834">
        <f>'TH Thương hiệu DC1'!Y45</f>
        <v>1762.5600000000002</v>
      </c>
      <c r="H121" s="831">
        <f>SUM(E121:G121)</f>
        <v>31357.440000000002</v>
      </c>
      <c r="I121" s="215"/>
      <c r="J121" s="2599"/>
      <c r="K121" s="2599"/>
      <c r="L121" s="2599"/>
      <c r="M121" s="2599"/>
      <c r="N121" s="2599"/>
      <c r="O121" s="1287"/>
      <c r="P121" s="103"/>
      <c r="Q121" s="1197" t="s">
        <v>98</v>
      </c>
      <c r="R121" s="751"/>
      <c r="S121" s="757">
        <f t="shared" ref="S121:AB122" si="44">S98+S100+S102+S104+S106+S108+S110+S112+S114+S116+S118</f>
        <v>119675</v>
      </c>
      <c r="T121" s="757">
        <f t="shared" si="44"/>
        <v>93891.6</v>
      </c>
      <c r="U121" s="757">
        <f t="shared" si="44"/>
        <v>0</v>
      </c>
      <c r="V121" s="757">
        <f t="shared" si="44"/>
        <v>5347.08</v>
      </c>
      <c r="W121" s="757">
        <f t="shared" si="44"/>
        <v>99238.680000000008</v>
      </c>
      <c r="X121" s="1210">
        <f t="shared" si="44"/>
        <v>8.0883283144158753</v>
      </c>
      <c r="Y121" s="472">
        <f t="shared" si="44"/>
        <v>12269.368421052632</v>
      </c>
      <c r="Z121" s="499">
        <f t="shared" si="44"/>
        <v>712.8</v>
      </c>
      <c r="AA121" s="703">
        <f t="shared" si="44"/>
        <v>758.52</v>
      </c>
      <c r="AB121" s="472">
        <f t="shared" si="44"/>
        <v>230</v>
      </c>
      <c r="AD121" s="472"/>
      <c r="AE121" s="472">
        <f t="shared" ref="AE121:AK122" si="45">AE98+AE100+AE102+AE104+AE106+AE108+AE110+AE112+AE114+AE116+AE118</f>
        <v>117312.82051282052</v>
      </c>
      <c r="AF121" s="472">
        <f t="shared" si="45"/>
        <v>101798.2</v>
      </c>
      <c r="AG121" s="472">
        <f t="shared" si="45"/>
        <v>5719</v>
      </c>
      <c r="AH121" s="472">
        <f t="shared" si="45"/>
        <v>6862.8</v>
      </c>
      <c r="AI121" s="472">
        <f t="shared" si="45"/>
        <v>114380</v>
      </c>
      <c r="AJ121" s="472">
        <f t="shared" si="45"/>
        <v>9.5</v>
      </c>
      <c r="AK121" s="472">
        <f t="shared" si="45"/>
        <v>12040</v>
      </c>
      <c r="AL121" s="472"/>
    </row>
    <row r="122" spans="1:38" ht="36" customHeight="1" x14ac:dyDescent="0.2">
      <c r="A122" s="1"/>
      <c r="B122" s="2904"/>
      <c r="C122" s="2904"/>
      <c r="D122" s="57" t="s">
        <v>22</v>
      </c>
      <c r="E122" s="1439">
        <f>E121/$H$121*100</f>
        <v>94.379132990448198</v>
      </c>
      <c r="F122" s="1439">
        <f>F121/$H$121*100</f>
        <v>0</v>
      </c>
      <c r="G122" s="1439">
        <f>G121/$H$121*100</f>
        <v>5.6208670095518007</v>
      </c>
      <c r="H122" s="1439">
        <f>H121/$H$121*100</f>
        <v>100</v>
      </c>
      <c r="I122" s="215">
        <f>H121/$H$135*100</f>
        <v>1.8416947737949889</v>
      </c>
      <c r="J122" s="2599"/>
      <c r="K122" s="2599"/>
      <c r="L122" s="2599"/>
      <c r="M122" s="2599"/>
      <c r="N122" s="2599"/>
      <c r="O122" s="1287"/>
      <c r="P122" s="103"/>
      <c r="Q122" s="2467" t="s">
        <v>90</v>
      </c>
      <c r="R122" s="2468"/>
      <c r="S122" s="757">
        <f t="shared" si="44"/>
        <v>0</v>
      </c>
      <c r="T122" s="757">
        <f t="shared" si="44"/>
        <v>16918.2</v>
      </c>
      <c r="U122" s="757">
        <f t="shared" si="44"/>
        <v>0</v>
      </c>
      <c r="V122" s="757">
        <f t="shared" si="44"/>
        <v>402.12</v>
      </c>
      <c r="W122" s="757">
        <f t="shared" si="44"/>
        <v>17320.32</v>
      </c>
      <c r="X122" s="1210">
        <f t="shared" si="44"/>
        <v>1.4116716855841247</v>
      </c>
      <c r="Y122" s="472">
        <f t="shared" si="44"/>
        <v>12269.368421052632</v>
      </c>
      <c r="Z122" s="472">
        <f t="shared" si="44"/>
        <v>0</v>
      </c>
      <c r="AA122" s="692">
        <f t="shared" si="44"/>
        <v>0</v>
      </c>
      <c r="AB122" s="472">
        <f t="shared" si="44"/>
        <v>0</v>
      </c>
      <c r="AD122" s="472"/>
      <c r="AE122" s="472">
        <f t="shared" si="45"/>
        <v>0</v>
      </c>
      <c r="AF122" s="472">
        <f t="shared" si="45"/>
        <v>0</v>
      </c>
      <c r="AG122" s="472">
        <f t="shared" si="45"/>
        <v>0</v>
      </c>
      <c r="AH122" s="472">
        <f t="shared" si="45"/>
        <v>0</v>
      </c>
      <c r="AI122" s="472">
        <f t="shared" si="45"/>
        <v>0</v>
      </c>
      <c r="AJ122" s="472">
        <f t="shared" si="45"/>
        <v>0</v>
      </c>
      <c r="AK122" s="472">
        <f t="shared" si="45"/>
        <v>0</v>
      </c>
      <c r="AL122" s="472"/>
    </row>
    <row r="123" spans="1:38" ht="36" customHeight="1" x14ac:dyDescent="0.2">
      <c r="A123" s="1"/>
      <c r="B123" s="2904" t="s">
        <v>541</v>
      </c>
      <c r="C123" s="2904"/>
      <c r="D123" s="57" t="s">
        <v>21</v>
      </c>
      <c r="E123" s="834">
        <f>'TH Thương hiệu DC1'!Y46</f>
        <v>126581.84</v>
      </c>
      <c r="F123" s="834">
        <f>'TH Thương hiệu DC1'!Y47</f>
        <v>5017</v>
      </c>
      <c r="G123" s="834">
        <f>'TH Thương hiệu DC1'!Y48</f>
        <v>5048.84</v>
      </c>
      <c r="H123" s="831">
        <f>SUM(E123:G123)</f>
        <v>136647.67999999999</v>
      </c>
      <c r="I123" s="215"/>
      <c r="J123" s="2599"/>
      <c r="K123" s="2599"/>
      <c r="L123" s="2599"/>
      <c r="M123" s="2599"/>
      <c r="N123" s="2599"/>
      <c r="O123" s="1287"/>
      <c r="P123" s="103"/>
      <c r="AE123" s="95"/>
      <c r="AF123" s="95"/>
      <c r="AG123" s="95"/>
    </row>
    <row r="124" spans="1:38" ht="36" customHeight="1" x14ac:dyDescent="0.2">
      <c r="A124" s="1"/>
      <c r="B124" s="2904"/>
      <c r="C124" s="2904"/>
      <c r="D124" s="57" t="s">
        <v>22</v>
      </c>
      <c r="E124" s="1439">
        <f>E123/$H$123*100</f>
        <v>92.633727846678397</v>
      </c>
      <c r="F124" s="1439">
        <f>F123/$H$123*100</f>
        <v>3.6714856776199936</v>
      </c>
      <c r="G124" s="1439">
        <f>G123/$H$123*100</f>
        <v>3.6947864757016005</v>
      </c>
      <c r="H124" s="1439">
        <f>H123/$H$123*100</f>
        <v>100</v>
      </c>
      <c r="I124" s="215">
        <f>H123/$H$135*100</f>
        <v>8.0256334097174378</v>
      </c>
      <c r="J124" s="2599"/>
      <c r="K124" s="2599"/>
      <c r="L124" s="2599"/>
      <c r="M124" s="2599"/>
      <c r="N124" s="2599"/>
      <c r="O124" s="1287"/>
      <c r="P124" s="103"/>
      <c r="Q124" s="456" t="s">
        <v>335</v>
      </c>
      <c r="R124" s="458" t="s">
        <v>304</v>
      </c>
      <c r="S124" s="458" t="s">
        <v>74</v>
      </c>
      <c r="T124" s="458" t="s">
        <v>18</v>
      </c>
      <c r="U124" s="458" t="s">
        <v>19</v>
      </c>
      <c r="V124" s="458" t="s">
        <v>20</v>
      </c>
      <c r="W124" s="760" t="s">
        <v>336</v>
      </c>
      <c r="X124" s="760" t="s">
        <v>10</v>
      </c>
      <c r="Y124" s="632" t="s">
        <v>331</v>
      </c>
      <c r="Z124" s="238" t="s">
        <v>81</v>
      </c>
      <c r="AA124" s="496" t="s">
        <v>360</v>
      </c>
      <c r="AB124" s="382" t="s">
        <v>337</v>
      </c>
      <c r="AD124" s="456" t="s">
        <v>398</v>
      </c>
      <c r="AE124" s="455" t="s">
        <v>361</v>
      </c>
      <c r="AF124" s="133" t="s">
        <v>18</v>
      </c>
      <c r="AG124" s="133" t="s">
        <v>19</v>
      </c>
      <c r="AH124" s="97" t="s">
        <v>20</v>
      </c>
      <c r="AI124" s="632" t="s">
        <v>336</v>
      </c>
      <c r="AJ124" s="632" t="s">
        <v>10</v>
      </c>
      <c r="AK124" s="632" t="s">
        <v>331</v>
      </c>
      <c r="AL124" s="202" t="s">
        <v>337</v>
      </c>
    </row>
    <row r="125" spans="1:38" ht="36" customHeight="1" x14ac:dyDescent="0.2">
      <c r="A125" s="1"/>
      <c r="B125" s="2904" t="s">
        <v>129</v>
      </c>
      <c r="C125" s="2904"/>
      <c r="D125" s="57" t="s">
        <v>21</v>
      </c>
      <c r="E125" s="834">
        <f>'TH Thương hiệu DC1'!Y49</f>
        <v>75689.680000000008</v>
      </c>
      <c r="F125" s="834">
        <f>'TH Thương hiệu DC1'!Y50</f>
        <v>2856.56</v>
      </c>
      <c r="G125" s="834">
        <f>'TH Thương hiệu DC1'!Y51</f>
        <v>3430</v>
      </c>
      <c r="H125" s="831">
        <f>SUM(E125:G125)</f>
        <v>81976.240000000005</v>
      </c>
      <c r="I125" s="215"/>
      <c r="J125" s="2599"/>
      <c r="K125" s="2599"/>
      <c r="L125" s="2599"/>
      <c r="M125" s="2599"/>
      <c r="N125" s="2599"/>
      <c r="O125" s="1287"/>
      <c r="P125" s="103"/>
      <c r="Q125" s="383" t="s">
        <v>154</v>
      </c>
      <c r="R125" s="458" t="s">
        <v>306</v>
      </c>
      <c r="S125" s="458"/>
      <c r="T125" s="458"/>
      <c r="U125" s="458"/>
      <c r="V125" s="458"/>
      <c r="W125" s="458">
        <f t="shared" ref="W125:W136" si="46">SUM(T125:V125)</f>
        <v>0</v>
      </c>
      <c r="X125" s="734"/>
      <c r="Y125" s="211"/>
      <c r="Z125" s="475"/>
      <c r="AA125" s="701"/>
      <c r="AB125" s="211"/>
      <c r="AD125" s="383" t="s">
        <v>154</v>
      </c>
      <c r="AE125" s="693"/>
      <c r="AF125" s="211"/>
      <c r="AG125" s="211"/>
      <c r="AH125" s="211"/>
      <c r="AI125" s="211"/>
      <c r="AJ125" s="475"/>
      <c r="AK125" s="211"/>
      <c r="AL125" s="211"/>
    </row>
    <row r="126" spans="1:38" ht="36" customHeight="1" x14ac:dyDescent="0.2">
      <c r="A126" s="1"/>
      <c r="B126" s="2904"/>
      <c r="C126" s="2904"/>
      <c r="D126" s="57" t="s">
        <v>22</v>
      </c>
      <c r="E126" s="1439">
        <f>E125/$H$125*100</f>
        <v>92.331241345053144</v>
      </c>
      <c r="F126" s="1439">
        <f>F125/$H$125*100</f>
        <v>3.4846194458296695</v>
      </c>
      <c r="G126" s="1439">
        <f>G125/$H$125*100</f>
        <v>4.1841392091171787</v>
      </c>
      <c r="H126" s="1439">
        <f>H125/$H$125*100</f>
        <v>100</v>
      </c>
      <c r="I126" s="215">
        <f>H125/$H$135*100</f>
        <v>4.8146536446649897</v>
      </c>
      <c r="J126" s="2599"/>
      <c r="K126" s="2599"/>
      <c r="L126" s="2599"/>
      <c r="M126" s="2599"/>
      <c r="N126" s="2599"/>
      <c r="O126" s="1287"/>
      <c r="P126" s="103"/>
      <c r="Q126" s="383" t="s">
        <v>155</v>
      </c>
      <c r="R126" s="458" t="s">
        <v>306</v>
      </c>
      <c r="S126" s="458"/>
      <c r="T126" s="458"/>
      <c r="U126" s="458"/>
      <c r="V126" s="458"/>
      <c r="W126" s="458">
        <f t="shared" si="46"/>
        <v>0</v>
      </c>
      <c r="X126" s="734"/>
      <c r="Y126" s="211"/>
      <c r="Z126" s="211"/>
      <c r="AA126" s="699"/>
      <c r="AB126" s="211"/>
      <c r="AD126" s="383" t="s">
        <v>155</v>
      </c>
      <c r="AE126" s="693"/>
      <c r="AF126" s="211"/>
      <c r="AG126" s="211"/>
      <c r="AH126" s="211"/>
      <c r="AI126" s="211">
        <f t="shared" ref="AI126:AI136" si="47">SUM(AH126:AH126)</f>
        <v>0</v>
      </c>
      <c r="AJ126" s="475"/>
      <c r="AK126" s="211"/>
      <c r="AL126" s="211"/>
    </row>
    <row r="127" spans="1:38" ht="36" customHeight="1" x14ac:dyDescent="0.2">
      <c r="A127" s="1"/>
      <c r="B127" s="2904" t="s">
        <v>125</v>
      </c>
      <c r="C127" s="2904"/>
      <c r="D127" s="57" t="s">
        <v>21</v>
      </c>
      <c r="E127" s="831">
        <f>'TH Thương hiệu DC1'!Y55</f>
        <v>27152.639999999999</v>
      </c>
      <c r="F127" s="831">
        <f>'TH Thương hiệu DC1'!Y56</f>
        <v>0</v>
      </c>
      <c r="G127" s="831">
        <f>'TH Thương hiệu DC1'!Y57</f>
        <v>1215.3599999999999</v>
      </c>
      <c r="H127" s="831">
        <f>SUM(E127:G127)</f>
        <v>28368</v>
      </c>
      <c r="I127" s="215"/>
      <c r="J127" s="2598" t="s">
        <v>131</v>
      </c>
      <c r="K127" s="2598"/>
      <c r="L127" s="2598"/>
      <c r="M127" s="2598"/>
      <c r="N127" s="2598"/>
      <c r="O127" s="1287"/>
      <c r="P127" s="103"/>
      <c r="Q127" s="383" t="s">
        <v>156</v>
      </c>
      <c r="R127" s="458" t="s">
        <v>306</v>
      </c>
      <c r="S127" s="458">
        <f>'T3.2025 '!E16</f>
        <v>379238</v>
      </c>
      <c r="T127" s="458">
        <f>'T3.2025 '!F16</f>
        <v>334431.99999999994</v>
      </c>
      <c r="U127" s="458">
        <f>'T3.2025 '!G16</f>
        <v>184.32</v>
      </c>
      <c r="V127" s="458">
        <f>'T3.2025 '!H16</f>
        <v>33278.720000000008</v>
      </c>
      <c r="W127" s="458">
        <f t="shared" si="46"/>
        <v>367895.03999999998</v>
      </c>
      <c r="X127" s="734">
        <f>'T3.2025 '!J16</f>
        <v>26.6</v>
      </c>
      <c r="Y127" s="211">
        <f>W127/X127</f>
        <v>13830.640601503757</v>
      </c>
      <c r="Z127" s="211">
        <f>'T3.2025 '!M16</f>
        <v>1689.6000000000004</v>
      </c>
      <c r="AA127" s="699">
        <f>'T3.2025 '!N16</f>
        <v>3811.52</v>
      </c>
      <c r="AB127" s="211">
        <f>'T3.2025 '!O16</f>
        <v>30</v>
      </c>
      <c r="AD127" s="383" t="s">
        <v>156</v>
      </c>
      <c r="AE127" s="693">
        <f>'T3.2025 '!E14</f>
        <v>374571.42857142858</v>
      </c>
      <c r="AF127" s="211">
        <f>'T3.2025 '!F14</f>
        <v>326701.2</v>
      </c>
      <c r="AG127" s="211">
        <f>'T3.2025 '!G14</f>
        <v>29366.400000000001</v>
      </c>
      <c r="AH127" s="211">
        <f>'T3.2025 '!H14</f>
        <v>11012.4</v>
      </c>
      <c r="AI127" s="211">
        <f>SUM(AF127:AH127)</f>
        <v>367080.00000000006</v>
      </c>
      <c r="AJ127" s="475">
        <f>'T3.2025 '!J14</f>
        <v>26.6</v>
      </c>
      <c r="AK127" s="211">
        <f>AI127/AJ127</f>
        <v>13800.000000000002</v>
      </c>
      <c r="AL127" s="211">
        <f>'T3.2025 '!O14</f>
        <v>40</v>
      </c>
    </row>
    <row r="128" spans="1:38" ht="36" customHeight="1" x14ac:dyDescent="0.2">
      <c r="A128" s="1"/>
      <c r="B128" s="2904"/>
      <c r="C128" s="2904"/>
      <c r="D128" s="57" t="s">
        <v>22</v>
      </c>
      <c r="E128" s="1439">
        <f>E127/$H$127*100</f>
        <v>95.71573604060913</v>
      </c>
      <c r="F128" s="1439">
        <f>F127/$H$127*100</f>
        <v>0</v>
      </c>
      <c r="G128" s="1439">
        <f>G127/$H$127*100</f>
        <v>4.2842639593908629</v>
      </c>
      <c r="H128" s="1439">
        <f>H127/$H$127*100</f>
        <v>100</v>
      </c>
      <c r="I128" s="215">
        <f>H127/$H$135*100</f>
        <v>1.6661180677700806</v>
      </c>
      <c r="J128" s="2598"/>
      <c r="K128" s="2598"/>
      <c r="L128" s="2598"/>
      <c r="M128" s="2598"/>
      <c r="N128" s="2598"/>
      <c r="O128" s="1287"/>
      <c r="P128" s="103"/>
      <c r="Q128" s="383" t="s">
        <v>157</v>
      </c>
      <c r="R128" s="458" t="s">
        <v>306</v>
      </c>
      <c r="S128" s="458">
        <f>'T4.2025 '!E17</f>
        <v>246334</v>
      </c>
      <c r="T128" s="458">
        <f>'T4.2025 '!F17</f>
        <v>227307.51999999999</v>
      </c>
      <c r="U128" s="458">
        <f>'T4.2025 '!G17</f>
        <v>0</v>
      </c>
      <c r="V128" s="458">
        <f>'T4.2025 '!H17</f>
        <v>17295.36</v>
      </c>
      <c r="W128" s="458">
        <f t="shared" si="46"/>
        <v>244602.88</v>
      </c>
      <c r="X128" s="734">
        <f>'T4.2025 '!G136</f>
        <v>17</v>
      </c>
      <c r="Y128" s="211">
        <f t="shared" ref="Y128:Y136" si="48">W128/X128</f>
        <v>14388.404705882353</v>
      </c>
      <c r="Z128" s="211">
        <f>'T4.2025 '!M17</f>
        <v>1286.4000000000001</v>
      </c>
      <c r="AA128" s="699">
        <f>'T4.2025 '!N17</f>
        <v>1405.12</v>
      </c>
      <c r="AB128" s="211">
        <f>'T4.2025 '!O17</f>
        <v>21</v>
      </c>
      <c r="AD128" s="383" t="s">
        <v>157</v>
      </c>
      <c r="AE128" s="693">
        <f>'T4.2025 '!E15</f>
        <v>242163.26530612246</v>
      </c>
      <c r="AF128" s="211">
        <f>'T4.2025 '!F15</f>
        <v>211214.8</v>
      </c>
      <c r="AG128" s="211">
        <f>'T4.2025 '!G15</f>
        <v>18985.599999999999</v>
      </c>
      <c r="AH128" s="211">
        <f>'T4.2025 '!H15</f>
        <v>7119.6</v>
      </c>
      <c r="AI128" s="211">
        <f>SUM(AF128:AH128)</f>
        <v>237320</v>
      </c>
      <c r="AJ128" s="475">
        <f>'T4.2025 '!J15</f>
        <v>17</v>
      </c>
      <c r="AK128" s="211">
        <f t="shared" ref="AK128:AK136" si="49">AI128/AJ128</f>
        <v>13960</v>
      </c>
      <c r="AL128" s="211">
        <v>40</v>
      </c>
    </row>
    <row r="129" spans="1:38" ht="36" customHeight="1" x14ac:dyDescent="0.2">
      <c r="A129" s="1"/>
      <c r="B129" s="2904" t="s">
        <v>120</v>
      </c>
      <c r="C129" s="2904"/>
      <c r="D129" s="57" t="s">
        <v>21</v>
      </c>
      <c r="E129" s="1439">
        <f>'TH Thương hiệu DC1'!Y58</f>
        <v>8570.8799999999992</v>
      </c>
      <c r="F129" s="1439">
        <f>'TH Thương hiệu DC1'!Y59</f>
        <v>86.4</v>
      </c>
      <c r="G129" s="1439">
        <f>'TH Thương hiệu DC1'!Y60</f>
        <v>282.24</v>
      </c>
      <c r="H129" s="1439">
        <f>SUM(E129:G129)</f>
        <v>8939.5199999999986</v>
      </c>
      <c r="I129" s="215"/>
      <c r="J129" s="2598"/>
      <c r="K129" s="2598"/>
      <c r="L129" s="2598"/>
      <c r="M129" s="2598"/>
      <c r="N129" s="2598"/>
      <c r="O129" s="1287"/>
      <c r="P129" s="103"/>
      <c r="Q129" s="383" t="s">
        <v>158</v>
      </c>
      <c r="R129" s="458" t="s">
        <v>306</v>
      </c>
      <c r="S129" s="458">
        <f>'T5.2025'!E29</f>
        <v>22799</v>
      </c>
      <c r="T129" s="458">
        <f>'T5.2025'!F29</f>
        <v>16734.400000000001</v>
      </c>
      <c r="U129" s="458">
        <f>'T5.2025'!G29</f>
        <v>0</v>
      </c>
      <c r="V129" s="458">
        <f>'T5.2025'!H29</f>
        <v>2432</v>
      </c>
      <c r="W129" s="458">
        <f t="shared" si="46"/>
        <v>19166.400000000001</v>
      </c>
      <c r="X129" s="734">
        <f>'T5.2025'!J29</f>
        <v>1.35</v>
      </c>
      <c r="Y129" s="211">
        <f t="shared" si="48"/>
        <v>14197.333333333334</v>
      </c>
      <c r="Z129" s="211">
        <f>'T5.2025'!M29</f>
        <v>240</v>
      </c>
      <c r="AA129" s="699">
        <f>'T5.2025'!N29</f>
        <v>304.64</v>
      </c>
      <c r="AB129" s="211"/>
      <c r="AD129" s="383" t="s">
        <v>158</v>
      </c>
      <c r="AE129" s="693">
        <f>'T5.2025'!E27</f>
        <v>14244.897959183674</v>
      </c>
      <c r="AF129" s="211">
        <f>'T5.2025'!F27</f>
        <v>12424.4</v>
      </c>
      <c r="AG129" s="211">
        <f>'T5.2025'!G27</f>
        <v>1116.8</v>
      </c>
      <c r="AH129" s="211">
        <f>'T5.2025'!H27</f>
        <v>418.8</v>
      </c>
      <c r="AI129" s="211">
        <f>SUM(AF129:AH129)</f>
        <v>13959.999999999998</v>
      </c>
      <c r="AJ129" s="475">
        <f>'T5.2025'!J27</f>
        <v>1</v>
      </c>
      <c r="AK129" s="211">
        <f t="shared" si="49"/>
        <v>13959.999999999998</v>
      </c>
      <c r="AL129" s="211">
        <f>'T5.2025'!O27</f>
        <v>40</v>
      </c>
    </row>
    <row r="130" spans="1:38" ht="36" customHeight="1" x14ac:dyDescent="0.2">
      <c r="A130" s="1"/>
      <c r="B130" s="2904"/>
      <c r="C130" s="2904"/>
      <c r="D130" s="57" t="s">
        <v>22</v>
      </c>
      <c r="E130" s="1439">
        <f>E129/$H$129*100</f>
        <v>95.876288659793815</v>
      </c>
      <c r="F130" s="1439">
        <f>F129/$H$129*100</f>
        <v>0.96649484536082497</v>
      </c>
      <c r="G130" s="1439">
        <f>G129/$H$129*100</f>
        <v>3.1572164948453616</v>
      </c>
      <c r="H130" s="1439">
        <f>H129/$H$129*100</f>
        <v>100</v>
      </c>
      <c r="I130" s="215">
        <f>H129/$H$135*100</f>
        <v>0.52503862765059195</v>
      </c>
      <c r="J130" s="2598"/>
      <c r="K130" s="2598"/>
      <c r="L130" s="2598"/>
      <c r="M130" s="2598"/>
      <c r="N130" s="2598"/>
      <c r="O130" s="1287"/>
      <c r="P130" s="103"/>
      <c r="Q130" s="383" t="s">
        <v>159</v>
      </c>
      <c r="R130" s="458" t="s">
        <v>306</v>
      </c>
      <c r="S130" s="458">
        <f>'T6.2025'!E29</f>
        <v>437021</v>
      </c>
      <c r="T130" s="458">
        <f>'T6.2025'!F29</f>
        <v>407480</v>
      </c>
      <c r="U130" s="458">
        <f>'T6.2025'!G29</f>
        <v>0</v>
      </c>
      <c r="V130" s="458">
        <f>'T6.2025'!H29</f>
        <v>23228.799999999999</v>
      </c>
      <c r="W130" s="458">
        <f t="shared" si="46"/>
        <v>430708.8</v>
      </c>
      <c r="X130" s="734">
        <f>'T6.2025'!J29</f>
        <v>30</v>
      </c>
      <c r="Y130" s="211">
        <f t="shared" si="48"/>
        <v>14356.96</v>
      </c>
      <c r="Z130" s="211">
        <f>'T6.2025'!M29</f>
        <v>2112</v>
      </c>
      <c r="AA130" s="699">
        <f>'T6.2025'!N29</f>
        <v>2384.3200000000002</v>
      </c>
      <c r="AB130" s="211">
        <f>'T6.2025'!O29</f>
        <v>15</v>
      </c>
      <c r="AD130" s="383" t="s">
        <v>159</v>
      </c>
      <c r="AE130" s="693">
        <f>'T6.2025'!E27</f>
        <v>427346.93877551018</v>
      </c>
      <c r="AF130" s="211">
        <f>'T6.2025'!F27</f>
        <v>89</v>
      </c>
      <c r="AG130" s="211">
        <f>'T6.2025'!G27</f>
        <v>8</v>
      </c>
      <c r="AH130" s="211">
        <f>'T6.2025'!H27</f>
        <v>3</v>
      </c>
      <c r="AI130" s="211">
        <f>SUM(AF130:AH130)</f>
        <v>100</v>
      </c>
      <c r="AJ130" s="475">
        <f>'T6.2025'!J27</f>
        <v>30</v>
      </c>
      <c r="AK130" s="211">
        <f t="shared" si="49"/>
        <v>3.3333333333333335</v>
      </c>
      <c r="AL130" s="211">
        <f>'T6.2025'!O27</f>
        <v>40</v>
      </c>
    </row>
    <row r="131" spans="1:38" ht="36" customHeight="1" x14ac:dyDescent="0.2">
      <c r="A131" s="1"/>
      <c r="B131" s="2905" t="s">
        <v>109</v>
      </c>
      <c r="C131" s="2905"/>
      <c r="D131" s="57" t="s">
        <v>21</v>
      </c>
      <c r="E131" s="1439">
        <f>'TH Thương hiệu DC1'!Y61</f>
        <v>14420.16</v>
      </c>
      <c r="F131" s="1439">
        <f>'TH Thương hiệu DC1'!Y62</f>
        <v>72</v>
      </c>
      <c r="G131" s="1439">
        <f>'TH Thương hiệu DC1'!Y63</f>
        <v>506.88</v>
      </c>
      <c r="H131" s="1439">
        <f>SUM(E131:G131)</f>
        <v>14999.039999999999</v>
      </c>
      <c r="I131" s="215"/>
      <c r="J131" s="2598"/>
      <c r="K131" s="2598"/>
      <c r="L131" s="2598"/>
      <c r="M131" s="2598"/>
      <c r="N131" s="2598"/>
      <c r="O131" s="1287"/>
      <c r="P131" s="103"/>
      <c r="Q131" s="383" t="s">
        <v>160</v>
      </c>
      <c r="R131" s="458" t="s">
        <v>306</v>
      </c>
      <c r="S131" s="458"/>
      <c r="T131" s="458"/>
      <c r="U131" s="458"/>
      <c r="V131" s="458"/>
      <c r="W131" s="458">
        <f t="shared" si="46"/>
        <v>0</v>
      </c>
      <c r="X131" s="734"/>
      <c r="Y131" s="211" t="e">
        <f t="shared" si="48"/>
        <v>#DIV/0!</v>
      </c>
      <c r="Z131" s="211"/>
      <c r="AA131" s="699"/>
      <c r="AB131" s="211"/>
      <c r="AD131" s="383" t="s">
        <v>160</v>
      </c>
      <c r="AE131" s="693"/>
      <c r="AF131" s="211"/>
      <c r="AG131" s="211"/>
      <c r="AH131" s="211"/>
      <c r="AI131" s="211">
        <f t="shared" si="47"/>
        <v>0</v>
      </c>
      <c r="AJ131" s="475"/>
      <c r="AK131" s="211" t="e">
        <f t="shared" si="49"/>
        <v>#DIV/0!</v>
      </c>
      <c r="AL131" s="211"/>
    </row>
    <row r="132" spans="1:38" ht="26" customHeight="1" x14ac:dyDescent="0.2">
      <c r="A132" s="1"/>
      <c r="B132" s="2905"/>
      <c r="C132" s="2905"/>
      <c r="D132" s="57" t="s">
        <v>22</v>
      </c>
      <c r="E132" s="1439">
        <f>E131/$H$131*100</f>
        <v>96.140552995391715</v>
      </c>
      <c r="F132" s="1439">
        <f>F131/$H$131*100</f>
        <v>0.48003072196620589</v>
      </c>
      <c r="G132" s="1439">
        <f>G131/$H$131*100</f>
        <v>3.3794162826420893</v>
      </c>
      <c r="H132" s="1439">
        <f>H131/$H$131*100</f>
        <v>100</v>
      </c>
      <c r="I132" s="215">
        <f>H131/$H$135*100</f>
        <v>0.88092821288797762</v>
      </c>
      <c r="J132" s="2598"/>
      <c r="K132" s="2598"/>
      <c r="L132" s="2598"/>
      <c r="M132" s="2598"/>
      <c r="N132" s="2598"/>
      <c r="O132" s="1287"/>
      <c r="P132" s="103"/>
      <c r="Q132" s="383" t="s">
        <v>161</v>
      </c>
      <c r="R132" s="458" t="s">
        <v>306</v>
      </c>
      <c r="S132" s="458"/>
      <c r="T132" s="458"/>
      <c r="U132" s="458"/>
      <c r="V132" s="458"/>
      <c r="W132" s="458">
        <f t="shared" si="46"/>
        <v>0</v>
      </c>
      <c r="X132" s="734"/>
      <c r="Y132" s="211" t="e">
        <f t="shared" si="48"/>
        <v>#DIV/0!</v>
      </c>
      <c r="Z132" s="211"/>
      <c r="AA132" s="699"/>
      <c r="AB132" s="211"/>
      <c r="AD132" s="383" t="s">
        <v>161</v>
      </c>
      <c r="AE132" s="693"/>
      <c r="AF132" s="211"/>
      <c r="AG132" s="211"/>
      <c r="AH132" s="211"/>
      <c r="AI132" s="211">
        <f t="shared" si="47"/>
        <v>0</v>
      </c>
      <c r="AJ132" s="475"/>
      <c r="AK132" s="211" t="e">
        <f t="shared" si="49"/>
        <v>#DIV/0!</v>
      </c>
      <c r="AL132" s="211"/>
    </row>
    <row r="133" spans="1:38" ht="33" customHeight="1" x14ac:dyDescent="0.2">
      <c r="A133" s="1"/>
      <c r="B133" s="2904" t="s">
        <v>129</v>
      </c>
      <c r="C133" s="2904"/>
      <c r="D133" s="57" t="s">
        <v>21</v>
      </c>
      <c r="E133" s="1439">
        <f>'TH Thương hiệu DC1'!Y64</f>
        <v>1752.48</v>
      </c>
      <c r="F133" s="1439">
        <f>'TH Thương hiệu DC1'!Y65</f>
        <v>0</v>
      </c>
      <c r="G133" s="1439">
        <f>'TH Thương hiệu DC1'!Y66</f>
        <v>80.64</v>
      </c>
      <c r="H133" s="1439">
        <f>SUM(E133:G133)</f>
        <v>1833.1200000000001</v>
      </c>
      <c r="I133" s="215"/>
      <c r="J133" s="2598"/>
      <c r="K133" s="2598"/>
      <c r="L133" s="2598"/>
      <c r="M133" s="2598"/>
      <c r="N133" s="2598"/>
      <c r="O133" s="1287"/>
      <c r="P133" s="103"/>
      <c r="Q133" s="383" t="s">
        <v>162</v>
      </c>
      <c r="R133" s="458" t="s">
        <v>306</v>
      </c>
      <c r="S133" s="458"/>
      <c r="T133" s="458"/>
      <c r="U133" s="458"/>
      <c r="V133" s="458"/>
      <c r="W133" s="458">
        <f t="shared" si="46"/>
        <v>0</v>
      </c>
      <c r="X133" s="734"/>
      <c r="Y133" s="211" t="e">
        <f t="shared" si="48"/>
        <v>#DIV/0!</v>
      </c>
      <c r="Z133" s="211"/>
      <c r="AA133" s="699"/>
      <c r="AB133" s="211"/>
      <c r="AD133" s="383" t="s">
        <v>162</v>
      </c>
      <c r="AE133" s="693"/>
      <c r="AF133" s="211"/>
      <c r="AG133" s="211"/>
      <c r="AH133" s="211"/>
      <c r="AI133" s="211">
        <f t="shared" si="47"/>
        <v>0</v>
      </c>
      <c r="AJ133" s="475"/>
      <c r="AK133" s="211" t="e">
        <f t="shared" si="49"/>
        <v>#DIV/0!</v>
      </c>
      <c r="AL133" s="211"/>
    </row>
    <row r="134" spans="1:38" ht="33" customHeight="1" x14ac:dyDescent="0.2">
      <c r="A134" s="1"/>
      <c r="B134" s="2904"/>
      <c r="C134" s="2904"/>
      <c r="D134" s="57" t="s">
        <v>22</v>
      </c>
      <c r="E134" s="1439">
        <f>E133/$H$133*100</f>
        <v>95.600942655145317</v>
      </c>
      <c r="F134" s="1439">
        <f>F133/$H$133*100</f>
        <v>0</v>
      </c>
      <c r="G134" s="1439">
        <f>G133/$H$133*100</f>
        <v>4.3990573448546737</v>
      </c>
      <c r="H134" s="1439">
        <f>H133/$H$133*100</f>
        <v>100</v>
      </c>
      <c r="I134" s="215">
        <f>H133/$H$135*100</f>
        <v>0.10766336549600573</v>
      </c>
      <c r="J134" s="2598"/>
      <c r="K134" s="2598"/>
      <c r="L134" s="2598"/>
      <c r="M134" s="2598"/>
      <c r="N134" s="2598"/>
      <c r="O134" s="1287"/>
      <c r="P134" s="103"/>
      <c r="Q134" s="383" t="s">
        <v>111</v>
      </c>
      <c r="R134" s="458" t="s">
        <v>306</v>
      </c>
      <c r="S134" s="458"/>
      <c r="T134" s="458"/>
      <c r="U134" s="458"/>
      <c r="V134" s="458"/>
      <c r="W134" s="458">
        <f t="shared" si="46"/>
        <v>0</v>
      </c>
      <c r="X134" s="734"/>
      <c r="Y134" s="211" t="e">
        <f t="shared" si="48"/>
        <v>#DIV/0!</v>
      </c>
      <c r="Z134" s="211"/>
      <c r="AA134" s="699"/>
      <c r="AB134" s="211"/>
      <c r="AD134" s="383" t="s">
        <v>111</v>
      </c>
      <c r="AE134" s="693"/>
      <c r="AF134" s="211"/>
      <c r="AG134" s="211"/>
      <c r="AH134" s="211"/>
      <c r="AI134" s="211">
        <f t="shared" si="47"/>
        <v>0</v>
      </c>
      <c r="AJ134" s="475"/>
      <c r="AK134" s="211" t="e">
        <f t="shared" si="49"/>
        <v>#DIV/0!</v>
      </c>
      <c r="AL134" s="211"/>
    </row>
    <row r="135" spans="1:38" ht="33" customHeight="1" x14ac:dyDescent="0.2">
      <c r="A135" s="1"/>
      <c r="B135" s="2589" t="s">
        <v>132</v>
      </c>
      <c r="C135" s="2589"/>
      <c r="D135" s="217" t="s">
        <v>21</v>
      </c>
      <c r="E135" s="218">
        <f>SUM(E99+E101+E103+E105+E107+E109+E111+E113+E115+E117+E119+E121+E123+E125+E127+E129+E131+E133)</f>
        <v>1562421.8399999999</v>
      </c>
      <c r="F135" s="218">
        <f>SUM(F99+F101+F103+F105+F107+F109+F111+F113+F115+F117+F119+F121+F123+F125+F127+F129+F131+F133)</f>
        <v>50063.519999999997</v>
      </c>
      <c r="G135" s="218">
        <f>SUM(G99+G101+G103+G105+G107+G109+G111+G113+G115+G117+G119+G121+G123+G125+G127+G129+G131+G133)</f>
        <v>90155.08</v>
      </c>
      <c r="H135" s="218">
        <f>SUM(H99+H101+H103+H105+H107+H109+H111+H113+H115+H117+H119+H121+H123+H125+H127+H129+H131+H133)</f>
        <v>1702640.44</v>
      </c>
      <c r="I135" s="219"/>
      <c r="J135" s="2590"/>
      <c r="K135" s="2470"/>
      <c r="L135" s="2470"/>
      <c r="M135" s="2470"/>
      <c r="N135" s="2470"/>
      <c r="O135" s="1287"/>
      <c r="P135" s="103"/>
      <c r="Q135" s="383" t="s">
        <v>29</v>
      </c>
      <c r="R135" s="458" t="s">
        <v>306</v>
      </c>
      <c r="S135" s="457"/>
      <c r="T135" s="457"/>
      <c r="U135" s="457"/>
      <c r="V135" s="457"/>
      <c r="W135" s="458">
        <f t="shared" si="46"/>
        <v>0</v>
      </c>
      <c r="X135" s="967"/>
      <c r="Y135" s="211" t="e">
        <f t="shared" si="48"/>
        <v>#DIV/0!</v>
      </c>
      <c r="Z135" s="457"/>
      <c r="AA135" s="702"/>
      <c r="AB135" s="458"/>
      <c r="AD135" s="383" t="s">
        <v>29</v>
      </c>
      <c r="AE135" s="693"/>
      <c r="AF135" s="211"/>
      <c r="AG135" s="211"/>
      <c r="AH135" s="457"/>
      <c r="AI135" s="211">
        <f t="shared" si="47"/>
        <v>0</v>
      </c>
      <c r="AJ135" s="967"/>
      <c r="AK135" s="211" t="e">
        <f t="shared" si="49"/>
        <v>#DIV/0!</v>
      </c>
      <c r="AL135" s="458"/>
    </row>
    <row r="136" spans="1:38" ht="33" customHeight="1" x14ac:dyDescent="0.2">
      <c r="A136" s="1"/>
      <c r="B136" s="2589"/>
      <c r="C136" s="2589"/>
      <c r="D136" s="217" t="s">
        <v>22</v>
      </c>
      <c r="E136" s="219">
        <f>E135/$H$135*100</f>
        <v>91.764638222735968</v>
      </c>
      <c r="F136" s="219">
        <f>F135/$H$135*100</f>
        <v>2.9403459957758313</v>
      </c>
      <c r="G136" s="219">
        <f>G135/$H$135*100</f>
        <v>5.2950157814881926</v>
      </c>
      <c r="H136" s="220">
        <f>SUM(E136:G136)</f>
        <v>99.999999999999986</v>
      </c>
      <c r="I136" s="219">
        <f>I100+I102+I104+I106+I108+I110+I112+I114+I116+I118+I120+I122+I124+I126+I128+I130+I132+I134</f>
        <v>100.00000000000001</v>
      </c>
      <c r="J136" s="2591"/>
      <c r="K136" s="2470"/>
      <c r="L136" s="2470"/>
      <c r="M136" s="2470"/>
      <c r="N136" s="2470"/>
      <c r="O136" s="1287"/>
      <c r="P136" s="103"/>
      <c r="Q136" s="383" t="s">
        <v>31</v>
      </c>
      <c r="R136" s="458" t="s">
        <v>306</v>
      </c>
      <c r="S136" s="458"/>
      <c r="T136" s="458"/>
      <c r="U136" s="458"/>
      <c r="V136" s="458"/>
      <c r="W136" s="458">
        <f t="shared" si="46"/>
        <v>0</v>
      </c>
      <c r="X136" s="734"/>
      <c r="Y136" s="211" t="e">
        <f t="shared" si="48"/>
        <v>#DIV/0!</v>
      </c>
      <c r="Z136" s="211"/>
      <c r="AA136" s="699"/>
      <c r="AB136" s="211"/>
      <c r="AD136" s="383" t="s">
        <v>31</v>
      </c>
      <c r="AE136" s="693"/>
      <c r="AF136" s="211"/>
      <c r="AG136" s="211"/>
      <c r="AH136" s="477"/>
      <c r="AI136" s="211">
        <f t="shared" si="47"/>
        <v>0</v>
      </c>
      <c r="AJ136" s="968"/>
      <c r="AK136" s="211" t="e">
        <f t="shared" si="49"/>
        <v>#DIV/0!</v>
      </c>
      <c r="AL136" s="477"/>
    </row>
    <row r="137" spans="1:38" s="1" customFormat="1" ht="29" customHeight="1" x14ac:dyDescent="0.2">
      <c r="B137" s="2592" t="s">
        <v>133</v>
      </c>
      <c r="C137" s="2593"/>
      <c r="D137" s="2593"/>
      <c r="E137" s="2593"/>
      <c r="F137" s="2593"/>
      <c r="G137" s="2593"/>
      <c r="H137" s="2593"/>
      <c r="I137" s="2593"/>
      <c r="J137" s="2593"/>
      <c r="K137" s="2593"/>
      <c r="L137" s="2593"/>
      <c r="M137" s="2593"/>
      <c r="N137" s="2594"/>
      <c r="O137" s="1287"/>
      <c r="P137" s="103"/>
      <c r="Q137" s="468" t="s">
        <v>89</v>
      </c>
      <c r="R137" s="752"/>
      <c r="S137" s="752">
        <f>SUM(S125:S136)</f>
        <v>1085392</v>
      </c>
      <c r="T137" s="752">
        <f t="shared" ref="T137:AA137" si="50">SUM(T125:T136)</f>
        <v>985953.91999999993</v>
      </c>
      <c r="U137" s="752">
        <f t="shared" si="50"/>
        <v>184.32</v>
      </c>
      <c r="V137" s="752">
        <f t="shared" si="50"/>
        <v>76234.880000000005</v>
      </c>
      <c r="W137" s="752">
        <f t="shared" si="50"/>
        <v>1062373.1199999999</v>
      </c>
      <c r="X137" s="773">
        <f t="shared" si="50"/>
        <v>74.95</v>
      </c>
      <c r="Y137" s="468">
        <f>W137/X137</f>
        <v>14174.424549699797</v>
      </c>
      <c r="Z137" s="500">
        <f t="shared" si="50"/>
        <v>5328</v>
      </c>
      <c r="AA137" s="704">
        <f t="shared" si="50"/>
        <v>7905.6</v>
      </c>
      <c r="AB137" s="468">
        <f>SUM(AB125:AB136)/3</f>
        <v>22</v>
      </c>
      <c r="AC137" s="2"/>
      <c r="AD137" s="468"/>
      <c r="AE137" s="752">
        <f t="shared" ref="AE137:AJ137" si="51">SUM(AE125:AE136)</f>
        <v>1058326.5306122447</v>
      </c>
      <c r="AF137" s="752">
        <f t="shared" si="51"/>
        <v>550429.4</v>
      </c>
      <c r="AG137" s="752">
        <f t="shared" si="51"/>
        <v>49476.800000000003</v>
      </c>
      <c r="AH137" s="468">
        <f t="shared" si="51"/>
        <v>18553.8</v>
      </c>
      <c r="AI137" s="468">
        <f t="shared" si="51"/>
        <v>618460</v>
      </c>
      <c r="AJ137" s="774">
        <f t="shared" si="51"/>
        <v>74.599999999999994</v>
      </c>
      <c r="AK137" s="468">
        <f>AI137/AJ137</f>
        <v>8290.3485254691695</v>
      </c>
      <c r="AL137" s="468">
        <f>SUM(AL125:AL136)/4</f>
        <v>40</v>
      </c>
    </row>
    <row r="138" spans="1:38" s="42" customFormat="1" ht="43" customHeight="1" x14ac:dyDescent="0.2">
      <c r="B138" s="634" t="s">
        <v>39</v>
      </c>
      <c r="C138" s="2551" t="s">
        <v>134</v>
      </c>
      <c r="D138" s="2551"/>
      <c r="E138" s="222" t="s">
        <v>6</v>
      </c>
      <c r="F138" s="222" t="s">
        <v>135</v>
      </c>
      <c r="G138" s="222" t="s">
        <v>43</v>
      </c>
      <c r="H138" s="222" t="s">
        <v>10</v>
      </c>
      <c r="I138" s="44" t="s">
        <v>136</v>
      </c>
      <c r="J138" s="2605" t="s">
        <v>47</v>
      </c>
      <c r="K138" s="2605"/>
      <c r="L138" s="2605"/>
      <c r="M138" s="2605"/>
      <c r="N138" s="2605"/>
      <c r="O138" s="1287"/>
      <c r="P138" s="103"/>
      <c r="Q138" s="49"/>
      <c r="R138" s="763"/>
      <c r="S138" s="763"/>
      <c r="T138" s="763"/>
      <c r="U138" s="763"/>
      <c r="V138" s="763"/>
      <c r="W138" s="763"/>
      <c r="X138" s="763"/>
      <c r="Y138" s="49"/>
      <c r="Z138" s="49"/>
      <c r="AA138" s="49"/>
      <c r="AB138" s="49"/>
      <c r="AC138" s="49"/>
      <c r="AD138" s="49"/>
    </row>
    <row r="139" spans="1:38" s="1" customFormat="1" ht="43" customHeight="1" x14ac:dyDescent="0.2">
      <c r="B139" s="633">
        <v>1</v>
      </c>
      <c r="C139" s="2599" t="s">
        <v>137</v>
      </c>
      <c r="D139" s="2599"/>
      <c r="E139" s="224" t="s">
        <v>138</v>
      </c>
      <c r="F139" s="224" t="s">
        <v>139</v>
      </c>
      <c r="G139" s="830">
        <f>'TH Thương hiệu DC1'!F75</f>
        <v>1315867.3600000001</v>
      </c>
      <c r="H139" s="224">
        <f>X47</f>
        <v>86.756006392385189</v>
      </c>
      <c r="I139" s="214">
        <f>G139/$G$142*100</f>
        <v>77.283924960692232</v>
      </c>
      <c r="J139" s="2600"/>
      <c r="K139" s="2600"/>
      <c r="L139" s="2600"/>
      <c r="M139" s="2600"/>
      <c r="N139" s="2600"/>
      <c r="O139" s="1287"/>
      <c r="P139" s="103"/>
      <c r="Q139" s="2"/>
      <c r="R139" s="742"/>
      <c r="S139" s="742"/>
      <c r="T139" s="742"/>
      <c r="U139" s="742"/>
      <c r="V139" s="742"/>
      <c r="W139" s="742"/>
      <c r="X139" s="742"/>
      <c r="Y139" s="2"/>
      <c r="Z139" s="2"/>
      <c r="AA139" s="2"/>
      <c r="AB139" s="2"/>
      <c r="AC139" s="2"/>
      <c r="AD139" s="2"/>
    </row>
    <row r="140" spans="1:38" s="1" customFormat="1" ht="43" customHeight="1" x14ac:dyDescent="0.2">
      <c r="B140" s="633">
        <v>2</v>
      </c>
      <c r="C140" s="2599" t="s">
        <v>137</v>
      </c>
      <c r="D140" s="2599"/>
      <c r="E140" s="224" t="s">
        <v>138</v>
      </c>
      <c r="F140" s="224" t="s">
        <v>140</v>
      </c>
      <c r="G140" s="830">
        <f>'TH Thương hiệu DC1'!F76</f>
        <v>332633.40000000002</v>
      </c>
      <c r="H140" s="224">
        <f>X48</f>
        <v>21.482097253391224</v>
      </c>
      <c r="I140" s="214">
        <f>G140/$G$142*100</f>
        <v>19.536326765503116</v>
      </c>
      <c r="J140" s="2600"/>
      <c r="K140" s="2600"/>
      <c r="L140" s="2600"/>
      <c r="M140" s="2600"/>
      <c r="N140" s="2600"/>
      <c r="O140" s="1287"/>
      <c r="P140" s="103"/>
      <c r="Q140" s="2"/>
      <c r="R140" s="742"/>
      <c r="S140" s="742"/>
      <c r="T140" s="742"/>
      <c r="U140" s="742"/>
      <c r="V140" s="742"/>
      <c r="W140" s="742"/>
      <c r="X140" s="742"/>
      <c r="Y140" s="2"/>
      <c r="Z140" s="2"/>
      <c r="AA140" s="2"/>
      <c r="AB140" s="2"/>
      <c r="AC140" s="2"/>
      <c r="AD140" s="2"/>
    </row>
    <row r="141" spans="1:38" s="1" customFormat="1" ht="43" customHeight="1" x14ac:dyDescent="0.2">
      <c r="B141" s="633">
        <v>3</v>
      </c>
      <c r="C141" s="2599" t="s">
        <v>137</v>
      </c>
      <c r="D141" s="2599"/>
      <c r="E141" s="224" t="s">
        <v>138</v>
      </c>
      <c r="F141" s="224" t="s">
        <v>141</v>
      </c>
      <c r="G141" s="830">
        <f>'TH Thương hiệu DC1'!F77</f>
        <v>54139.68</v>
      </c>
      <c r="H141" s="224">
        <f>X53</f>
        <v>3.7119026914040227</v>
      </c>
      <c r="I141" s="214">
        <f>G141/$G$142*100</f>
        <v>3.1797482738046554</v>
      </c>
      <c r="J141" s="2600"/>
      <c r="K141" s="2600"/>
      <c r="L141" s="2600"/>
      <c r="M141" s="2600"/>
      <c r="N141" s="2600"/>
      <c r="O141" s="1287"/>
      <c r="P141" s="103"/>
      <c r="Q141" s="2"/>
      <c r="R141" s="742"/>
      <c r="S141" s="742"/>
      <c r="T141" s="742"/>
      <c r="U141" s="742"/>
      <c r="V141" s="742"/>
      <c r="W141" s="742"/>
      <c r="X141" s="742"/>
      <c r="Y141" s="2"/>
      <c r="Z141" s="2"/>
      <c r="AA141" s="2"/>
      <c r="AB141" s="2"/>
      <c r="AC141" s="2"/>
      <c r="AD141" s="2"/>
    </row>
    <row r="142" spans="1:38" s="1" customFormat="1" ht="43" customHeight="1" x14ac:dyDescent="0.2">
      <c r="B142" s="635" t="s">
        <v>103</v>
      </c>
      <c r="C142" s="2601" t="s">
        <v>142</v>
      </c>
      <c r="D142" s="2602"/>
      <c r="E142" s="225" t="s">
        <v>142</v>
      </c>
      <c r="F142" s="225" t="s">
        <v>142</v>
      </c>
      <c r="G142" s="860">
        <f>SUM(G139:G141)</f>
        <v>1702640.4400000002</v>
      </c>
      <c r="H142" s="226">
        <f>SUM(H139:H141)</f>
        <v>111.95000633718044</v>
      </c>
      <c r="I142" s="227">
        <f>G142/$G$142*100</f>
        <v>100</v>
      </c>
      <c r="J142" s="2603"/>
      <c r="K142" s="2603"/>
      <c r="L142" s="2603"/>
      <c r="M142" s="2603"/>
      <c r="N142" s="2603"/>
      <c r="O142" s="1287"/>
      <c r="P142" s="103"/>
      <c r="Q142" s="2"/>
      <c r="R142" s="742"/>
      <c r="S142" s="742"/>
      <c r="T142" s="742"/>
      <c r="U142" s="742"/>
      <c r="V142" s="742"/>
      <c r="W142" s="742"/>
      <c r="X142" s="742"/>
      <c r="Y142" s="2"/>
      <c r="Z142" s="2"/>
      <c r="AA142" s="2"/>
      <c r="AB142" s="2"/>
      <c r="AC142" s="2"/>
      <c r="AD142" s="2"/>
    </row>
    <row r="143" spans="1:38" ht="30.75" customHeight="1" x14ac:dyDescent="0.2">
      <c r="A143" s="1"/>
      <c r="B143" s="42" t="s">
        <v>143</v>
      </c>
      <c r="C143" s="42"/>
      <c r="D143" s="43"/>
      <c r="E143" s="43"/>
      <c r="F143" s="43"/>
      <c r="G143" s="43"/>
      <c r="H143" s="43"/>
      <c r="I143" s="43"/>
      <c r="J143" s="43"/>
      <c r="K143" s="43"/>
      <c r="L143" s="43"/>
      <c r="M143" s="43"/>
      <c r="N143" s="43"/>
      <c r="O143" s="1287"/>
      <c r="P143" s="103"/>
    </row>
    <row r="144" spans="1:38" ht="25.5" customHeight="1" x14ac:dyDescent="0.2">
      <c r="A144" s="1"/>
      <c r="B144" s="2551" t="s">
        <v>105</v>
      </c>
      <c r="C144" s="2551"/>
      <c r="D144" s="2551" t="s">
        <v>17</v>
      </c>
      <c r="E144" s="2551" t="s">
        <v>106</v>
      </c>
      <c r="F144" s="2470"/>
      <c r="G144" s="2470"/>
      <c r="H144" s="2470"/>
      <c r="I144" s="1405" t="s">
        <v>107</v>
      </c>
      <c r="J144" s="2551" t="s">
        <v>47</v>
      </c>
      <c r="K144" s="2470"/>
      <c r="L144" s="2470"/>
      <c r="M144" s="2470"/>
      <c r="N144" s="2470"/>
      <c r="O144" s="1287"/>
      <c r="P144" s="103"/>
      <c r="Q144" s="103"/>
      <c r="R144" s="763"/>
      <c r="AE144" s="95"/>
      <c r="AF144" s="95"/>
      <c r="AG144" s="95"/>
      <c r="AH144" s="2"/>
      <c r="AI144" s="2"/>
      <c r="AJ144" s="2"/>
      <c r="AK144" s="2"/>
    </row>
    <row r="145" spans="1:37" ht="41" customHeight="1" x14ac:dyDescent="0.2">
      <c r="A145" s="1"/>
      <c r="B145" s="2551"/>
      <c r="C145" s="2551"/>
      <c r="D145" s="2470"/>
      <c r="E145" s="11" t="s">
        <v>18</v>
      </c>
      <c r="F145" s="11" t="s">
        <v>19</v>
      </c>
      <c r="G145" s="11" t="s">
        <v>20</v>
      </c>
      <c r="H145" s="11" t="s">
        <v>108</v>
      </c>
      <c r="I145" s="1405" t="s">
        <v>22</v>
      </c>
      <c r="J145" s="2470"/>
      <c r="K145" s="2470"/>
      <c r="L145" s="2470"/>
      <c r="M145" s="2470"/>
      <c r="N145" s="2470"/>
      <c r="O145" s="1287"/>
      <c r="P145" s="103"/>
      <c r="AC145" s="158"/>
    </row>
    <row r="146" spans="1:37" ht="31" customHeight="1" x14ac:dyDescent="0.2">
      <c r="A146" s="1"/>
      <c r="B146" s="2551" t="s">
        <v>109</v>
      </c>
      <c r="C146" s="2551"/>
      <c r="D146" s="57" t="s">
        <v>21</v>
      </c>
      <c r="E146" s="150">
        <f>'TH Thương hiệu DC2'!Y7</f>
        <v>569905.24</v>
      </c>
      <c r="F146" s="150">
        <f>'TH Thương hiệu DC2'!Y8</f>
        <v>184.32</v>
      </c>
      <c r="G146" s="150">
        <f>'TH Thương hiệu DC2'!Y9</f>
        <v>47363.96</v>
      </c>
      <c r="H146" s="150">
        <f>SUM(E146:G146)</f>
        <v>617453.5199999999</v>
      </c>
      <c r="I146" s="150"/>
      <c r="J146" s="2606" t="s">
        <v>381</v>
      </c>
      <c r="K146" s="2470"/>
      <c r="L146" s="2470"/>
      <c r="M146" s="2470"/>
      <c r="N146" s="2470"/>
      <c r="O146" s="1287"/>
      <c r="P146" s="103"/>
    </row>
    <row r="147" spans="1:37" ht="31" customHeight="1" x14ac:dyDescent="0.2">
      <c r="A147" s="1"/>
      <c r="B147" s="2551"/>
      <c r="C147" s="2551"/>
      <c r="D147" s="57" t="s">
        <v>22</v>
      </c>
      <c r="E147" s="152">
        <f>E146/$H$146*100</f>
        <v>92.299294042408249</v>
      </c>
      <c r="F147" s="152">
        <f>F146/$H$146*100</f>
        <v>2.9851639682935169E-2</v>
      </c>
      <c r="G147" s="152">
        <f>G146/$H$146*100</f>
        <v>7.6708543179088204</v>
      </c>
      <c r="H147" s="231">
        <f>H146/$H$146*100</f>
        <v>100</v>
      </c>
      <c r="I147" s="152">
        <f>H146/$H$216*100</f>
        <v>36.455668400492961</v>
      </c>
      <c r="J147" s="2470"/>
      <c r="K147" s="2607"/>
      <c r="L147" s="2607"/>
      <c r="M147" s="2607"/>
      <c r="N147" s="2470"/>
      <c r="O147" s="1287"/>
      <c r="P147" s="103"/>
    </row>
    <row r="148" spans="1:37" ht="33" hidden="1" customHeight="1" x14ac:dyDescent="0.2">
      <c r="A148" s="1"/>
      <c r="B148" s="2903" t="s">
        <v>113</v>
      </c>
      <c r="C148" s="2903"/>
      <c r="D148" s="57" t="s">
        <v>21</v>
      </c>
      <c r="E148" s="150"/>
      <c r="F148" s="150"/>
      <c r="G148" s="150"/>
      <c r="H148" s="150">
        <f>SUM(E148:G148)</f>
        <v>0</v>
      </c>
      <c r="I148" s="150"/>
      <c r="J148" s="2470"/>
      <c r="K148" s="2607"/>
      <c r="L148" s="2607"/>
      <c r="M148" s="2607"/>
      <c r="N148" s="2470"/>
      <c r="O148" s="1287"/>
      <c r="P148" s="103"/>
    </row>
    <row r="149" spans="1:37" ht="33" hidden="1" customHeight="1" x14ac:dyDescent="0.2">
      <c r="A149" s="1"/>
      <c r="B149" s="2903"/>
      <c r="C149" s="2903"/>
      <c r="D149" s="57" t="s">
        <v>22</v>
      </c>
      <c r="E149" s="152" t="e">
        <f>E148/$H$148*100</f>
        <v>#DIV/0!</v>
      </c>
      <c r="F149" s="152" t="e">
        <f>F148/$H$148*100</f>
        <v>#DIV/0!</v>
      </c>
      <c r="G149" s="152" t="e">
        <f>G148/$H$148*100</f>
        <v>#DIV/0!</v>
      </c>
      <c r="H149" s="152" t="e">
        <f>H148/$H$148*100</f>
        <v>#DIV/0!</v>
      </c>
      <c r="I149" s="152">
        <f>H148/$H$216*100</f>
        <v>0</v>
      </c>
      <c r="J149" s="2470"/>
      <c r="K149" s="2607"/>
      <c r="L149" s="2607"/>
      <c r="M149" s="2607"/>
      <c r="N149" s="2470"/>
      <c r="O149" s="1287"/>
      <c r="P149" s="103"/>
    </row>
    <row r="150" spans="1:37" ht="33" hidden="1" customHeight="1" x14ac:dyDescent="0.2">
      <c r="A150" s="1"/>
      <c r="B150" s="2903" t="s">
        <v>144</v>
      </c>
      <c r="C150" s="2903"/>
      <c r="D150" s="57" t="s">
        <v>21</v>
      </c>
      <c r="E150" s="150"/>
      <c r="F150" s="150"/>
      <c r="G150" s="150"/>
      <c r="H150" s="150">
        <f>SUM(E150:G150)</f>
        <v>0</v>
      </c>
      <c r="I150" s="150"/>
      <c r="J150" s="2470"/>
      <c r="K150" s="2607"/>
      <c r="L150" s="2607"/>
      <c r="M150" s="2607"/>
      <c r="N150" s="2470"/>
      <c r="O150" s="1287"/>
      <c r="P150" s="103"/>
    </row>
    <row r="151" spans="1:37" ht="33" hidden="1" customHeight="1" x14ac:dyDescent="0.2">
      <c r="A151" s="1"/>
      <c r="B151" s="2903"/>
      <c r="C151" s="2903"/>
      <c r="D151" s="57" t="s">
        <v>22</v>
      </c>
      <c r="E151" s="152" t="e">
        <f>E150/$H$150*100</f>
        <v>#DIV/0!</v>
      </c>
      <c r="F151" s="152" t="e">
        <f>F150/$H$150*100</f>
        <v>#DIV/0!</v>
      </c>
      <c r="G151" s="152" t="e">
        <f>G150/$H$150*100</f>
        <v>#DIV/0!</v>
      </c>
      <c r="H151" s="152" t="e">
        <f>H150/$H$150*100</f>
        <v>#DIV/0!</v>
      </c>
      <c r="I151" s="152">
        <f>H150/$H$216*100</f>
        <v>0</v>
      </c>
      <c r="J151" s="2470"/>
      <c r="K151" s="2607"/>
      <c r="L151" s="2607"/>
      <c r="M151" s="2607"/>
      <c r="N151" s="2470"/>
      <c r="O151" s="1287"/>
      <c r="P151" s="103"/>
    </row>
    <row r="152" spans="1:37" ht="30" customHeight="1" x14ac:dyDescent="0.2">
      <c r="A152" s="1"/>
      <c r="B152" s="2551" t="s">
        <v>117</v>
      </c>
      <c r="C152" s="2551"/>
      <c r="D152" s="57" t="s">
        <v>21</v>
      </c>
      <c r="E152" s="150">
        <f>'TH Thương hiệu DC2'!Y25</f>
        <v>37362.720000000001</v>
      </c>
      <c r="F152" s="150">
        <f>'TH Thương hiệu DC2'!Y26</f>
        <v>0</v>
      </c>
      <c r="G152" s="150">
        <f>'TH Thương hiệu DC2'!Y27</f>
        <v>2288.92</v>
      </c>
      <c r="H152" s="150">
        <f>SUM(E152:G152)</f>
        <v>39651.64</v>
      </c>
      <c r="I152" s="151"/>
      <c r="J152" s="2470"/>
      <c r="K152" s="2607"/>
      <c r="L152" s="2607"/>
      <c r="M152" s="2607"/>
      <c r="N152" s="2470"/>
      <c r="O152" s="1287"/>
      <c r="P152" s="103"/>
    </row>
    <row r="153" spans="1:37" ht="30" customHeight="1" x14ac:dyDescent="0.2">
      <c r="A153" s="1"/>
      <c r="B153" s="2551"/>
      <c r="C153" s="2551"/>
      <c r="D153" s="57" t="s">
        <v>22</v>
      </c>
      <c r="E153" s="152">
        <f>E152/$H$152*100</f>
        <v>94.227426658771236</v>
      </c>
      <c r="F153" s="152">
        <f>F152/$H$152*100</f>
        <v>0</v>
      </c>
      <c r="G153" s="152">
        <f>G152/$H$152*100</f>
        <v>5.7725733412287612</v>
      </c>
      <c r="H153" s="231">
        <f>H152/$H$152*100</f>
        <v>100</v>
      </c>
      <c r="I153" s="152">
        <f>H152/$H$216*100</f>
        <v>2.3411106950620724</v>
      </c>
      <c r="J153" s="2470"/>
      <c r="K153" s="2607"/>
      <c r="L153" s="2607"/>
      <c r="M153" s="2607"/>
      <c r="N153" s="2470"/>
      <c r="O153" s="1287"/>
      <c r="P153" s="103"/>
    </row>
    <row r="154" spans="1:37" ht="33" hidden="1" customHeight="1" x14ac:dyDescent="0.2">
      <c r="A154" s="1"/>
      <c r="B154" s="2551" t="s">
        <v>145</v>
      </c>
      <c r="C154" s="2551"/>
      <c r="D154" s="57" t="s">
        <v>21</v>
      </c>
      <c r="E154" s="150"/>
      <c r="F154" s="150"/>
      <c r="G154" s="150"/>
      <c r="H154" s="150">
        <f>SUM(E154:G154)</f>
        <v>0</v>
      </c>
      <c r="I154" s="151"/>
      <c r="J154" s="2470"/>
      <c r="K154" s="2607"/>
      <c r="L154" s="2607"/>
      <c r="M154" s="2607"/>
      <c r="N154" s="2470"/>
      <c r="O154" s="1287"/>
      <c r="P154" s="103"/>
    </row>
    <row r="155" spans="1:37" ht="33" hidden="1" customHeight="1" x14ac:dyDescent="0.2">
      <c r="A155" s="1"/>
      <c r="B155" s="2551"/>
      <c r="C155" s="2551"/>
      <c r="D155" s="57" t="s">
        <v>22</v>
      </c>
      <c r="E155" s="152" t="e">
        <f>E154/$H$154*100</f>
        <v>#DIV/0!</v>
      </c>
      <c r="F155" s="152" t="e">
        <f>F154/$H$154*100</f>
        <v>#DIV/0!</v>
      </c>
      <c r="G155" s="152" t="e">
        <f>G154/$H$154*100</f>
        <v>#DIV/0!</v>
      </c>
      <c r="H155" s="231" t="e">
        <f>H154/$H$154*100</f>
        <v>#DIV/0!</v>
      </c>
      <c r="I155" s="152">
        <f>H154/$H$216*100</f>
        <v>0</v>
      </c>
      <c r="J155" s="2470"/>
      <c r="K155" s="2607"/>
      <c r="L155" s="2607"/>
      <c r="M155" s="2607"/>
      <c r="N155" s="2470"/>
      <c r="O155" s="1287"/>
      <c r="P155" s="103"/>
    </row>
    <row r="156" spans="1:37" ht="33" customHeight="1" x14ac:dyDescent="0.2">
      <c r="A156" s="1"/>
      <c r="B156" s="2551" t="s">
        <v>125</v>
      </c>
      <c r="C156" s="2551"/>
      <c r="D156" s="57" t="s">
        <v>21</v>
      </c>
      <c r="E156" s="150">
        <f>'TH Thương hiệu DC2'!Y13</f>
        <v>75054.559999999998</v>
      </c>
      <c r="F156" s="150">
        <f>'TH Thương hiệu DC2'!Y14</f>
        <v>0</v>
      </c>
      <c r="G156" s="150">
        <f>'TH Thương hiệu DC2'!Y15</f>
        <v>5907.76</v>
      </c>
      <c r="H156" s="150">
        <f>SUM(E156:G156)</f>
        <v>80962.319999999992</v>
      </c>
      <c r="I156" s="151"/>
      <c r="J156" s="2470"/>
      <c r="K156" s="2607"/>
      <c r="L156" s="2607"/>
      <c r="M156" s="2607"/>
      <c r="N156" s="2470"/>
      <c r="O156" s="1287"/>
      <c r="P156" s="103"/>
      <c r="AC156" s="700"/>
    </row>
    <row r="157" spans="1:37" ht="33" customHeight="1" x14ac:dyDescent="0.2">
      <c r="A157" s="1"/>
      <c r="B157" s="2551"/>
      <c r="C157" s="2551"/>
      <c r="D157" s="57" t="s">
        <v>22</v>
      </c>
      <c r="E157" s="152">
        <f>E156/$H$156*100</f>
        <v>92.703074714262144</v>
      </c>
      <c r="F157" s="152">
        <f>F156/$H$156*100</f>
        <v>0</v>
      </c>
      <c r="G157" s="152">
        <f>G156/$H$156*100</f>
        <v>7.2969252857378599</v>
      </c>
      <c r="H157" s="152">
        <f>H156/$H$156*100</f>
        <v>100</v>
      </c>
      <c r="I157" s="152">
        <f>H156/$H$216*100</f>
        <v>4.7801743698126451</v>
      </c>
      <c r="J157" s="2470"/>
      <c r="K157" s="2607"/>
      <c r="L157" s="2607"/>
      <c r="M157" s="2607"/>
      <c r="N157" s="2470"/>
      <c r="O157" s="1287"/>
      <c r="P157" s="103"/>
    </row>
    <row r="158" spans="1:37" ht="33" hidden="1" customHeight="1" x14ac:dyDescent="0.2">
      <c r="A158" s="1"/>
      <c r="B158" s="2551" t="s">
        <v>128</v>
      </c>
      <c r="C158" s="2551"/>
      <c r="D158" s="57" t="s">
        <v>21</v>
      </c>
      <c r="E158" s="150"/>
      <c r="F158" s="150"/>
      <c r="G158" s="150"/>
      <c r="H158" s="150">
        <f>SUM(E158:G158)</f>
        <v>0</v>
      </c>
      <c r="I158" s="151"/>
      <c r="J158" s="2470"/>
      <c r="K158" s="2607"/>
      <c r="L158" s="2607"/>
      <c r="M158" s="2607"/>
      <c r="N158" s="2470"/>
      <c r="O158" s="1287"/>
      <c r="P158" s="103"/>
      <c r="AC158" s="103"/>
    </row>
    <row r="159" spans="1:37" ht="33" hidden="1" customHeight="1" x14ac:dyDescent="0.2">
      <c r="A159" s="1"/>
      <c r="B159" s="2551"/>
      <c r="C159" s="2551"/>
      <c r="D159" s="57" t="s">
        <v>22</v>
      </c>
      <c r="E159" s="152" t="e">
        <f>E158/$H$158*100</f>
        <v>#DIV/0!</v>
      </c>
      <c r="F159" s="152" t="e">
        <f>F158/$H$158*100</f>
        <v>#DIV/0!</v>
      </c>
      <c r="G159" s="152" t="e">
        <f>G158/$H$158*100</f>
        <v>#DIV/0!</v>
      </c>
      <c r="H159" s="152" t="e">
        <f>H158/$H$158*100</f>
        <v>#DIV/0!</v>
      </c>
      <c r="I159" s="152">
        <f>H158/$H$216*100</f>
        <v>0</v>
      </c>
      <c r="J159" s="2470"/>
      <c r="K159" s="2607"/>
      <c r="L159" s="2607"/>
      <c r="M159" s="2607"/>
      <c r="N159" s="2470"/>
      <c r="O159" s="1287"/>
      <c r="P159" s="103"/>
      <c r="Q159" s="103"/>
      <c r="AE159" s="95"/>
      <c r="AF159" s="95"/>
      <c r="AG159" s="95"/>
      <c r="AH159" s="2"/>
      <c r="AI159" s="2"/>
      <c r="AJ159" s="2"/>
      <c r="AK159" s="2"/>
    </row>
    <row r="160" spans="1:37" ht="25.5" customHeight="1" x14ac:dyDescent="0.2">
      <c r="A160" s="1"/>
      <c r="B160" s="2551" t="s">
        <v>129</v>
      </c>
      <c r="C160" s="2551"/>
      <c r="D160" s="57" t="s">
        <v>21</v>
      </c>
      <c r="E160" s="150">
        <f>'TH Thương hiệu DC2'!Y16</f>
        <v>34275.119999999995</v>
      </c>
      <c r="F160" s="150">
        <f>'TH Thương hiệu DC2'!Y17</f>
        <v>0</v>
      </c>
      <c r="G160" s="150">
        <f>'TH Thương hiệu DC2'!Y18</f>
        <v>1752.44</v>
      </c>
      <c r="H160" s="150">
        <f>SUM(E160:G160)</f>
        <v>36027.56</v>
      </c>
      <c r="I160" s="151"/>
      <c r="J160" s="2470"/>
      <c r="K160" s="2607"/>
      <c r="L160" s="2607"/>
      <c r="M160" s="2607"/>
      <c r="N160" s="2470"/>
      <c r="O160" s="1287"/>
      <c r="P160" s="103"/>
      <c r="Q160" s="103"/>
      <c r="AE160" s="95"/>
      <c r="AF160" s="95"/>
      <c r="AG160" s="95"/>
      <c r="AH160" s="2"/>
      <c r="AI160" s="2"/>
      <c r="AJ160" s="2"/>
      <c r="AK160" s="2"/>
    </row>
    <row r="161" spans="1:37" ht="25.5" customHeight="1" x14ac:dyDescent="0.2">
      <c r="A161" s="1"/>
      <c r="B161" s="2551"/>
      <c r="C161" s="2551"/>
      <c r="D161" s="57" t="s">
        <v>22</v>
      </c>
      <c r="E161" s="152">
        <f>E160/$H$160*100</f>
        <v>95.13583489972676</v>
      </c>
      <c r="F161" s="152">
        <f>F160/$H$160*100</f>
        <v>0</v>
      </c>
      <c r="G161" s="152">
        <f>G160/$H$160*100</f>
        <v>4.8641651002732358</v>
      </c>
      <c r="H161" s="152">
        <f>H160/$H$160*100</f>
        <v>100</v>
      </c>
      <c r="I161" s="152">
        <f>H160/$H$216*100</f>
        <v>2.1271378947501414</v>
      </c>
      <c r="J161" s="2470"/>
      <c r="K161" s="2607"/>
      <c r="L161" s="2607"/>
      <c r="M161" s="2607"/>
      <c r="N161" s="2470"/>
      <c r="O161" s="1287"/>
      <c r="P161" s="103"/>
      <c r="Q161" s="103"/>
      <c r="AE161" s="95"/>
      <c r="AF161" s="95"/>
      <c r="AG161" s="95"/>
      <c r="AH161" s="2"/>
      <c r="AI161" s="2"/>
      <c r="AJ161" s="2"/>
      <c r="AK161" s="2"/>
    </row>
    <row r="162" spans="1:37" ht="25.5" customHeight="1" x14ac:dyDescent="0.2">
      <c r="A162" s="1"/>
      <c r="B162" s="2551" t="s">
        <v>112</v>
      </c>
      <c r="C162" s="2551"/>
      <c r="D162" s="57" t="s">
        <v>21</v>
      </c>
      <c r="E162" s="150">
        <f>'TH Thương hiệu DC2'!Y10</f>
        <v>36316.04</v>
      </c>
      <c r="F162" s="150">
        <f>'TH Thương hiệu DC2'!Y11</f>
        <v>0</v>
      </c>
      <c r="G162" s="150">
        <f>'TH Thương hiệu DC2'!Y12</f>
        <v>1901.6</v>
      </c>
      <c r="H162" s="150">
        <f>SUM(E162:G162)</f>
        <v>38217.64</v>
      </c>
      <c r="I162" s="151"/>
      <c r="J162" s="2470"/>
      <c r="K162" s="2607"/>
      <c r="L162" s="2607"/>
      <c r="M162" s="2607"/>
      <c r="N162" s="2470"/>
      <c r="O162" s="1287"/>
      <c r="P162" s="103"/>
      <c r="Q162" s="103"/>
      <c r="AE162" s="95"/>
      <c r="AF162" s="95"/>
      <c r="AG162" s="95"/>
      <c r="AH162" s="2"/>
      <c r="AI162" s="2"/>
      <c r="AJ162" s="2"/>
      <c r="AK162" s="2"/>
    </row>
    <row r="163" spans="1:37" ht="25.5" customHeight="1" x14ac:dyDescent="0.2">
      <c r="A163" s="1"/>
      <c r="B163" s="2551"/>
      <c r="C163" s="2551"/>
      <c r="D163" s="57" t="s">
        <v>22</v>
      </c>
      <c r="E163" s="152">
        <f>E162/$H$162*100</f>
        <v>95.024287213967156</v>
      </c>
      <c r="F163" s="152">
        <f>F162/$H$162*100</f>
        <v>0</v>
      </c>
      <c r="G163" s="152">
        <f>G162/$H$162*100</f>
        <v>4.9757127860328367</v>
      </c>
      <c r="H163" s="231">
        <f>H162/$H$162*100</f>
        <v>100</v>
      </c>
      <c r="I163" s="152">
        <f>H162/$H$216*100</f>
        <v>2.2564445189160414</v>
      </c>
      <c r="J163" s="2470"/>
      <c r="K163" s="2470"/>
      <c r="L163" s="2470"/>
      <c r="M163" s="2470"/>
      <c r="N163" s="2470"/>
      <c r="O163" s="1287"/>
      <c r="P163" s="103"/>
      <c r="Q163" s="103"/>
      <c r="AE163" s="95"/>
      <c r="AF163" s="95"/>
      <c r="AG163" s="95"/>
      <c r="AH163" s="2"/>
      <c r="AI163" s="2"/>
      <c r="AJ163" s="2"/>
      <c r="AK163" s="2"/>
    </row>
    <row r="164" spans="1:37" ht="34" hidden="1" customHeight="1" x14ac:dyDescent="0.2">
      <c r="A164" s="1"/>
      <c r="B164" s="2551" t="s">
        <v>120</v>
      </c>
      <c r="C164" s="2551"/>
      <c r="D164" s="57" t="s">
        <v>21</v>
      </c>
      <c r="E164" s="150"/>
      <c r="F164" s="150"/>
      <c r="G164" s="150"/>
      <c r="H164" s="150">
        <f>SUM(E164:G164)</f>
        <v>0</v>
      </c>
      <c r="I164" s="151"/>
      <c r="J164" s="2606" t="s">
        <v>380</v>
      </c>
      <c r="K164" s="2470"/>
      <c r="L164" s="2470"/>
      <c r="M164" s="2470"/>
      <c r="N164" s="2470"/>
      <c r="O164" s="1287"/>
      <c r="P164" s="103"/>
      <c r="Q164" s="103"/>
      <c r="AE164" s="95"/>
      <c r="AF164" s="95"/>
      <c r="AG164" s="95"/>
      <c r="AH164" s="2"/>
      <c r="AI164" s="2"/>
      <c r="AJ164" s="2"/>
      <c r="AK164" s="2"/>
    </row>
    <row r="165" spans="1:37" ht="34" hidden="1" customHeight="1" x14ac:dyDescent="0.2">
      <c r="A165" s="1"/>
      <c r="B165" s="2551"/>
      <c r="C165" s="2551"/>
      <c r="D165" s="57" t="s">
        <v>22</v>
      </c>
      <c r="E165" s="152" t="e">
        <f>E164/$H$164*100</f>
        <v>#DIV/0!</v>
      </c>
      <c r="F165" s="152" t="e">
        <f>F164/$H$164*100</f>
        <v>#DIV/0!</v>
      </c>
      <c r="G165" s="152" t="e">
        <f>G164/$H$164*100</f>
        <v>#DIV/0!</v>
      </c>
      <c r="H165" s="231" t="e">
        <f>H164/$H$164*100</f>
        <v>#DIV/0!</v>
      </c>
      <c r="I165" s="152">
        <f>H164/$H$216*100</f>
        <v>0</v>
      </c>
      <c r="J165" s="2470"/>
      <c r="K165" s="2607"/>
      <c r="L165" s="2607"/>
      <c r="M165" s="2607"/>
      <c r="N165" s="2470"/>
      <c r="O165" s="1287"/>
      <c r="P165" s="103"/>
      <c r="Q165" s="103"/>
      <c r="AE165" s="95"/>
      <c r="AF165" s="95"/>
      <c r="AG165" s="95"/>
      <c r="AH165" s="2"/>
      <c r="AI165" s="2"/>
      <c r="AJ165" s="2"/>
      <c r="AK165" s="2"/>
    </row>
    <row r="166" spans="1:37" ht="25" customHeight="1" x14ac:dyDescent="0.2">
      <c r="A166" s="1"/>
      <c r="B166" s="2551" t="s">
        <v>109</v>
      </c>
      <c r="C166" s="2551"/>
      <c r="D166" s="57" t="s">
        <v>21</v>
      </c>
      <c r="E166" s="150">
        <f>'TH Thương hiệu DC2'!Y85</f>
        <v>44421.5</v>
      </c>
      <c r="F166" s="150">
        <f>'TH Thương hiệu DC2'!Y86</f>
        <v>0</v>
      </c>
      <c r="G166" s="150">
        <f>'TH Thương hiệu DC2'!Y87</f>
        <v>4154</v>
      </c>
      <c r="H166" s="150">
        <f>SUM(E166:G166)</f>
        <v>48575.5</v>
      </c>
      <c r="I166" s="151"/>
      <c r="J166" s="2470"/>
      <c r="K166" s="2607"/>
      <c r="L166" s="2607"/>
      <c r="M166" s="2607"/>
      <c r="N166" s="2470"/>
      <c r="O166" s="1287"/>
      <c r="P166" s="103"/>
      <c r="Q166" s="103"/>
      <c r="AE166" s="95"/>
      <c r="AF166" s="95"/>
      <c r="AG166" s="95"/>
      <c r="AH166" s="2"/>
      <c r="AI166" s="2"/>
      <c r="AJ166" s="2"/>
      <c r="AK166" s="2"/>
    </row>
    <row r="167" spans="1:37" ht="25" customHeight="1" x14ac:dyDescent="0.2">
      <c r="A167" s="1"/>
      <c r="B167" s="2551"/>
      <c r="C167" s="2551"/>
      <c r="D167" s="57" t="s">
        <v>22</v>
      </c>
      <c r="E167" s="152">
        <f>E166/$H$166*100</f>
        <v>91.448363887144751</v>
      </c>
      <c r="F167" s="152">
        <f>F166/$H$166*100</f>
        <v>0</v>
      </c>
      <c r="G167" s="152">
        <f>G166/$H$166*100</f>
        <v>8.5516361128552454</v>
      </c>
      <c r="H167" s="231">
        <f>H166/$H$166*100</f>
        <v>100</v>
      </c>
      <c r="I167" s="152">
        <f>H166/$H$216*100</f>
        <v>2.8679929144920031</v>
      </c>
      <c r="J167" s="2470"/>
      <c r="K167" s="2607"/>
      <c r="L167" s="2607"/>
      <c r="M167" s="2607"/>
      <c r="N167" s="2470"/>
      <c r="O167" s="1287"/>
      <c r="P167" s="103"/>
      <c r="Q167" s="103"/>
      <c r="AE167" s="95"/>
      <c r="AF167" s="95"/>
      <c r="AG167" s="95"/>
      <c r="AH167" s="2"/>
      <c r="AI167" s="2"/>
      <c r="AJ167" s="2"/>
      <c r="AK167" s="2"/>
    </row>
    <row r="168" spans="1:37" ht="25" customHeight="1" x14ac:dyDescent="0.2">
      <c r="A168" s="1"/>
      <c r="B168" s="2551" t="s">
        <v>322</v>
      </c>
      <c r="C168" s="2551"/>
      <c r="D168" s="57" t="s">
        <v>21</v>
      </c>
      <c r="E168" s="150">
        <f>'TH Thương hiệu DC2'!Y94</f>
        <v>9583.5</v>
      </c>
      <c r="F168" s="150">
        <f>'TH Thương hiệu DC2'!Y95</f>
        <v>0</v>
      </c>
      <c r="G168" s="150">
        <f>'TH Thương hiệu DC2'!Y96</f>
        <v>884</v>
      </c>
      <c r="H168" s="150">
        <f>SUM(E168:G168)</f>
        <v>10467.5</v>
      </c>
      <c r="I168" s="151"/>
      <c r="J168" s="2470"/>
      <c r="K168" s="2607"/>
      <c r="L168" s="2607"/>
      <c r="M168" s="2607"/>
      <c r="N168" s="2470"/>
      <c r="O168" s="1287"/>
      <c r="P168" s="103"/>
      <c r="Q168" s="103"/>
      <c r="AE168" s="95"/>
      <c r="AF168" s="95"/>
      <c r="AG168" s="95"/>
      <c r="AH168" s="2"/>
      <c r="AI168" s="2"/>
      <c r="AJ168" s="2"/>
      <c r="AK168" s="2"/>
    </row>
    <row r="169" spans="1:37" ht="25" customHeight="1" x14ac:dyDescent="0.2">
      <c r="A169" s="1"/>
      <c r="B169" s="2551"/>
      <c r="C169" s="2551"/>
      <c r="D169" s="57" t="s">
        <v>22</v>
      </c>
      <c r="E169" s="151">
        <f>E168/$H$168*100</f>
        <v>91.55481251492715</v>
      </c>
      <c r="F169" s="151">
        <f>F168/$H$168*100</f>
        <v>0</v>
      </c>
      <c r="G169" s="151">
        <f>G168/$H$168*100</f>
        <v>8.4451874850728448</v>
      </c>
      <c r="H169" s="150">
        <f>H168/$H$168*100</f>
        <v>100</v>
      </c>
      <c r="I169" s="151">
        <f>H168/$H$216*100</f>
        <v>0.61802175649133906</v>
      </c>
      <c r="J169" s="2470"/>
      <c r="K169" s="2607"/>
      <c r="L169" s="2607"/>
      <c r="M169" s="2607"/>
      <c r="N169" s="2470"/>
      <c r="O169" s="1287"/>
      <c r="P169" s="103"/>
      <c r="Q169" s="103"/>
      <c r="AE169" s="95"/>
      <c r="AF169" s="95"/>
      <c r="AG169" s="95"/>
      <c r="AH169" s="2"/>
      <c r="AI169" s="2"/>
      <c r="AJ169" s="2"/>
      <c r="AK169" s="2"/>
    </row>
    <row r="170" spans="1:37" ht="25" customHeight="1" x14ac:dyDescent="0.2">
      <c r="A170" s="1"/>
      <c r="B170" s="2551" t="s">
        <v>129</v>
      </c>
      <c r="C170" s="2551"/>
      <c r="D170" s="57" t="s">
        <v>21</v>
      </c>
      <c r="E170" s="150">
        <f>'TH Thương hiệu DC2'!Y91</f>
        <v>13999.5</v>
      </c>
      <c r="F170" s="150">
        <f>'TH Thương hiệu DC2'!Y92</f>
        <v>0</v>
      </c>
      <c r="G170" s="150">
        <f>'TH Thương hiệu DC2'!Y93</f>
        <v>3231.5</v>
      </c>
      <c r="H170" s="150">
        <f>SUM(E170:G170)</f>
        <v>17231</v>
      </c>
      <c r="I170" s="151"/>
      <c r="J170" s="2470"/>
      <c r="K170" s="2607"/>
      <c r="L170" s="2607"/>
      <c r="M170" s="2607"/>
      <c r="N170" s="2470"/>
      <c r="O170" s="1287"/>
      <c r="P170" s="103"/>
      <c r="Q170" s="103"/>
      <c r="AE170" s="95"/>
      <c r="AF170" s="95"/>
      <c r="AG170" s="95"/>
      <c r="AH170" s="2"/>
      <c r="AI170" s="2"/>
      <c r="AJ170" s="2"/>
      <c r="AK170" s="2"/>
    </row>
    <row r="171" spans="1:37" ht="25" customHeight="1" x14ac:dyDescent="0.2">
      <c r="A171" s="1"/>
      <c r="B171" s="2551"/>
      <c r="C171" s="2551"/>
      <c r="D171" s="57" t="s">
        <v>22</v>
      </c>
      <c r="E171" s="151">
        <f>E170/$H$170*100</f>
        <v>81.24601009807904</v>
      </c>
      <c r="F171" s="151">
        <f>F170/$H$170*100</f>
        <v>0</v>
      </c>
      <c r="G171" s="151">
        <f>G170/$H$170*100</f>
        <v>18.753989901920956</v>
      </c>
      <c r="H171" s="151">
        <f>H170/$H$170*100</f>
        <v>100</v>
      </c>
      <c r="I171" s="151">
        <f>H170/$H$216*100</f>
        <v>1.0173520789206845</v>
      </c>
      <c r="J171" s="2470"/>
      <c r="K171" s="2607"/>
      <c r="L171" s="2607"/>
      <c r="M171" s="2607"/>
      <c r="N171" s="2470"/>
      <c r="O171" s="1287"/>
      <c r="P171" s="103"/>
      <c r="Q171" s="103"/>
      <c r="AE171" s="95"/>
      <c r="AF171" s="95"/>
      <c r="AG171" s="95"/>
      <c r="AH171" s="2"/>
      <c r="AI171" s="2"/>
      <c r="AJ171" s="2"/>
      <c r="AK171" s="2"/>
    </row>
    <row r="172" spans="1:37" ht="25" customHeight="1" x14ac:dyDescent="0.2">
      <c r="A172" s="1"/>
      <c r="B172" s="2551" t="s">
        <v>125</v>
      </c>
      <c r="C172" s="2551"/>
      <c r="D172" s="57" t="s">
        <v>21</v>
      </c>
      <c r="E172" s="150">
        <f>'TH Thương hiệu DC2'!Y88</f>
        <v>2130</v>
      </c>
      <c r="F172" s="150">
        <f>'TH Thương hiệu DC2'!Y89</f>
        <v>0</v>
      </c>
      <c r="G172" s="150">
        <f>'TH Thương hiệu DC2'!Y90</f>
        <v>73.5</v>
      </c>
      <c r="H172" s="150">
        <f>SUM(E172:G172)</f>
        <v>2203.5</v>
      </c>
      <c r="I172" s="151"/>
      <c r="J172" s="2470"/>
      <c r="K172" s="2607"/>
      <c r="L172" s="2607"/>
      <c r="M172" s="2607"/>
      <c r="N172" s="2470"/>
      <c r="O172" s="1287"/>
      <c r="P172" s="103"/>
      <c r="Q172" s="103"/>
      <c r="AE172" s="95"/>
      <c r="AF172" s="95"/>
      <c r="AG172" s="95"/>
      <c r="AH172" s="2"/>
      <c r="AI172" s="2"/>
      <c r="AJ172" s="2"/>
      <c r="AK172" s="2"/>
    </row>
    <row r="173" spans="1:37" ht="25" customHeight="1" x14ac:dyDescent="0.2">
      <c r="A173" s="1"/>
      <c r="B173" s="2551"/>
      <c r="C173" s="2551"/>
      <c r="D173" s="57" t="s">
        <v>22</v>
      </c>
      <c r="E173" s="152">
        <f>E172/$H$172*100</f>
        <v>96.664397549353296</v>
      </c>
      <c r="F173" s="152">
        <f>F172/$H$172*100</f>
        <v>0</v>
      </c>
      <c r="G173" s="152">
        <f>G172/$H$172*100</f>
        <v>3.3356024506466984</v>
      </c>
      <c r="H173" s="231">
        <f>H172/$H$172*100</f>
        <v>100</v>
      </c>
      <c r="I173" s="152">
        <f>H172/$H$216*100</f>
        <v>0.13009896732062723</v>
      </c>
      <c r="J173" s="2470"/>
      <c r="K173" s="2607"/>
      <c r="L173" s="2607"/>
      <c r="M173" s="2607"/>
      <c r="N173" s="2470"/>
      <c r="O173" s="1287"/>
      <c r="P173" s="103"/>
      <c r="Q173" s="103"/>
      <c r="AE173" s="95"/>
      <c r="AF173" s="95"/>
      <c r="AG173" s="95"/>
      <c r="AH173" s="2"/>
      <c r="AI173" s="2"/>
      <c r="AJ173" s="2"/>
      <c r="AK173" s="2"/>
    </row>
    <row r="174" spans="1:37" ht="27" hidden="1" customHeight="1" x14ac:dyDescent="0.2">
      <c r="A174" s="1"/>
      <c r="B174" s="2551" t="s">
        <v>117</v>
      </c>
      <c r="C174" s="2551"/>
      <c r="D174" s="57" t="s">
        <v>21</v>
      </c>
      <c r="E174" s="150"/>
      <c r="F174" s="150"/>
      <c r="G174" s="150"/>
      <c r="H174" s="150">
        <f>SUM(E174:G174)</f>
        <v>0</v>
      </c>
      <c r="I174" s="151"/>
      <c r="J174" s="2470"/>
      <c r="K174" s="2607"/>
      <c r="L174" s="2607"/>
      <c r="M174" s="2607"/>
      <c r="N174" s="2470"/>
      <c r="O174" s="1287"/>
      <c r="P174" s="103"/>
      <c r="Q174" s="103"/>
      <c r="AE174" s="95"/>
      <c r="AF174" s="95"/>
      <c r="AG174" s="95"/>
      <c r="AH174" s="2"/>
      <c r="AI174" s="2"/>
      <c r="AJ174" s="2"/>
      <c r="AK174" s="2"/>
    </row>
    <row r="175" spans="1:37" ht="27" hidden="1" customHeight="1" x14ac:dyDescent="0.2">
      <c r="A175" s="1"/>
      <c r="B175" s="2551"/>
      <c r="C175" s="2551"/>
      <c r="D175" s="57" t="s">
        <v>22</v>
      </c>
      <c r="E175" s="152" t="e">
        <f>E174/$H$174*100</f>
        <v>#DIV/0!</v>
      </c>
      <c r="F175" s="152" t="e">
        <f>F174/$H$174*100</f>
        <v>#DIV/0!</v>
      </c>
      <c r="G175" s="152" t="e">
        <f>G174/$H$174*100</f>
        <v>#DIV/0!</v>
      </c>
      <c r="H175" s="231" t="e">
        <f>H174/$H$174*100</f>
        <v>#DIV/0!</v>
      </c>
      <c r="I175" s="152">
        <f>H174/$H$216*100</f>
        <v>0</v>
      </c>
      <c r="J175" s="2470"/>
      <c r="K175" s="2470"/>
      <c r="L175" s="2470"/>
      <c r="M175" s="2470"/>
      <c r="N175" s="2470"/>
      <c r="O175" s="1287"/>
      <c r="P175" s="103"/>
      <c r="Q175" s="103"/>
      <c r="AE175" s="95"/>
      <c r="AF175" s="95"/>
      <c r="AG175" s="95"/>
      <c r="AH175" s="2"/>
      <c r="AI175" s="2"/>
      <c r="AJ175" s="2"/>
      <c r="AK175" s="2"/>
    </row>
    <row r="176" spans="1:37" ht="27" hidden="1" customHeight="1" x14ac:dyDescent="0.2">
      <c r="A176" s="1"/>
      <c r="B176" s="2551" t="s">
        <v>120</v>
      </c>
      <c r="C176" s="2551"/>
      <c r="D176" s="57" t="s">
        <v>21</v>
      </c>
      <c r="E176" s="150"/>
      <c r="F176" s="150"/>
      <c r="G176" s="150"/>
      <c r="H176" s="150">
        <f>SUM(E176:G176)</f>
        <v>0</v>
      </c>
      <c r="I176" s="151"/>
      <c r="J176" s="2606" t="s">
        <v>384</v>
      </c>
      <c r="K176" s="2470"/>
      <c r="L176" s="2470"/>
      <c r="M176" s="2470"/>
      <c r="N176" s="2470"/>
      <c r="O176" s="1287"/>
      <c r="P176" s="103"/>
      <c r="Q176" s="103"/>
      <c r="AE176" s="95"/>
      <c r="AF176" s="95"/>
      <c r="AG176" s="95"/>
      <c r="AH176" s="2"/>
      <c r="AI176" s="2"/>
      <c r="AJ176" s="2"/>
      <c r="AK176" s="2"/>
    </row>
    <row r="177" spans="1:37" ht="27" hidden="1" customHeight="1" x14ac:dyDescent="0.2">
      <c r="A177" s="1"/>
      <c r="B177" s="2551"/>
      <c r="C177" s="2551"/>
      <c r="D177" s="57" t="s">
        <v>22</v>
      </c>
      <c r="E177" s="152" t="e">
        <f>E176/$H$176*100</f>
        <v>#DIV/0!</v>
      </c>
      <c r="F177" s="152" t="e">
        <f>F176/$H$176*100</f>
        <v>#DIV/0!</v>
      </c>
      <c r="G177" s="152" t="e">
        <f>G176/$H$176*100</f>
        <v>#DIV/0!</v>
      </c>
      <c r="H177" s="231" t="e">
        <f>H176/$H$176*100</f>
        <v>#DIV/0!</v>
      </c>
      <c r="I177" s="152">
        <f>H176/$H$216*100</f>
        <v>0</v>
      </c>
      <c r="J177" s="2470"/>
      <c r="K177" s="2607"/>
      <c r="L177" s="2607"/>
      <c r="M177" s="2607"/>
      <c r="N177" s="2470"/>
      <c r="O177" s="1287"/>
      <c r="P177" s="103"/>
      <c r="Q177" s="103"/>
      <c r="AE177" s="95"/>
      <c r="AF177" s="95"/>
      <c r="AG177" s="95"/>
      <c r="AH177" s="2"/>
      <c r="AI177" s="2"/>
      <c r="AJ177" s="2"/>
      <c r="AK177" s="2"/>
    </row>
    <row r="178" spans="1:37" ht="27" customHeight="1" x14ac:dyDescent="0.2">
      <c r="A178" s="1"/>
      <c r="B178" s="2551" t="s">
        <v>109</v>
      </c>
      <c r="C178" s="2551"/>
      <c r="D178" s="57" t="s">
        <v>21</v>
      </c>
      <c r="E178" s="150">
        <f>'TH Thương hiệu DC2'!Y103</f>
        <v>170811.5</v>
      </c>
      <c r="F178" s="150">
        <f>'TH Thương hiệu DC2'!Y104</f>
        <v>0</v>
      </c>
      <c r="G178" s="150">
        <f>'TH Thương hiệu DC2'!Y105</f>
        <v>2682.5</v>
      </c>
      <c r="H178" s="150">
        <f>SUM(E178:G178)</f>
        <v>173494</v>
      </c>
      <c r="I178" s="151"/>
      <c r="J178" s="2470"/>
      <c r="K178" s="2607"/>
      <c r="L178" s="2607"/>
      <c r="M178" s="2607"/>
      <c r="N178" s="2470"/>
      <c r="O178" s="1287"/>
      <c r="P178" s="103"/>
      <c r="Q178" s="103"/>
      <c r="AE178" s="95"/>
      <c r="AF178" s="95"/>
      <c r="AG178" s="95"/>
      <c r="AH178" s="2"/>
      <c r="AI178" s="2"/>
      <c r="AJ178" s="2"/>
      <c r="AK178" s="2"/>
    </row>
    <row r="179" spans="1:37" ht="25.5" customHeight="1" x14ac:dyDescent="0.2">
      <c r="A179" s="1"/>
      <c r="B179" s="2551"/>
      <c r="C179" s="2551"/>
      <c r="D179" s="57" t="s">
        <v>22</v>
      </c>
      <c r="E179" s="152">
        <f>E178/$H$178*100</f>
        <v>98.453837020300412</v>
      </c>
      <c r="F179" s="152">
        <f>F178/$H$178*100</f>
        <v>0</v>
      </c>
      <c r="G179" s="152">
        <f>G178/$H$178*100</f>
        <v>1.5461629796995862</v>
      </c>
      <c r="H179" s="231">
        <f>H178/$H$178*100</f>
        <v>100</v>
      </c>
      <c r="I179" s="152">
        <f>H178/$H$216*100</f>
        <v>10.243426474392967</v>
      </c>
      <c r="J179" s="2470"/>
      <c r="K179" s="2607"/>
      <c r="L179" s="2607"/>
      <c r="M179" s="2607"/>
      <c r="N179" s="2470"/>
      <c r="O179" s="1287"/>
      <c r="P179" s="103"/>
      <c r="Q179" s="103"/>
      <c r="R179" s="1252"/>
      <c r="S179" s="763"/>
      <c r="T179" s="763"/>
      <c r="U179" s="763"/>
      <c r="V179" s="763"/>
      <c r="W179" s="763"/>
      <c r="X179" s="763"/>
      <c r="Y179" s="103"/>
      <c r="Z179" s="103"/>
      <c r="AA179" s="103"/>
      <c r="AB179" s="158"/>
      <c r="AC179" s="158"/>
      <c r="AD179" s="158"/>
      <c r="AE179" s="95"/>
      <c r="AF179" s="95"/>
      <c r="AG179" s="95"/>
      <c r="AH179" s="2"/>
      <c r="AI179" s="2"/>
      <c r="AJ179" s="2"/>
      <c r="AK179" s="2"/>
    </row>
    <row r="180" spans="1:37" ht="25.5" hidden="1" customHeight="1" x14ac:dyDescent="0.2">
      <c r="A180" s="1"/>
      <c r="B180" s="2551" t="s">
        <v>146</v>
      </c>
      <c r="C180" s="2551"/>
      <c r="D180" s="57" t="s">
        <v>21</v>
      </c>
      <c r="E180" s="150"/>
      <c r="F180" s="150"/>
      <c r="G180" s="150"/>
      <c r="H180" s="150">
        <f>SUM(E180:G180)</f>
        <v>0</v>
      </c>
      <c r="I180" s="151"/>
      <c r="J180" s="2470"/>
      <c r="K180" s="2607"/>
      <c r="L180" s="2607"/>
      <c r="M180" s="2607"/>
      <c r="N180" s="2470"/>
      <c r="O180" s="1287"/>
      <c r="P180" s="103"/>
      <c r="Q180" s="103"/>
      <c r="AE180" s="95"/>
      <c r="AF180" s="95"/>
      <c r="AG180" s="95"/>
      <c r="AH180" s="2"/>
      <c r="AI180" s="2"/>
      <c r="AJ180" s="2"/>
      <c r="AK180" s="2"/>
    </row>
    <row r="181" spans="1:37" ht="25.5" hidden="1" customHeight="1" x14ac:dyDescent="0.2">
      <c r="A181" s="1"/>
      <c r="B181" s="2551"/>
      <c r="C181" s="2551"/>
      <c r="D181" s="57" t="s">
        <v>22</v>
      </c>
      <c r="E181" s="152" t="e">
        <f>E180/$H$180*100</f>
        <v>#DIV/0!</v>
      </c>
      <c r="F181" s="152" t="e">
        <f>F180/$H$180*100</f>
        <v>#DIV/0!</v>
      </c>
      <c r="G181" s="152" t="e">
        <f>G180/$H$180*100</f>
        <v>#DIV/0!</v>
      </c>
      <c r="H181" s="231" t="e">
        <f>H180/$H$180*100</f>
        <v>#DIV/0!</v>
      </c>
      <c r="I181" s="152">
        <f>H180/$H$216*100</f>
        <v>0</v>
      </c>
      <c r="J181" s="2470"/>
      <c r="K181" s="2607"/>
      <c r="L181" s="2607"/>
      <c r="M181" s="2607"/>
      <c r="N181" s="2470"/>
      <c r="O181" s="1287"/>
      <c r="P181" s="103"/>
      <c r="Q181" s="103"/>
      <c r="AE181" s="95"/>
      <c r="AF181" s="95"/>
      <c r="AG181" s="95"/>
      <c r="AH181" s="2"/>
      <c r="AI181" s="2"/>
      <c r="AJ181" s="2"/>
      <c r="AK181" s="2"/>
    </row>
    <row r="182" spans="1:37" ht="23" customHeight="1" x14ac:dyDescent="0.2">
      <c r="A182" s="1"/>
      <c r="B182" s="2551" t="s">
        <v>125</v>
      </c>
      <c r="C182" s="2551"/>
      <c r="D182" s="57" t="s">
        <v>21</v>
      </c>
      <c r="E182" s="150">
        <f>'TH Thương hiệu DC2'!Y106</f>
        <v>4163</v>
      </c>
      <c r="F182" s="150">
        <f>'TH Thương hiệu DC2'!Y107</f>
        <v>0</v>
      </c>
      <c r="G182" s="150">
        <f>'TH Thương hiệu DC2'!Y108</f>
        <v>39</v>
      </c>
      <c r="H182" s="150">
        <f>SUM(E182:G182)</f>
        <v>4202</v>
      </c>
      <c r="I182" s="151"/>
      <c r="J182" s="2470"/>
      <c r="K182" s="2607"/>
      <c r="L182" s="2607"/>
      <c r="M182" s="2607"/>
      <c r="N182" s="2470"/>
      <c r="O182" s="1287"/>
      <c r="P182" s="103"/>
      <c r="Q182" s="103"/>
      <c r="AE182" s="95"/>
      <c r="AF182" s="95"/>
      <c r="AG182" s="95"/>
      <c r="AH182" s="2"/>
      <c r="AI182" s="2"/>
      <c r="AJ182" s="2"/>
      <c r="AK182" s="2"/>
    </row>
    <row r="183" spans="1:37" ht="23" customHeight="1" x14ac:dyDescent="0.2">
      <c r="A183" s="1"/>
      <c r="B183" s="2551"/>
      <c r="C183" s="2551"/>
      <c r="D183" s="57" t="s">
        <v>22</v>
      </c>
      <c r="E183" s="152">
        <f>E182/$H$182*100</f>
        <v>99.071870537839118</v>
      </c>
      <c r="F183" s="152">
        <f>F182/$H$182*100</f>
        <v>0</v>
      </c>
      <c r="G183" s="152">
        <f>G182/$H$182*100</f>
        <v>0.92812946216087577</v>
      </c>
      <c r="H183" s="231">
        <f>H182/$H$182*100</f>
        <v>100</v>
      </c>
      <c r="I183" s="152">
        <f>H182/$H$216*100</f>
        <v>0.24809433205413012</v>
      </c>
      <c r="J183" s="2470"/>
      <c r="K183" s="2607"/>
      <c r="L183" s="2607"/>
      <c r="M183" s="2607"/>
      <c r="N183" s="2470"/>
      <c r="O183" s="1287"/>
      <c r="P183" s="103"/>
      <c r="Q183" s="103"/>
      <c r="S183" s="763"/>
      <c r="T183" s="763"/>
      <c r="U183" s="763"/>
      <c r="V183" s="763"/>
      <c r="W183" s="763"/>
      <c r="X183" s="763"/>
      <c r="Y183" s="103"/>
      <c r="Z183" s="103"/>
      <c r="AA183" s="103"/>
      <c r="AB183" s="103"/>
      <c r="AC183" s="103"/>
      <c r="AD183" s="103"/>
      <c r="AE183" s="95"/>
      <c r="AF183" s="95"/>
      <c r="AG183" s="95"/>
      <c r="AH183" s="2"/>
      <c r="AI183" s="2"/>
      <c r="AJ183" s="2"/>
      <c r="AK183" s="2"/>
    </row>
    <row r="184" spans="1:37" ht="23" customHeight="1" x14ac:dyDescent="0.2">
      <c r="A184" s="1"/>
      <c r="B184" s="2551" t="s">
        <v>129</v>
      </c>
      <c r="C184" s="2551"/>
      <c r="D184" s="57" t="s">
        <v>21</v>
      </c>
      <c r="E184" s="150">
        <f>'TH Thương hiệu DC2'!Y109</f>
        <v>57309</v>
      </c>
      <c r="F184" s="150">
        <f>'TH Thương hiệu DC2'!Y110</f>
        <v>0</v>
      </c>
      <c r="G184" s="150">
        <f>'TH Thương hiệu DC2'!Y111</f>
        <v>348</v>
      </c>
      <c r="H184" s="150">
        <f>SUM(E184:G184)</f>
        <v>57657</v>
      </c>
      <c r="I184" s="151"/>
      <c r="J184" s="2470"/>
      <c r="K184" s="2607"/>
      <c r="L184" s="2607"/>
      <c r="M184" s="2607"/>
      <c r="N184" s="2470"/>
      <c r="O184" s="1287"/>
      <c r="P184" s="103"/>
      <c r="Q184" s="103"/>
      <c r="S184" s="763"/>
      <c r="T184" s="763"/>
      <c r="U184" s="763"/>
      <c r="V184" s="763"/>
      <c r="W184" s="763"/>
      <c r="X184" s="763"/>
      <c r="Y184" s="103"/>
      <c r="Z184" s="103"/>
      <c r="AA184" s="103"/>
      <c r="AE184" s="95"/>
      <c r="AF184" s="95"/>
      <c r="AG184" s="95"/>
      <c r="AH184" s="2"/>
      <c r="AI184" s="2"/>
      <c r="AJ184" s="2"/>
      <c r="AK184" s="2"/>
    </row>
    <row r="185" spans="1:37" ht="23" customHeight="1" x14ac:dyDescent="0.2">
      <c r="A185" s="1"/>
      <c r="B185" s="2551"/>
      <c r="C185" s="2551"/>
      <c r="D185" s="57" t="s">
        <v>22</v>
      </c>
      <c r="E185" s="151">
        <f>E184/$H$184*100</f>
        <v>99.396430615536715</v>
      </c>
      <c r="F185" s="151">
        <f>F184/$H$184*100</f>
        <v>0</v>
      </c>
      <c r="G185" s="151">
        <f>G184/$H$184*100</f>
        <v>0.60356938446329156</v>
      </c>
      <c r="H185" s="151">
        <f>H184/$H$184*100</f>
        <v>100</v>
      </c>
      <c r="I185" s="151">
        <f>H184/$H$216*100</f>
        <v>3.4041825091016129</v>
      </c>
      <c r="J185" s="2470"/>
      <c r="K185" s="2607"/>
      <c r="L185" s="2607"/>
      <c r="M185" s="2607"/>
      <c r="N185" s="2470"/>
      <c r="O185" s="1287"/>
      <c r="P185" s="103"/>
      <c r="Q185" s="103"/>
      <c r="R185" s="763"/>
      <c r="S185" s="763"/>
      <c r="T185" s="763"/>
      <c r="U185" s="763"/>
      <c r="V185" s="763"/>
      <c r="W185" s="763"/>
      <c r="X185" s="763"/>
      <c r="Y185" s="103"/>
      <c r="Z185" s="103"/>
      <c r="AA185" s="103"/>
      <c r="AB185" s="158"/>
      <c r="AC185" s="158"/>
      <c r="AD185" s="158"/>
      <c r="AE185" s="95"/>
      <c r="AF185" s="95"/>
      <c r="AG185" s="95"/>
      <c r="AH185" s="2"/>
      <c r="AI185" s="2"/>
      <c r="AJ185" s="2"/>
      <c r="AK185" s="2"/>
    </row>
    <row r="186" spans="1:37" ht="23" customHeight="1" x14ac:dyDescent="0.2">
      <c r="A186" s="1"/>
      <c r="B186" s="2551" t="s">
        <v>322</v>
      </c>
      <c r="C186" s="2551"/>
      <c r="D186" s="57" t="s">
        <v>21</v>
      </c>
      <c r="E186" s="150">
        <f>'TH Thương hiệu DC2'!Y112</f>
        <v>75039.5</v>
      </c>
      <c r="F186" s="150">
        <f>'TH Thương hiệu DC2'!Y113</f>
        <v>0</v>
      </c>
      <c r="G186" s="150">
        <f>'TH Thương hiệu DC2'!Y114</f>
        <v>1218.5</v>
      </c>
      <c r="H186" s="150">
        <f>SUM(E186:G186)</f>
        <v>76258</v>
      </c>
      <c r="I186" s="151"/>
      <c r="J186" s="2470"/>
      <c r="K186" s="2607"/>
      <c r="L186" s="2607"/>
      <c r="M186" s="2607"/>
      <c r="N186" s="2470"/>
      <c r="O186" s="1287"/>
      <c r="P186" s="103"/>
      <c r="Q186" s="103"/>
      <c r="AE186" s="95"/>
      <c r="AF186" s="95"/>
      <c r="AG186" s="95"/>
      <c r="AH186" s="2"/>
      <c r="AI186" s="2"/>
      <c r="AJ186" s="2"/>
      <c r="AK186" s="2"/>
    </row>
    <row r="187" spans="1:37" ht="23" customHeight="1" x14ac:dyDescent="0.2">
      <c r="A187" s="1"/>
      <c r="B187" s="2551"/>
      <c r="C187" s="2551"/>
      <c r="D187" s="57" t="s">
        <v>22</v>
      </c>
      <c r="E187" s="152">
        <f>E186/$H$186*100</f>
        <v>98.402134857982119</v>
      </c>
      <c r="F187" s="152">
        <f>F186/$H$186*100</f>
        <v>0</v>
      </c>
      <c r="G187" s="152">
        <f>G186/$H$186*100</f>
        <v>1.5978651420178867</v>
      </c>
      <c r="H187" s="152">
        <f>H186/$H$186*100</f>
        <v>100</v>
      </c>
      <c r="I187" s="152">
        <f>H186/$H$216*100</f>
        <v>4.5024220784825921</v>
      </c>
      <c r="J187" s="2470"/>
      <c r="K187" s="2607"/>
      <c r="L187" s="2607"/>
      <c r="M187" s="2607"/>
      <c r="N187" s="2470"/>
      <c r="O187" s="1287"/>
      <c r="P187" s="103"/>
      <c r="Q187" s="103"/>
      <c r="AE187" s="95"/>
      <c r="AF187" s="95"/>
      <c r="AG187" s="95"/>
      <c r="AH187" s="2"/>
      <c r="AI187" s="2"/>
      <c r="AJ187" s="2"/>
      <c r="AK187" s="2"/>
    </row>
    <row r="188" spans="1:37" ht="23" customHeight="1" x14ac:dyDescent="0.2">
      <c r="A188" s="1"/>
      <c r="B188" s="2551" t="s">
        <v>117</v>
      </c>
      <c r="C188" s="2551"/>
      <c r="D188" s="57" t="s">
        <v>21</v>
      </c>
      <c r="E188" s="150">
        <f>'TH Thương hiệu DC2'!Y115</f>
        <v>33268.5</v>
      </c>
      <c r="F188" s="150">
        <f>'TH Thương hiệu DC2'!Y116</f>
        <v>0</v>
      </c>
      <c r="G188" s="150">
        <f>'TH Thương hiệu DC2'!Y117</f>
        <v>353</v>
      </c>
      <c r="H188" s="150">
        <f>SUM(E188:G188)</f>
        <v>33621.5</v>
      </c>
      <c r="I188" s="151"/>
      <c r="J188" s="2470"/>
      <c r="K188" s="2607"/>
      <c r="L188" s="2607"/>
      <c r="M188" s="2607"/>
      <c r="N188" s="2470"/>
      <c r="O188" s="1287"/>
      <c r="P188" s="103"/>
      <c r="Q188" s="103"/>
      <c r="AE188" s="95"/>
      <c r="AF188" s="95"/>
      <c r="AG188" s="95"/>
      <c r="AH188" s="2"/>
      <c r="AI188" s="2"/>
      <c r="AJ188" s="2"/>
      <c r="AK188" s="2"/>
    </row>
    <row r="189" spans="1:37" ht="23" customHeight="1" x14ac:dyDescent="0.2">
      <c r="A189" s="1"/>
      <c r="B189" s="2551"/>
      <c r="C189" s="2551"/>
      <c r="D189" s="57" t="s">
        <v>22</v>
      </c>
      <c r="E189" s="152">
        <f>E188/$H$188*100</f>
        <v>98.950076587897627</v>
      </c>
      <c r="F189" s="152">
        <f>F188/$H$188*100</f>
        <v>0</v>
      </c>
      <c r="G189" s="152">
        <f>G188/$H$188*100</f>
        <v>1.0499234121023751</v>
      </c>
      <c r="H189" s="231">
        <f>H188/$H$188*100</f>
        <v>100</v>
      </c>
      <c r="I189" s="152">
        <f>H188/$H$216*100</f>
        <v>1.9850793872341586</v>
      </c>
      <c r="J189" s="2470"/>
      <c r="K189" s="2470"/>
      <c r="L189" s="2470"/>
      <c r="M189" s="2470"/>
      <c r="N189" s="2470"/>
      <c r="O189" s="1287"/>
      <c r="P189" s="103"/>
      <c r="Q189" s="103"/>
      <c r="AE189" s="95"/>
      <c r="AF189" s="95"/>
      <c r="AG189" s="95"/>
      <c r="AH189" s="2"/>
      <c r="AI189" s="2"/>
      <c r="AJ189" s="2"/>
      <c r="AK189" s="2"/>
    </row>
    <row r="190" spans="1:37" ht="25.5" hidden="1" customHeight="1" x14ac:dyDescent="0.2">
      <c r="A190" s="1"/>
      <c r="B190" s="2551" t="s">
        <v>120</v>
      </c>
      <c r="C190" s="2551"/>
      <c r="D190" s="57" t="s">
        <v>21</v>
      </c>
      <c r="E190" s="150"/>
      <c r="F190" s="150"/>
      <c r="G190" s="150"/>
      <c r="H190" s="150">
        <f>SUM(E190:G190)</f>
        <v>0</v>
      </c>
      <c r="I190" s="151"/>
      <c r="J190" s="2606" t="s">
        <v>382</v>
      </c>
      <c r="K190" s="2470"/>
      <c r="L190" s="2470"/>
      <c r="M190" s="2470"/>
      <c r="N190" s="2470"/>
      <c r="O190" s="1287"/>
      <c r="P190" s="103"/>
      <c r="Q190" s="103"/>
      <c r="AE190" s="95"/>
      <c r="AF190" s="95"/>
      <c r="AG190" s="95"/>
      <c r="AH190" s="2"/>
      <c r="AI190" s="2"/>
      <c r="AJ190" s="2"/>
      <c r="AK190" s="2"/>
    </row>
    <row r="191" spans="1:37" ht="25.5" hidden="1" customHeight="1" x14ac:dyDescent="0.2">
      <c r="A191" s="1"/>
      <c r="B191" s="2551"/>
      <c r="C191" s="2551"/>
      <c r="D191" s="57" t="s">
        <v>22</v>
      </c>
      <c r="E191" s="152" t="e">
        <f>E190/$H$190*100</f>
        <v>#DIV/0!</v>
      </c>
      <c r="F191" s="152" t="e">
        <f>F190/$H$190*100</f>
        <v>#DIV/0!</v>
      </c>
      <c r="G191" s="152" t="e">
        <f>G190/$H$190*100</f>
        <v>#DIV/0!</v>
      </c>
      <c r="H191" s="152" t="e">
        <f>H190/$H$190*100</f>
        <v>#DIV/0!</v>
      </c>
      <c r="I191" s="152">
        <f>H190/$H$216*100</f>
        <v>0</v>
      </c>
      <c r="J191" s="2470"/>
      <c r="K191" s="2607"/>
      <c r="L191" s="2607"/>
      <c r="M191" s="2607"/>
      <c r="N191" s="2470"/>
      <c r="O191" s="1287"/>
      <c r="P191" s="103"/>
      <c r="Q191" s="103"/>
      <c r="AE191" s="95"/>
      <c r="AF191" s="95"/>
      <c r="AG191" s="95"/>
      <c r="AH191" s="2"/>
      <c r="AI191" s="2"/>
      <c r="AJ191" s="2"/>
      <c r="AK191" s="2"/>
    </row>
    <row r="192" spans="1:37" ht="23" customHeight="1" x14ac:dyDescent="0.2">
      <c r="A192" s="1"/>
      <c r="B192" s="2551" t="s">
        <v>109</v>
      </c>
      <c r="C192" s="2551"/>
      <c r="D192" s="57" t="s">
        <v>21</v>
      </c>
      <c r="E192" s="150">
        <f>'TH Thương hiệu DC2'!Y40</f>
        <v>58545</v>
      </c>
      <c r="F192" s="150">
        <f>'TH Thương hiệu DC2'!Y41</f>
        <v>0</v>
      </c>
      <c r="G192" s="150">
        <f>'TH Thương hiệu DC2'!Y42</f>
        <v>4089.24</v>
      </c>
      <c r="H192" s="150">
        <f>SUM(E192:G192)</f>
        <v>62634.239999999998</v>
      </c>
      <c r="I192" s="151"/>
      <c r="J192" s="2470"/>
      <c r="K192" s="2607"/>
      <c r="L192" s="2607"/>
      <c r="M192" s="2607"/>
      <c r="N192" s="2470"/>
      <c r="O192" s="1287"/>
      <c r="P192" s="103"/>
      <c r="Q192" s="103"/>
      <c r="AE192" s="95"/>
      <c r="AF192" s="95"/>
      <c r="AG192" s="95"/>
      <c r="AH192" s="2"/>
      <c r="AI192" s="2"/>
      <c r="AJ192" s="2"/>
      <c r="AK192" s="2"/>
    </row>
    <row r="193" spans="1:37" ht="23" customHeight="1" x14ac:dyDescent="0.2">
      <c r="A193" s="1"/>
      <c r="B193" s="2551"/>
      <c r="C193" s="2551"/>
      <c r="D193" s="57" t="s">
        <v>22</v>
      </c>
      <c r="E193" s="152">
        <f>E192/$H$192*100</f>
        <v>93.471238734596284</v>
      </c>
      <c r="F193" s="152">
        <f>F192/$H$192*100</f>
        <v>0</v>
      </c>
      <c r="G193" s="152">
        <f>G192/$H$192*100</f>
        <v>6.5287612654037153</v>
      </c>
      <c r="H193" s="152">
        <f>H192/$H$192*100</f>
        <v>100</v>
      </c>
      <c r="I193" s="152">
        <f>H192/$H$216*100</f>
        <v>3.6980485332027788</v>
      </c>
      <c r="J193" s="2470"/>
      <c r="K193" s="2607"/>
      <c r="L193" s="2607"/>
      <c r="M193" s="2607"/>
      <c r="N193" s="2470"/>
      <c r="O193" s="1287"/>
      <c r="P193" s="103"/>
      <c r="Q193" s="103"/>
      <c r="AE193" s="95"/>
      <c r="AF193" s="95"/>
      <c r="AG193" s="95"/>
      <c r="AH193" s="2"/>
      <c r="AI193" s="2"/>
      <c r="AJ193" s="2"/>
      <c r="AK193" s="2"/>
    </row>
    <row r="194" spans="1:37" ht="23" customHeight="1" x14ac:dyDescent="0.2">
      <c r="A194" s="1"/>
      <c r="B194" s="2551" t="s">
        <v>146</v>
      </c>
      <c r="C194" s="2551"/>
      <c r="D194" s="57" t="s">
        <v>21</v>
      </c>
      <c r="E194" s="150">
        <f>'TH Thương hiệu DC2'!Y43</f>
        <v>19218.599999999999</v>
      </c>
      <c r="F194" s="150">
        <f>'TH Thương hiệu DC2'!Y44</f>
        <v>0</v>
      </c>
      <c r="G194" s="150">
        <f>'TH Thương hiệu DC2'!Y45</f>
        <v>537.84</v>
      </c>
      <c r="H194" s="150">
        <f>SUM(E194:G194)</f>
        <v>19756.439999999999</v>
      </c>
      <c r="I194" s="151"/>
      <c r="J194" s="2470"/>
      <c r="K194" s="2607"/>
      <c r="L194" s="2607"/>
      <c r="M194" s="2607"/>
      <c r="N194" s="2470"/>
      <c r="O194" s="1287"/>
      <c r="P194" s="103"/>
      <c r="Q194" s="103"/>
      <c r="AE194" s="95"/>
      <c r="AF194" s="95"/>
      <c r="AG194" s="95"/>
      <c r="AH194" s="2"/>
      <c r="AI194" s="2"/>
      <c r="AJ194" s="2"/>
      <c r="AK194" s="2"/>
    </row>
    <row r="195" spans="1:37" ht="23" customHeight="1" x14ac:dyDescent="0.2">
      <c r="A195" s="1"/>
      <c r="B195" s="2551"/>
      <c r="C195" s="2551"/>
      <c r="D195" s="57" t="s">
        <v>22</v>
      </c>
      <c r="E195" s="151">
        <f>E194/$H$194*100</f>
        <v>97.27764718744875</v>
      </c>
      <c r="F195" s="151">
        <f>F194/$H$194*100</f>
        <v>0</v>
      </c>
      <c r="G195" s="151">
        <f>G194/$H$194*100</f>
        <v>2.7223528125512493</v>
      </c>
      <c r="H195" s="151">
        <f>H194/$H$194*100</f>
        <v>100</v>
      </c>
      <c r="I195" s="151">
        <f>H194/$H$216*100</f>
        <v>1.1664590160798425</v>
      </c>
      <c r="J195" s="2470"/>
      <c r="K195" s="2607"/>
      <c r="L195" s="2607"/>
      <c r="M195" s="2607"/>
      <c r="N195" s="2470"/>
      <c r="O195" s="1287"/>
      <c r="P195" s="103"/>
      <c r="Q195" s="103"/>
      <c r="AE195" s="95"/>
      <c r="AF195" s="95"/>
      <c r="AG195" s="95"/>
      <c r="AH195" s="2"/>
      <c r="AI195" s="2"/>
      <c r="AJ195" s="2"/>
      <c r="AK195" s="2"/>
    </row>
    <row r="196" spans="1:37" ht="23" customHeight="1" x14ac:dyDescent="0.2">
      <c r="A196" s="1"/>
      <c r="B196" s="2551" t="s">
        <v>129</v>
      </c>
      <c r="C196" s="2551"/>
      <c r="D196" s="57" t="s">
        <v>21</v>
      </c>
      <c r="E196" s="150">
        <f>'TH Thương hiệu DC2'!Y46</f>
        <v>0</v>
      </c>
      <c r="F196" s="150">
        <f>'TH Thương hiệu DC2'!Y47</f>
        <v>0</v>
      </c>
      <c r="G196" s="150">
        <f>'TH Thương hiệu DC2'!Y48</f>
        <v>0</v>
      </c>
      <c r="H196" s="150">
        <f>SUM(E196:G196)</f>
        <v>0</v>
      </c>
      <c r="I196" s="151"/>
      <c r="J196" s="2470"/>
      <c r="K196" s="2607"/>
      <c r="L196" s="2607"/>
      <c r="M196" s="2607"/>
      <c r="N196" s="2470"/>
      <c r="O196" s="1287"/>
      <c r="P196" s="103"/>
      <c r="Q196" s="103"/>
      <c r="AE196" s="95"/>
      <c r="AF196" s="95"/>
      <c r="AG196" s="95"/>
      <c r="AH196" s="2"/>
      <c r="AI196" s="2"/>
      <c r="AJ196" s="2"/>
      <c r="AK196" s="2"/>
    </row>
    <row r="197" spans="1:37" ht="23" hidden="1" customHeight="1" x14ac:dyDescent="0.2">
      <c r="A197" s="1"/>
      <c r="B197" s="2551"/>
      <c r="C197" s="2551"/>
      <c r="D197" s="57" t="s">
        <v>22</v>
      </c>
      <c r="E197" s="151" t="e">
        <f>E196/$H$196*100</f>
        <v>#DIV/0!</v>
      </c>
      <c r="F197" s="151" t="e">
        <f>F196/$H$196*100</f>
        <v>#DIV/0!</v>
      </c>
      <c r="G197" s="151" t="e">
        <f>G196/$H$196*100</f>
        <v>#DIV/0!</v>
      </c>
      <c r="H197" s="151" t="e">
        <f>H196/$H$196*100</f>
        <v>#DIV/0!</v>
      </c>
      <c r="I197" s="151">
        <f>H196/$H$216*100</f>
        <v>0</v>
      </c>
      <c r="J197" s="2470"/>
      <c r="K197" s="2607"/>
      <c r="L197" s="2607"/>
      <c r="M197" s="2607"/>
      <c r="N197" s="2470"/>
      <c r="O197" s="1287"/>
      <c r="P197" s="103"/>
      <c r="Q197" s="103"/>
      <c r="AE197" s="95"/>
      <c r="AF197" s="95"/>
      <c r="AG197" s="95"/>
      <c r="AH197" s="2"/>
      <c r="AI197" s="2"/>
      <c r="AJ197" s="2"/>
      <c r="AK197" s="2"/>
    </row>
    <row r="198" spans="1:37" ht="23" hidden="1" customHeight="1" x14ac:dyDescent="0.2">
      <c r="A198" s="1"/>
      <c r="B198" s="2551" t="s">
        <v>125</v>
      </c>
      <c r="C198" s="2551"/>
      <c r="D198" s="57" t="s">
        <v>21</v>
      </c>
      <c r="E198" s="150"/>
      <c r="F198" s="150"/>
      <c r="G198" s="150"/>
      <c r="H198" s="150"/>
      <c r="I198" s="151"/>
      <c r="J198" s="2470"/>
      <c r="K198" s="2607"/>
      <c r="L198" s="2607"/>
      <c r="M198" s="2607"/>
      <c r="N198" s="2470"/>
      <c r="O198" s="1287"/>
      <c r="P198" s="103"/>
      <c r="Q198" s="103"/>
      <c r="AE198" s="95"/>
      <c r="AF198" s="95"/>
      <c r="AG198" s="95"/>
      <c r="AH198" s="2"/>
      <c r="AI198" s="2"/>
      <c r="AJ198" s="2"/>
      <c r="AK198" s="2"/>
    </row>
    <row r="199" spans="1:37" ht="23" hidden="1" customHeight="1" x14ac:dyDescent="0.2">
      <c r="A199" s="1"/>
      <c r="B199" s="2551"/>
      <c r="C199" s="2551"/>
      <c r="D199" s="57" t="s">
        <v>22</v>
      </c>
      <c r="E199" s="152" t="e">
        <f>E198/$H$198*100</f>
        <v>#DIV/0!</v>
      </c>
      <c r="F199" s="152" t="e">
        <f>F198/$H$198*100</f>
        <v>#DIV/0!</v>
      </c>
      <c r="G199" s="152" t="e">
        <f>G198/$H$198*100</f>
        <v>#DIV/0!</v>
      </c>
      <c r="H199" s="152" t="e">
        <f>H198/$H$198*100</f>
        <v>#DIV/0!</v>
      </c>
      <c r="I199" s="152">
        <f>H198/$H$216*100</f>
        <v>0</v>
      </c>
      <c r="J199" s="2470"/>
      <c r="K199" s="2607"/>
      <c r="L199" s="2607"/>
      <c r="M199" s="2607"/>
      <c r="N199" s="2470"/>
      <c r="O199" s="1287"/>
      <c r="P199" s="103"/>
      <c r="Q199" s="103"/>
      <c r="AE199" s="95"/>
      <c r="AF199" s="95"/>
      <c r="AG199" s="95"/>
      <c r="AH199" s="2"/>
      <c r="AI199" s="2"/>
      <c r="AJ199" s="2"/>
      <c r="AK199" s="2"/>
    </row>
    <row r="200" spans="1:37" ht="23" customHeight="1" x14ac:dyDescent="0.2">
      <c r="A200" s="1"/>
      <c r="B200" s="2551" t="s">
        <v>117</v>
      </c>
      <c r="C200" s="2551"/>
      <c r="D200" s="57" t="s">
        <v>21</v>
      </c>
      <c r="E200" s="150">
        <f>'TH Thương hiệu DC2'!Y49</f>
        <v>5306.4</v>
      </c>
      <c r="F200" s="150">
        <f>'TH Thương hiệu DC2'!Y50</f>
        <v>0</v>
      </c>
      <c r="G200" s="150">
        <f>'TH Thương hiệu DC2'!Y51</f>
        <v>361.44</v>
      </c>
      <c r="H200" s="150">
        <f>SUM(E200:G200)</f>
        <v>5667.8399999999992</v>
      </c>
      <c r="I200" s="151"/>
      <c r="J200" s="2470"/>
      <c r="K200" s="2607"/>
      <c r="L200" s="2607"/>
      <c r="M200" s="2607"/>
      <c r="N200" s="2470"/>
      <c r="O200" s="1287"/>
      <c r="P200" s="103"/>
      <c r="Q200" s="103"/>
      <c r="AE200" s="95"/>
      <c r="AF200" s="95"/>
      <c r="AG200" s="95"/>
      <c r="AH200" s="2"/>
      <c r="AI200" s="2"/>
      <c r="AJ200" s="2"/>
      <c r="AK200" s="2"/>
    </row>
    <row r="201" spans="1:37" ht="23" customHeight="1" x14ac:dyDescent="0.2">
      <c r="A201" s="1"/>
      <c r="B201" s="2551"/>
      <c r="C201" s="2551"/>
      <c r="D201" s="57" t="s">
        <v>22</v>
      </c>
      <c r="E201" s="152">
        <f>E200/$H$200*100</f>
        <v>93.622967479674799</v>
      </c>
      <c r="F201" s="152">
        <f>F200/$H$200*100</f>
        <v>0</v>
      </c>
      <c r="G201" s="152">
        <f>G200/$H$200*100</f>
        <v>6.3770325203252041</v>
      </c>
      <c r="H201" s="152">
        <f>H200/$H$200*100</f>
        <v>100</v>
      </c>
      <c r="I201" s="152">
        <f>H200/$H$216*100</f>
        <v>0.33464040432881498</v>
      </c>
      <c r="J201" s="2470"/>
      <c r="K201" s="2470"/>
      <c r="L201" s="2470"/>
      <c r="M201" s="2470"/>
      <c r="N201" s="2470"/>
      <c r="O201" s="1287"/>
      <c r="P201" s="103"/>
      <c r="Q201" s="103"/>
      <c r="AE201" s="95"/>
      <c r="AF201" s="95"/>
      <c r="AG201" s="95"/>
      <c r="AH201" s="2"/>
      <c r="AI201" s="2"/>
      <c r="AJ201" s="2"/>
      <c r="AK201" s="2"/>
    </row>
    <row r="202" spans="1:37" ht="25.5" hidden="1" customHeight="1" x14ac:dyDescent="0.2">
      <c r="A202" s="1"/>
      <c r="B202" s="2551" t="s">
        <v>129</v>
      </c>
      <c r="C202" s="2551"/>
      <c r="D202" s="57" t="s">
        <v>21</v>
      </c>
      <c r="E202" s="150"/>
      <c r="F202" s="150"/>
      <c r="G202" s="150"/>
      <c r="H202" s="150">
        <f>SUM(E202:G202)</f>
        <v>0</v>
      </c>
      <c r="I202" s="151"/>
      <c r="J202" s="2598" t="s">
        <v>383</v>
      </c>
      <c r="K202" s="2598"/>
      <c r="L202" s="2598"/>
      <c r="M202" s="2598"/>
      <c r="N202" s="2598"/>
      <c r="O202" s="1287"/>
      <c r="P202" s="103"/>
      <c r="Q202" s="103"/>
      <c r="AE202" s="95"/>
      <c r="AF202" s="95"/>
      <c r="AG202" s="95"/>
      <c r="AH202" s="2"/>
      <c r="AI202" s="2"/>
      <c r="AJ202" s="2"/>
      <c r="AK202" s="2"/>
    </row>
    <row r="203" spans="1:37" ht="25.5" hidden="1" customHeight="1" x14ac:dyDescent="0.2">
      <c r="A203" s="1"/>
      <c r="B203" s="2551"/>
      <c r="C203" s="2551"/>
      <c r="D203" s="57" t="s">
        <v>22</v>
      </c>
      <c r="E203" s="151" t="e">
        <f>E202/$H$202*100</f>
        <v>#DIV/0!</v>
      </c>
      <c r="F203" s="151" t="e">
        <f>F202/$H$202*100</f>
        <v>#DIV/0!</v>
      </c>
      <c r="G203" s="151" t="e">
        <f>G202/$H$202*100</f>
        <v>#DIV/0!</v>
      </c>
      <c r="H203" s="151" t="e">
        <f>H202/$H$202*100</f>
        <v>#DIV/0!</v>
      </c>
      <c r="I203" s="151">
        <f>H202/$H$216*100</f>
        <v>0</v>
      </c>
      <c r="J203" s="2598"/>
      <c r="K203" s="2598"/>
      <c r="L203" s="2598"/>
      <c r="M203" s="2598"/>
      <c r="N203" s="2598"/>
      <c r="O203" s="1287"/>
      <c r="P203" s="103"/>
      <c r="Q203" s="103"/>
      <c r="AE203" s="95"/>
      <c r="AF203" s="95"/>
      <c r="AG203" s="95"/>
      <c r="AH203" s="2"/>
      <c r="AI203" s="2"/>
      <c r="AJ203" s="2"/>
      <c r="AK203" s="2"/>
    </row>
    <row r="204" spans="1:37" ht="25.5" hidden="1" customHeight="1" x14ac:dyDescent="0.2">
      <c r="A204" s="1"/>
      <c r="B204" s="2551" t="s">
        <v>120</v>
      </c>
      <c r="C204" s="2551"/>
      <c r="D204" s="57" t="s">
        <v>21</v>
      </c>
      <c r="E204" s="150"/>
      <c r="F204" s="150"/>
      <c r="G204" s="150"/>
      <c r="H204" s="150">
        <f>SUM(E204:G204)</f>
        <v>0</v>
      </c>
      <c r="I204" s="151"/>
      <c r="J204" s="2598"/>
      <c r="K204" s="2598"/>
      <c r="L204" s="2598"/>
      <c r="M204" s="2598"/>
      <c r="N204" s="2598"/>
      <c r="O204" s="1287"/>
      <c r="P204" s="103"/>
      <c r="Q204" s="103"/>
      <c r="AE204" s="95"/>
      <c r="AF204" s="95"/>
      <c r="AG204" s="95"/>
      <c r="AH204" s="2"/>
      <c r="AI204" s="2"/>
      <c r="AJ204" s="2"/>
      <c r="AK204" s="2"/>
    </row>
    <row r="205" spans="1:37" ht="25.5" hidden="1" customHeight="1" x14ac:dyDescent="0.2">
      <c r="A205" s="1"/>
      <c r="B205" s="2551"/>
      <c r="C205" s="2551"/>
      <c r="D205" s="57" t="s">
        <v>22</v>
      </c>
      <c r="E205" s="152" t="e">
        <f>E204/$H$204*100</f>
        <v>#DIV/0!</v>
      </c>
      <c r="F205" s="152" t="e">
        <f>F204/$H$204*100</f>
        <v>#DIV/0!</v>
      </c>
      <c r="G205" s="152" t="e">
        <f>G204/$H$204*100</f>
        <v>#DIV/0!</v>
      </c>
      <c r="H205" s="152" t="e">
        <f>H204/$H$204*100</f>
        <v>#DIV/0!</v>
      </c>
      <c r="I205" s="152">
        <f>H204/$H$216*100</f>
        <v>0</v>
      </c>
      <c r="J205" s="2598"/>
      <c r="K205" s="2598"/>
      <c r="L205" s="2598"/>
      <c r="M205" s="2598"/>
      <c r="N205" s="2598"/>
      <c r="O205" s="1287"/>
      <c r="P205" s="103"/>
      <c r="Q205" s="103"/>
      <c r="AE205" s="95"/>
      <c r="AF205" s="95"/>
      <c r="AG205" s="95"/>
      <c r="AH205" s="2"/>
      <c r="AI205" s="2"/>
      <c r="AJ205" s="2"/>
      <c r="AK205" s="2"/>
    </row>
    <row r="206" spans="1:37" ht="25.5" hidden="1" customHeight="1" x14ac:dyDescent="0.2">
      <c r="A206" s="1"/>
      <c r="B206" s="2551" t="s">
        <v>117</v>
      </c>
      <c r="C206" s="2551"/>
      <c r="D206" s="57" t="s">
        <v>21</v>
      </c>
      <c r="E206" s="150"/>
      <c r="F206" s="150"/>
      <c r="G206" s="150"/>
      <c r="H206" s="150">
        <f>SUM(E206:G206)</f>
        <v>0</v>
      </c>
      <c r="I206" s="151"/>
      <c r="J206" s="2598"/>
      <c r="K206" s="2598"/>
      <c r="L206" s="2598"/>
      <c r="M206" s="2598"/>
      <c r="N206" s="2598"/>
      <c r="O206" s="1287"/>
      <c r="P206" s="103"/>
      <c r="Q206" s="103"/>
      <c r="AE206" s="95"/>
      <c r="AF206" s="95"/>
      <c r="AG206" s="95"/>
      <c r="AH206" s="2"/>
      <c r="AI206" s="2"/>
      <c r="AJ206" s="2"/>
      <c r="AK206" s="2"/>
    </row>
    <row r="207" spans="1:37" ht="25.5" hidden="1" customHeight="1" x14ac:dyDescent="0.2">
      <c r="A207" s="1"/>
      <c r="B207" s="2551"/>
      <c r="C207" s="2551"/>
      <c r="D207" s="57" t="s">
        <v>22</v>
      </c>
      <c r="E207" s="152" t="e">
        <f>E206/$H$206*100</f>
        <v>#DIV/0!</v>
      </c>
      <c r="F207" s="152" t="e">
        <f>F206/$H$206*100</f>
        <v>#DIV/0!</v>
      </c>
      <c r="G207" s="152" t="e">
        <f>G206/$H$206*100</f>
        <v>#DIV/0!</v>
      </c>
      <c r="H207" s="152" t="e">
        <f>H206/$H$206*100</f>
        <v>#DIV/0!</v>
      </c>
      <c r="I207" s="152">
        <f>H206/$H$216*100</f>
        <v>0</v>
      </c>
      <c r="J207" s="2598"/>
      <c r="K207" s="2598"/>
      <c r="L207" s="2598"/>
      <c r="M207" s="2598"/>
      <c r="N207" s="2598"/>
      <c r="O207" s="1287"/>
      <c r="P207" s="103"/>
      <c r="Q207" s="103"/>
      <c r="AE207" s="95"/>
      <c r="AF207" s="95"/>
      <c r="AG207" s="95"/>
      <c r="AH207" s="2"/>
      <c r="AI207" s="2"/>
      <c r="AJ207" s="2"/>
      <c r="AK207" s="2"/>
    </row>
    <row r="208" spans="1:37" ht="25.5" customHeight="1" x14ac:dyDescent="0.2">
      <c r="A208" s="1"/>
      <c r="B208" s="2551" t="s">
        <v>109</v>
      </c>
      <c r="C208" s="2551"/>
      <c r="D208" s="57" t="s">
        <v>21</v>
      </c>
      <c r="E208" s="150">
        <f>'TH Thương hiệu DC2'!Y70</f>
        <v>7331.4</v>
      </c>
      <c r="F208" s="150">
        <f>'TH Thương hiệu DC2'!Y71</f>
        <v>0</v>
      </c>
      <c r="G208" s="150">
        <f>'TH Thương hiệu DC2'!Y72</f>
        <v>192.96</v>
      </c>
      <c r="H208" s="150">
        <f>SUM(E208:G208)</f>
        <v>7524.36</v>
      </c>
      <c r="I208" s="151"/>
      <c r="J208" s="2598"/>
      <c r="K208" s="2598"/>
      <c r="L208" s="2598"/>
      <c r="M208" s="2598"/>
      <c r="N208" s="2598"/>
      <c r="O208" s="1287"/>
      <c r="P208" s="103"/>
      <c r="Q208" s="103"/>
      <c r="AE208" s="95"/>
      <c r="AF208" s="95"/>
      <c r="AG208" s="95"/>
      <c r="AH208" s="2"/>
      <c r="AI208" s="2"/>
      <c r="AJ208" s="2"/>
      <c r="AK208" s="2"/>
    </row>
    <row r="209" spans="1:37" ht="25.5" customHeight="1" x14ac:dyDescent="0.2">
      <c r="A209" s="1"/>
      <c r="B209" s="2551"/>
      <c r="C209" s="2551"/>
      <c r="D209" s="57" t="s">
        <v>22</v>
      </c>
      <c r="E209" s="152">
        <f>E208/$H$208*100</f>
        <v>97.43552940050715</v>
      </c>
      <c r="F209" s="152">
        <f>F208/$H$208*100</f>
        <v>0</v>
      </c>
      <c r="G209" s="152">
        <f>G208/$H$208*100</f>
        <v>2.5644705994928474</v>
      </c>
      <c r="H209" s="152">
        <f>H208/$H$208*100</f>
        <v>100</v>
      </c>
      <c r="I209" s="152">
        <f>H208/$H$216*100</f>
        <v>0.44425299103636706</v>
      </c>
      <c r="J209" s="2598"/>
      <c r="K209" s="2598"/>
      <c r="L209" s="2598"/>
      <c r="M209" s="2598"/>
      <c r="N209" s="2598"/>
      <c r="O209" s="1287"/>
      <c r="P209" s="103"/>
      <c r="Q209" s="103"/>
      <c r="R209" s="763"/>
      <c r="S209" s="763"/>
      <c r="T209" s="763"/>
      <c r="U209" s="763"/>
      <c r="V209" s="763"/>
      <c r="W209" s="763"/>
      <c r="X209" s="763"/>
      <c r="Y209" s="103"/>
      <c r="Z209" s="103"/>
      <c r="AA209" s="103"/>
      <c r="AB209" s="103"/>
      <c r="AC209" s="103"/>
      <c r="AD209" s="103"/>
      <c r="AE209" s="95"/>
      <c r="AF209" s="95"/>
      <c r="AG209" s="95"/>
      <c r="AH209" s="2"/>
      <c r="AI209" s="2"/>
      <c r="AJ209" s="2"/>
      <c r="AK209" s="2"/>
    </row>
    <row r="210" spans="1:37" ht="25.5" customHeight="1" x14ac:dyDescent="0.2">
      <c r="A210" s="1"/>
      <c r="B210" s="2551" t="s">
        <v>125</v>
      </c>
      <c r="C210" s="2551"/>
      <c r="D210" s="57" t="s">
        <v>21</v>
      </c>
      <c r="E210" s="150">
        <f>'TH Thương hiệu DC2'!Y73</f>
        <v>4341.6000000000004</v>
      </c>
      <c r="F210" s="150">
        <f>'TH Thương hiệu DC2'!Y74</f>
        <v>0</v>
      </c>
      <c r="G210" s="150">
        <f>'TH Thương hiệu DC2'!Y75</f>
        <v>140.04</v>
      </c>
      <c r="H210" s="150">
        <f>SUM(E210:G210)</f>
        <v>4481.6400000000003</v>
      </c>
      <c r="I210" s="151"/>
      <c r="J210" s="2598"/>
      <c r="K210" s="2598"/>
      <c r="L210" s="2598"/>
      <c r="M210" s="2598"/>
      <c r="N210" s="2598"/>
      <c r="O210" s="1287"/>
      <c r="P210" s="103"/>
      <c r="Q210" s="103"/>
      <c r="AE210" s="95"/>
      <c r="AF210" s="95"/>
      <c r="AG210" s="95"/>
      <c r="AH210" s="2"/>
      <c r="AI210" s="2"/>
      <c r="AJ210" s="2"/>
      <c r="AK210" s="2"/>
    </row>
    <row r="211" spans="1:37" ht="25.5" customHeight="1" x14ac:dyDescent="0.2">
      <c r="A211" s="1"/>
      <c r="B211" s="2551"/>
      <c r="C211" s="2551"/>
      <c r="D211" s="57" t="s">
        <v>22</v>
      </c>
      <c r="E211" s="152">
        <f>E210/$H$210*100</f>
        <v>96.875251024178652</v>
      </c>
      <c r="F211" s="152">
        <f>F210/$H$210*100</f>
        <v>0</v>
      </c>
      <c r="G211" s="152">
        <f>G210/$H$210*100</f>
        <v>3.1247489758213507</v>
      </c>
      <c r="H211" s="152">
        <f>H210/$H$210*100</f>
        <v>100</v>
      </c>
      <c r="I211" s="152">
        <f>H210/$H$216*100</f>
        <v>0.26460482682224457</v>
      </c>
      <c r="J211" s="2598"/>
      <c r="K211" s="2598"/>
      <c r="L211" s="2598"/>
      <c r="M211" s="2598"/>
      <c r="N211" s="2598"/>
      <c r="O211" s="1287"/>
      <c r="P211" s="103"/>
      <c r="Q211" s="103"/>
      <c r="R211" s="763"/>
      <c r="S211" s="763"/>
      <c r="T211" s="763"/>
      <c r="U211" s="763"/>
      <c r="V211" s="763"/>
      <c r="W211" s="763"/>
      <c r="X211" s="763"/>
      <c r="Y211" s="103"/>
      <c r="Z211" s="103"/>
      <c r="AA211" s="103"/>
      <c r="AB211" s="158"/>
      <c r="AC211" s="158"/>
      <c r="AD211" s="158"/>
      <c r="AE211" s="95"/>
      <c r="AF211" s="95"/>
      <c r="AG211" s="95"/>
      <c r="AH211" s="2"/>
      <c r="AI211" s="2"/>
      <c r="AJ211" s="2"/>
      <c r="AK211" s="2"/>
    </row>
    <row r="212" spans="1:37" ht="25.5" hidden="1" customHeight="1" x14ac:dyDescent="0.2">
      <c r="A212" s="1"/>
      <c r="B212" s="2551" t="s">
        <v>112</v>
      </c>
      <c r="C212" s="2551"/>
      <c r="D212" s="57" t="s">
        <v>21</v>
      </c>
      <c r="E212" s="150"/>
      <c r="F212" s="150"/>
      <c r="G212" s="150"/>
      <c r="H212" s="150">
        <f>SUM(E212:G212)</f>
        <v>0</v>
      </c>
      <c r="I212" s="151"/>
      <c r="J212" s="2598"/>
      <c r="K212" s="2598"/>
      <c r="L212" s="2598"/>
      <c r="M212" s="2598"/>
      <c r="N212" s="2598"/>
      <c r="O212" s="1287"/>
      <c r="P212" s="103"/>
      <c r="Q212" s="103"/>
      <c r="AE212" s="95"/>
      <c r="AF212" s="95"/>
      <c r="AG212" s="95"/>
      <c r="AH212" s="2"/>
      <c r="AI212" s="2"/>
      <c r="AJ212" s="2"/>
      <c r="AK212" s="2"/>
    </row>
    <row r="213" spans="1:37" ht="25.5" hidden="1" customHeight="1" x14ac:dyDescent="0.2">
      <c r="A213" s="1"/>
      <c r="B213" s="2551"/>
      <c r="C213" s="2551"/>
      <c r="D213" s="57" t="s">
        <v>22</v>
      </c>
      <c r="E213" s="152" t="e">
        <f>E212/$H$212*100</f>
        <v>#DIV/0!</v>
      </c>
      <c r="F213" s="152" t="e">
        <f>F212/$H$212*100</f>
        <v>#DIV/0!</v>
      </c>
      <c r="G213" s="152" t="e">
        <f>G212/$H$212*100</f>
        <v>#DIV/0!</v>
      </c>
      <c r="H213" s="152" t="e">
        <f>H212/$H$212*100</f>
        <v>#DIV/0!</v>
      </c>
      <c r="I213" s="151">
        <f>H212/$H$216*100</f>
        <v>0</v>
      </c>
      <c r="J213" s="2598"/>
      <c r="K213" s="2598"/>
      <c r="L213" s="2598"/>
      <c r="M213" s="2598"/>
      <c r="N213" s="2598"/>
      <c r="O213" s="1287"/>
      <c r="P213" s="103"/>
      <c r="Q213" s="103"/>
      <c r="R213" s="763"/>
      <c r="S213" s="763"/>
      <c r="T213" s="763"/>
      <c r="U213" s="763"/>
      <c r="V213" s="763"/>
      <c r="W213" s="763"/>
      <c r="X213" s="763"/>
      <c r="Y213" s="103"/>
      <c r="Z213" s="103"/>
      <c r="AA213" s="103"/>
      <c r="AB213" s="103"/>
      <c r="AC213" s="103"/>
      <c r="AD213" s="103"/>
      <c r="AE213" s="95"/>
      <c r="AF213" s="95"/>
      <c r="AG213" s="95"/>
      <c r="AH213" s="2"/>
      <c r="AI213" s="2"/>
      <c r="AJ213" s="2"/>
      <c r="AK213" s="2"/>
    </row>
    <row r="214" spans="1:37" ht="25.5" customHeight="1" x14ac:dyDescent="0.2">
      <c r="A214" s="1"/>
      <c r="B214" s="2551" t="s">
        <v>117</v>
      </c>
      <c r="C214" s="2551"/>
      <c r="D214" s="57" t="s">
        <v>21</v>
      </c>
      <c r="E214" s="150">
        <f>'TH Thương hiệu DC2'!Y76</f>
        <v>2476.8000000000002</v>
      </c>
      <c r="F214" s="150">
        <f>'TH Thương hiệu DC2'!Y77</f>
        <v>0</v>
      </c>
      <c r="G214" s="150">
        <f>'TH Thương hiệu DC2'!Y78</f>
        <v>38.880000000000003</v>
      </c>
      <c r="H214" s="150">
        <f>SUM(E214:G214)</f>
        <v>2515.6800000000003</v>
      </c>
      <c r="I214" s="151"/>
      <c r="J214" s="2598"/>
      <c r="K214" s="2598"/>
      <c r="L214" s="2598"/>
      <c r="M214" s="2598"/>
      <c r="N214" s="2598"/>
      <c r="O214" s="1287"/>
      <c r="P214" s="103"/>
      <c r="Q214" s="103"/>
      <c r="AE214" s="95"/>
      <c r="AF214" s="95"/>
      <c r="AG214" s="95"/>
      <c r="AH214" s="2"/>
      <c r="AI214" s="2"/>
      <c r="AJ214" s="2"/>
      <c r="AK214" s="2"/>
    </row>
    <row r="215" spans="1:37" ht="25.5" customHeight="1" x14ac:dyDescent="0.2">
      <c r="A215" s="1"/>
      <c r="B215" s="2551"/>
      <c r="C215" s="2551"/>
      <c r="D215" s="57" t="s">
        <v>22</v>
      </c>
      <c r="E215" s="152">
        <f>E214/$H$214*100</f>
        <v>98.45449341728677</v>
      </c>
      <c r="F215" s="152">
        <f>F214/$H$214*100</f>
        <v>0</v>
      </c>
      <c r="G215" s="152">
        <f>G214/$H$214*100</f>
        <v>1.5455065827132226</v>
      </c>
      <c r="H215" s="152">
        <f>H214/$H$214*100</f>
        <v>100</v>
      </c>
      <c r="I215" s="152">
        <f>H214/$H$216*100</f>
        <v>0.14853068759208332</v>
      </c>
      <c r="J215" s="2598"/>
      <c r="K215" s="2598"/>
      <c r="L215" s="2598"/>
      <c r="M215" s="2598"/>
      <c r="N215" s="2598"/>
      <c r="O215" s="1287"/>
      <c r="P215" s="103"/>
      <c r="Q215" s="103"/>
      <c r="R215" s="763"/>
      <c r="S215" s="763"/>
      <c r="T215" s="763"/>
      <c r="U215" s="763"/>
      <c r="V215" s="763"/>
      <c r="W215" s="763"/>
      <c r="X215" s="763"/>
      <c r="Y215" s="103"/>
      <c r="Z215" s="103"/>
      <c r="AA215" s="103"/>
      <c r="AB215" s="158"/>
      <c r="AC215" s="158"/>
      <c r="AD215" s="158"/>
      <c r="AE215" s="95"/>
      <c r="AF215" s="95"/>
      <c r="AG215" s="95"/>
      <c r="AH215" s="2"/>
      <c r="AI215" s="2"/>
      <c r="AJ215" s="2"/>
      <c r="AK215" s="2"/>
    </row>
    <row r="216" spans="1:37" ht="25" customHeight="1" x14ac:dyDescent="0.2">
      <c r="A216" s="1"/>
      <c r="B216" s="2901" t="s">
        <v>132</v>
      </c>
      <c r="C216" s="2901"/>
      <c r="D216" s="387" t="s">
        <v>21</v>
      </c>
      <c r="E216" s="1407">
        <f>'TH Thương hiệu DC2'!D127</f>
        <v>1597274.7000000002</v>
      </c>
      <c r="F216" s="1407">
        <f>'TH Thương hiệu DC2'!E127</f>
        <v>184.32</v>
      </c>
      <c r="G216" s="1407">
        <f>'TH Thương hiệu DC2'!F127</f>
        <v>96251.58</v>
      </c>
      <c r="H216" s="1407">
        <f>SUM(E216:G216)</f>
        <v>1693710.6000000003</v>
      </c>
      <c r="I216" s="1408"/>
      <c r="J216" s="2902"/>
      <c r="K216" s="2902"/>
      <c r="L216" s="2902"/>
      <c r="M216" s="2902"/>
      <c r="N216" s="2902"/>
      <c r="O216" s="1287"/>
      <c r="P216" s="103"/>
      <c r="Q216" s="103"/>
      <c r="AE216" s="95"/>
      <c r="AF216" s="95"/>
      <c r="AG216" s="95"/>
      <c r="AH216" s="2"/>
      <c r="AI216" s="2"/>
      <c r="AJ216" s="2"/>
      <c r="AK216" s="2"/>
    </row>
    <row r="217" spans="1:37" ht="25" customHeight="1" x14ac:dyDescent="0.2">
      <c r="A217" s="1"/>
      <c r="B217" s="2901"/>
      <c r="C217" s="2901"/>
      <c r="D217" s="387" t="s">
        <v>22</v>
      </c>
      <c r="E217" s="1409">
        <f>E216/$H$216*100</f>
        <v>94.306235079357705</v>
      </c>
      <c r="F217" s="1409">
        <f>F216/$H$216*100</f>
        <v>1.0882614774920814E-2</v>
      </c>
      <c r="G217" s="1409">
        <f>G216/$H$216*100</f>
        <v>5.6828823058673645</v>
      </c>
      <c r="H217" s="1410">
        <f>H216/$H$216*100</f>
        <v>100</v>
      </c>
      <c r="I217" s="1407">
        <f>H216/$H$216*100</f>
        <v>100</v>
      </c>
      <c r="J217" s="2902"/>
      <c r="K217" s="2902"/>
      <c r="L217" s="2902"/>
      <c r="M217" s="2902"/>
      <c r="N217" s="2902"/>
      <c r="O217" s="1287"/>
      <c r="P217" s="103"/>
      <c r="Q217" s="103"/>
      <c r="AE217" s="95"/>
      <c r="AF217" s="95"/>
      <c r="AG217" s="95"/>
      <c r="AH217" s="2"/>
      <c r="AI217" s="2"/>
      <c r="AJ217" s="2"/>
      <c r="AK217" s="2"/>
    </row>
    <row r="218" spans="1:37" ht="15.75" customHeight="1" x14ac:dyDescent="0.2">
      <c r="A218" s="1"/>
      <c r="B218" s="89"/>
      <c r="C218" s="1"/>
      <c r="D218" s="637"/>
      <c r="E218" s="2"/>
      <c r="F218" s="2"/>
      <c r="G218" s="48"/>
      <c r="H218" s="48"/>
      <c r="I218" s="2"/>
      <c r="J218" s="48"/>
      <c r="K218" s="2"/>
      <c r="L218" s="2"/>
      <c r="M218" s="2"/>
      <c r="N218" s="2"/>
      <c r="O218" s="1286"/>
      <c r="P218" s="95"/>
      <c r="Q218" s="95"/>
      <c r="AE218" s="95"/>
      <c r="AF218" s="95"/>
      <c r="AG218" s="95"/>
      <c r="AH218" s="2"/>
      <c r="AI218" s="2"/>
      <c r="AJ218" s="2"/>
      <c r="AK218" s="2"/>
    </row>
    <row r="219" spans="1:37" ht="29" customHeight="1" x14ac:dyDescent="0.2">
      <c r="A219" s="1"/>
      <c r="B219" s="2684" t="s">
        <v>133</v>
      </c>
      <c r="C219" s="2684"/>
      <c r="D219" s="2684"/>
      <c r="E219" s="2684"/>
      <c r="F219" s="2684"/>
      <c r="G219" s="2684"/>
      <c r="H219" s="2684"/>
      <c r="I219" s="2684"/>
      <c r="J219" s="2684"/>
      <c r="K219" s="2684"/>
      <c r="L219" s="2"/>
      <c r="M219" s="2"/>
      <c r="N219" s="2"/>
      <c r="O219" s="1286"/>
      <c r="P219" s="95"/>
      <c r="Q219" s="95"/>
      <c r="AE219" s="95"/>
      <c r="AF219" s="95"/>
      <c r="AG219" s="95"/>
      <c r="AH219" s="2"/>
      <c r="AI219" s="2"/>
      <c r="AJ219" s="2"/>
      <c r="AK219" s="2"/>
    </row>
    <row r="220" spans="1:37" ht="35" customHeight="1" x14ac:dyDescent="0.2">
      <c r="A220" s="1"/>
      <c r="B220" s="634" t="s">
        <v>39</v>
      </c>
      <c r="C220" s="2551" t="s">
        <v>134</v>
      </c>
      <c r="D220" s="2551"/>
      <c r="E220" s="222" t="s">
        <v>6</v>
      </c>
      <c r="F220" s="222" t="s">
        <v>135</v>
      </c>
      <c r="G220" s="222" t="s">
        <v>43</v>
      </c>
      <c r="H220" s="222" t="s">
        <v>10</v>
      </c>
      <c r="I220" s="44" t="s">
        <v>314</v>
      </c>
      <c r="J220" s="2605" t="s">
        <v>47</v>
      </c>
      <c r="K220" s="2605"/>
      <c r="L220" s="2605"/>
      <c r="M220" s="2605"/>
      <c r="N220" s="2605"/>
      <c r="O220" s="1286"/>
      <c r="P220" s="95"/>
      <c r="Q220" s="95"/>
      <c r="AE220" s="95"/>
      <c r="AF220" s="95"/>
      <c r="AG220" s="95"/>
      <c r="AH220" s="2"/>
      <c r="AI220" s="2"/>
      <c r="AJ220" s="2"/>
      <c r="AK220" s="2"/>
    </row>
    <row r="221" spans="1:37" ht="35" customHeight="1" x14ac:dyDescent="0.2">
      <c r="A221" s="1"/>
      <c r="B221" s="633">
        <v>1</v>
      </c>
      <c r="C221" s="2599" t="s">
        <v>137</v>
      </c>
      <c r="D221" s="2599"/>
      <c r="E221" s="224" t="s">
        <v>325</v>
      </c>
      <c r="F221" s="224" t="s">
        <v>140</v>
      </c>
      <c r="G221" s="830">
        <f>'TH Thương hiệu DC2'!F132</f>
        <v>1062374.5999999999</v>
      </c>
      <c r="H221" s="214">
        <f>X137</f>
        <v>74.95</v>
      </c>
      <c r="I221" s="214">
        <f>G221/$G$226*100</f>
        <v>62.724682717342617</v>
      </c>
      <c r="J221" s="2600"/>
      <c r="K221" s="2600"/>
      <c r="L221" s="2600"/>
      <c r="M221" s="2600"/>
      <c r="N221" s="2600"/>
      <c r="O221" s="1286"/>
      <c r="P221" s="95"/>
      <c r="Q221" s="95"/>
      <c r="AE221" s="95"/>
      <c r="AF221" s="95"/>
      <c r="AG221" s="95"/>
      <c r="AH221" s="2"/>
      <c r="AI221" s="2"/>
      <c r="AJ221" s="2"/>
      <c r="AK221" s="2"/>
    </row>
    <row r="222" spans="1:37" ht="35" customHeight="1" x14ac:dyDescent="0.2">
      <c r="A222" s="1"/>
      <c r="B222" s="633">
        <v>2</v>
      </c>
      <c r="C222" s="2599" t="s">
        <v>377</v>
      </c>
      <c r="D222" s="2599"/>
      <c r="E222" s="224" t="s">
        <v>328</v>
      </c>
      <c r="F222" s="224" t="s">
        <v>329</v>
      </c>
      <c r="G222" s="224">
        <f>'TH Thương hiệu DC2'!F133</f>
        <v>99238.680000000008</v>
      </c>
      <c r="H222" s="214">
        <f>X121</f>
        <v>8.0883283144158753</v>
      </c>
      <c r="I222" s="214">
        <f>G222/$G$226*100</f>
        <v>5.8592465560527298</v>
      </c>
      <c r="J222" s="2600"/>
      <c r="K222" s="2600"/>
      <c r="L222" s="2600"/>
      <c r="M222" s="2600"/>
      <c r="N222" s="2600"/>
      <c r="O222" s="1286"/>
      <c r="P222" s="95"/>
      <c r="Q222" s="95"/>
      <c r="AE222" s="95"/>
      <c r="AF222" s="95"/>
      <c r="AG222" s="95"/>
      <c r="AH222" s="2"/>
      <c r="AI222" s="2"/>
      <c r="AJ222" s="2"/>
      <c r="AK222" s="2"/>
    </row>
    <row r="223" spans="1:37" ht="35" customHeight="1" x14ac:dyDescent="0.2">
      <c r="A223" s="1"/>
      <c r="B223" s="633">
        <v>3</v>
      </c>
      <c r="C223" s="2599" t="s">
        <v>377</v>
      </c>
      <c r="D223" s="2599"/>
      <c r="E223" s="224" t="s">
        <v>328</v>
      </c>
      <c r="F223" s="224" t="s">
        <v>141</v>
      </c>
      <c r="G223" s="224">
        <f>'TH Thương hiệu DC2'!F134</f>
        <v>17320.32</v>
      </c>
      <c r="H223" s="214">
        <f>X122</f>
        <v>1.4116716855841247</v>
      </c>
      <c r="I223" s="214">
        <f>G223/$G$226*100</f>
        <v>1.0226257071308404</v>
      </c>
      <c r="J223" s="2600"/>
      <c r="K223" s="2600"/>
      <c r="L223" s="2600"/>
      <c r="M223" s="2600"/>
      <c r="N223" s="2600"/>
      <c r="O223" s="1286"/>
      <c r="P223" s="95"/>
      <c r="Q223" s="95"/>
      <c r="AE223" s="95"/>
      <c r="AF223" s="95"/>
      <c r="AG223" s="95"/>
      <c r="AH223" s="2"/>
      <c r="AI223" s="2"/>
      <c r="AJ223" s="2"/>
      <c r="AK223" s="2"/>
    </row>
    <row r="224" spans="1:37" ht="35" customHeight="1" x14ac:dyDescent="0.2">
      <c r="A224" s="1"/>
      <c r="B224" s="633">
        <v>4</v>
      </c>
      <c r="C224" s="2599" t="s">
        <v>377</v>
      </c>
      <c r="D224" s="2599"/>
      <c r="E224" s="224" t="s">
        <v>327</v>
      </c>
      <c r="F224" s="224" t="s">
        <v>329</v>
      </c>
      <c r="G224" s="830">
        <f>'TH Thương hiệu DC2'!F135</f>
        <v>88458.5</v>
      </c>
      <c r="H224" s="214">
        <f>X92</f>
        <v>6.7854031616058226</v>
      </c>
      <c r="I224" s="214">
        <f>G224/$G$226*100</f>
        <v>5.2227635583080136</v>
      </c>
      <c r="J224" s="2695"/>
      <c r="K224" s="2696"/>
      <c r="L224" s="2696"/>
      <c r="M224" s="2696"/>
      <c r="N224" s="2697"/>
      <c r="O224" s="1286"/>
      <c r="P224" s="95"/>
      <c r="Q224" s="95"/>
      <c r="AE224" s="95"/>
      <c r="AF224" s="95"/>
      <c r="AG224" s="95"/>
      <c r="AH224" s="2"/>
      <c r="AI224" s="2"/>
      <c r="AJ224" s="2"/>
      <c r="AK224" s="2"/>
    </row>
    <row r="225" spans="1:37" ht="35" customHeight="1" x14ac:dyDescent="0.2">
      <c r="A225" s="1"/>
      <c r="B225" s="633">
        <v>5</v>
      </c>
      <c r="C225" s="2599" t="s">
        <v>377</v>
      </c>
      <c r="D225" s="2599"/>
      <c r="E225" s="224" t="s">
        <v>327</v>
      </c>
      <c r="F225" s="630" t="s">
        <v>378</v>
      </c>
      <c r="G225" s="830">
        <f>'TH Thương hiệu DC2'!F136</f>
        <v>426318.5</v>
      </c>
      <c r="H225" s="214">
        <f>X91</f>
        <v>33.214596838394172</v>
      </c>
      <c r="I225" s="214">
        <f>G225/$G$226*100</f>
        <v>25.170681461165799</v>
      </c>
      <c r="J225" s="2600"/>
      <c r="K225" s="2600"/>
      <c r="L225" s="2600"/>
      <c r="M225" s="2600"/>
      <c r="N225" s="2600"/>
      <c r="O225" s="1286"/>
      <c r="P225" s="95"/>
      <c r="Q225" s="95"/>
      <c r="AE225" s="95"/>
      <c r="AF225" s="95"/>
      <c r="AG225" s="95"/>
      <c r="AH225" s="2"/>
      <c r="AI225" s="2"/>
      <c r="AJ225" s="2"/>
      <c r="AK225" s="2"/>
    </row>
    <row r="226" spans="1:37" ht="35" customHeight="1" x14ac:dyDescent="0.2">
      <c r="A226" s="1"/>
      <c r="B226" s="563" t="s">
        <v>103</v>
      </c>
      <c r="C226" s="2773" t="s">
        <v>142</v>
      </c>
      <c r="D226" s="2774"/>
      <c r="E226" s="564" t="s">
        <v>142</v>
      </c>
      <c r="F226" s="564" t="s">
        <v>142</v>
      </c>
      <c r="G226" s="1202">
        <f>SUM(G221:G225)</f>
        <v>1693710.5999999999</v>
      </c>
      <c r="H226" s="566">
        <f>SUM(H221:H225)</f>
        <v>124.45</v>
      </c>
      <c r="I226" s="566">
        <f>SUM(I221:I225)</f>
        <v>100</v>
      </c>
      <c r="J226" s="2775"/>
      <c r="K226" s="2775"/>
      <c r="L226" s="2775"/>
      <c r="M226" s="2775"/>
      <c r="N226" s="2775"/>
      <c r="O226" s="1286"/>
      <c r="P226" s="95"/>
      <c r="Q226" s="95"/>
      <c r="AE226" s="95"/>
      <c r="AF226" s="95"/>
      <c r="AG226" s="95"/>
      <c r="AH226" s="2"/>
      <c r="AI226" s="2"/>
      <c r="AJ226" s="2"/>
      <c r="AK226" s="2"/>
    </row>
    <row r="227" spans="1:37" ht="29" customHeight="1" x14ac:dyDescent="0.2">
      <c r="A227" s="1"/>
      <c r="B227" s="2634" t="s">
        <v>860</v>
      </c>
      <c r="C227" s="2611"/>
      <c r="D227" s="2611"/>
      <c r="E227" s="2611"/>
      <c r="F227" s="2611"/>
      <c r="G227" s="2611"/>
      <c r="H227" s="2611"/>
      <c r="I227" s="2611"/>
      <c r="J227" s="2611"/>
      <c r="K227" s="2611"/>
      <c r="L227" s="2611"/>
      <c r="M227" s="2611"/>
      <c r="N227" s="2611"/>
      <c r="O227" s="1286"/>
      <c r="P227" s="95"/>
      <c r="Q227" s="95"/>
      <c r="AE227" s="95"/>
      <c r="AF227" s="95"/>
      <c r="AG227" s="95"/>
      <c r="AH227" s="2"/>
      <c r="AI227" s="2"/>
      <c r="AJ227" s="2"/>
      <c r="AK227" s="2"/>
    </row>
    <row r="228" spans="1:37" ht="29" customHeight="1" x14ac:dyDescent="0.2">
      <c r="A228" s="1"/>
      <c r="B228" s="2475" t="s">
        <v>147</v>
      </c>
      <c r="C228" s="2611"/>
      <c r="D228" s="2611"/>
      <c r="E228" s="2611"/>
      <c r="F228" s="2611"/>
      <c r="G228" s="2611"/>
      <c r="H228" s="2611"/>
      <c r="I228" s="2611"/>
      <c r="J228" s="2611"/>
      <c r="K228" s="2611"/>
      <c r="L228" s="2611"/>
      <c r="M228" s="2611"/>
      <c r="N228" s="2611"/>
      <c r="O228" s="68"/>
      <c r="P228" s="2"/>
      <c r="AE228" s="95"/>
      <c r="AF228" s="95"/>
      <c r="AG228" s="95"/>
      <c r="AH228" s="2"/>
      <c r="AI228" s="2"/>
      <c r="AJ228" s="2"/>
      <c r="AK228" s="2"/>
    </row>
    <row r="229" spans="1:37" ht="41" customHeight="1" x14ac:dyDescent="0.2">
      <c r="A229" s="1"/>
      <c r="B229" s="44" t="s">
        <v>39</v>
      </c>
      <c r="C229" s="2665" t="s">
        <v>148</v>
      </c>
      <c r="D229" s="2470"/>
      <c r="E229" s="44" t="s">
        <v>17</v>
      </c>
      <c r="F229" s="291" t="s">
        <v>149</v>
      </c>
      <c r="G229" s="291" t="s">
        <v>150</v>
      </c>
      <c r="H229" s="11" t="s">
        <v>151</v>
      </c>
      <c r="I229" s="291" t="s">
        <v>355</v>
      </c>
      <c r="J229" s="1414" t="s">
        <v>356</v>
      </c>
      <c r="K229" s="2900" t="s">
        <v>47</v>
      </c>
      <c r="L229" s="2470"/>
      <c r="M229" s="2470"/>
      <c r="N229" s="2470"/>
      <c r="O229" s="1287"/>
      <c r="P229" s="640" t="s">
        <v>352</v>
      </c>
      <c r="Q229" s="210" t="s">
        <v>154</v>
      </c>
      <c r="R229" s="761" t="s">
        <v>155</v>
      </c>
      <c r="S229" s="761" t="s">
        <v>156</v>
      </c>
      <c r="T229" s="761" t="s">
        <v>157</v>
      </c>
      <c r="U229" s="761" t="s">
        <v>158</v>
      </c>
      <c r="V229" s="761" t="s">
        <v>159</v>
      </c>
      <c r="W229" s="761" t="s">
        <v>160</v>
      </c>
      <c r="X229" s="761" t="s">
        <v>161</v>
      </c>
      <c r="Y229" s="139" t="s">
        <v>162</v>
      </c>
      <c r="Z229" s="139" t="s">
        <v>111</v>
      </c>
      <c r="AA229" s="139" t="s">
        <v>29</v>
      </c>
      <c r="AB229" s="139" t="s">
        <v>31</v>
      </c>
      <c r="AC229" s="139"/>
      <c r="AD229" s="139"/>
      <c r="AE229" s="139" t="s">
        <v>33</v>
      </c>
      <c r="AF229" s="103"/>
      <c r="AG229" s="103"/>
      <c r="AH229" s="2"/>
      <c r="AI229" s="2"/>
      <c r="AJ229" s="2"/>
      <c r="AK229" s="2"/>
    </row>
    <row r="230" spans="1:37" ht="30" customHeight="1" x14ac:dyDescent="0.2">
      <c r="A230" s="1"/>
      <c r="B230" s="12">
        <v>1</v>
      </c>
      <c r="C230" s="2646" t="s">
        <v>163</v>
      </c>
      <c r="D230" s="2690"/>
      <c r="E230" s="12" t="s">
        <v>164</v>
      </c>
      <c r="F230" s="74">
        <v>18.760000000000002</v>
      </c>
      <c r="G230" s="74">
        <f>H230/M230</f>
        <v>18.479662094716836</v>
      </c>
      <c r="H230" s="1512">
        <f t="shared" ref="H230:H247" si="52">AE230</f>
        <v>31464220</v>
      </c>
      <c r="I230" s="118">
        <f>-(G230-F230)*M230</f>
        <v>477314.65440000669</v>
      </c>
      <c r="J230" s="1415">
        <v>0</v>
      </c>
      <c r="K230" s="2752" t="s">
        <v>165</v>
      </c>
      <c r="L230" s="2891"/>
      <c r="M230" s="2892">
        <f>SUM(M231:N233)</f>
        <v>1702640.4400000002</v>
      </c>
      <c r="N230" s="2893"/>
      <c r="O230" s="1286"/>
      <c r="P230" s="95"/>
      <c r="Q230" s="128"/>
      <c r="R230" s="749">
        <f>'T2.2025 '!I62</f>
        <v>1928698</v>
      </c>
      <c r="S230" s="749">
        <f>'T3.2025 '!I113</f>
        <v>9050943</v>
      </c>
      <c r="T230" s="749">
        <f>'T4.2025 '!I142</f>
        <v>8177358</v>
      </c>
      <c r="U230" s="749">
        <f>'T5.2025'!I197</f>
        <v>6616038</v>
      </c>
      <c r="V230" s="749">
        <f>'T6.2025'!I201</f>
        <v>5691183</v>
      </c>
      <c r="W230" s="749"/>
      <c r="X230" s="743"/>
      <c r="Y230" s="97"/>
      <c r="Z230" s="97"/>
      <c r="AA230" s="97"/>
      <c r="AB230" s="97"/>
      <c r="AC230" s="97"/>
      <c r="AD230" s="97"/>
      <c r="AE230" s="97">
        <f t="shared" ref="AE230:AE246" si="53">SUM(Q230:AB230)</f>
        <v>31464220</v>
      </c>
      <c r="AF230" s="95"/>
      <c r="AG230" s="95"/>
      <c r="AH230" s="2"/>
      <c r="AI230" s="2"/>
      <c r="AJ230" s="2"/>
      <c r="AK230" s="2"/>
    </row>
    <row r="231" spans="1:37" ht="30" customHeight="1" x14ac:dyDescent="0.2">
      <c r="A231" s="1"/>
      <c r="B231" s="30">
        <v>2</v>
      </c>
      <c r="C231" s="2867" t="s">
        <v>166</v>
      </c>
      <c r="D231" s="2895"/>
      <c r="E231" s="30" t="s">
        <v>164</v>
      </c>
      <c r="F231" s="1426">
        <v>0.53800000000000003</v>
      </c>
      <c r="G231" s="1426">
        <f>H231/M231</f>
        <v>0.52233479861012144</v>
      </c>
      <c r="H231" s="1494">
        <f t="shared" si="52"/>
        <v>173746</v>
      </c>
      <c r="I231" s="1494">
        <f>-(G231-F231)*M231</f>
        <v>5210.7692000000416</v>
      </c>
      <c r="J231" s="1495">
        <v>0</v>
      </c>
      <c r="K231" s="2896" t="s">
        <v>167</v>
      </c>
      <c r="L231" s="2897"/>
      <c r="M231" s="2898">
        <f>G140</f>
        <v>332633.40000000002</v>
      </c>
      <c r="N231" s="2899"/>
      <c r="O231" s="1286"/>
      <c r="P231" s="95"/>
      <c r="Q231" s="128"/>
      <c r="R231" s="743"/>
      <c r="S231" s="743">
        <f>'T3.2025 '!I114</f>
        <v>133494</v>
      </c>
      <c r="T231" s="749">
        <f>'T4.2025 '!I143</f>
        <v>21819</v>
      </c>
      <c r="U231" s="749">
        <f>'T5.2025'!I200</f>
        <v>18433</v>
      </c>
      <c r="V231" s="749">
        <f>'T6.2025'!I204</f>
        <v>0</v>
      </c>
      <c r="W231" s="743"/>
      <c r="X231" s="743"/>
      <c r="Y231" s="97"/>
      <c r="Z231" s="97"/>
      <c r="AA231" s="97"/>
      <c r="AB231" s="97"/>
      <c r="AC231" s="97"/>
      <c r="AD231" s="97"/>
      <c r="AE231" s="97">
        <f t="shared" si="53"/>
        <v>173746</v>
      </c>
      <c r="AF231" s="95"/>
      <c r="AG231" s="95"/>
      <c r="AH231" s="2"/>
      <c r="AI231" s="2"/>
      <c r="AJ231" s="2"/>
      <c r="AK231" s="2"/>
    </row>
    <row r="232" spans="1:37" ht="30" customHeight="1" x14ac:dyDescent="0.2">
      <c r="A232" s="1"/>
      <c r="B232" s="12">
        <v>3</v>
      </c>
      <c r="C232" s="2646" t="s">
        <v>168</v>
      </c>
      <c r="D232" s="2690"/>
      <c r="E232" s="12" t="s">
        <v>169</v>
      </c>
      <c r="F232" s="658">
        <v>0.48599999999999999</v>
      </c>
      <c r="G232" s="658">
        <f>H232/M232</f>
        <v>0.48527307493971122</v>
      </c>
      <c r="H232" s="118">
        <f t="shared" si="52"/>
        <v>638555</v>
      </c>
      <c r="I232" s="118">
        <f>-(G232-F232)*M232</f>
        <v>956.53696000001594</v>
      </c>
      <c r="J232" s="1415">
        <v>0</v>
      </c>
      <c r="K232" s="2752" t="s">
        <v>170</v>
      </c>
      <c r="L232" s="2891"/>
      <c r="M232" s="2892">
        <f>G139</f>
        <v>1315867.3600000001</v>
      </c>
      <c r="N232" s="2893"/>
      <c r="O232" s="1286"/>
      <c r="P232" s="95"/>
      <c r="Q232" s="128"/>
      <c r="R232" s="743">
        <v>49960</v>
      </c>
      <c r="S232" s="743">
        <f>'T3.2025 '!I115</f>
        <v>116061</v>
      </c>
      <c r="T232" s="749">
        <f>'T4.2025 '!I144</f>
        <v>190513</v>
      </c>
      <c r="U232" s="749">
        <f>'T5.2025'!I198</f>
        <v>132329</v>
      </c>
      <c r="V232" s="749">
        <f>'T6.2025'!I202</f>
        <v>149692</v>
      </c>
      <c r="W232" s="743"/>
      <c r="X232" s="743"/>
      <c r="Y232" s="97"/>
      <c r="Z232" s="97"/>
      <c r="AA232" s="97"/>
      <c r="AB232" s="97"/>
      <c r="AC232" s="97"/>
      <c r="AD232" s="97"/>
      <c r="AE232" s="97">
        <f t="shared" si="53"/>
        <v>638555</v>
      </c>
      <c r="AF232" s="95"/>
      <c r="AG232" s="95"/>
      <c r="AH232" s="2"/>
      <c r="AI232" s="2"/>
      <c r="AJ232" s="2"/>
      <c r="AK232" s="2"/>
    </row>
    <row r="233" spans="1:37" ht="30" customHeight="1" x14ac:dyDescent="0.2">
      <c r="A233" s="1"/>
      <c r="B233" s="12">
        <v>4</v>
      </c>
      <c r="C233" s="2646" t="s">
        <v>171</v>
      </c>
      <c r="D233" s="2690"/>
      <c r="E233" s="12" t="s">
        <v>164</v>
      </c>
      <c r="F233" s="1416">
        <v>0.38300000000000001</v>
      </c>
      <c r="G233" s="658">
        <f>H233/M233</f>
        <v>0.38334175599116949</v>
      </c>
      <c r="H233" s="118">
        <f t="shared" si="52"/>
        <v>20754</v>
      </c>
      <c r="I233" s="211">
        <f>-(G233-F233)*M233</f>
        <v>-18.502559999998418</v>
      </c>
      <c r="J233" s="1415"/>
      <c r="K233" s="2752" t="s">
        <v>172</v>
      </c>
      <c r="L233" s="2891"/>
      <c r="M233" s="2892">
        <f>G141</f>
        <v>54139.68</v>
      </c>
      <c r="N233" s="2893"/>
      <c r="O233" s="1286"/>
      <c r="P233" s="95"/>
      <c r="Q233" s="128"/>
      <c r="R233" s="743"/>
      <c r="S233" s="743">
        <f>'T3.2025 '!I116</f>
        <v>0</v>
      </c>
      <c r="T233" s="749">
        <f>'T4.2025 '!I145</f>
        <v>0</v>
      </c>
      <c r="U233" s="749">
        <f>'T5.2025'!I199</f>
        <v>20754</v>
      </c>
      <c r="V233" s="749">
        <f>'T6.2025'!I203</f>
        <v>0</v>
      </c>
      <c r="W233" s="743"/>
      <c r="X233" s="743"/>
      <c r="Y233" s="97"/>
      <c r="Z233" s="97"/>
      <c r="AA233" s="97"/>
      <c r="AB233" s="97"/>
      <c r="AC233" s="97"/>
      <c r="AD233" s="97"/>
      <c r="AE233" s="97">
        <f t="shared" si="53"/>
        <v>20754</v>
      </c>
      <c r="AF233" s="95"/>
      <c r="AG233" s="95"/>
      <c r="AH233" s="2"/>
      <c r="AI233" s="2"/>
      <c r="AJ233" s="2"/>
      <c r="AK233" s="2"/>
    </row>
    <row r="234" spans="1:37" ht="30" customHeight="1" x14ac:dyDescent="0.2">
      <c r="A234" s="1"/>
      <c r="B234" s="12">
        <v>5</v>
      </c>
      <c r="C234" s="2646" t="s">
        <v>173</v>
      </c>
      <c r="D234" s="2690"/>
      <c r="E234" s="12" t="s">
        <v>164</v>
      </c>
      <c r="F234" s="678">
        <v>0.624</v>
      </c>
      <c r="G234" s="678">
        <f>H234/M231</f>
        <v>0.59701461128076727</v>
      </c>
      <c r="H234" s="118">
        <f t="shared" si="52"/>
        <v>198587</v>
      </c>
      <c r="I234" s="118">
        <f>-(G234-F234)*M231</f>
        <v>8976.2416000000285</v>
      </c>
      <c r="J234" s="320"/>
      <c r="K234" s="2752" t="s">
        <v>174</v>
      </c>
      <c r="L234" s="2752"/>
      <c r="M234" s="2894">
        <f>'TH Than 2025'!B34</f>
        <v>1709998.7100000002</v>
      </c>
      <c r="N234" s="2894"/>
      <c r="O234" s="1286"/>
      <c r="P234" s="95"/>
      <c r="Q234" s="128"/>
      <c r="R234" s="743"/>
      <c r="S234" s="743">
        <f>'T3.2025 '!I117</f>
        <v>147576</v>
      </c>
      <c r="T234" s="749">
        <f>'T4.2025 '!I146</f>
        <v>28842</v>
      </c>
      <c r="U234" s="749">
        <f>'T5.2025'!I202</f>
        <v>22169</v>
      </c>
      <c r="V234" s="749">
        <f>'T6.2025'!I206</f>
        <v>0</v>
      </c>
      <c r="W234" s="743"/>
      <c r="X234" s="743"/>
      <c r="Y234" s="97"/>
      <c r="Z234" s="97"/>
      <c r="AA234" s="97"/>
      <c r="AB234" s="97"/>
      <c r="AC234" s="97"/>
      <c r="AD234" s="97"/>
      <c r="AE234" s="97">
        <f t="shared" si="53"/>
        <v>198587</v>
      </c>
      <c r="AF234" s="95"/>
      <c r="AG234" s="95"/>
      <c r="AH234" s="2"/>
      <c r="AI234" s="2"/>
      <c r="AJ234" s="2"/>
      <c r="AK234" s="2"/>
    </row>
    <row r="235" spans="1:37" ht="30" customHeight="1" x14ac:dyDescent="0.2">
      <c r="A235" s="1"/>
      <c r="B235" s="12">
        <v>6</v>
      </c>
      <c r="C235" s="2646" t="s">
        <v>175</v>
      </c>
      <c r="D235" s="2690"/>
      <c r="E235" s="12" t="s">
        <v>164</v>
      </c>
      <c r="F235" s="658">
        <v>0.57199999999999995</v>
      </c>
      <c r="G235" s="658">
        <f>+H235/M232</f>
        <v>0.56796909986429023</v>
      </c>
      <c r="H235" s="118">
        <f t="shared" si="52"/>
        <v>747372</v>
      </c>
      <c r="I235" s="118">
        <f>-(G235-F235)*M232</f>
        <v>5304.1299199999985</v>
      </c>
      <c r="J235" s="320"/>
      <c r="K235" s="2664"/>
      <c r="L235" s="2470"/>
      <c r="M235" s="2470"/>
      <c r="N235" s="2470"/>
      <c r="O235" s="1286"/>
      <c r="P235" s="95"/>
      <c r="Q235" s="128"/>
      <c r="R235" s="743">
        <v>58802</v>
      </c>
      <c r="S235" s="743">
        <f>'T3.2025 '!I118</f>
        <v>136439</v>
      </c>
      <c r="T235" s="749">
        <f>'T4.2025 '!I147</f>
        <v>220648</v>
      </c>
      <c r="U235" s="749">
        <f>'T5.2025'!I201</f>
        <v>155601</v>
      </c>
      <c r="V235" s="749">
        <f>'T6.2025'!I205</f>
        <v>175882</v>
      </c>
      <c r="W235" s="743"/>
      <c r="X235" s="743"/>
      <c r="Y235" s="97"/>
      <c r="Z235" s="97"/>
      <c r="AA235" s="97"/>
      <c r="AB235" s="97"/>
      <c r="AC235" s="97"/>
      <c r="AD235" s="97"/>
      <c r="AE235" s="97">
        <f t="shared" si="53"/>
        <v>747372</v>
      </c>
      <c r="AF235" s="95"/>
      <c r="AG235" s="95"/>
      <c r="AH235" s="2"/>
      <c r="AI235" s="2"/>
      <c r="AJ235" s="2"/>
      <c r="AK235" s="2"/>
    </row>
    <row r="236" spans="1:37" ht="30" customHeight="1" x14ac:dyDescent="0.2">
      <c r="A236" s="1"/>
      <c r="B236" s="12">
        <v>7</v>
      </c>
      <c r="C236" s="2646" t="s">
        <v>130</v>
      </c>
      <c r="D236" s="2690"/>
      <c r="E236" s="12" t="s">
        <v>164</v>
      </c>
      <c r="F236" s="658">
        <v>0.434</v>
      </c>
      <c r="G236" s="658">
        <f>H236/M233</f>
        <v>0.46265511728181624</v>
      </c>
      <c r="H236" s="118">
        <f t="shared" si="52"/>
        <v>25048</v>
      </c>
      <c r="I236" s="1498"/>
      <c r="J236" s="118">
        <f>(G236-F236)*M233</f>
        <v>1551.3788800000013</v>
      </c>
      <c r="K236" s="2664"/>
      <c r="L236" s="2470"/>
      <c r="M236" s="2470"/>
      <c r="N236" s="2470"/>
      <c r="O236" s="1286"/>
      <c r="P236" s="95"/>
      <c r="Q236" s="128"/>
      <c r="R236" s="743"/>
      <c r="S236" s="743">
        <f>'T3.2025 '!I119</f>
        <v>0</v>
      </c>
      <c r="T236" s="749">
        <f>'T4.2025 '!I148</f>
        <v>0</v>
      </c>
      <c r="U236" s="749">
        <f>'T5.2025'!I203</f>
        <v>25048</v>
      </c>
      <c r="V236" s="749">
        <f>'T6.2025'!I207</f>
        <v>0</v>
      </c>
      <c r="W236" s="743"/>
      <c r="X236" s="743"/>
      <c r="Y236" s="97"/>
      <c r="Z236" s="97"/>
      <c r="AA236" s="97"/>
      <c r="AB236" s="97"/>
      <c r="AC236" s="97"/>
      <c r="AD236" s="97"/>
      <c r="AE236" s="97">
        <f t="shared" si="53"/>
        <v>25048</v>
      </c>
      <c r="AF236" s="95"/>
      <c r="AG236" s="95"/>
      <c r="AH236" s="2"/>
      <c r="AI236" s="2"/>
      <c r="AJ236" s="2"/>
      <c r="AK236" s="2"/>
    </row>
    <row r="237" spans="1:37" ht="30" customHeight="1" x14ac:dyDescent="0.2">
      <c r="A237" s="1"/>
      <c r="B237" s="12">
        <v>8</v>
      </c>
      <c r="C237" s="2646" t="s">
        <v>176</v>
      </c>
      <c r="D237" s="2690"/>
      <c r="E237" s="12" t="s">
        <v>169</v>
      </c>
      <c r="F237" s="678">
        <v>0.69699999999999995</v>
      </c>
      <c r="G237" s="678">
        <f>+H237/$M$230</f>
        <v>0.69670611136195015</v>
      </c>
      <c r="H237" s="118">
        <f t="shared" si="52"/>
        <v>1186240</v>
      </c>
      <c r="I237" s="118">
        <f t="shared" ref="I237:I247" si="54">-(G237-F237)*$M$230</f>
        <v>500.38668000011154</v>
      </c>
      <c r="J237" s="1415">
        <v>0</v>
      </c>
      <c r="K237" s="2664"/>
      <c r="L237" s="2470"/>
      <c r="M237" s="2470"/>
      <c r="N237" s="2470"/>
      <c r="O237" s="1286"/>
      <c r="P237" s="95"/>
      <c r="Q237" s="128"/>
      <c r="R237" s="743">
        <v>71650</v>
      </c>
      <c r="S237" s="743">
        <f>'T3.2025 '!I120</f>
        <v>340480</v>
      </c>
      <c r="T237" s="749">
        <f>'T4.2025 '!I149</f>
        <v>307530</v>
      </c>
      <c r="U237" s="749">
        <f>'T5.2025'!I204</f>
        <v>251480</v>
      </c>
      <c r="V237" s="749">
        <f>'T6.2025'!I208</f>
        <v>215100</v>
      </c>
      <c r="W237" s="743"/>
      <c r="X237" s="743"/>
      <c r="Y237" s="97"/>
      <c r="Z237" s="97"/>
      <c r="AA237" s="97"/>
      <c r="AB237" s="97"/>
      <c r="AC237" s="97"/>
      <c r="AD237" s="97"/>
      <c r="AE237" s="97">
        <f t="shared" si="53"/>
        <v>1186240</v>
      </c>
      <c r="AF237" s="95"/>
      <c r="AG237" s="95"/>
      <c r="AH237" s="2"/>
      <c r="AI237" s="2"/>
      <c r="AJ237" s="2"/>
      <c r="AK237" s="2"/>
    </row>
    <row r="238" spans="1:37" ht="30" customHeight="1" x14ac:dyDescent="0.2">
      <c r="A238" s="1"/>
      <c r="B238" s="12">
        <v>9</v>
      </c>
      <c r="C238" s="2646" t="s">
        <v>177</v>
      </c>
      <c r="D238" s="2690"/>
      <c r="E238" s="12" t="s">
        <v>164</v>
      </c>
      <c r="F238" s="678">
        <v>3.7100000000000001E-2</v>
      </c>
      <c r="G238" s="678">
        <f>+H238/$M$230</f>
        <v>3.4584518619797375E-2</v>
      </c>
      <c r="H238" s="118">
        <f t="shared" si="52"/>
        <v>58885</v>
      </c>
      <c r="I238" s="118">
        <f t="shared" si="54"/>
        <v>4282.9603240000069</v>
      </c>
      <c r="J238" s="1415">
        <v>0</v>
      </c>
      <c r="K238" s="2861"/>
      <c r="L238" s="2862"/>
      <c r="M238" s="2862"/>
      <c r="N238" s="2862"/>
      <c r="O238" s="1286"/>
      <c r="P238" s="95"/>
      <c r="Q238" s="128"/>
      <c r="R238" s="743">
        <v>3830</v>
      </c>
      <c r="S238" s="743">
        <f>'T3.2025 '!I121</f>
        <v>17710</v>
      </c>
      <c r="T238" s="749">
        <f>'T4.2025 '!I150</f>
        <v>13325</v>
      </c>
      <c r="U238" s="749">
        <f>'T5.2025'!I205</f>
        <v>12830</v>
      </c>
      <c r="V238" s="749">
        <f>'T6.2025'!I209</f>
        <v>11190</v>
      </c>
      <c r="W238" s="743"/>
      <c r="X238" s="743"/>
      <c r="Y238" s="97"/>
      <c r="Z238" s="97"/>
      <c r="AA238" s="97"/>
      <c r="AB238" s="97"/>
      <c r="AC238" s="97"/>
      <c r="AD238" s="97"/>
      <c r="AE238" s="97">
        <f t="shared" si="53"/>
        <v>58885</v>
      </c>
      <c r="AF238" s="95"/>
      <c r="AG238" s="95"/>
      <c r="AH238" s="2"/>
      <c r="AI238" s="2"/>
      <c r="AJ238" s="2"/>
      <c r="AK238" s="2"/>
    </row>
    <row r="239" spans="1:37" ht="30" customHeight="1" x14ac:dyDescent="0.2">
      <c r="A239" s="1"/>
      <c r="B239" s="12">
        <v>10</v>
      </c>
      <c r="C239" s="2646" t="s">
        <v>178</v>
      </c>
      <c r="D239" s="2690"/>
      <c r="E239" s="12" t="s">
        <v>164</v>
      </c>
      <c r="F239" s="657">
        <v>8.2000000000000007E-3</v>
      </c>
      <c r="G239" s="678">
        <f>+H239/$M$234</f>
        <v>7.6567309223291745E-3</v>
      </c>
      <c r="H239" s="118">
        <f t="shared" si="52"/>
        <v>13093</v>
      </c>
      <c r="I239" s="118">
        <f t="shared" si="54"/>
        <v>924.99190144384988</v>
      </c>
      <c r="J239" s="1415">
        <v>0</v>
      </c>
      <c r="K239" s="2861"/>
      <c r="L239" s="2862"/>
      <c r="M239" s="2862"/>
      <c r="N239" s="2862"/>
      <c r="O239" s="1286"/>
      <c r="P239" s="95"/>
      <c r="Q239" s="128"/>
      <c r="R239" s="743">
        <v>843</v>
      </c>
      <c r="S239" s="743">
        <f>'T3.2025 '!I122</f>
        <v>4000</v>
      </c>
      <c r="T239" s="749">
        <f>'T4.2025 '!I151</f>
        <v>3650</v>
      </c>
      <c r="U239" s="749">
        <f>'T5.2025'!I206</f>
        <v>2350</v>
      </c>
      <c r="V239" s="749">
        <f>'T6.2025'!I210</f>
        <v>2250</v>
      </c>
      <c r="W239" s="743"/>
      <c r="X239" s="743"/>
      <c r="Y239" s="97"/>
      <c r="Z239" s="97"/>
      <c r="AA239" s="97"/>
      <c r="AB239" s="97"/>
      <c r="AC239" s="97"/>
      <c r="AD239" s="97"/>
      <c r="AE239" s="97">
        <f t="shared" si="53"/>
        <v>13093</v>
      </c>
      <c r="AF239" s="95"/>
      <c r="AG239" s="95"/>
      <c r="AH239" s="2"/>
      <c r="AI239" s="2"/>
      <c r="AJ239" s="2"/>
      <c r="AK239" s="2"/>
    </row>
    <row r="240" spans="1:37" ht="30" customHeight="1" x14ac:dyDescent="0.2">
      <c r="A240" s="1"/>
      <c r="B240" s="12">
        <v>11</v>
      </c>
      <c r="C240" s="2646" t="s">
        <v>179</v>
      </c>
      <c r="D240" s="2690"/>
      <c r="E240" s="12" t="s">
        <v>164</v>
      </c>
      <c r="F240" s="678">
        <v>4.6100000000000002E-2</v>
      </c>
      <c r="G240" s="678">
        <f t="shared" ref="G240:G247" si="55">+H240/$M$230</f>
        <v>3.2640479278173373E-2</v>
      </c>
      <c r="H240" s="118">
        <f t="shared" si="52"/>
        <v>55575</v>
      </c>
      <c r="I240" s="118">
        <f t="shared" si="54"/>
        <v>22916.724284000011</v>
      </c>
      <c r="J240" s="1415">
        <v>0</v>
      </c>
      <c r="K240" s="2861"/>
      <c r="L240" s="2862"/>
      <c r="M240" s="2862"/>
      <c r="N240" s="2862"/>
      <c r="O240" s="1286"/>
      <c r="P240" s="95"/>
      <c r="Q240" s="128"/>
      <c r="R240" s="743">
        <v>3000</v>
      </c>
      <c r="S240" s="743">
        <f>'T3.2025 '!I123</f>
        <v>19325</v>
      </c>
      <c r="T240" s="749">
        <f>'T4.2025 '!I152</f>
        <v>6525</v>
      </c>
      <c r="U240" s="749">
        <f>'T5.2025'!I207</f>
        <v>13250</v>
      </c>
      <c r="V240" s="749">
        <f>'T6.2025'!I211</f>
        <v>13475</v>
      </c>
      <c r="W240" s="743"/>
      <c r="X240" s="743"/>
      <c r="Y240" s="97"/>
      <c r="Z240" s="97"/>
      <c r="AA240" s="97"/>
      <c r="AB240" s="97"/>
      <c r="AC240" s="97"/>
      <c r="AD240" s="97"/>
      <c r="AE240" s="97">
        <f t="shared" si="53"/>
        <v>55575</v>
      </c>
      <c r="AF240" s="95"/>
      <c r="AG240" s="95"/>
      <c r="AH240" s="2"/>
      <c r="AI240" s="2"/>
      <c r="AJ240" s="2"/>
      <c r="AK240" s="2"/>
    </row>
    <row r="241" spans="1:37" ht="30" customHeight="1" x14ac:dyDescent="0.2">
      <c r="A241" s="1"/>
      <c r="B241" s="1411">
        <v>12</v>
      </c>
      <c r="C241" s="2887" t="s">
        <v>180</v>
      </c>
      <c r="D241" s="2762"/>
      <c r="E241" s="1411" t="s">
        <v>164</v>
      </c>
      <c r="F241" s="1496">
        <v>3.0000000000000001E-3</v>
      </c>
      <c r="G241" s="1412">
        <f t="shared" si="55"/>
        <v>1.8794338045911793E-3</v>
      </c>
      <c r="H241" s="1413">
        <f t="shared" si="52"/>
        <v>3200</v>
      </c>
      <c r="I241" s="1413">
        <f t="shared" si="54"/>
        <v>1907.9213200000008</v>
      </c>
      <c r="J241" s="1497">
        <v>0</v>
      </c>
      <c r="K241" s="2888"/>
      <c r="L241" s="2889"/>
      <c r="M241" s="2889"/>
      <c r="N241" s="2890"/>
      <c r="O241" s="1287"/>
      <c r="P241" s="103"/>
      <c r="Q241" s="128"/>
      <c r="R241" s="743"/>
      <c r="S241" s="743">
        <f>'T3.2025 '!I124</f>
        <v>1100</v>
      </c>
      <c r="T241" s="749">
        <f>'T4.2025 '!I153</f>
        <v>1200</v>
      </c>
      <c r="U241" s="749">
        <f>'T5.2025'!I208</f>
        <v>0</v>
      </c>
      <c r="V241" s="749">
        <f>'T6.2025'!I212</f>
        <v>900</v>
      </c>
      <c r="W241" s="743"/>
      <c r="X241" s="743"/>
      <c r="Y241" s="97"/>
      <c r="Z241" s="97"/>
      <c r="AA241" s="97"/>
      <c r="AB241" s="97"/>
      <c r="AC241" s="97"/>
      <c r="AD241" s="97"/>
      <c r="AE241" s="97">
        <f t="shared" si="53"/>
        <v>3200</v>
      </c>
      <c r="AF241" s="95"/>
      <c r="AG241" s="95"/>
      <c r="AH241" s="2"/>
      <c r="AI241" s="2"/>
      <c r="AJ241" s="2"/>
      <c r="AK241" s="2"/>
    </row>
    <row r="242" spans="1:37" ht="30" customHeight="1" x14ac:dyDescent="0.2">
      <c r="A242" s="1"/>
      <c r="B242" s="105">
        <v>13</v>
      </c>
      <c r="C242" s="2628" t="s">
        <v>181</v>
      </c>
      <c r="D242" s="2629"/>
      <c r="E242" s="105" t="s">
        <v>164</v>
      </c>
      <c r="F242" s="649">
        <v>3.0899999999999999E-3</v>
      </c>
      <c r="G242" s="644">
        <f t="shared" si="55"/>
        <v>0</v>
      </c>
      <c r="H242" s="642">
        <f t="shared" si="52"/>
        <v>0</v>
      </c>
      <c r="I242" s="645"/>
      <c r="J242" s="643">
        <v>0</v>
      </c>
      <c r="K242" s="2691"/>
      <c r="L242" s="2692"/>
      <c r="M242" s="2692"/>
      <c r="N242" s="2540"/>
      <c r="O242" s="1290"/>
      <c r="P242" s="650"/>
      <c r="Q242" s="128"/>
      <c r="R242" s="743"/>
      <c r="S242" s="743">
        <f>'T3.2025 '!I125</f>
        <v>0</v>
      </c>
      <c r="T242" s="749">
        <f>'T4.2025 '!I154</f>
        <v>0</v>
      </c>
      <c r="U242" s="749">
        <f>'T5.2025'!I209</f>
        <v>0</v>
      </c>
      <c r="V242" s="749">
        <f>'T6.2025'!I213</f>
        <v>0</v>
      </c>
      <c r="W242" s="743"/>
      <c r="X242" s="743"/>
      <c r="Y242" s="97"/>
      <c r="Z242" s="97"/>
      <c r="AA242" s="97"/>
      <c r="AB242" s="97"/>
      <c r="AC242" s="97"/>
      <c r="AD242" s="97"/>
      <c r="AE242" s="97">
        <f t="shared" si="53"/>
        <v>0</v>
      </c>
      <c r="AF242" s="95"/>
      <c r="AG242" s="95"/>
      <c r="AH242" s="2"/>
      <c r="AI242" s="2"/>
      <c r="AJ242" s="2"/>
      <c r="AK242" s="2"/>
    </row>
    <row r="243" spans="1:37" ht="30" customHeight="1" x14ac:dyDescent="0.2">
      <c r="A243" s="1"/>
      <c r="B243" s="105">
        <v>14</v>
      </c>
      <c r="C243" s="2628" t="s">
        <v>182</v>
      </c>
      <c r="D243" s="2629"/>
      <c r="E243" s="651" t="s">
        <v>164</v>
      </c>
      <c r="F243" s="652">
        <v>1.6259999999999999</v>
      </c>
      <c r="G243" s="644">
        <f t="shared" si="55"/>
        <v>1.5981666980727884</v>
      </c>
      <c r="H243" s="642">
        <f t="shared" si="52"/>
        <v>2721103.25</v>
      </c>
      <c r="I243" s="642">
        <f t="shared" si="54"/>
        <v>47390.105440000159</v>
      </c>
      <c r="J243" s="643">
        <v>0</v>
      </c>
      <c r="K243" s="2691"/>
      <c r="L243" s="2692"/>
      <c r="M243" s="2692"/>
      <c r="N243" s="2540"/>
      <c r="O243" s="1286"/>
      <c r="P243" s="95"/>
      <c r="Q243" s="128"/>
      <c r="R243" s="743">
        <v>188100</v>
      </c>
      <c r="S243" s="743">
        <f>'T3.2025 '!I126</f>
        <v>772398</v>
      </c>
      <c r="T243" s="749">
        <f>'T4.2025 '!I155</f>
        <v>701241</v>
      </c>
      <c r="U243" s="749">
        <f>'T5.2025'!I210</f>
        <v>567352</v>
      </c>
      <c r="V243" s="749">
        <f>'T6.2025'!I214</f>
        <v>492012.25</v>
      </c>
      <c r="W243" s="743"/>
      <c r="X243" s="743"/>
      <c r="Y243" s="97"/>
      <c r="Z243" s="97"/>
      <c r="AA243" s="97"/>
      <c r="AB243" s="97"/>
      <c r="AC243" s="97"/>
      <c r="AD243" s="97"/>
      <c r="AE243" s="97">
        <f t="shared" si="53"/>
        <v>2721103.25</v>
      </c>
      <c r="AF243" s="95"/>
      <c r="AG243" s="95"/>
      <c r="AH243" s="2"/>
      <c r="AI243" s="2"/>
      <c r="AJ243" s="2"/>
      <c r="AK243" s="2"/>
    </row>
    <row r="244" spans="1:37" ht="30" customHeight="1" x14ac:dyDescent="0.2">
      <c r="A244" s="1"/>
      <c r="B244" s="105">
        <v>15</v>
      </c>
      <c r="C244" s="2628" t="s">
        <v>183</v>
      </c>
      <c r="D244" s="2629"/>
      <c r="E244" s="105" t="s">
        <v>164</v>
      </c>
      <c r="F244" s="649">
        <v>6.4099999999999999E-3</v>
      </c>
      <c r="G244" s="649">
        <f>+H244/$M$234</f>
        <v>6.0462033915803359E-3</v>
      </c>
      <c r="H244" s="642">
        <f t="shared" si="52"/>
        <v>10339</v>
      </c>
      <c r="I244" s="642">
        <f t="shared" si="54"/>
        <v>619.41481743016459</v>
      </c>
      <c r="J244" s="643">
        <v>0</v>
      </c>
      <c r="K244" s="2691"/>
      <c r="L244" s="2692"/>
      <c r="M244" s="2692"/>
      <c r="N244" s="2540"/>
      <c r="O244" s="1286"/>
      <c r="P244" s="95"/>
      <c r="Q244" s="128"/>
      <c r="R244" s="743">
        <v>659</v>
      </c>
      <c r="S244" s="743">
        <f>'T3.2025 '!I127</f>
        <v>3145</v>
      </c>
      <c r="T244" s="749">
        <f>'T4.2025 '!I156</f>
        <v>2255</v>
      </c>
      <c r="U244" s="749">
        <f>'T5.2025'!I211</f>
        <v>2300</v>
      </c>
      <c r="V244" s="749">
        <f>'T6.2025'!I215</f>
        <v>1980</v>
      </c>
      <c r="W244" s="743"/>
      <c r="X244" s="743"/>
      <c r="Y244" s="97"/>
      <c r="Z244" s="97"/>
      <c r="AA244" s="97"/>
      <c r="AB244" s="97"/>
      <c r="AC244" s="97"/>
      <c r="AD244" s="97"/>
      <c r="AE244" s="97">
        <f t="shared" si="53"/>
        <v>10339</v>
      </c>
      <c r="AF244" s="95"/>
      <c r="AG244" s="95"/>
      <c r="AH244" s="2"/>
      <c r="AI244" s="2"/>
      <c r="AJ244" s="2"/>
      <c r="AK244" s="2"/>
    </row>
    <row r="245" spans="1:37" ht="30" customHeight="1" x14ac:dyDescent="0.2">
      <c r="A245" s="1"/>
      <c r="B245" s="114">
        <v>16</v>
      </c>
      <c r="C245" s="2641" t="s">
        <v>184</v>
      </c>
      <c r="D245" s="2693"/>
      <c r="E245" s="114" t="s">
        <v>169</v>
      </c>
      <c r="F245" s="653">
        <v>4.7239999999999997E-2</v>
      </c>
      <c r="G245" s="653">
        <f t="shared" si="55"/>
        <v>4.4190187330450104E-2</v>
      </c>
      <c r="H245" s="655">
        <f t="shared" si="52"/>
        <v>75240</v>
      </c>
      <c r="I245" s="655">
        <f t="shared" si="54"/>
        <v>5192.7343856000061</v>
      </c>
      <c r="J245" s="1420">
        <v>0</v>
      </c>
      <c r="K245" s="2885"/>
      <c r="L245" s="2886"/>
      <c r="M245" s="2886"/>
      <c r="N245" s="2545"/>
      <c r="O245" s="1286"/>
      <c r="P245" s="95"/>
      <c r="Q245" s="128"/>
      <c r="R245" s="743">
        <v>4200</v>
      </c>
      <c r="S245" s="743">
        <f>'T3.2025 '!I128</f>
        <v>21700</v>
      </c>
      <c r="T245" s="749">
        <f>'T4.2025 '!I157</f>
        <v>20840</v>
      </c>
      <c r="U245" s="749">
        <f>'T5.2025'!I212</f>
        <v>15240</v>
      </c>
      <c r="V245" s="749">
        <f>'T6.2025'!I216</f>
        <v>13260</v>
      </c>
      <c r="W245" s="743"/>
      <c r="X245" s="743"/>
      <c r="Y245" s="97"/>
      <c r="Z245" s="97"/>
      <c r="AA245" s="97"/>
      <c r="AB245" s="97"/>
      <c r="AC245" s="97"/>
      <c r="AD245" s="97"/>
      <c r="AE245" s="97">
        <f t="shared" si="53"/>
        <v>75240</v>
      </c>
      <c r="AF245" s="95"/>
      <c r="AG245" s="95"/>
      <c r="AH245" s="2"/>
      <c r="AI245" s="2"/>
      <c r="AJ245" s="2"/>
      <c r="AK245" s="2"/>
    </row>
    <row r="246" spans="1:37" ht="30" customHeight="1" x14ac:dyDescent="0.2">
      <c r="A246" s="1"/>
      <c r="B246" s="12">
        <v>17</v>
      </c>
      <c r="C246" s="2646" t="s">
        <v>185</v>
      </c>
      <c r="D246" s="2690"/>
      <c r="E246" s="12" t="s">
        <v>169</v>
      </c>
      <c r="F246" s="657"/>
      <c r="G246" s="657"/>
      <c r="H246" s="118">
        <f t="shared" si="52"/>
        <v>20805</v>
      </c>
      <c r="I246" s="118"/>
      <c r="J246" s="659"/>
      <c r="K246" s="2861" t="s">
        <v>918</v>
      </c>
      <c r="L246" s="2862"/>
      <c r="M246" s="2862"/>
      <c r="N246" s="2862"/>
      <c r="O246" s="1286"/>
      <c r="P246" s="95"/>
      <c r="Q246" s="128"/>
      <c r="R246" s="743">
        <v>1140</v>
      </c>
      <c r="S246" s="743">
        <f>'T3.2025 '!I129</f>
        <v>5820</v>
      </c>
      <c r="T246" s="749">
        <f>'T4.2025 '!I158</f>
        <v>5520</v>
      </c>
      <c r="U246" s="749">
        <f>'T5.2025'!I213</f>
        <v>4575</v>
      </c>
      <c r="V246" s="749">
        <f>'T6.2025'!I217</f>
        <v>3750</v>
      </c>
      <c r="W246" s="746"/>
      <c r="X246" s="743"/>
      <c r="Y246" s="97"/>
      <c r="Z246" s="97"/>
      <c r="AA246" s="97"/>
      <c r="AB246" s="97"/>
      <c r="AC246" s="97"/>
      <c r="AD246" s="97"/>
      <c r="AE246" s="97">
        <f t="shared" si="53"/>
        <v>20805</v>
      </c>
      <c r="AF246" s="95"/>
      <c r="AG246" s="95"/>
      <c r="AH246" s="2"/>
      <c r="AI246" s="2"/>
      <c r="AJ246" s="2"/>
      <c r="AK246" s="2"/>
    </row>
    <row r="247" spans="1:37" ht="30" customHeight="1" x14ac:dyDescent="0.2">
      <c r="A247" s="1"/>
      <c r="B247" s="12">
        <v>18</v>
      </c>
      <c r="C247" s="2880" t="s">
        <v>188</v>
      </c>
      <c r="D247" s="2881"/>
      <c r="E247" s="12" t="s">
        <v>164</v>
      </c>
      <c r="F247" s="657">
        <v>5.1999999999999998E-3</v>
      </c>
      <c r="G247" s="657">
        <f t="shared" si="55"/>
        <v>3.7706140704610535E-3</v>
      </c>
      <c r="H247" s="118">
        <f t="shared" si="52"/>
        <v>6420</v>
      </c>
      <c r="I247" s="118">
        <f t="shared" si="54"/>
        <v>2433.7302880000007</v>
      </c>
      <c r="J247" s="659" t="s">
        <v>142</v>
      </c>
      <c r="K247" s="2664"/>
      <c r="L247" s="2607"/>
      <c r="M247" s="2607"/>
      <c r="N247" s="2470"/>
      <c r="O247" s="1286"/>
      <c r="P247" s="95"/>
      <c r="Q247" s="128"/>
      <c r="R247" s="743">
        <v>450</v>
      </c>
      <c r="S247" s="743">
        <f>'T3.2025 '!I130</f>
        <v>2130</v>
      </c>
      <c r="T247" s="749">
        <f>'T4.2025 '!I159</f>
        <v>1680</v>
      </c>
      <c r="U247" s="749">
        <f>'T5.2025'!I214</f>
        <v>1080</v>
      </c>
      <c r="V247" s="1214">
        <f>'T6.2025'!I218</f>
        <v>1080</v>
      </c>
      <c r="W247" s="458"/>
      <c r="X247" s="732"/>
      <c r="Y247" s="97"/>
      <c r="Z247" s="97"/>
      <c r="AA247" s="97"/>
      <c r="AB247" s="97"/>
      <c r="AC247" s="97"/>
      <c r="AD247" s="97"/>
      <c r="AE247" s="97">
        <f>SUM(O247:AB247)</f>
        <v>6420</v>
      </c>
      <c r="AF247" s="95"/>
      <c r="AG247" s="95"/>
      <c r="AH247" s="2"/>
      <c r="AI247" s="2"/>
      <c r="AJ247" s="2"/>
      <c r="AK247" s="2"/>
    </row>
    <row r="248" spans="1:37" ht="12" customHeight="1" x14ac:dyDescent="0.2">
      <c r="A248" s="1"/>
      <c r="B248" s="2"/>
      <c r="C248" s="4"/>
      <c r="D248" s="1364"/>
      <c r="E248" s="2"/>
      <c r="F248" s="1417"/>
      <c r="G248" s="1417"/>
      <c r="H248" s="1418"/>
      <c r="I248" s="1418"/>
      <c r="J248" s="1419"/>
      <c r="K248" s="2"/>
      <c r="N248" s="636"/>
      <c r="O248" s="1286"/>
      <c r="P248" s="95"/>
      <c r="Q248" s="95"/>
      <c r="R248" s="700"/>
      <c r="S248" s="700"/>
      <c r="T248" s="700"/>
      <c r="U248" s="700"/>
      <c r="V248" s="700"/>
      <c r="W248" s="700"/>
      <c r="X248" s="700"/>
      <c r="AE248" s="95"/>
      <c r="AF248" s="95"/>
      <c r="AG248" s="95"/>
      <c r="AH248" s="2"/>
      <c r="AI248" s="2"/>
      <c r="AJ248" s="2"/>
      <c r="AK248" s="2"/>
    </row>
    <row r="249" spans="1:37" ht="27" customHeight="1" x14ac:dyDescent="0.2">
      <c r="A249" s="1"/>
      <c r="B249" s="2882" t="s">
        <v>354</v>
      </c>
      <c r="C249" s="2883"/>
      <c r="D249" s="2883"/>
      <c r="E249" s="2883"/>
      <c r="F249" s="2883"/>
      <c r="G249" s="2883"/>
      <c r="H249" s="2883"/>
      <c r="I249" s="2883"/>
      <c r="J249" s="2883"/>
      <c r="K249" s="2883"/>
      <c r="L249" s="2883"/>
      <c r="M249" s="2883"/>
      <c r="N249" s="2883"/>
      <c r="O249" s="1286"/>
      <c r="P249" s="95"/>
      <c r="Q249" s="95"/>
      <c r="AE249" s="95"/>
      <c r="AF249" s="95"/>
      <c r="AG249" s="95"/>
      <c r="AH249" s="2"/>
      <c r="AI249" s="2"/>
      <c r="AJ249" s="2"/>
      <c r="AK249" s="2"/>
    </row>
    <row r="250" spans="1:37" ht="55" customHeight="1" x14ac:dyDescent="0.2">
      <c r="A250" s="1"/>
      <c r="B250" s="705" t="s">
        <v>39</v>
      </c>
      <c r="C250" s="2579" t="s">
        <v>191</v>
      </c>
      <c r="D250" s="2581"/>
      <c r="E250" s="705" t="s">
        <v>17</v>
      </c>
      <c r="F250" s="1499" t="s">
        <v>149</v>
      </c>
      <c r="G250" s="1499" t="s">
        <v>150</v>
      </c>
      <c r="H250" s="705" t="s">
        <v>151</v>
      </c>
      <c r="I250" s="1499" t="s">
        <v>355</v>
      </c>
      <c r="J250" s="1500" t="s">
        <v>356</v>
      </c>
      <c r="K250" s="2579" t="s">
        <v>47</v>
      </c>
      <c r="L250" s="2580"/>
      <c r="M250" s="2580"/>
      <c r="N250" s="2581"/>
      <c r="O250" s="1286"/>
      <c r="P250" s="640" t="s">
        <v>353</v>
      </c>
      <c r="Q250" s="210" t="s">
        <v>154</v>
      </c>
      <c r="R250" s="761" t="s">
        <v>155</v>
      </c>
      <c r="S250" s="761" t="s">
        <v>156</v>
      </c>
      <c r="T250" s="761" t="s">
        <v>157</v>
      </c>
      <c r="U250" s="761" t="s">
        <v>158</v>
      </c>
      <c r="V250" s="761" t="s">
        <v>159</v>
      </c>
      <c r="W250" s="761" t="s">
        <v>160</v>
      </c>
      <c r="X250" s="761" t="s">
        <v>161</v>
      </c>
      <c r="Y250" s="139" t="s">
        <v>162</v>
      </c>
      <c r="Z250" s="139" t="s">
        <v>111</v>
      </c>
      <c r="AA250" s="139" t="s">
        <v>29</v>
      </c>
      <c r="AB250" s="139" t="s">
        <v>31</v>
      </c>
      <c r="AC250" s="139"/>
      <c r="AD250" s="139"/>
      <c r="AE250" s="139" t="s">
        <v>33</v>
      </c>
      <c r="AF250" s="103"/>
      <c r="AG250" s="103"/>
      <c r="AH250" s="2"/>
      <c r="AI250" s="2"/>
      <c r="AJ250" s="2"/>
      <c r="AK250" s="2"/>
    </row>
    <row r="251" spans="1:37" ht="43" customHeight="1" x14ac:dyDescent="0.2">
      <c r="A251" s="1"/>
      <c r="B251" s="17">
        <v>1</v>
      </c>
      <c r="C251" s="1501" t="s">
        <v>389</v>
      </c>
      <c r="D251" s="1501"/>
      <c r="E251" s="633" t="s">
        <v>49</v>
      </c>
      <c r="F251" s="675">
        <v>21.26</v>
      </c>
      <c r="G251" s="1424">
        <f>H251/$M$251</f>
        <v>20.692884938526781</v>
      </c>
      <c r="H251" s="282">
        <f>AE251</f>
        <v>10652221.23</v>
      </c>
      <c r="I251" s="1423">
        <f>-(G251-F251)*$M$251</f>
        <v>291937.79000000004</v>
      </c>
      <c r="J251" s="1423"/>
      <c r="K251" s="2876" t="s">
        <v>165</v>
      </c>
      <c r="L251" s="2876"/>
      <c r="M251" s="2884">
        <f>SUM(M252:N253)</f>
        <v>514777</v>
      </c>
      <c r="N251" s="2884"/>
      <c r="O251" s="1286"/>
      <c r="P251" s="95"/>
      <c r="Q251" s="128">
        <f>'T1.2025'!I160</f>
        <v>2443396.23</v>
      </c>
      <c r="R251" s="749"/>
      <c r="S251" s="749"/>
      <c r="T251" s="1254">
        <f>'T4.2025 '!I177</f>
        <v>3147170</v>
      </c>
      <c r="U251" s="749">
        <f>'T5.2025'!I218</f>
        <v>5061655</v>
      </c>
      <c r="V251" s="749"/>
      <c r="W251" s="749"/>
      <c r="X251" s="743"/>
      <c r="Y251" s="97"/>
      <c r="Z251" s="97"/>
      <c r="AA251" s="97"/>
      <c r="AB251" s="97"/>
      <c r="AC251" s="97"/>
      <c r="AD251" s="97"/>
      <c r="AE251" s="97">
        <f>SUM(O251:AB251)</f>
        <v>10652221.23</v>
      </c>
      <c r="AF251" s="95"/>
      <c r="AG251" s="95"/>
      <c r="AH251" s="2"/>
      <c r="AI251" s="2"/>
      <c r="AJ251" s="2"/>
      <c r="AK251" s="2"/>
    </row>
    <row r="252" spans="1:37" ht="43" customHeight="1" x14ac:dyDescent="0.2">
      <c r="A252" s="1"/>
      <c r="B252" s="57">
        <v>2</v>
      </c>
      <c r="C252" s="321" t="s">
        <v>963</v>
      </c>
      <c r="D252" s="321"/>
      <c r="E252" s="12" t="s">
        <v>49</v>
      </c>
      <c r="F252" s="658">
        <v>0.39</v>
      </c>
      <c r="G252" s="1424">
        <f>H252/M253</f>
        <v>0.38840552349406787</v>
      </c>
      <c r="H252" s="23">
        <f t="shared" ref="H252:H265" si="56">AE252</f>
        <v>34357.770000000004</v>
      </c>
      <c r="I252" s="1423">
        <f>-(G252-F252)*M253</f>
        <v>141.04499999999828</v>
      </c>
      <c r="J252" s="118"/>
      <c r="K252" s="2752" t="s">
        <v>201</v>
      </c>
      <c r="L252" s="2752"/>
      <c r="M252" s="2875">
        <f>G225</f>
        <v>426318.5</v>
      </c>
      <c r="N252" s="2875"/>
      <c r="O252" s="1287"/>
      <c r="P252" s="95"/>
      <c r="Q252" s="128">
        <f>'T1.2025'!I161</f>
        <v>8938.77</v>
      </c>
      <c r="R252" s="743"/>
      <c r="S252" s="743"/>
      <c r="T252" s="749"/>
      <c r="U252" s="743">
        <f>'T5.2025'!I220</f>
        <v>25419</v>
      </c>
      <c r="V252" s="743"/>
      <c r="W252" s="743"/>
      <c r="X252" s="743"/>
      <c r="Y252" s="97"/>
      <c r="Z252" s="97"/>
      <c r="AA252" s="97"/>
      <c r="AB252" s="97"/>
      <c r="AC252" s="97"/>
      <c r="AD252" s="97"/>
      <c r="AE252" s="97">
        <f t="shared" ref="AE252:AE265" si="57">SUM(Q252:AB252)</f>
        <v>34357.770000000004</v>
      </c>
      <c r="AF252" s="95"/>
      <c r="AG252" s="95"/>
      <c r="AH252" s="2"/>
      <c r="AI252" s="2"/>
      <c r="AJ252" s="2"/>
      <c r="AK252" s="2"/>
    </row>
    <row r="253" spans="1:37" ht="43" customHeight="1" x14ac:dyDescent="0.2">
      <c r="A253" s="1"/>
      <c r="B253" s="57">
        <v>3</v>
      </c>
      <c r="C253" s="321" t="s">
        <v>202</v>
      </c>
      <c r="D253" s="321"/>
      <c r="E253" s="12" t="s">
        <v>49</v>
      </c>
      <c r="F253" s="658">
        <v>0.28000000000000003</v>
      </c>
      <c r="G253" s="1424">
        <f>H253/M252</f>
        <v>0.27843173589698783</v>
      </c>
      <c r="H253" s="23">
        <f t="shared" si="56"/>
        <v>118700.6</v>
      </c>
      <c r="I253" s="1423">
        <f>-(G253-F253)*M252</f>
        <v>668.58000000000482</v>
      </c>
      <c r="J253" s="1502"/>
      <c r="K253" s="2752" t="s">
        <v>203</v>
      </c>
      <c r="L253" s="2752"/>
      <c r="M253" s="2875">
        <f>G224</f>
        <v>88458.5</v>
      </c>
      <c r="N253" s="2875"/>
      <c r="O253" s="1286"/>
      <c r="P253" s="95"/>
      <c r="Q253" s="128">
        <f>'T1.2025'!I162</f>
        <v>25353</v>
      </c>
      <c r="R253" s="743"/>
      <c r="S253" s="743"/>
      <c r="T253" s="749">
        <f>'T4.2025 '!I178</f>
        <v>41682.300000000003</v>
      </c>
      <c r="U253" s="743">
        <f>'T5.2025'!I219</f>
        <v>51665.3</v>
      </c>
      <c r="V253" s="743"/>
      <c r="W253" s="743"/>
      <c r="X253" s="743"/>
      <c r="Y253" s="97"/>
      <c r="Z253" s="97"/>
      <c r="AA253" s="97"/>
      <c r="AB253" s="97"/>
      <c r="AC253" s="97"/>
      <c r="AD253" s="97"/>
      <c r="AE253" s="97">
        <f t="shared" si="57"/>
        <v>118700.6</v>
      </c>
      <c r="AF253" s="95"/>
      <c r="AG253" s="95"/>
      <c r="AH253" s="2"/>
      <c r="AI253" s="2"/>
      <c r="AJ253" s="2"/>
      <c r="AK253" s="2"/>
    </row>
    <row r="254" spans="1:37" ht="43" customHeight="1" x14ac:dyDescent="0.2">
      <c r="A254" s="1"/>
      <c r="B254" s="17">
        <v>4</v>
      </c>
      <c r="C254" s="2878" t="s">
        <v>733</v>
      </c>
      <c r="D254" s="2879"/>
      <c r="E254" s="633" t="s">
        <v>49</v>
      </c>
      <c r="F254" s="675">
        <v>9.2999999999999999E-2</v>
      </c>
      <c r="G254" s="1422">
        <f>H254/M252</f>
        <v>0.10453041563994994</v>
      </c>
      <c r="H254" s="23">
        <f t="shared" si="56"/>
        <v>44563.25</v>
      </c>
      <c r="I254" s="1423"/>
      <c r="J254" s="28">
        <f>--(G254-F254)*M253</f>
        <v>1019.963271886512</v>
      </c>
      <c r="K254" s="2876" t="s">
        <v>205</v>
      </c>
      <c r="L254" s="2876"/>
      <c r="M254" s="2877">
        <f>'TH Than 2025'!L34</f>
        <v>516624.5</v>
      </c>
      <c r="N254" s="2877"/>
      <c r="O254" s="1286"/>
      <c r="P254" s="95"/>
      <c r="Q254" s="128">
        <f>'T1.2025'!I165</f>
        <v>10370.549999999999</v>
      </c>
      <c r="R254" s="743"/>
      <c r="S254" s="743"/>
      <c r="T254" s="749">
        <f>'T4.2025 '!I179</f>
        <v>15355.7</v>
      </c>
      <c r="U254" s="743">
        <f>'T5.2025'!I221</f>
        <v>18837</v>
      </c>
      <c r="V254" s="743"/>
      <c r="W254" s="743"/>
      <c r="X254" s="743"/>
      <c r="Y254" s="97"/>
      <c r="Z254" s="97"/>
      <c r="AA254" s="97"/>
      <c r="AB254" s="97"/>
      <c r="AC254" s="97"/>
      <c r="AD254" s="97"/>
      <c r="AE254" s="97">
        <f t="shared" si="57"/>
        <v>44563.25</v>
      </c>
      <c r="AF254" s="95"/>
      <c r="AG254" s="95"/>
      <c r="AH254" s="2"/>
      <c r="AI254" s="2"/>
      <c r="AJ254" s="2"/>
      <c r="AK254" s="2"/>
    </row>
    <row r="255" spans="1:37" ht="39" customHeight="1" x14ac:dyDescent="0.2">
      <c r="A255" s="1"/>
      <c r="B255" s="57">
        <v>5</v>
      </c>
      <c r="C255" s="321" t="s">
        <v>490</v>
      </c>
      <c r="D255" s="321"/>
      <c r="E255" s="12" t="s">
        <v>49</v>
      </c>
      <c r="F255" s="658">
        <v>0.11700000000000001</v>
      </c>
      <c r="G255" s="1422">
        <f>H255/M252</f>
        <v>0.12549786134075813</v>
      </c>
      <c r="H255" s="23">
        <f t="shared" si="56"/>
        <v>53502.06</v>
      </c>
      <c r="I255" s="1423"/>
      <c r="J255" s="28">
        <f>--(G255-F255)*M252</f>
        <v>3622.7954999999929</v>
      </c>
      <c r="K255" s="2599" t="s">
        <v>357</v>
      </c>
      <c r="L255" s="2599"/>
      <c r="M255" s="2599"/>
      <c r="N255" s="2599"/>
      <c r="O255" s="1286"/>
      <c r="P255" s="95"/>
      <c r="Q255" s="128">
        <f>'T1.2025'!I164</f>
        <v>11763.86</v>
      </c>
      <c r="R255" s="743"/>
      <c r="S255" s="743"/>
      <c r="T255" s="749">
        <f>'T4.2025 '!I180</f>
        <v>19082.400000000001</v>
      </c>
      <c r="U255" s="743">
        <f>'T5.2025'!I223</f>
        <v>22655.8</v>
      </c>
      <c r="V255" s="743"/>
      <c r="W255" s="743"/>
      <c r="X255" s="743"/>
      <c r="Y255" s="97"/>
      <c r="Z255" s="97"/>
      <c r="AA255" s="97"/>
      <c r="AB255" s="97"/>
      <c r="AC255" s="97"/>
      <c r="AD255" s="97"/>
      <c r="AE255" s="97">
        <f t="shared" si="57"/>
        <v>53502.06</v>
      </c>
      <c r="AF255" s="95"/>
      <c r="AG255" s="95"/>
      <c r="AH255" s="2"/>
      <c r="AI255" s="2"/>
      <c r="AJ255" s="2"/>
      <c r="AK255" s="2"/>
    </row>
    <row r="256" spans="1:37" ht="34" customHeight="1" x14ac:dyDescent="0.2">
      <c r="A256" s="1"/>
      <c r="B256" s="57">
        <v>6</v>
      </c>
      <c r="C256" s="2747" t="s">
        <v>204</v>
      </c>
      <c r="D256" s="2747"/>
      <c r="E256" s="12" t="s">
        <v>49</v>
      </c>
      <c r="F256" s="658">
        <v>0.39</v>
      </c>
      <c r="G256" s="1422">
        <f>H256/M253</f>
        <v>0.40262213354284776</v>
      </c>
      <c r="H256" s="23">
        <f>AE256</f>
        <v>35615.35</v>
      </c>
      <c r="I256" s="1423"/>
      <c r="J256" s="28">
        <f>--(G256-F256)*M253</f>
        <v>1116.5349999999974</v>
      </c>
      <c r="K256" s="2599"/>
      <c r="L256" s="2599"/>
      <c r="M256" s="2599"/>
      <c r="N256" s="2599"/>
      <c r="O256" s="1286"/>
      <c r="P256" s="95"/>
      <c r="Q256" s="128">
        <v>10196.35</v>
      </c>
      <c r="R256" s="743"/>
      <c r="S256" s="743"/>
      <c r="T256" s="749"/>
      <c r="U256" s="743">
        <v>25419</v>
      </c>
      <c r="V256" s="743"/>
      <c r="W256" s="743"/>
      <c r="X256" s="743"/>
      <c r="Y256" s="97"/>
      <c r="Z256" s="97"/>
      <c r="AA256" s="97"/>
      <c r="AB256" s="97"/>
      <c r="AC256" s="97"/>
      <c r="AD256" s="97"/>
      <c r="AE256" s="97">
        <f t="shared" si="57"/>
        <v>35615.35</v>
      </c>
      <c r="AF256" s="95"/>
      <c r="AG256" s="95"/>
      <c r="AH256" s="2"/>
      <c r="AI256" s="2"/>
      <c r="AJ256" s="2"/>
      <c r="AK256" s="2"/>
    </row>
    <row r="257" spans="1:37" ht="34" customHeight="1" x14ac:dyDescent="0.2">
      <c r="A257" s="1"/>
      <c r="B257" s="57">
        <v>7</v>
      </c>
      <c r="C257" s="2747" t="s">
        <v>176</v>
      </c>
      <c r="D257" s="2747"/>
      <c r="E257" s="12" t="s">
        <v>195</v>
      </c>
      <c r="F257" s="678">
        <v>0.66900000000000004</v>
      </c>
      <c r="G257" s="1422">
        <f t="shared" ref="G257:G264" si="58">H257/$M$251</f>
        <v>0.66893820042464991</v>
      </c>
      <c r="H257" s="23">
        <f t="shared" si="56"/>
        <v>344354</v>
      </c>
      <c r="I257" s="1423">
        <f>-(G257-F257)*$M$251</f>
        <v>31.81300000001383</v>
      </c>
      <c r="J257" s="118">
        <v>0</v>
      </c>
      <c r="K257" s="2599"/>
      <c r="L257" s="2599"/>
      <c r="M257" s="2599"/>
      <c r="N257" s="2599"/>
      <c r="O257" s="1286"/>
      <c r="P257" s="95"/>
      <c r="Q257" s="128">
        <f>'T1.2025'!I166</f>
        <v>77504</v>
      </c>
      <c r="R257" s="743"/>
      <c r="S257" s="743"/>
      <c r="T257" s="749">
        <f>'T4.2025 '!I181</f>
        <v>99200</v>
      </c>
      <c r="U257" s="743">
        <f>'T5.2025'!I224</f>
        <v>167650</v>
      </c>
      <c r="V257" s="743"/>
      <c r="W257" s="743"/>
      <c r="X257" s="743"/>
      <c r="Y257" s="97"/>
      <c r="Z257" s="97"/>
      <c r="AA257" s="97"/>
      <c r="AB257" s="97"/>
      <c r="AC257" s="97"/>
      <c r="AD257" s="97"/>
      <c r="AE257" s="97">
        <f t="shared" si="57"/>
        <v>344354</v>
      </c>
      <c r="AF257" s="95"/>
      <c r="AG257" s="95"/>
      <c r="AH257" s="2"/>
      <c r="AI257" s="2"/>
      <c r="AJ257" s="2"/>
      <c r="AK257" s="2"/>
    </row>
    <row r="258" spans="1:37" ht="34" customHeight="1" x14ac:dyDescent="0.2">
      <c r="A258" s="1"/>
      <c r="B258" s="57">
        <v>8</v>
      </c>
      <c r="C258" s="2747" t="s">
        <v>177</v>
      </c>
      <c r="D258" s="2747"/>
      <c r="E258" s="12" t="s">
        <v>49</v>
      </c>
      <c r="F258" s="658">
        <v>0.02</v>
      </c>
      <c r="G258" s="1424">
        <f t="shared" si="58"/>
        <v>2.0051400897864512E-2</v>
      </c>
      <c r="H258" s="23">
        <f t="shared" si="56"/>
        <v>10322</v>
      </c>
      <c r="I258" s="1425"/>
      <c r="J258" s="118">
        <v>0</v>
      </c>
      <c r="K258" s="2599"/>
      <c r="L258" s="2599"/>
      <c r="M258" s="2599"/>
      <c r="N258" s="2599"/>
      <c r="O258" s="1286"/>
      <c r="P258" s="95"/>
      <c r="Q258" s="128">
        <f>'T1.2025'!I167</f>
        <v>2310</v>
      </c>
      <c r="R258" s="743"/>
      <c r="S258" s="743"/>
      <c r="T258" s="749">
        <f>'T4.2025 '!I182</f>
        <v>3000</v>
      </c>
      <c r="U258" s="743">
        <f>'T5.2025'!I225</f>
        <v>5012</v>
      </c>
      <c r="V258" s="743"/>
      <c r="W258" s="743"/>
      <c r="X258" s="743"/>
      <c r="Y258" s="97"/>
      <c r="Z258" s="97"/>
      <c r="AA258" s="97"/>
      <c r="AB258" s="97"/>
      <c r="AC258" s="97"/>
      <c r="AD258" s="97"/>
      <c r="AE258" s="97">
        <f t="shared" si="57"/>
        <v>10322</v>
      </c>
      <c r="AF258" s="95"/>
      <c r="AG258" s="95"/>
      <c r="AH258" s="2"/>
      <c r="AI258" s="2"/>
      <c r="AJ258" s="2"/>
      <c r="AK258" s="2"/>
    </row>
    <row r="259" spans="1:37" ht="34" customHeight="1" x14ac:dyDescent="0.2">
      <c r="A259" s="1"/>
      <c r="B259" s="57">
        <v>9</v>
      </c>
      <c r="C259" s="321" t="s">
        <v>178</v>
      </c>
      <c r="D259" s="321"/>
      <c r="E259" s="12" t="s">
        <v>49</v>
      </c>
      <c r="F259" s="678">
        <v>1.9599999999999999E-2</v>
      </c>
      <c r="G259" s="1422">
        <f t="shared" si="58"/>
        <v>1.1276727592724616E-2</v>
      </c>
      <c r="H259" s="23">
        <f t="shared" si="56"/>
        <v>5805</v>
      </c>
      <c r="I259" s="1423">
        <f>-(G259-F259)*$M$251</f>
        <v>4284.6292000000003</v>
      </c>
      <c r="J259" s="118">
        <v>0</v>
      </c>
      <c r="K259" s="2599"/>
      <c r="L259" s="2599"/>
      <c r="M259" s="2599"/>
      <c r="N259" s="2599"/>
      <c r="O259" s="1286"/>
      <c r="P259" s="95"/>
      <c r="Q259" s="128">
        <f>'T1.2025'!I169</f>
        <v>1305</v>
      </c>
      <c r="R259" s="743"/>
      <c r="S259" s="743"/>
      <c r="T259" s="749">
        <f>'T4.2025 '!I183</f>
        <v>1800</v>
      </c>
      <c r="U259" s="743">
        <f>'T5.2025'!I226</f>
        <v>2700</v>
      </c>
      <c r="V259" s="743"/>
      <c r="W259" s="743"/>
      <c r="X259" s="743"/>
      <c r="Y259" s="97"/>
      <c r="Z259" s="97"/>
      <c r="AA259" s="97"/>
      <c r="AB259" s="97"/>
      <c r="AC259" s="97"/>
      <c r="AD259" s="97"/>
      <c r="AE259" s="97">
        <f t="shared" si="57"/>
        <v>5805</v>
      </c>
      <c r="AF259" s="95"/>
      <c r="AG259" s="95"/>
      <c r="AH259" s="2"/>
      <c r="AI259" s="2"/>
      <c r="AJ259" s="2"/>
      <c r="AK259" s="2"/>
    </row>
    <row r="260" spans="1:37" ht="34" customHeight="1" x14ac:dyDescent="0.2">
      <c r="A260" s="1"/>
      <c r="B260" s="57">
        <v>10</v>
      </c>
      <c r="C260" s="321" t="s">
        <v>179</v>
      </c>
      <c r="D260" s="321"/>
      <c r="E260" s="12" t="s">
        <v>49</v>
      </c>
      <c r="F260" s="658">
        <v>2.7E-2</v>
      </c>
      <c r="G260" s="1422">
        <f t="shared" si="58"/>
        <v>5.2067205799792918E-2</v>
      </c>
      <c r="H260" s="23">
        <f t="shared" si="56"/>
        <v>26803</v>
      </c>
      <c r="I260" s="1423"/>
      <c r="J260" s="118">
        <f>(G260-F260)*$M$251</f>
        <v>12904.020999999999</v>
      </c>
      <c r="K260" s="2599"/>
      <c r="L260" s="2599"/>
      <c r="M260" s="2599"/>
      <c r="N260" s="2599"/>
      <c r="O260" s="1286"/>
      <c r="P260" s="95"/>
      <c r="Q260" s="128">
        <f>'T1.2025'!I170</f>
        <v>2200</v>
      </c>
      <c r="R260" s="743"/>
      <c r="S260" s="743"/>
      <c r="T260" s="749">
        <f>'T4.2025 '!I184</f>
        <v>6175</v>
      </c>
      <c r="U260" s="743">
        <f>'T5.2025'!I230</f>
        <v>18428</v>
      </c>
      <c r="V260" s="743"/>
      <c r="W260" s="743"/>
      <c r="X260" s="743"/>
      <c r="Y260" s="97"/>
      <c r="Z260" s="97"/>
      <c r="AA260" s="97"/>
      <c r="AB260" s="97"/>
      <c r="AC260" s="97"/>
      <c r="AD260" s="97"/>
      <c r="AE260" s="97">
        <f t="shared" si="57"/>
        <v>26803</v>
      </c>
      <c r="AF260" s="95"/>
      <c r="AG260" s="95"/>
      <c r="AH260" s="2"/>
      <c r="AI260" s="2"/>
      <c r="AJ260" s="2"/>
      <c r="AK260" s="2"/>
    </row>
    <row r="261" spans="1:37" ht="34" customHeight="1" x14ac:dyDescent="0.2">
      <c r="A261" s="1"/>
      <c r="B261" s="57">
        <v>11</v>
      </c>
      <c r="C261" s="321" t="s">
        <v>206</v>
      </c>
      <c r="D261" s="321"/>
      <c r="E261" s="12" t="s">
        <v>49</v>
      </c>
      <c r="F261" s="678">
        <v>2.0999999999999999E-3</v>
      </c>
      <c r="G261" s="1422">
        <f t="shared" si="58"/>
        <v>5.8277661977904993E-4</v>
      </c>
      <c r="H261" s="23">
        <f t="shared" si="56"/>
        <v>300</v>
      </c>
      <c r="I261" s="1423">
        <f>-(G261-F261)*$M$251</f>
        <v>781.0317</v>
      </c>
      <c r="J261" s="118">
        <v>0</v>
      </c>
      <c r="K261" s="2599"/>
      <c r="L261" s="2599"/>
      <c r="M261" s="2599"/>
      <c r="N261" s="2599"/>
      <c r="O261" s="1286"/>
      <c r="P261" s="95"/>
      <c r="Q261" s="128">
        <f>'T1.2025'!I171</f>
        <v>0</v>
      </c>
      <c r="R261" s="743"/>
      <c r="S261" s="743"/>
      <c r="T261" s="749">
        <f>'T4.2025 '!I185</f>
        <v>300</v>
      </c>
      <c r="U261" s="743"/>
      <c r="V261" s="743"/>
      <c r="W261" s="743"/>
      <c r="X261" s="743"/>
      <c r="Y261" s="97"/>
      <c r="Z261" s="97"/>
      <c r="AA261" s="97"/>
      <c r="AB261" s="97"/>
      <c r="AC261" s="97"/>
      <c r="AD261" s="97"/>
      <c r="AE261" s="97">
        <f t="shared" si="57"/>
        <v>300</v>
      </c>
      <c r="AF261" s="95"/>
      <c r="AG261" s="95"/>
      <c r="AH261" s="2"/>
      <c r="AI261" s="2"/>
      <c r="AJ261" s="2"/>
      <c r="AK261" s="2"/>
    </row>
    <row r="262" spans="1:37" ht="34" customHeight="1" x14ac:dyDescent="0.2">
      <c r="A262" s="1"/>
      <c r="B262" s="57">
        <v>12</v>
      </c>
      <c r="C262" s="2747" t="s">
        <v>197</v>
      </c>
      <c r="D262" s="2747"/>
      <c r="E262" s="12" t="s">
        <v>49</v>
      </c>
      <c r="F262" s="678">
        <v>1.82</v>
      </c>
      <c r="G262" s="1422">
        <f t="shared" si="58"/>
        <v>1.8318383299953183</v>
      </c>
      <c r="H262" s="23">
        <f t="shared" si="56"/>
        <v>942988.24</v>
      </c>
      <c r="I262" s="1423"/>
      <c r="J262" s="118">
        <f>(G262-F262)*M251</f>
        <v>6094.0999999999158</v>
      </c>
      <c r="K262" s="2599"/>
      <c r="L262" s="2599"/>
      <c r="M262" s="2599"/>
      <c r="N262" s="2599"/>
      <c r="O262" s="1286"/>
      <c r="P262" s="103"/>
      <c r="Q262" s="128">
        <f>'T1.2025'!I172</f>
        <v>205907.74</v>
      </c>
      <c r="R262" s="743"/>
      <c r="S262" s="743"/>
      <c r="T262" s="749">
        <f>'T4.2025 '!I186</f>
        <v>269882.5</v>
      </c>
      <c r="U262" s="743">
        <f>'T5.2025'!I227</f>
        <v>467198</v>
      </c>
      <c r="V262" s="743"/>
      <c r="W262" s="743"/>
      <c r="X262" s="743"/>
      <c r="Y262" s="97"/>
      <c r="Z262" s="97"/>
      <c r="AA262" s="97"/>
      <c r="AB262" s="97"/>
      <c r="AC262" s="97"/>
      <c r="AD262" s="97"/>
      <c r="AE262" s="97">
        <f t="shared" si="57"/>
        <v>942988.24</v>
      </c>
      <c r="AF262" s="95"/>
      <c r="AG262" s="95"/>
      <c r="AH262" s="2"/>
      <c r="AI262" s="2"/>
      <c r="AJ262" s="2"/>
      <c r="AK262" s="2"/>
    </row>
    <row r="263" spans="1:37" ht="34" customHeight="1" x14ac:dyDescent="0.2">
      <c r="A263" s="1"/>
      <c r="B263" s="57">
        <v>13</v>
      </c>
      <c r="C263" s="321" t="s">
        <v>198</v>
      </c>
      <c r="D263" s="321"/>
      <c r="E263" s="12" t="s">
        <v>49</v>
      </c>
      <c r="F263" s="678">
        <v>7.6E-3</v>
      </c>
      <c r="G263" s="1422">
        <f t="shared" si="58"/>
        <v>7.4983925078237765E-3</v>
      </c>
      <c r="H263" s="23">
        <f t="shared" si="56"/>
        <v>3860</v>
      </c>
      <c r="I263" s="1423">
        <f>-(G263-F263)*$M$251</f>
        <v>52.305199999999793</v>
      </c>
      <c r="J263" s="118">
        <v>0</v>
      </c>
      <c r="K263" s="2599"/>
      <c r="L263" s="2599"/>
      <c r="M263" s="2599"/>
      <c r="N263" s="2599"/>
      <c r="O263" s="1286"/>
      <c r="P263" s="650"/>
      <c r="Q263" s="128">
        <f>'T1.2025'!I173</f>
        <v>880</v>
      </c>
      <c r="R263" s="743"/>
      <c r="S263" s="743"/>
      <c r="T263" s="749">
        <f>'T4.2025 '!I187</f>
        <v>1120</v>
      </c>
      <c r="U263" s="743">
        <f>'T5.2025'!I228</f>
        <v>1860</v>
      </c>
      <c r="V263" s="743"/>
      <c r="W263" s="743"/>
      <c r="X263" s="743"/>
      <c r="Y263" s="97"/>
      <c r="Z263" s="97"/>
      <c r="AA263" s="97"/>
      <c r="AB263" s="97"/>
      <c r="AC263" s="97"/>
      <c r="AD263" s="97"/>
      <c r="AE263" s="97">
        <f t="shared" si="57"/>
        <v>3860</v>
      </c>
      <c r="AF263" s="95"/>
      <c r="AG263" s="95"/>
      <c r="AH263" s="2"/>
      <c r="AI263" s="2"/>
      <c r="AJ263" s="2"/>
      <c r="AK263" s="2"/>
    </row>
    <row r="264" spans="1:37" ht="34" customHeight="1" x14ac:dyDescent="0.2">
      <c r="A264" s="1"/>
      <c r="B264" s="57">
        <v>14</v>
      </c>
      <c r="C264" s="2747" t="s">
        <v>199</v>
      </c>
      <c r="D264" s="2747"/>
      <c r="E264" s="12" t="s">
        <v>195</v>
      </c>
      <c r="F264" s="678">
        <v>4.2000000000000003E-2</v>
      </c>
      <c r="G264" s="1422">
        <f t="shared" si="58"/>
        <v>9.4215553530946402E-3</v>
      </c>
      <c r="H264" s="23">
        <f t="shared" si="56"/>
        <v>4850</v>
      </c>
      <c r="I264" s="1423">
        <f>-(G264-F264)*$M$251</f>
        <v>16770.634000000002</v>
      </c>
      <c r="J264" s="118">
        <v>0</v>
      </c>
      <c r="K264" s="2599"/>
      <c r="L264" s="2599"/>
      <c r="M264" s="2599"/>
      <c r="N264" s="2599"/>
      <c r="O264" s="1286"/>
      <c r="P264" s="95"/>
      <c r="Q264" s="128">
        <f>'T1.2025'!I174</f>
        <v>4850</v>
      </c>
      <c r="R264" s="746"/>
      <c r="S264" s="746"/>
      <c r="T264" s="749"/>
      <c r="U264" s="746"/>
      <c r="V264" s="746"/>
      <c r="W264" s="746"/>
      <c r="X264" s="746"/>
      <c r="Y264" s="133"/>
      <c r="Z264" s="133"/>
      <c r="AA264" s="133"/>
      <c r="AB264" s="133"/>
      <c r="AC264" s="133"/>
      <c r="AD264" s="133"/>
      <c r="AE264" s="133">
        <f t="shared" si="57"/>
        <v>4850</v>
      </c>
      <c r="AF264" s="95"/>
      <c r="AG264" s="95"/>
      <c r="AH264" s="2"/>
      <c r="AI264" s="2"/>
      <c r="AJ264" s="2"/>
      <c r="AK264" s="2"/>
    </row>
    <row r="265" spans="1:37" ht="34" customHeight="1" x14ac:dyDescent="0.2">
      <c r="A265" s="1"/>
      <c r="B265" s="57">
        <v>15</v>
      </c>
      <c r="C265" s="2747" t="s">
        <v>185</v>
      </c>
      <c r="D265" s="2747"/>
      <c r="E265" s="12" t="s">
        <v>195</v>
      </c>
      <c r="F265" s="678"/>
      <c r="G265" s="679"/>
      <c r="H265" s="23">
        <f t="shared" si="56"/>
        <v>5660</v>
      </c>
      <c r="I265" s="28"/>
      <c r="J265" s="118"/>
      <c r="K265" s="2599"/>
      <c r="L265" s="2599"/>
      <c r="M265" s="2599"/>
      <c r="N265" s="2599"/>
      <c r="O265" s="1286"/>
      <c r="P265" s="95"/>
      <c r="Q265" s="128">
        <v>1280</v>
      </c>
      <c r="R265" s="458"/>
      <c r="S265" s="458"/>
      <c r="T265" s="749">
        <f>'T4.2025 '!I188</f>
        <v>1620</v>
      </c>
      <c r="U265" s="458">
        <f>'T5.2025'!I229</f>
        <v>2760</v>
      </c>
      <c r="V265" s="458"/>
      <c r="W265" s="458"/>
      <c r="X265" s="458"/>
      <c r="Y265" s="211"/>
      <c r="Z265" s="211"/>
      <c r="AA265" s="211"/>
      <c r="AB265" s="211"/>
      <c r="AC265" s="211"/>
      <c r="AD265" s="211"/>
      <c r="AE265" s="211">
        <f t="shared" si="57"/>
        <v>5660</v>
      </c>
      <c r="AF265" s="95"/>
      <c r="AG265" s="95"/>
      <c r="AH265" s="2"/>
      <c r="AI265" s="2"/>
      <c r="AJ265" s="2"/>
      <c r="AK265" s="2"/>
    </row>
    <row r="266" spans="1:37" ht="41" customHeight="1" x14ac:dyDescent="0.2">
      <c r="A266" s="1"/>
      <c r="B266" s="2874" t="s">
        <v>207</v>
      </c>
      <c r="C266" s="2611"/>
      <c r="D266" s="2611"/>
      <c r="E266" s="2611"/>
      <c r="F266" s="2611"/>
      <c r="G266" s="2611"/>
      <c r="H266" s="2611"/>
      <c r="I266" s="2611"/>
      <c r="J266" s="2611"/>
      <c r="K266" s="2611"/>
      <c r="L266" s="2611"/>
      <c r="M266" s="2611"/>
      <c r="N266" s="2611"/>
      <c r="O266" s="1286"/>
      <c r="P266" s="95"/>
      <c r="Q266" s="103"/>
      <c r="R266" s="763"/>
      <c r="S266" s="763"/>
      <c r="Y266" s="2"/>
      <c r="Z266" s="2"/>
      <c r="AA266" s="2"/>
      <c r="AB266" s="2"/>
      <c r="AC266" s="2"/>
      <c r="AD266" s="2"/>
      <c r="AE266" s="476"/>
      <c r="AF266" s="476"/>
      <c r="AG266" s="476"/>
    </row>
    <row r="267" spans="1:37" ht="41" customHeight="1" x14ac:dyDescent="0.2">
      <c r="A267" s="1"/>
      <c r="B267" s="11" t="s">
        <v>39</v>
      </c>
      <c r="C267" s="2551" t="s">
        <v>191</v>
      </c>
      <c r="D267" s="2470"/>
      <c r="E267" s="11" t="s">
        <v>17</v>
      </c>
      <c r="F267" s="291" t="s">
        <v>149</v>
      </c>
      <c r="G267" s="291" t="s">
        <v>150</v>
      </c>
      <c r="H267" s="11" t="s">
        <v>151</v>
      </c>
      <c r="I267" s="291" t="s">
        <v>355</v>
      </c>
      <c r="J267" s="1414" t="s">
        <v>356</v>
      </c>
      <c r="K267" s="2551" t="s">
        <v>47</v>
      </c>
      <c r="L267" s="2470"/>
      <c r="M267" s="2470"/>
      <c r="N267" s="2470"/>
      <c r="O267" s="1286"/>
      <c r="P267" s="640" t="s">
        <v>390</v>
      </c>
      <c r="Q267" s="210" t="s">
        <v>154</v>
      </c>
      <c r="R267" s="761" t="s">
        <v>155</v>
      </c>
      <c r="S267" s="761" t="s">
        <v>156</v>
      </c>
      <c r="T267" s="761" t="s">
        <v>157</v>
      </c>
      <c r="U267" s="761" t="s">
        <v>158</v>
      </c>
      <c r="V267" s="761" t="s">
        <v>159</v>
      </c>
      <c r="W267" s="761" t="s">
        <v>160</v>
      </c>
      <c r="X267" s="761" t="s">
        <v>161</v>
      </c>
      <c r="Y267" s="139" t="s">
        <v>162</v>
      </c>
      <c r="Z267" s="139" t="s">
        <v>111</v>
      </c>
      <c r="AA267" s="139" t="s">
        <v>29</v>
      </c>
      <c r="AB267" s="139" t="s">
        <v>31</v>
      </c>
      <c r="AC267" s="139"/>
      <c r="AD267" s="139"/>
      <c r="AE267" s="139" t="s">
        <v>33</v>
      </c>
      <c r="AF267" s="103"/>
      <c r="AG267" s="103"/>
    </row>
    <row r="268" spans="1:37" ht="39" customHeight="1" x14ac:dyDescent="0.2">
      <c r="A268" s="1"/>
      <c r="B268" s="57">
        <v>1</v>
      </c>
      <c r="C268" s="2646" t="s">
        <v>194</v>
      </c>
      <c r="D268" s="2470"/>
      <c r="E268" s="12" t="s">
        <v>49</v>
      </c>
      <c r="F268" s="1503">
        <v>21.65</v>
      </c>
      <c r="G268" s="151">
        <f>H268/M268</f>
        <v>21.218430151253873</v>
      </c>
      <c r="H268" s="269">
        <f>AE268</f>
        <v>2473199</v>
      </c>
      <c r="I268" s="28">
        <f>-(G268-F268)*$M$268</f>
        <v>50303.349999999642</v>
      </c>
      <c r="J268" s="320"/>
      <c r="K268" s="2722" t="s">
        <v>165</v>
      </c>
      <c r="L268" s="2872"/>
      <c r="M268" s="2873">
        <f>G222+G223</f>
        <v>116559</v>
      </c>
      <c r="N268" s="2470"/>
      <c r="O268" s="1286"/>
      <c r="P268" s="95"/>
      <c r="Q268" s="128">
        <f>'T1.2025'!I178</f>
        <v>0</v>
      </c>
      <c r="R268" s="749"/>
      <c r="S268" s="749"/>
      <c r="T268" s="749"/>
      <c r="U268" s="749">
        <f>'T5.2025'!I233</f>
        <v>2473199</v>
      </c>
      <c r="V268" s="749"/>
      <c r="W268" s="749"/>
      <c r="X268" s="743"/>
      <c r="Y268" s="97"/>
      <c r="Z268" s="97"/>
      <c r="AA268" s="97"/>
      <c r="AB268" s="97"/>
      <c r="AC268" s="97"/>
      <c r="AD268" s="97"/>
      <c r="AE268" s="97">
        <f>SUM(O268:AB268)</f>
        <v>2473199</v>
      </c>
      <c r="AF268" s="95"/>
      <c r="AG268" s="95"/>
    </row>
    <row r="269" spans="1:37" ht="39" customHeight="1" x14ac:dyDescent="0.2">
      <c r="A269" s="1"/>
      <c r="B269" s="57">
        <v>2</v>
      </c>
      <c r="C269" s="2646" t="s">
        <v>963</v>
      </c>
      <c r="D269" s="2470"/>
      <c r="E269" s="12" t="s">
        <v>49</v>
      </c>
      <c r="F269" s="658">
        <v>0.436</v>
      </c>
      <c r="G269" s="679">
        <f>H269/M269</f>
        <v>0.43568294136923219</v>
      </c>
      <c r="H269" s="150">
        <f t="shared" ref="H269:H280" si="59">AE269</f>
        <v>43236.6</v>
      </c>
      <c r="I269" s="28">
        <f>-(G269-F269)*$M$269</f>
        <v>31.464480000004659</v>
      </c>
      <c r="J269" s="118"/>
      <c r="K269" s="2722" t="s">
        <v>203</v>
      </c>
      <c r="L269" s="2872"/>
      <c r="M269" s="2873">
        <f>G222</f>
        <v>99238.680000000008</v>
      </c>
      <c r="N269" s="2470"/>
      <c r="O269" s="1286"/>
      <c r="P269" s="95"/>
      <c r="Q269" s="128">
        <f>'T1.2025'!I179</f>
        <v>0</v>
      </c>
      <c r="R269" s="743"/>
      <c r="S269" s="743"/>
      <c r="T269" s="743"/>
      <c r="U269" s="749">
        <f>'T5.2025'!I234</f>
        <v>43236.6</v>
      </c>
      <c r="V269" s="743"/>
      <c r="W269" s="743"/>
      <c r="X269" s="743"/>
      <c r="Y269" s="97"/>
      <c r="Z269" s="97"/>
      <c r="AA269" s="97"/>
      <c r="AB269" s="97"/>
      <c r="AC269" s="97"/>
      <c r="AD269" s="97"/>
      <c r="AE269" s="97">
        <f t="shared" ref="AE269:AE280" si="60">SUM(Q269:AB269)</f>
        <v>43236.6</v>
      </c>
      <c r="AF269" s="95"/>
      <c r="AG269" s="95"/>
    </row>
    <row r="270" spans="1:37" ht="39" customHeight="1" x14ac:dyDescent="0.2">
      <c r="A270" s="1"/>
      <c r="B270" s="57">
        <v>3</v>
      </c>
      <c r="C270" s="2646" t="s">
        <v>208</v>
      </c>
      <c r="D270" s="2470"/>
      <c r="E270" s="12" t="s">
        <v>49</v>
      </c>
      <c r="F270" s="658">
        <v>0.31900000000000001</v>
      </c>
      <c r="G270" s="679">
        <f>H270/M270</f>
        <v>0.3150923308576285</v>
      </c>
      <c r="H270" s="150">
        <f t="shared" si="59"/>
        <v>5457.5</v>
      </c>
      <c r="I270" s="28">
        <f>-(G270-F270)*$M$270</f>
        <v>67.682080000000042</v>
      </c>
      <c r="J270" s="1502"/>
      <c r="K270" s="2722" t="s">
        <v>209</v>
      </c>
      <c r="L270" s="2872"/>
      <c r="M270" s="2873">
        <f>G223</f>
        <v>17320.32</v>
      </c>
      <c r="N270" s="2470"/>
      <c r="O270" s="1286"/>
      <c r="P270" s="95"/>
      <c r="Q270" s="128">
        <f>'T1.2025'!I180</f>
        <v>0</v>
      </c>
      <c r="R270" s="743"/>
      <c r="S270" s="743"/>
      <c r="T270" s="743"/>
      <c r="U270" s="749">
        <f>'T5.2025'!I235</f>
        <v>5457.5</v>
      </c>
      <c r="V270" s="743"/>
      <c r="W270" s="743"/>
      <c r="X270" s="743"/>
      <c r="Y270" s="97"/>
      <c r="Z270" s="97"/>
      <c r="AA270" s="97"/>
      <c r="AB270" s="97"/>
      <c r="AC270" s="97"/>
      <c r="AD270" s="97"/>
      <c r="AE270" s="97">
        <f t="shared" si="60"/>
        <v>5457.5</v>
      </c>
      <c r="AF270" s="95"/>
      <c r="AG270" s="95"/>
    </row>
    <row r="271" spans="1:37" ht="39" customHeight="1" x14ac:dyDescent="0.2">
      <c r="A271" s="1"/>
      <c r="B271" s="1226">
        <v>4</v>
      </c>
      <c r="C271" s="2867" t="s">
        <v>204</v>
      </c>
      <c r="D271" s="2868"/>
      <c r="E271" s="30" t="s">
        <v>49</v>
      </c>
      <c r="F271" s="1426">
        <v>0.38900000000000001</v>
      </c>
      <c r="G271" s="1427">
        <f>H271/M269</f>
        <v>0.42139617334692481</v>
      </c>
      <c r="H271" s="1504">
        <f t="shared" si="59"/>
        <v>41818.800000000003</v>
      </c>
      <c r="I271" s="1421"/>
      <c r="J271" s="1494">
        <f>(G271-F271)*M269</f>
        <v>3214.9534799999988</v>
      </c>
      <c r="K271" s="2869" t="s">
        <v>391</v>
      </c>
      <c r="L271" s="2869"/>
      <c r="M271" s="2870">
        <f>'TH Than 2025'!Q34</f>
        <v>117271.8</v>
      </c>
      <c r="N271" s="2871"/>
      <c r="O271" s="1286"/>
      <c r="P271" s="95"/>
      <c r="Q271" s="128">
        <f>'T1.2025'!I181</f>
        <v>0</v>
      </c>
      <c r="R271" s="743"/>
      <c r="S271" s="743"/>
      <c r="T271" s="743"/>
      <c r="U271" s="749">
        <f>'T5.2025'!I236</f>
        <v>41818.800000000003</v>
      </c>
      <c r="V271" s="743"/>
      <c r="W271" s="743"/>
      <c r="X271" s="743"/>
      <c r="Y271" s="97"/>
      <c r="Z271" s="97"/>
      <c r="AA271" s="97"/>
      <c r="AB271" s="97"/>
      <c r="AC271" s="97"/>
      <c r="AD271" s="97"/>
      <c r="AE271" s="97">
        <f t="shared" si="60"/>
        <v>41818.800000000003</v>
      </c>
      <c r="AF271" s="95"/>
      <c r="AG271" s="95"/>
    </row>
    <row r="272" spans="1:37" ht="39" customHeight="1" x14ac:dyDescent="0.2">
      <c r="A272" s="321"/>
      <c r="B272" s="57">
        <v>5</v>
      </c>
      <c r="C272" s="2646" t="s">
        <v>733</v>
      </c>
      <c r="D272" s="2470"/>
      <c r="E272" s="12" t="s">
        <v>49</v>
      </c>
      <c r="F272" s="658">
        <v>0.31900000000000001</v>
      </c>
      <c r="G272" s="679">
        <f>H272/M270</f>
        <v>0.40151105753242439</v>
      </c>
      <c r="H272" s="150">
        <f t="shared" si="59"/>
        <v>6954.3</v>
      </c>
      <c r="I272" s="28"/>
      <c r="J272" s="118">
        <f>(G272-F272)*$M$270</f>
        <v>1429.1179200000006</v>
      </c>
      <c r="K272" s="2599" t="s">
        <v>392</v>
      </c>
      <c r="L272" s="2599"/>
      <c r="M272" s="2599"/>
      <c r="N272" s="2599"/>
      <c r="O272" s="1286"/>
      <c r="P272" s="95"/>
      <c r="Q272" s="128">
        <f>'T1.2025'!I182</f>
        <v>0</v>
      </c>
      <c r="R272" s="743"/>
      <c r="S272" s="743"/>
      <c r="T272" s="743"/>
      <c r="U272" s="749">
        <f>'T5.2025'!I237</f>
        <v>6954.3</v>
      </c>
      <c r="V272" s="743"/>
      <c r="W272" s="743"/>
      <c r="X272" s="743"/>
      <c r="Y272" s="97"/>
      <c r="Z272" s="97"/>
      <c r="AA272" s="97"/>
      <c r="AB272" s="97"/>
      <c r="AC272" s="97"/>
      <c r="AD272" s="97"/>
      <c r="AE272" s="97">
        <f t="shared" si="60"/>
        <v>6954.3</v>
      </c>
      <c r="AF272" s="95"/>
      <c r="AG272" s="95"/>
    </row>
    <row r="273" spans="1:37" ht="39" customHeight="1" x14ac:dyDescent="0.2">
      <c r="A273" s="321"/>
      <c r="B273" s="57">
        <v>6</v>
      </c>
      <c r="C273" s="2646" t="s">
        <v>969</v>
      </c>
      <c r="D273" s="2470"/>
      <c r="E273" s="12" t="s">
        <v>195</v>
      </c>
      <c r="F273" s="678">
        <v>0.55700000000000005</v>
      </c>
      <c r="G273" s="685">
        <f t="shared" ref="G273:G279" si="61">H273/$M$268</f>
        <v>0.56424643313686629</v>
      </c>
      <c r="H273" s="150">
        <f t="shared" si="59"/>
        <v>65768</v>
      </c>
      <c r="I273" s="15"/>
      <c r="J273" s="118">
        <f>(G273-F273)*$M$268</f>
        <v>844.63699999999176</v>
      </c>
      <c r="K273" s="2599"/>
      <c r="L273" s="2599"/>
      <c r="M273" s="2599"/>
      <c r="N273" s="2599"/>
      <c r="O273" s="1286"/>
      <c r="P273" s="95"/>
      <c r="Q273" s="128">
        <f>'T1.2025'!I183</f>
        <v>0</v>
      </c>
      <c r="R273" s="743"/>
      <c r="S273" s="743"/>
      <c r="T273" s="743"/>
      <c r="U273" s="749">
        <f>'T5.2025'!I238</f>
        <v>65768</v>
      </c>
      <c r="V273" s="743"/>
      <c r="W273" s="743"/>
      <c r="X273" s="743"/>
      <c r="Y273" s="97"/>
      <c r="Z273" s="97"/>
      <c r="AA273" s="97"/>
      <c r="AB273" s="97"/>
      <c r="AC273" s="97"/>
      <c r="AD273" s="97"/>
      <c r="AE273" s="97">
        <f t="shared" si="60"/>
        <v>65768</v>
      </c>
      <c r="AF273" s="95"/>
      <c r="AG273" s="95"/>
    </row>
    <row r="274" spans="1:37" ht="39" customHeight="1" x14ac:dyDescent="0.2">
      <c r="A274" s="321"/>
      <c r="B274" s="57">
        <v>7</v>
      </c>
      <c r="C274" s="2646" t="s">
        <v>177</v>
      </c>
      <c r="D274" s="2470"/>
      <c r="E274" s="12" t="s">
        <v>49</v>
      </c>
      <c r="F274" s="658">
        <v>2.1999999999999999E-2</v>
      </c>
      <c r="G274" s="679">
        <f t="shared" si="61"/>
        <v>2.2091816161772151E-2</v>
      </c>
      <c r="H274" s="150">
        <f t="shared" si="59"/>
        <v>2575</v>
      </c>
      <c r="I274" s="15"/>
      <c r="J274" s="118"/>
      <c r="K274" s="2599"/>
      <c r="L274" s="2599"/>
      <c r="M274" s="2599"/>
      <c r="N274" s="2599"/>
      <c r="O274" s="1286"/>
      <c r="P274" s="95"/>
      <c r="Q274" s="128">
        <f>'T1.2025'!I184</f>
        <v>0</v>
      </c>
      <c r="R274" s="743"/>
      <c r="S274" s="743"/>
      <c r="T274" s="743"/>
      <c r="U274" s="749">
        <f>'T5.2025'!I239</f>
        <v>2575</v>
      </c>
      <c r="V274" s="743"/>
      <c r="W274" s="743"/>
      <c r="X274" s="743"/>
      <c r="Y274" s="97"/>
      <c r="Z274" s="97"/>
      <c r="AA274" s="97"/>
      <c r="AB274" s="97"/>
      <c r="AC274" s="97"/>
      <c r="AD274" s="97"/>
      <c r="AE274" s="97">
        <f t="shared" si="60"/>
        <v>2575</v>
      </c>
      <c r="AF274" s="95"/>
      <c r="AG274" s="95"/>
    </row>
    <row r="275" spans="1:37" ht="39" customHeight="1" x14ac:dyDescent="0.2">
      <c r="A275" s="321"/>
      <c r="B275" s="57">
        <v>8</v>
      </c>
      <c r="C275" s="2646" t="s">
        <v>178</v>
      </c>
      <c r="D275" s="2470"/>
      <c r="E275" s="12" t="s">
        <v>49</v>
      </c>
      <c r="F275" s="657">
        <v>1.09E-2</v>
      </c>
      <c r="G275" s="1247">
        <f t="shared" si="61"/>
        <v>1.0981562985269262E-2</v>
      </c>
      <c r="H275" s="150">
        <f t="shared" si="59"/>
        <v>1280</v>
      </c>
      <c r="I275" s="28"/>
      <c r="J275" s="118">
        <f>(G275-F275)*M268</f>
        <v>9.5068999999999466</v>
      </c>
      <c r="K275" s="2599"/>
      <c r="L275" s="2599"/>
      <c r="M275" s="2599"/>
      <c r="N275" s="2599"/>
      <c r="O275" s="1286"/>
      <c r="P275" s="95"/>
      <c r="Q275" s="128">
        <f>'T1.2025'!I185</f>
        <v>0</v>
      </c>
      <c r="R275" s="743"/>
      <c r="S275" s="743"/>
      <c r="T275" s="743"/>
      <c r="U275" s="749">
        <f>'T5.2025'!I240</f>
        <v>1280</v>
      </c>
      <c r="V275" s="743"/>
      <c r="W275" s="743"/>
      <c r="X275" s="743"/>
      <c r="Y275" s="97"/>
      <c r="Z275" s="97"/>
      <c r="AA275" s="97"/>
      <c r="AB275" s="97"/>
      <c r="AC275" s="97"/>
      <c r="AD275" s="97"/>
      <c r="AE275" s="97">
        <f t="shared" si="60"/>
        <v>1280</v>
      </c>
      <c r="AF275" s="95"/>
      <c r="AG275" s="95"/>
    </row>
    <row r="276" spans="1:37" ht="39" customHeight="1" x14ac:dyDescent="0.2">
      <c r="A276" s="321"/>
      <c r="B276" s="57">
        <v>9</v>
      </c>
      <c r="C276" s="321" t="s">
        <v>179</v>
      </c>
      <c r="D276" s="321"/>
      <c r="E276" s="12" t="s">
        <v>49</v>
      </c>
      <c r="F276" s="658">
        <v>2.7E-2</v>
      </c>
      <c r="G276" s="679">
        <f t="shared" si="61"/>
        <v>7.3542154616975094E-2</v>
      </c>
      <c r="H276" s="150">
        <f t="shared" si="59"/>
        <v>8572</v>
      </c>
      <c r="I276" s="28"/>
      <c r="J276" s="118">
        <f>(G276-F276)*$M$268</f>
        <v>5424.9070000000002</v>
      </c>
      <c r="K276" s="2599"/>
      <c r="L276" s="2599"/>
      <c r="M276" s="2599"/>
      <c r="N276" s="2599"/>
      <c r="O276" s="1286"/>
      <c r="P276" s="95"/>
      <c r="Q276" s="128">
        <f>'T1.2025'!I186</f>
        <v>0</v>
      </c>
      <c r="R276" s="743"/>
      <c r="S276" s="743"/>
      <c r="T276" s="743"/>
      <c r="U276" s="749">
        <f>'T5.2025'!I244</f>
        <v>8572</v>
      </c>
      <c r="V276" s="743"/>
      <c r="W276" s="743"/>
      <c r="X276" s="743"/>
      <c r="Y276" s="97"/>
      <c r="Z276" s="97"/>
      <c r="AA276" s="97"/>
      <c r="AB276" s="97"/>
      <c r="AC276" s="97"/>
      <c r="AD276" s="97"/>
      <c r="AE276" s="97">
        <f t="shared" si="60"/>
        <v>8572</v>
      </c>
      <c r="AF276" s="95"/>
      <c r="AG276" s="95"/>
    </row>
    <row r="277" spans="1:37" ht="39" customHeight="1" x14ac:dyDescent="0.2">
      <c r="A277" s="321"/>
      <c r="B277" s="57">
        <v>10</v>
      </c>
      <c r="C277" s="321" t="s">
        <v>206</v>
      </c>
      <c r="D277" s="321"/>
      <c r="E277" s="12" t="s">
        <v>49</v>
      </c>
      <c r="F277" s="678">
        <v>0</v>
      </c>
      <c r="G277" s="679">
        <f t="shared" si="61"/>
        <v>0</v>
      </c>
      <c r="H277" s="150">
        <f t="shared" si="59"/>
        <v>0</v>
      </c>
      <c r="I277" s="28"/>
      <c r="J277" s="118">
        <f>(G277-F277)*$O$308</f>
        <v>0</v>
      </c>
      <c r="K277" s="2599"/>
      <c r="L277" s="2599"/>
      <c r="M277" s="2599"/>
      <c r="N277" s="2599"/>
      <c r="O277" s="1286"/>
      <c r="P277" s="95"/>
      <c r="Q277" s="128">
        <f>'T1.2025'!I187</f>
        <v>0</v>
      </c>
      <c r="R277" s="743"/>
      <c r="S277" s="743"/>
      <c r="T277" s="743"/>
      <c r="U277" s="749"/>
      <c r="V277" s="743"/>
      <c r="W277" s="743"/>
      <c r="X277" s="743"/>
      <c r="Y277" s="97"/>
      <c r="Z277" s="97"/>
      <c r="AA277" s="97"/>
      <c r="AB277" s="97"/>
      <c r="AC277" s="97"/>
      <c r="AD277" s="97"/>
      <c r="AE277" s="97">
        <f t="shared" si="60"/>
        <v>0</v>
      </c>
      <c r="AF277" s="95"/>
      <c r="AG277" s="95"/>
    </row>
    <row r="278" spans="1:37" ht="39" customHeight="1" x14ac:dyDescent="0.2">
      <c r="A278" s="321"/>
      <c r="B278" s="57">
        <v>11</v>
      </c>
      <c r="C278" s="2646" t="s">
        <v>197</v>
      </c>
      <c r="D278" s="2470"/>
      <c r="E278" s="12" t="s">
        <v>49</v>
      </c>
      <c r="F278" s="74">
        <v>1.84</v>
      </c>
      <c r="G278" s="151">
        <f>H278/$M$268</f>
        <v>1.9136651824397943</v>
      </c>
      <c r="H278" s="150">
        <f t="shared" si="59"/>
        <v>223054.9</v>
      </c>
      <c r="I278" s="28"/>
      <c r="J278" s="118">
        <f>(G278-F278)*M268</f>
        <v>8586.3399999999783</v>
      </c>
      <c r="K278" s="2599"/>
      <c r="L278" s="2599"/>
      <c r="M278" s="2599"/>
      <c r="N278" s="2599"/>
      <c r="O278" s="1286"/>
      <c r="P278" s="95"/>
      <c r="Q278" s="128">
        <f>'T1.2025'!I188</f>
        <v>0</v>
      </c>
      <c r="R278" s="743"/>
      <c r="S278" s="743"/>
      <c r="T278" s="743"/>
      <c r="U278" s="749">
        <f>'T5.2025'!I241</f>
        <v>223054.9</v>
      </c>
      <c r="V278" s="743"/>
      <c r="W278" s="743"/>
      <c r="X278" s="743"/>
      <c r="Y278" s="97"/>
      <c r="Z278" s="97"/>
      <c r="AA278" s="97"/>
      <c r="AB278" s="97"/>
      <c r="AC278" s="97"/>
      <c r="AD278" s="97"/>
      <c r="AE278" s="97">
        <f t="shared" si="60"/>
        <v>223054.9</v>
      </c>
      <c r="AF278" s="95"/>
      <c r="AG278" s="95"/>
    </row>
    <row r="279" spans="1:37" ht="39" customHeight="1" x14ac:dyDescent="0.2">
      <c r="A279" s="321"/>
      <c r="B279" s="57">
        <v>12</v>
      </c>
      <c r="C279" s="2646" t="s">
        <v>198</v>
      </c>
      <c r="D279" s="2470"/>
      <c r="E279" s="12" t="s">
        <v>49</v>
      </c>
      <c r="F279" s="678">
        <v>5.3E-3</v>
      </c>
      <c r="G279" s="685">
        <f t="shared" si="61"/>
        <v>5.1476076493449669E-3</v>
      </c>
      <c r="H279" s="150">
        <f t="shared" si="59"/>
        <v>600</v>
      </c>
      <c r="I279" s="28">
        <f>-(G279-F279)*M268</f>
        <v>17.762700000000006</v>
      </c>
      <c r="J279" s="118"/>
      <c r="K279" s="2599"/>
      <c r="L279" s="2599"/>
      <c r="M279" s="2599"/>
      <c r="N279" s="2599"/>
      <c r="O279" s="1286"/>
      <c r="P279" s="103"/>
      <c r="Q279" s="263">
        <f>'T1.2025'!I189</f>
        <v>0</v>
      </c>
      <c r="R279" s="746"/>
      <c r="S279" s="746"/>
      <c r="T279" s="746"/>
      <c r="U279" s="749">
        <f>'T5.2025'!I242</f>
        <v>600</v>
      </c>
      <c r="V279" s="746"/>
      <c r="W279" s="746"/>
      <c r="X279" s="746"/>
      <c r="Y279" s="133"/>
      <c r="Z279" s="133"/>
      <c r="AA279" s="133"/>
      <c r="AB279" s="133"/>
      <c r="AC279" s="133"/>
      <c r="AD279" s="133"/>
      <c r="AE279" s="133">
        <f t="shared" si="60"/>
        <v>600</v>
      </c>
      <c r="AF279" s="95"/>
      <c r="AG279" s="95"/>
    </row>
    <row r="280" spans="1:37" ht="39" customHeight="1" x14ac:dyDescent="0.2">
      <c r="A280" s="1"/>
      <c r="B280" s="1225">
        <v>13</v>
      </c>
      <c r="C280" s="2863" t="s">
        <v>185</v>
      </c>
      <c r="D280" s="2864"/>
      <c r="E280" s="37" t="s">
        <v>195</v>
      </c>
      <c r="F280" s="1505">
        <v>0</v>
      </c>
      <c r="G280" s="1506"/>
      <c r="H280" s="1406">
        <f t="shared" si="59"/>
        <v>1880</v>
      </c>
      <c r="I280" s="1507"/>
      <c r="J280" s="1508">
        <f>(G280-F280)*$O$308</f>
        <v>0</v>
      </c>
      <c r="K280" s="2865" t="s">
        <v>964</v>
      </c>
      <c r="L280" s="2866"/>
      <c r="M280" s="2866"/>
      <c r="N280" s="2866"/>
      <c r="O280" s="1286"/>
      <c r="P280" s="95"/>
      <c r="Q280" s="211">
        <f>'T1.2025'!I190</f>
        <v>0</v>
      </c>
      <c r="R280" s="458"/>
      <c r="S280" s="458"/>
      <c r="T280" s="458"/>
      <c r="U280" s="749">
        <f>'T5.2025'!I243</f>
        <v>1880</v>
      </c>
      <c r="V280" s="458"/>
      <c r="W280" s="458"/>
      <c r="X280" s="458"/>
      <c r="Y280" s="211"/>
      <c r="Z280" s="211"/>
      <c r="AA280" s="211"/>
      <c r="AB280" s="211"/>
      <c r="AC280" s="211"/>
      <c r="AD280" s="211"/>
      <c r="AE280" s="211">
        <f t="shared" si="60"/>
        <v>1880</v>
      </c>
      <c r="AF280" s="95"/>
      <c r="AG280" s="95"/>
      <c r="AH280" s="2"/>
      <c r="AI280" s="2"/>
      <c r="AJ280" s="2"/>
      <c r="AK280" s="2"/>
    </row>
    <row r="281" spans="1:37" s="636" customFormat="1" ht="10" customHeight="1" x14ac:dyDescent="0.2">
      <c r="A281" s="273"/>
      <c r="O281" s="1291"/>
      <c r="P281" s="95"/>
      <c r="Q281" s="95"/>
      <c r="R281" s="742"/>
      <c r="S281" s="742"/>
      <c r="T281" s="742"/>
      <c r="U281" s="742"/>
      <c r="V281" s="742"/>
      <c r="W281" s="742"/>
      <c r="X281" s="742"/>
      <c r="Y281" s="95"/>
      <c r="Z281" s="95"/>
      <c r="AA281" s="95"/>
      <c r="AB281" s="95"/>
      <c r="AC281" s="95"/>
      <c r="AD281" s="95"/>
      <c r="AE281" s="95"/>
      <c r="AF281" s="95"/>
      <c r="AG281" s="95"/>
      <c r="AH281" s="276"/>
      <c r="AI281" s="276"/>
      <c r="AJ281" s="276"/>
      <c r="AK281" s="276"/>
    </row>
    <row r="282" spans="1:37" s="636" customFormat="1" ht="35" customHeight="1" x14ac:dyDescent="0.2">
      <c r="A282" s="273"/>
      <c r="B282" s="2645" t="s">
        <v>211</v>
      </c>
      <c r="C282" s="2494"/>
      <c r="D282" s="2494"/>
      <c r="E282" s="2494"/>
      <c r="F282" s="2494"/>
      <c r="G282" s="2494"/>
      <c r="H282" s="2494"/>
      <c r="I282" s="2494"/>
      <c r="J282" s="2494"/>
      <c r="K282" s="2494"/>
      <c r="L282" s="2494"/>
      <c r="M282" s="2494"/>
      <c r="N282" s="2494"/>
      <c r="O282" s="1291"/>
      <c r="P282" s="95"/>
      <c r="Q282" s="95"/>
      <c r="R282" s="742"/>
      <c r="S282" s="742"/>
      <c r="T282" s="742"/>
      <c r="U282" s="742"/>
      <c r="V282" s="742"/>
      <c r="W282" s="742"/>
      <c r="X282" s="742"/>
      <c r="Y282" s="95"/>
      <c r="Z282" s="95"/>
      <c r="AA282" s="95"/>
      <c r="AB282" s="95"/>
      <c r="AC282" s="95"/>
      <c r="AD282" s="95"/>
      <c r="AE282" s="95"/>
      <c r="AF282" s="95"/>
      <c r="AG282" s="95"/>
      <c r="AH282" s="276"/>
      <c r="AI282" s="276"/>
      <c r="AJ282" s="276"/>
      <c r="AK282" s="276"/>
    </row>
    <row r="283" spans="1:37" ht="47" customHeight="1" x14ac:dyDescent="0.2">
      <c r="A283" s="1"/>
      <c r="B283" s="202" t="s">
        <v>39</v>
      </c>
      <c r="C283" s="2604" t="s">
        <v>191</v>
      </c>
      <c r="D283" s="2482"/>
      <c r="E283" s="202" t="s">
        <v>17</v>
      </c>
      <c r="F283" s="638" t="s">
        <v>149</v>
      </c>
      <c r="G283" s="638" t="s">
        <v>150</v>
      </c>
      <c r="H283" s="202" t="s">
        <v>151</v>
      </c>
      <c r="I283" s="638" t="s">
        <v>355</v>
      </c>
      <c r="J283" s="639" t="s">
        <v>356</v>
      </c>
      <c r="K283" s="2604" t="s">
        <v>47</v>
      </c>
      <c r="L283" s="2481"/>
      <c r="M283" s="2481"/>
      <c r="N283" s="2482"/>
      <c r="O283" s="1286"/>
      <c r="P283" s="640" t="s">
        <v>351</v>
      </c>
      <c r="Q283" s="210" t="s">
        <v>154</v>
      </c>
      <c r="R283" s="761" t="s">
        <v>155</v>
      </c>
      <c r="S283" s="761" t="s">
        <v>156</v>
      </c>
      <c r="T283" s="761" t="s">
        <v>157</v>
      </c>
      <c r="U283" s="761" t="s">
        <v>158</v>
      </c>
      <c r="V283" s="761" t="s">
        <v>159</v>
      </c>
      <c r="W283" s="761" t="s">
        <v>160</v>
      </c>
      <c r="X283" s="761" t="s">
        <v>161</v>
      </c>
      <c r="Y283" s="139" t="s">
        <v>162</v>
      </c>
      <c r="Z283" s="139" t="s">
        <v>111</v>
      </c>
      <c r="AA283" s="139" t="s">
        <v>29</v>
      </c>
      <c r="AB283" s="139" t="s">
        <v>31</v>
      </c>
      <c r="AC283" s="139"/>
      <c r="AD283" s="139"/>
      <c r="AE283" s="139" t="s">
        <v>33</v>
      </c>
      <c r="AF283" s="103"/>
      <c r="AG283" s="103"/>
      <c r="AH283" s="2"/>
      <c r="AI283" s="2"/>
      <c r="AJ283" s="2"/>
      <c r="AK283" s="2"/>
    </row>
    <row r="284" spans="1:37" ht="35" customHeight="1" x14ac:dyDescent="0.2">
      <c r="A284" s="1"/>
      <c r="B284" s="669">
        <v>1</v>
      </c>
      <c r="C284" s="2641" t="s">
        <v>547</v>
      </c>
      <c r="D284" s="2492"/>
      <c r="E284" s="114" t="s">
        <v>49</v>
      </c>
      <c r="F284" s="686">
        <v>21.12</v>
      </c>
      <c r="G284" s="1368">
        <f>H284/$M$284</f>
        <v>20.881309662335681</v>
      </c>
      <c r="H284" s="266">
        <f>AE284</f>
        <v>22183773</v>
      </c>
      <c r="I284" s="108">
        <f>-(G284-F284)*$M$284</f>
        <v>253578.55199999653</v>
      </c>
      <c r="J284" s="687" t="s">
        <v>142</v>
      </c>
      <c r="K284" s="2658" t="s">
        <v>165</v>
      </c>
      <c r="L284" s="2492"/>
      <c r="M284" s="2659">
        <f>G221</f>
        <v>1062374.5999999999</v>
      </c>
      <c r="N284" s="2492"/>
      <c r="O284" s="1286"/>
      <c r="P284" s="95"/>
      <c r="Q284" s="128">
        <f>'T1.2025'!I193</f>
        <v>0</v>
      </c>
      <c r="R284" s="749"/>
      <c r="S284" s="749">
        <f>'T3.2025 '!I134</f>
        <v>7793396</v>
      </c>
      <c r="T284" s="749">
        <f>'T4.2025 '!I163</f>
        <v>5052686</v>
      </c>
      <c r="U284" s="749">
        <f>'T5.2025'!I247</f>
        <v>441465</v>
      </c>
      <c r="V284" s="749">
        <f>'T6.2025'!I251</f>
        <v>8896226</v>
      </c>
      <c r="W284" s="749"/>
      <c r="X284" s="743"/>
      <c r="Y284" s="97"/>
      <c r="Z284" s="97"/>
      <c r="AA284" s="97"/>
      <c r="AB284" s="97"/>
      <c r="AC284" s="97"/>
      <c r="AD284" s="97"/>
      <c r="AE284" s="97">
        <f>SUM(O284:AB284)</f>
        <v>22183773</v>
      </c>
      <c r="AF284" s="95"/>
      <c r="AG284" s="95"/>
      <c r="AH284" s="2"/>
      <c r="AI284" s="2"/>
      <c r="AJ284" s="2"/>
      <c r="AK284" s="2"/>
    </row>
    <row r="285" spans="1:37" s="636" customFormat="1" ht="35" customHeight="1" x14ac:dyDescent="0.2">
      <c r="A285" s="273"/>
      <c r="B285" s="57">
        <v>2</v>
      </c>
      <c r="C285" s="2646" t="s">
        <v>166</v>
      </c>
      <c r="D285" s="2470"/>
      <c r="E285" s="12" t="s">
        <v>49</v>
      </c>
      <c r="F285" s="658">
        <v>0.50900000000000001</v>
      </c>
      <c r="G285" s="679">
        <f>H285/$M$284</f>
        <v>0.46272435353781993</v>
      </c>
      <c r="H285" s="150">
        <f t="shared" ref="H285:H297" si="62">AE285</f>
        <v>491586.6</v>
      </c>
      <c r="I285" s="28">
        <f>-(G285-F285)*M284</f>
        <v>49162.071399999964</v>
      </c>
      <c r="J285" s="688"/>
      <c r="K285" s="2599" t="s">
        <v>365</v>
      </c>
      <c r="L285" s="2599"/>
      <c r="M285" s="2599"/>
      <c r="N285" s="2599"/>
      <c r="O285" s="1291"/>
      <c r="P285" s="95"/>
      <c r="Q285" s="128">
        <f>'T1.2025'!I194</f>
        <v>0</v>
      </c>
      <c r="R285" s="743"/>
      <c r="S285" s="749">
        <f>'T3.2025 '!I135</f>
        <v>165163</v>
      </c>
      <c r="T285" s="749">
        <f>'T4.2025 '!I164</f>
        <v>109033.4</v>
      </c>
      <c r="U285" s="749">
        <f>'T5.2025'!I248</f>
        <v>10270.6</v>
      </c>
      <c r="V285" s="749">
        <f>'T6.2025'!I252</f>
        <v>207119.6</v>
      </c>
      <c r="W285" s="743"/>
      <c r="X285" s="743"/>
      <c r="Y285" s="97"/>
      <c r="Z285" s="97"/>
      <c r="AA285" s="97"/>
      <c r="AB285" s="97"/>
      <c r="AC285" s="97"/>
      <c r="AD285" s="97"/>
      <c r="AE285" s="97">
        <f t="shared" ref="AE285:AE297" si="63">SUM(Q285:AB285)</f>
        <v>491586.6</v>
      </c>
      <c r="AF285" s="95"/>
      <c r="AG285" s="95"/>
      <c r="AH285" s="276"/>
      <c r="AI285" s="276"/>
      <c r="AJ285" s="276"/>
      <c r="AK285" s="276"/>
    </row>
    <row r="286" spans="1:37" ht="35" customHeight="1" x14ac:dyDescent="0.2">
      <c r="A286" s="1"/>
      <c r="B286" s="57">
        <v>3</v>
      </c>
      <c r="C286" s="2646" t="s">
        <v>173</v>
      </c>
      <c r="D286" s="2470"/>
      <c r="E286" s="12" t="s">
        <v>49</v>
      </c>
      <c r="F286" s="658">
        <v>0.59299999999999997</v>
      </c>
      <c r="G286" s="679">
        <f>H286/$M$284</f>
        <v>0.58261426807455685</v>
      </c>
      <c r="H286" s="150">
        <f t="shared" si="62"/>
        <v>618954.6</v>
      </c>
      <c r="I286" s="28">
        <f>-(G286-F286)*M284</f>
        <v>11033.537799999864</v>
      </c>
      <c r="J286" s="688"/>
      <c r="K286" s="2599"/>
      <c r="L286" s="2599"/>
      <c r="M286" s="2599"/>
      <c r="N286" s="2599"/>
      <c r="O286" s="1286"/>
      <c r="P286" s="95"/>
      <c r="Q286" s="128">
        <f>'T1.2025'!I195</f>
        <v>0</v>
      </c>
      <c r="R286" s="743"/>
      <c r="S286" s="749">
        <f>'T3.2025 '!I136</f>
        <v>218202</v>
      </c>
      <c r="T286" s="749">
        <f>'T4.2025 '!I165</f>
        <v>142010</v>
      </c>
      <c r="U286" s="749">
        <f>'T5.2025'!I249</f>
        <v>12933.3</v>
      </c>
      <c r="V286" s="749">
        <f>'T6.2025'!I253</f>
        <v>245809.3</v>
      </c>
      <c r="W286" s="743"/>
      <c r="X286" s="743"/>
      <c r="Y286" s="97"/>
      <c r="Z286" s="97"/>
      <c r="AA286" s="97"/>
      <c r="AB286" s="97"/>
      <c r="AC286" s="97"/>
      <c r="AD286" s="97"/>
      <c r="AE286" s="97">
        <f t="shared" si="63"/>
        <v>618954.6</v>
      </c>
      <c r="AF286" s="95"/>
      <c r="AG286" s="95"/>
      <c r="AH286" s="2"/>
      <c r="AI286" s="2"/>
      <c r="AJ286" s="2"/>
      <c r="AK286" s="2"/>
    </row>
    <row r="287" spans="1:37" ht="35" customHeight="1" x14ac:dyDescent="0.2">
      <c r="A287" s="1"/>
      <c r="B287" s="2599">
        <v>4</v>
      </c>
      <c r="C287" s="2646" t="s">
        <v>966</v>
      </c>
      <c r="D287" s="2470"/>
      <c r="E287" s="12" t="s">
        <v>195</v>
      </c>
      <c r="F287" s="678">
        <v>0.78400000000000003</v>
      </c>
      <c r="G287" s="679">
        <v>0.76900000000000002</v>
      </c>
      <c r="H287" s="150">
        <f t="shared" si="62"/>
        <v>492140</v>
      </c>
      <c r="I287" s="28">
        <v>9453</v>
      </c>
      <c r="J287" s="688"/>
      <c r="K287" s="2599" t="s">
        <v>365</v>
      </c>
      <c r="L287" s="2599"/>
      <c r="M287" s="2599"/>
      <c r="N287" s="2599"/>
      <c r="O287" s="1286"/>
      <c r="P287" s="95"/>
      <c r="Q287" s="128">
        <f>'T1.2025'!I196</f>
        <v>0</v>
      </c>
      <c r="R287" s="743"/>
      <c r="S287" s="749">
        <f>'T3.2025 '!I137</f>
        <v>288390</v>
      </c>
      <c r="T287" s="749">
        <f>'T4.2025 '!I166</f>
        <v>191450</v>
      </c>
      <c r="U287" s="749">
        <f>'T5.2025'!I250</f>
        <v>12300</v>
      </c>
      <c r="V287" s="743"/>
      <c r="W287" s="743"/>
      <c r="X287" s="743"/>
      <c r="Y287" s="97"/>
      <c r="Z287" s="97"/>
      <c r="AA287" s="97"/>
      <c r="AB287" s="97"/>
      <c r="AC287" s="97"/>
      <c r="AD287" s="97"/>
      <c r="AE287" s="97">
        <f t="shared" si="63"/>
        <v>492140</v>
      </c>
      <c r="AF287" s="95"/>
      <c r="AG287" s="95"/>
      <c r="AH287" s="2"/>
      <c r="AI287" s="2"/>
      <c r="AJ287" s="2"/>
      <c r="AK287" s="2"/>
    </row>
    <row r="288" spans="1:37" ht="35" customHeight="1" x14ac:dyDescent="0.2">
      <c r="A288" s="1"/>
      <c r="B288" s="2599"/>
      <c r="C288" s="2646" t="s">
        <v>965</v>
      </c>
      <c r="D288" s="2470"/>
      <c r="E288" s="12" t="s">
        <v>195</v>
      </c>
      <c r="F288" s="678">
        <v>0.627</v>
      </c>
      <c r="G288" s="679">
        <v>0.627</v>
      </c>
      <c r="H288" s="150">
        <v>265100</v>
      </c>
      <c r="I288" s="28"/>
      <c r="J288" s="688"/>
      <c r="K288" s="2599"/>
      <c r="L288" s="2599"/>
      <c r="M288" s="2599"/>
      <c r="N288" s="2599"/>
      <c r="O288" s="1286"/>
      <c r="P288" s="95"/>
      <c r="Q288" s="128">
        <f>'T1.2025'!I197</f>
        <v>0</v>
      </c>
      <c r="R288" s="743"/>
      <c r="S288" s="749"/>
      <c r="T288" s="749"/>
      <c r="U288" s="749"/>
      <c r="V288" s="743"/>
      <c r="W288" s="743"/>
      <c r="X288" s="743"/>
      <c r="Y288" s="97"/>
      <c r="Z288" s="97"/>
      <c r="AA288" s="97"/>
      <c r="AB288" s="97"/>
      <c r="AC288" s="97"/>
      <c r="AD288" s="97"/>
      <c r="AE288" s="97"/>
      <c r="AF288" s="95"/>
      <c r="AG288" s="95"/>
      <c r="AH288" s="2"/>
      <c r="AI288" s="2"/>
      <c r="AJ288" s="2"/>
      <c r="AK288" s="2"/>
    </row>
    <row r="289" spans="1:37" ht="35" customHeight="1" x14ac:dyDescent="0.2">
      <c r="A289" s="1"/>
      <c r="B289" s="2599">
        <v>5</v>
      </c>
      <c r="C289" s="2646" t="s">
        <v>968</v>
      </c>
      <c r="D289" s="2470"/>
      <c r="E289" s="12" t="s">
        <v>49</v>
      </c>
      <c r="F289" s="658">
        <v>2.8000000000000001E-2</v>
      </c>
      <c r="G289" s="679">
        <v>2.8000000000000001E-2</v>
      </c>
      <c r="H289" s="150">
        <v>17930</v>
      </c>
      <c r="I289" s="28"/>
      <c r="J289" s="688"/>
      <c r="K289" s="2599"/>
      <c r="L289" s="2599"/>
      <c r="M289" s="2599"/>
      <c r="N289" s="2599"/>
      <c r="O289" s="1286"/>
      <c r="P289" s="95"/>
      <c r="Q289" s="128">
        <f>'T1.2025'!I197</f>
        <v>0</v>
      </c>
      <c r="R289" s="743"/>
      <c r="S289" s="749">
        <f>'T3.2025 '!I138</f>
        <v>10300</v>
      </c>
      <c r="T289" s="749">
        <f>'T4.2025 '!I167</f>
        <v>6850</v>
      </c>
      <c r="U289" s="749">
        <f>'T5.2025'!I251</f>
        <v>475</v>
      </c>
      <c r="V289" s="743"/>
      <c r="W289" s="743"/>
      <c r="X289" s="743"/>
      <c r="Y289" s="97"/>
      <c r="Z289" s="97"/>
      <c r="AA289" s="97"/>
      <c r="AB289" s="97"/>
      <c r="AC289" s="97"/>
      <c r="AD289" s="97"/>
      <c r="AE289" s="97">
        <f t="shared" si="63"/>
        <v>17625</v>
      </c>
      <c r="AF289" s="95"/>
      <c r="AG289" s="95"/>
      <c r="AH289" s="2"/>
      <c r="AI289" s="2"/>
      <c r="AJ289" s="2"/>
      <c r="AK289" s="2"/>
    </row>
    <row r="290" spans="1:37" ht="35" customHeight="1" x14ac:dyDescent="0.2">
      <c r="A290" s="1"/>
      <c r="B290" s="2599"/>
      <c r="C290" s="2646" t="s">
        <v>967</v>
      </c>
      <c r="D290" s="2470"/>
      <c r="E290" s="12" t="s">
        <v>49</v>
      </c>
      <c r="F290" s="658">
        <v>2.5000000000000001E-2</v>
      </c>
      <c r="G290" s="679">
        <v>2.5000000000000001E-2</v>
      </c>
      <c r="H290" s="150">
        <v>10540</v>
      </c>
      <c r="I290" s="28"/>
      <c r="J290" s="688"/>
      <c r="K290" s="2599"/>
      <c r="L290" s="2599"/>
      <c r="M290" s="2599"/>
      <c r="N290" s="2599"/>
      <c r="O290" s="1286"/>
      <c r="P290" s="95"/>
      <c r="Q290" s="128"/>
      <c r="R290" s="743"/>
      <c r="S290" s="749"/>
      <c r="T290" s="749"/>
      <c r="U290" s="749"/>
      <c r="V290" s="743"/>
      <c r="W290" s="743"/>
      <c r="X290" s="743"/>
      <c r="Y290" s="97"/>
      <c r="Z290" s="97"/>
      <c r="AA290" s="97"/>
      <c r="AB290" s="97"/>
      <c r="AC290" s="97"/>
      <c r="AD290" s="97"/>
      <c r="AE290" s="97"/>
      <c r="AF290" s="95"/>
      <c r="AG290" s="95"/>
      <c r="AH290" s="2"/>
      <c r="AI290" s="2"/>
      <c r="AJ290" s="2"/>
      <c r="AK290" s="2"/>
    </row>
    <row r="291" spans="1:37" ht="35" customHeight="1" x14ac:dyDescent="0.2">
      <c r="A291" s="1"/>
      <c r="B291" s="57">
        <v>6</v>
      </c>
      <c r="C291" s="2646" t="s">
        <v>178</v>
      </c>
      <c r="D291" s="2470"/>
      <c r="E291" s="12" t="s">
        <v>49</v>
      </c>
      <c r="F291" s="678">
        <v>1.2999999999999999E-2</v>
      </c>
      <c r="G291" s="679">
        <f>H291/$M$284</f>
        <v>1.1841397563533617E-2</v>
      </c>
      <c r="H291" s="150">
        <f t="shared" si="62"/>
        <v>12580</v>
      </c>
      <c r="I291" s="28">
        <f>-(G291-F291)*$M$284</f>
        <v>1230.8697999999979</v>
      </c>
      <c r="J291" s="688"/>
      <c r="K291" s="2599"/>
      <c r="L291" s="2599"/>
      <c r="M291" s="2599"/>
      <c r="N291" s="2599"/>
      <c r="O291" s="1286"/>
      <c r="P291" s="95"/>
      <c r="Q291" s="128">
        <f>'T1.2025'!I198</f>
        <v>0</v>
      </c>
      <c r="R291" s="743"/>
      <c r="S291" s="749">
        <f>'T3.2025 '!I139</f>
        <v>4770</v>
      </c>
      <c r="T291" s="749">
        <f>'T4.2025 '!I168</f>
        <v>3060</v>
      </c>
      <c r="U291" s="749">
        <f>'T5.2025'!I252</f>
        <v>160</v>
      </c>
      <c r="V291" s="743">
        <f>'T6.2025'!I258</f>
        <v>4590</v>
      </c>
      <c r="W291" s="743"/>
      <c r="X291" s="743"/>
      <c r="Y291" s="97"/>
      <c r="Z291" s="97"/>
      <c r="AA291" s="97"/>
      <c r="AB291" s="97"/>
      <c r="AC291" s="97"/>
      <c r="AD291" s="97"/>
      <c r="AE291" s="97">
        <f t="shared" si="63"/>
        <v>12580</v>
      </c>
      <c r="AF291" s="95"/>
      <c r="AG291" s="95"/>
      <c r="AH291" s="2"/>
      <c r="AI291" s="2"/>
      <c r="AJ291" s="2"/>
      <c r="AK291" s="2"/>
    </row>
    <row r="292" spans="1:37" ht="35" customHeight="1" x14ac:dyDescent="0.2">
      <c r="A292" s="1"/>
      <c r="B292" s="57">
        <v>7</v>
      </c>
      <c r="C292" s="321" t="s">
        <v>179</v>
      </c>
      <c r="D292" s="321"/>
      <c r="E292" s="12" t="s">
        <v>49</v>
      </c>
      <c r="F292" s="658">
        <v>2.5999999999999999E-2</v>
      </c>
      <c r="G292" s="679">
        <f>H292/$M$284</f>
        <v>9.3611048306313061E-2</v>
      </c>
      <c r="H292" s="150">
        <f t="shared" si="62"/>
        <v>99450</v>
      </c>
      <c r="I292" s="28"/>
      <c r="J292" s="688">
        <f>(G292-F292)*$M$284</f>
        <v>71828.260400000014</v>
      </c>
      <c r="K292" s="2599"/>
      <c r="L292" s="2599"/>
      <c r="M292" s="2599"/>
      <c r="N292" s="2599"/>
      <c r="O292" s="1286"/>
      <c r="P292" s="95"/>
      <c r="Q292" s="128">
        <f>'T1.2025'!I199</f>
        <v>0</v>
      </c>
      <c r="R292" s="743"/>
      <c r="S292" s="749">
        <f>'T3.2025 '!I140</f>
        <v>44000</v>
      </c>
      <c r="T292" s="749">
        <f>'T4.2025 '!I169</f>
        <v>4800</v>
      </c>
      <c r="U292" s="749">
        <f>'T5.2025'!I257</f>
        <v>18450</v>
      </c>
      <c r="V292" s="743">
        <f>'T6.2025'!I263</f>
        <v>32200</v>
      </c>
      <c r="W292" s="743"/>
      <c r="X292" s="743"/>
      <c r="Y292" s="97"/>
      <c r="Z292" s="97"/>
      <c r="AA292" s="97"/>
      <c r="AB292" s="97"/>
      <c r="AC292" s="97"/>
      <c r="AD292" s="97"/>
      <c r="AE292" s="97">
        <f t="shared" si="63"/>
        <v>99450</v>
      </c>
      <c r="AF292" s="95"/>
      <c r="AG292" s="95"/>
      <c r="AH292" s="2"/>
      <c r="AI292" s="2"/>
      <c r="AJ292" s="2"/>
      <c r="AK292" s="2"/>
    </row>
    <row r="293" spans="1:37" ht="35" customHeight="1" x14ac:dyDescent="0.2">
      <c r="A293" s="1"/>
      <c r="B293" s="57">
        <v>8</v>
      </c>
      <c r="C293" s="321" t="s">
        <v>206</v>
      </c>
      <c r="D293" s="321"/>
      <c r="E293" s="12" t="s">
        <v>49</v>
      </c>
      <c r="F293" s="658">
        <v>2.8999999999999998E-3</v>
      </c>
      <c r="G293" s="679">
        <f>H293/M284</f>
        <v>2.9179914504733079E-3</v>
      </c>
      <c r="H293" s="150">
        <f>AE293</f>
        <v>3100</v>
      </c>
      <c r="I293" s="28"/>
      <c r="J293" s="688"/>
      <c r="K293" s="2599"/>
      <c r="L293" s="2599"/>
      <c r="M293" s="2599"/>
      <c r="N293" s="2599"/>
      <c r="O293" s="1286"/>
      <c r="P293" s="95"/>
      <c r="Q293" s="128"/>
      <c r="R293" s="743"/>
      <c r="S293" s="749">
        <f>'T3.2025 '!I141</f>
        <v>900</v>
      </c>
      <c r="T293" s="749">
        <f>'T4.2025 '!I170</f>
        <v>600</v>
      </c>
      <c r="U293" s="749"/>
      <c r="V293" s="743">
        <f>'T6.2025'!I264</f>
        <v>1600</v>
      </c>
      <c r="W293" s="743"/>
      <c r="X293" s="743"/>
      <c r="Y293" s="97"/>
      <c r="Z293" s="97"/>
      <c r="AA293" s="97"/>
      <c r="AB293" s="97"/>
      <c r="AC293" s="97"/>
      <c r="AD293" s="97"/>
      <c r="AE293" s="97">
        <f t="shared" si="63"/>
        <v>3100</v>
      </c>
      <c r="AF293" s="95"/>
      <c r="AG293" s="95"/>
      <c r="AH293" s="2"/>
      <c r="AI293" s="2"/>
      <c r="AJ293" s="2"/>
      <c r="AK293" s="2"/>
    </row>
    <row r="294" spans="1:37" ht="35" customHeight="1" x14ac:dyDescent="0.2">
      <c r="A294" s="1"/>
      <c r="B294" s="57">
        <v>9</v>
      </c>
      <c r="C294" s="2646" t="s">
        <v>197</v>
      </c>
      <c r="D294" s="2470"/>
      <c r="E294" s="12" t="s">
        <v>49</v>
      </c>
      <c r="F294" s="74">
        <v>1.8</v>
      </c>
      <c r="G294" s="679">
        <f>H294/$M$284</f>
        <v>1.7804692431464382</v>
      </c>
      <c r="H294" s="150">
        <f t="shared" si="62"/>
        <v>1891525.2999999998</v>
      </c>
      <c r="I294" s="28">
        <f>-(G294-F294)*$M$284</f>
        <v>20748.980000000047</v>
      </c>
      <c r="J294" s="688"/>
      <c r="K294" s="2599"/>
      <c r="L294" s="2599"/>
      <c r="M294" s="2599"/>
      <c r="N294" s="2599"/>
      <c r="O294" s="1286"/>
      <c r="P294" s="95"/>
      <c r="Q294" s="128">
        <f>'T1.2025'!I200</f>
        <v>0</v>
      </c>
      <c r="R294" s="743"/>
      <c r="S294" s="749">
        <f>'T3.2025 '!I142</f>
        <v>665011</v>
      </c>
      <c r="T294" s="749">
        <f>'T4.2025 '!I171</f>
        <v>432216.7</v>
      </c>
      <c r="U294" s="749">
        <f>'T5.2025'!I253</f>
        <v>40369</v>
      </c>
      <c r="V294" s="743">
        <f>'T6.2025'!I259</f>
        <v>753928.6</v>
      </c>
      <c r="W294" s="743"/>
      <c r="X294" s="743"/>
      <c r="Y294" s="97"/>
      <c r="Z294" s="97"/>
      <c r="AA294" s="97"/>
      <c r="AB294" s="97"/>
      <c r="AC294" s="97"/>
      <c r="AD294" s="97"/>
      <c r="AE294" s="97">
        <f t="shared" si="63"/>
        <v>1891525.2999999998</v>
      </c>
      <c r="AF294" s="95"/>
      <c r="AG294" s="95"/>
      <c r="AH294" s="2"/>
      <c r="AI294" s="2"/>
      <c r="AJ294" s="2"/>
      <c r="AK294" s="2"/>
    </row>
    <row r="295" spans="1:37" ht="35" customHeight="1" x14ac:dyDescent="0.2">
      <c r="A295" s="1"/>
      <c r="B295" s="57">
        <v>10</v>
      </c>
      <c r="C295" s="2646" t="s">
        <v>198</v>
      </c>
      <c r="D295" s="2470"/>
      <c r="E295" s="12" t="s">
        <v>49</v>
      </c>
      <c r="F295" s="678">
        <v>1.0200000000000001E-2</v>
      </c>
      <c r="G295" s="679">
        <f>H295/$M$284</f>
        <v>9.2810953876344571E-3</v>
      </c>
      <c r="H295" s="150">
        <f t="shared" si="62"/>
        <v>9860</v>
      </c>
      <c r="I295" s="28">
        <f>-(G295-F295)*$M$284</f>
        <v>976.2209199999993</v>
      </c>
      <c r="J295" s="688"/>
      <c r="K295" s="2599"/>
      <c r="L295" s="2599"/>
      <c r="M295" s="2599"/>
      <c r="N295" s="2599"/>
      <c r="O295" s="1286"/>
      <c r="P295" s="95"/>
      <c r="Q295" s="128">
        <f>'T1.2025'!I201</f>
        <v>0</v>
      </c>
      <c r="R295" s="743"/>
      <c r="S295" s="749">
        <f>'T3.2025 '!I143</f>
        <v>3700</v>
      </c>
      <c r="T295" s="749">
        <f>'T4.2025 '!I172</f>
        <v>2480</v>
      </c>
      <c r="U295" s="749">
        <f>'T5.2025'!I254</f>
        <v>180</v>
      </c>
      <c r="V295" s="743">
        <f>'T6.2025'!I260</f>
        <v>3500</v>
      </c>
      <c r="W295" s="743"/>
      <c r="X295" s="743"/>
      <c r="Y295" s="97"/>
      <c r="Z295" s="97"/>
      <c r="AA295" s="97"/>
      <c r="AB295" s="97"/>
      <c r="AC295" s="97"/>
      <c r="AD295" s="97"/>
      <c r="AE295" s="97">
        <f t="shared" si="63"/>
        <v>9860</v>
      </c>
      <c r="AF295" s="95"/>
      <c r="AG295" s="95"/>
      <c r="AH295" s="2"/>
      <c r="AI295" s="2"/>
      <c r="AJ295" s="2"/>
      <c r="AK295" s="2"/>
    </row>
    <row r="296" spans="1:37" ht="35" customHeight="1" x14ac:dyDescent="0.2">
      <c r="A296" s="1"/>
      <c r="B296" s="57">
        <v>11</v>
      </c>
      <c r="C296" s="2646" t="s">
        <v>199</v>
      </c>
      <c r="D296" s="2470"/>
      <c r="E296" s="12" t="s">
        <v>195</v>
      </c>
      <c r="F296" s="678">
        <v>6.5000000000000002E-2</v>
      </c>
      <c r="G296" s="679">
        <f>H296/$M$284</f>
        <v>6.1677867674923711E-2</v>
      </c>
      <c r="H296" s="150">
        <f t="shared" si="62"/>
        <v>65525</v>
      </c>
      <c r="I296" s="28">
        <f>-(G296-F296)*$M$284</f>
        <v>3529.3489999999938</v>
      </c>
      <c r="J296" s="688"/>
      <c r="K296" s="2599"/>
      <c r="L296" s="2599"/>
      <c r="M296" s="2599"/>
      <c r="N296" s="2599"/>
      <c r="O296" s="1287"/>
      <c r="P296" s="95"/>
      <c r="Q296" s="128">
        <f>'T1.2025'!I202</f>
        <v>0</v>
      </c>
      <c r="R296" s="746"/>
      <c r="S296" s="749">
        <f>'T3.2025 '!I144</f>
        <v>23170</v>
      </c>
      <c r="T296" s="749">
        <f>'T4.2025 '!I173</f>
        <v>14155</v>
      </c>
      <c r="U296" s="749">
        <f>'T5.2025'!I255</f>
        <v>1200</v>
      </c>
      <c r="V296" s="746">
        <f>'T6.2025'!I261</f>
        <v>27000</v>
      </c>
      <c r="W296" s="746"/>
      <c r="X296" s="746"/>
      <c r="Y296" s="133"/>
      <c r="Z296" s="133"/>
      <c r="AA296" s="133"/>
      <c r="AB296" s="133"/>
      <c r="AC296" s="133"/>
      <c r="AD296" s="133"/>
      <c r="AE296" s="133">
        <f t="shared" si="63"/>
        <v>65525</v>
      </c>
      <c r="AF296" s="95"/>
      <c r="AG296" s="95"/>
      <c r="AH296" s="2"/>
      <c r="AI296" s="2"/>
      <c r="AJ296" s="2"/>
      <c r="AK296" s="2"/>
    </row>
    <row r="297" spans="1:37" ht="35" customHeight="1" x14ac:dyDescent="0.2">
      <c r="A297" s="1"/>
      <c r="B297" s="57">
        <v>12</v>
      </c>
      <c r="C297" s="2646" t="s">
        <v>185</v>
      </c>
      <c r="D297" s="2470"/>
      <c r="E297" s="12" t="s">
        <v>195</v>
      </c>
      <c r="F297" s="678">
        <v>0</v>
      </c>
      <c r="G297" s="679"/>
      <c r="H297" s="150">
        <f t="shared" si="62"/>
        <v>17695</v>
      </c>
      <c r="I297" s="28"/>
      <c r="J297" s="688"/>
      <c r="K297" s="2861" t="s">
        <v>970</v>
      </c>
      <c r="L297" s="2862"/>
      <c r="M297" s="2862"/>
      <c r="N297" s="2862"/>
      <c r="O297" s="1286"/>
      <c r="P297" s="95"/>
      <c r="Q297" s="128">
        <f>'T1.2025'!I203</f>
        <v>0</v>
      </c>
      <c r="R297" s="458"/>
      <c r="S297" s="749">
        <f>'T3.2025 '!I145</f>
        <v>6200</v>
      </c>
      <c r="T297" s="749">
        <f>'T4.2025 '!I174</f>
        <v>4180</v>
      </c>
      <c r="U297" s="749">
        <f>'T5.2025'!I256</f>
        <v>315</v>
      </c>
      <c r="V297" s="458">
        <f>'T6.2025'!I262</f>
        <v>7000</v>
      </c>
      <c r="W297" s="458"/>
      <c r="X297" s="458"/>
      <c r="Y297" s="211"/>
      <c r="Z297" s="211"/>
      <c r="AA297" s="211"/>
      <c r="AB297" s="211"/>
      <c r="AC297" s="211"/>
      <c r="AD297" s="211"/>
      <c r="AE297" s="211">
        <f t="shared" si="63"/>
        <v>17695</v>
      </c>
      <c r="AF297" s="95"/>
      <c r="AG297" s="95"/>
      <c r="AH297" s="2"/>
      <c r="AI297" s="2"/>
      <c r="AJ297" s="2"/>
      <c r="AK297" s="2"/>
    </row>
    <row r="298" spans="1:37" ht="35" customHeight="1" x14ac:dyDescent="0.2">
      <c r="A298" s="1"/>
      <c r="B298" s="5" t="s">
        <v>861</v>
      </c>
      <c r="C298" s="2"/>
      <c r="D298" s="2"/>
      <c r="E298" s="48"/>
      <c r="F298" s="2"/>
      <c r="G298" s="2"/>
      <c r="H298" s="48"/>
      <c r="I298" s="2"/>
      <c r="J298" s="2"/>
      <c r="K298" s="2"/>
      <c r="L298" s="2"/>
      <c r="M298" s="2"/>
      <c r="N298" s="2"/>
      <c r="O298" s="1286"/>
      <c r="P298" s="650"/>
      <c r="Q298" s="95"/>
      <c r="AE298" s="95"/>
      <c r="AF298" s="95"/>
      <c r="AG298" s="95"/>
      <c r="AH298" s="2"/>
      <c r="AI298" s="2"/>
      <c r="AJ298" s="2"/>
      <c r="AK298" s="2"/>
    </row>
    <row r="299" spans="1:37" ht="31" customHeight="1" x14ac:dyDescent="0.2">
      <c r="A299" s="1"/>
      <c r="B299" s="5" t="s">
        <v>57</v>
      </c>
      <c r="C299" s="2"/>
      <c r="D299" s="2"/>
      <c r="E299" s="48"/>
      <c r="F299" s="2"/>
      <c r="G299" s="2"/>
      <c r="H299" s="48"/>
      <c r="I299" s="2"/>
      <c r="J299" s="2"/>
      <c r="K299" s="2"/>
      <c r="L299" s="2"/>
      <c r="M299" s="2"/>
      <c r="N299" s="2"/>
      <c r="O299" s="1286"/>
      <c r="P299" s="95"/>
      <c r="Q299" s="95"/>
      <c r="AE299" s="95"/>
      <c r="AF299" s="95"/>
      <c r="AG299" s="95"/>
      <c r="AH299" s="2"/>
      <c r="AI299" s="2"/>
      <c r="AJ299" s="2"/>
      <c r="AK299" s="2"/>
    </row>
    <row r="300" spans="1:37" ht="31" customHeight="1" x14ac:dyDescent="0.2">
      <c r="A300" s="1"/>
      <c r="B300" s="2665" t="s">
        <v>222</v>
      </c>
      <c r="C300" s="2690"/>
      <c r="D300" s="2690"/>
      <c r="E300" s="2665" t="s">
        <v>223</v>
      </c>
      <c r="F300" s="2690"/>
      <c r="G300" s="2665" t="s">
        <v>224</v>
      </c>
      <c r="H300" s="2690"/>
      <c r="I300" s="2665" t="s">
        <v>47</v>
      </c>
      <c r="J300" s="2690"/>
      <c r="K300" s="2690"/>
      <c r="L300" s="2690"/>
      <c r="M300" s="2690"/>
      <c r="N300" s="2690"/>
      <c r="O300" s="1286"/>
      <c r="P300" s="95"/>
      <c r="Q300" s="95"/>
      <c r="AE300" s="95"/>
      <c r="AF300" s="95"/>
      <c r="AG300" s="95"/>
      <c r="AH300" s="2"/>
      <c r="AI300" s="2"/>
      <c r="AJ300" s="2"/>
      <c r="AK300" s="2"/>
    </row>
    <row r="301" spans="1:37" ht="31" customHeight="1" x14ac:dyDescent="0.2">
      <c r="A301" s="1"/>
      <c r="B301" s="321" t="s">
        <v>939</v>
      </c>
      <c r="C301" s="321"/>
      <c r="D301" s="321"/>
      <c r="E301" s="2664">
        <v>7</v>
      </c>
      <c r="F301" s="2690"/>
      <c r="G301" s="2853">
        <f>457</f>
        <v>457</v>
      </c>
      <c r="H301" s="2854"/>
      <c r="I301" s="2655" t="s">
        <v>941</v>
      </c>
      <c r="J301" s="2851"/>
      <c r="K301" s="2851"/>
      <c r="L301" s="2851"/>
      <c r="M301" s="2851"/>
      <c r="N301" s="2851"/>
      <c r="O301" s="1286"/>
      <c r="P301" s="95"/>
      <c r="Q301" s="95"/>
      <c r="AE301" s="95"/>
      <c r="AF301" s="95"/>
      <c r="AG301" s="95"/>
      <c r="AH301" s="2"/>
      <c r="AI301" s="2"/>
      <c r="AJ301" s="2"/>
      <c r="AK301" s="2"/>
    </row>
    <row r="302" spans="1:37" ht="31" customHeight="1" x14ac:dyDescent="0.2">
      <c r="A302" s="1"/>
      <c r="B302" s="321" t="s">
        <v>227</v>
      </c>
      <c r="C302" s="321"/>
      <c r="D302" s="321"/>
      <c r="E302" s="2664">
        <v>6</v>
      </c>
      <c r="F302" s="2690"/>
      <c r="G302" s="2853">
        <v>259.12</v>
      </c>
      <c r="H302" s="2854"/>
      <c r="I302" s="2655" t="s">
        <v>942</v>
      </c>
      <c r="J302" s="2851"/>
      <c r="K302" s="2851"/>
      <c r="L302" s="2851"/>
      <c r="M302" s="2851"/>
      <c r="N302" s="2851"/>
      <c r="O302" s="1286"/>
      <c r="P302" s="95"/>
      <c r="Q302" s="95"/>
      <c r="AE302" s="95"/>
      <c r="AF302" s="95"/>
      <c r="AG302" s="95"/>
      <c r="AH302" s="2"/>
      <c r="AI302" s="2"/>
      <c r="AJ302" s="2"/>
      <c r="AK302" s="2"/>
    </row>
    <row r="303" spans="1:37" ht="31" customHeight="1" x14ac:dyDescent="0.2">
      <c r="A303" s="1"/>
      <c r="B303" s="321" t="s">
        <v>228</v>
      </c>
      <c r="C303" s="321"/>
      <c r="D303" s="321"/>
      <c r="E303" s="2664">
        <v>5</v>
      </c>
      <c r="F303" s="2690"/>
      <c r="G303" s="2853">
        <v>1224</v>
      </c>
      <c r="H303" s="2854"/>
      <c r="I303" s="2655" t="s">
        <v>943</v>
      </c>
      <c r="J303" s="2851"/>
      <c r="K303" s="2851"/>
      <c r="L303" s="2851"/>
      <c r="M303" s="2851"/>
      <c r="N303" s="2851"/>
      <c r="O303" s="1286"/>
      <c r="P303" s="95"/>
      <c r="Q303" s="95"/>
      <c r="AE303" s="95"/>
      <c r="AF303" s="95"/>
      <c r="AG303" s="95"/>
      <c r="AH303" s="2"/>
      <c r="AI303" s="2"/>
      <c r="AJ303" s="2"/>
      <c r="AK303" s="2"/>
    </row>
    <row r="304" spans="1:37" ht="31" customHeight="1" x14ac:dyDescent="0.2">
      <c r="A304" s="1"/>
      <c r="B304" s="321" t="s">
        <v>229</v>
      </c>
      <c r="C304" s="321"/>
      <c r="D304" s="321"/>
      <c r="E304" s="2664">
        <v>4</v>
      </c>
      <c r="F304" s="2690"/>
      <c r="G304" s="2853">
        <v>79.2</v>
      </c>
      <c r="H304" s="2854"/>
      <c r="I304" s="2655" t="s">
        <v>944</v>
      </c>
      <c r="J304" s="2851"/>
      <c r="K304" s="2851"/>
      <c r="L304" s="2851"/>
      <c r="M304" s="2851"/>
      <c r="N304" s="2851"/>
      <c r="O304" s="1286"/>
      <c r="P304" s="95"/>
      <c r="Q304" s="95"/>
      <c r="AE304" s="95"/>
      <c r="AF304" s="95"/>
      <c r="AG304" s="95"/>
      <c r="AH304" s="2"/>
      <c r="AI304" s="2"/>
      <c r="AJ304" s="2"/>
      <c r="AK304" s="2"/>
    </row>
    <row r="305" spans="1:37" ht="38" hidden="1" customHeight="1" x14ac:dyDescent="0.2">
      <c r="A305" s="1"/>
      <c r="B305" s="1509" t="s">
        <v>230</v>
      </c>
      <c r="C305" s="1509"/>
      <c r="D305" s="1509"/>
      <c r="E305" s="2528"/>
      <c r="F305" s="2855"/>
      <c r="G305" s="2856"/>
      <c r="H305" s="2857"/>
      <c r="I305" s="2858"/>
      <c r="J305" s="2859"/>
      <c r="K305" s="2859"/>
      <c r="L305" s="2859"/>
      <c r="M305" s="2859"/>
      <c r="N305" s="2860"/>
      <c r="O305" s="1286"/>
      <c r="P305" s="95"/>
      <c r="Q305" s="95"/>
      <c r="AE305" s="95"/>
      <c r="AF305" s="95"/>
      <c r="AG305" s="95"/>
      <c r="AH305" s="2"/>
      <c r="AI305" s="2"/>
      <c r="AJ305" s="2"/>
      <c r="AK305" s="2"/>
    </row>
    <row r="306" spans="1:37" ht="38" hidden="1" customHeight="1" x14ac:dyDescent="0.2">
      <c r="A306" s="1"/>
      <c r="B306" s="120" t="s">
        <v>231</v>
      </c>
      <c r="C306" s="120"/>
      <c r="D306" s="120"/>
      <c r="E306" s="2694"/>
      <c r="F306" s="2706"/>
      <c r="G306" s="2698"/>
      <c r="H306" s="2707"/>
      <c r="I306" s="2700"/>
      <c r="J306" s="2704"/>
      <c r="K306" s="2704"/>
      <c r="L306" s="2704"/>
      <c r="M306" s="2704"/>
      <c r="N306" s="2705"/>
      <c r="O306" s="1286"/>
      <c r="P306" s="95"/>
      <c r="Q306" s="95"/>
      <c r="AE306" s="95"/>
      <c r="AF306" s="95"/>
      <c r="AG306" s="95"/>
      <c r="AH306" s="2"/>
      <c r="AI306" s="2"/>
      <c r="AJ306" s="2"/>
      <c r="AK306" s="2"/>
    </row>
    <row r="307" spans="1:37" ht="38" hidden="1" customHeight="1" x14ac:dyDescent="0.2">
      <c r="A307" s="1"/>
      <c r="B307" s="120" t="s">
        <v>232</v>
      </c>
      <c r="C307" s="120"/>
      <c r="D307" s="120"/>
      <c r="E307" s="2694"/>
      <c r="F307" s="2706"/>
      <c r="G307" s="2698"/>
      <c r="H307" s="2707"/>
      <c r="I307" s="2700"/>
      <c r="J307" s="2704"/>
      <c r="K307" s="2704"/>
      <c r="L307" s="2704"/>
      <c r="M307" s="2704"/>
      <c r="N307" s="2705"/>
      <c r="O307" s="1286"/>
      <c r="P307" s="95"/>
      <c r="Q307" s="95"/>
      <c r="AE307" s="95"/>
      <c r="AF307" s="95"/>
      <c r="AG307" s="95"/>
      <c r="AH307" s="2"/>
      <c r="AI307" s="2"/>
      <c r="AJ307" s="2"/>
      <c r="AK307" s="2"/>
    </row>
    <row r="308" spans="1:37" ht="38" hidden="1" customHeight="1" x14ac:dyDescent="0.2">
      <c r="A308" s="1"/>
      <c r="B308" s="120" t="s">
        <v>233</v>
      </c>
      <c r="C308" s="120"/>
      <c r="D308" s="120"/>
      <c r="E308" s="2694"/>
      <c r="F308" s="2706"/>
      <c r="G308" s="2698"/>
      <c r="H308" s="2707"/>
      <c r="I308" s="2700"/>
      <c r="J308" s="2704"/>
      <c r="K308" s="2704"/>
      <c r="L308" s="2704"/>
      <c r="M308" s="2704"/>
      <c r="N308" s="2705"/>
      <c r="O308" s="1287"/>
      <c r="P308" s="103"/>
      <c r="Q308" s="103"/>
      <c r="AE308" s="95"/>
      <c r="AF308" s="95"/>
      <c r="AG308" s="95"/>
      <c r="AH308" s="2"/>
      <c r="AI308" s="2"/>
      <c r="AJ308" s="2"/>
      <c r="AK308" s="2"/>
    </row>
    <row r="309" spans="1:37" ht="38" hidden="1" customHeight="1" x14ac:dyDescent="0.2">
      <c r="A309" s="1"/>
      <c r="B309" s="120" t="s">
        <v>234</v>
      </c>
      <c r="C309" s="120"/>
      <c r="D309" s="120"/>
      <c r="E309" s="2694"/>
      <c r="F309" s="2706"/>
      <c r="G309" s="2698"/>
      <c r="H309" s="2707"/>
      <c r="I309" s="2700"/>
      <c r="J309" s="2704"/>
      <c r="K309" s="2704"/>
      <c r="L309" s="2704"/>
      <c r="M309" s="2704"/>
      <c r="N309" s="2705"/>
      <c r="O309" s="1286"/>
      <c r="P309" s="95"/>
      <c r="Q309" s="95"/>
      <c r="AE309" s="95"/>
      <c r="AF309" s="95"/>
      <c r="AG309" s="95"/>
      <c r="AH309" s="2"/>
      <c r="AI309" s="2"/>
      <c r="AJ309" s="2"/>
      <c r="AK309" s="2"/>
    </row>
    <row r="310" spans="1:37" ht="38" hidden="1" customHeight="1" x14ac:dyDescent="0.2">
      <c r="A310" s="1"/>
      <c r="B310" s="302" t="s">
        <v>235</v>
      </c>
      <c r="C310" s="302"/>
      <c r="D310" s="302"/>
      <c r="E310" s="2710"/>
      <c r="F310" s="2711"/>
      <c r="G310" s="2716"/>
      <c r="H310" s="2717"/>
      <c r="I310" s="2712"/>
      <c r="J310" s="2713"/>
      <c r="K310" s="2713"/>
      <c r="L310" s="2713"/>
      <c r="M310" s="2713"/>
      <c r="N310" s="2714"/>
      <c r="O310" s="1286"/>
      <c r="P310" s="95"/>
      <c r="Q310" s="95"/>
      <c r="AE310" s="95"/>
      <c r="AF310" s="95"/>
      <c r="AG310" s="95"/>
      <c r="AH310" s="2"/>
      <c r="AI310" s="2"/>
      <c r="AJ310" s="2"/>
      <c r="AK310" s="2"/>
    </row>
    <row r="311" spans="1:37" ht="31" customHeight="1" x14ac:dyDescent="0.2">
      <c r="A311" s="1"/>
      <c r="B311" s="2722" t="s">
        <v>236</v>
      </c>
      <c r="C311" s="2690"/>
      <c r="D311" s="2690"/>
      <c r="E311" s="2665">
        <f>SUM(E301:F310)</f>
        <v>22</v>
      </c>
      <c r="F311" s="2718"/>
      <c r="G311" s="2719">
        <f>SUM(G301:H310)</f>
        <v>2019.32</v>
      </c>
      <c r="H311" s="2720"/>
      <c r="I311" s="2656"/>
      <c r="J311" s="2721"/>
      <c r="K311" s="2721"/>
      <c r="L311" s="2721"/>
      <c r="M311" s="2721"/>
      <c r="N311" s="2721"/>
      <c r="O311" s="1286"/>
      <c r="P311" s="95"/>
      <c r="Q311" s="95"/>
      <c r="AE311" s="95"/>
      <c r="AF311" s="95"/>
      <c r="AG311" s="95"/>
      <c r="AH311" s="2"/>
      <c r="AI311" s="2"/>
      <c r="AJ311" s="2"/>
      <c r="AK311" s="2"/>
    </row>
    <row r="312" spans="1:37" ht="40" customHeight="1" x14ac:dyDescent="0.2">
      <c r="A312" s="1"/>
      <c r="B312" s="2656" t="s">
        <v>460</v>
      </c>
      <c r="C312" s="2690"/>
      <c r="D312" s="2690"/>
      <c r="E312" s="2768">
        <f>'TH Thương hiệu DC1'!F78</f>
        <v>1702640.4400000002</v>
      </c>
      <c r="F312" s="2768"/>
      <c r="G312" s="2768"/>
      <c r="H312" s="2768"/>
      <c r="I312" s="2656" t="s">
        <v>940</v>
      </c>
      <c r="J312" s="2852"/>
      <c r="K312" s="2852"/>
      <c r="L312" s="2852"/>
      <c r="M312" s="2852"/>
      <c r="N312" s="2852"/>
      <c r="O312" s="1286"/>
      <c r="P312" s="95"/>
      <c r="Q312" s="95"/>
      <c r="AE312" s="95"/>
      <c r="AF312" s="95"/>
      <c r="AG312" s="95"/>
      <c r="AH312" s="2"/>
      <c r="AI312" s="2"/>
      <c r="AJ312" s="2"/>
      <c r="AK312" s="2"/>
    </row>
    <row r="313" spans="1:37" ht="28.5" hidden="1" customHeight="1" x14ac:dyDescent="0.2">
      <c r="A313" s="1"/>
      <c r="B313" s="49"/>
      <c r="C313" s="49"/>
      <c r="D313" s="49"/>
      <c r="E313" s="49"/>
      <c r="F313" s="49"/>
      <c r="G313" s="42"/>
      <c r="H313" s="42"/>
      <c r="I313" s="42"/>
      <c r="J313" s="42"/>
      <c r="K313" s="42"/>
      <c r="L313" s="42"/>
      <c r="M313" s="42"/>
      <c r="N313" s="42"/>
      <c r="O313" s="1286"/>
      <c r="P313" s="95"/>
      <c r="Q313" s="95"/>
      <c r="AE313" s="95"/>
      <c r="AF313" s="95"/>
      <c r="AG313" s="95"/>
      <c r="AH313" s="2"/>
      <c r="AI313" s="2"/>
      <c r="AJ313" s="2"/>
      <c r="AK313" s="2"/>
    </row>
    <row r="314" spans="1:37" ht="28" customHeight="1" x14ac:dyDescent="0.2">
      <c r="A314" s="1"/>
      <c r="B314" s="5" t="s">
        <v>84</v>
      </c>
      <c r="C314" s="2"/>
      <c r="D314" s="2"/>
      <c r="E314" s="48"/>
      <c r="F314" s="2"/>
      <c r="G314" s="2"/>
      <c r="H314" s="48"/>
      <c r="I314" s="2"/>
      <c r="J314" s="2"/>
      <c r="K314" s="2"/>
      <c r="L314" s="2"/>
      <c r="M314" s="2"/>
      <c r="N314" s="2"/>
      <c r="O314" s="1286"/>
      <c r="P314" s="95"/>
      <c r="Q314" s="95"/>
      <c r="AE314" s="95"/>
      <c r="AF314" s="95"/>
      <c r="AG314" s="95"/>
      <c r="AH314" s="2"/>
      <c r="AI314" s="2"/>
      <c r="AJ314" s="2"/>
      <c r="AK314" s="2"/>
    </row>
    <row r="315" spans="1:37" ht="28" customHeight="1" x14ac:dyDescent="0.2">
      <c r="A315" s="1"/>
      <c r="B315" s="2636" t="s">
        <v>238</v>
      </c>
      <c r="C315" s="2769"/>
      <c r="D315" s="2699"/>
      <c r="E315" s="2636" t="s">
        <v>223</v>
      </c>
      <c r="F315" s="2699"/>
      <c r="G315" s="2636" t="s">
        <v>224</v>
      </c>
      <c r="H315" s="2699"/>
      <c r="I315" s="2636" t="s">
        <v>47</v>
      </c>
      <c r="J315" s="2769"/>
      <c r="K315" s="2769"/>
      <c r="L315" s="2769"/>
      <c r="M315" s="2769"/>
      <c r="N315" s="2699"/>
      <c r="O315" s="1286"/>
      <c r="P315" s="95"/>
      <c r="Q315" s="95"/>
      <c r="AE315" s="95"/>
      <c r="AF315" s="95"/>
      <c r="AG315" s="95"/>
      <c r="AH315" s="2"/>
      <c r="AI315" s="2"/>
      <c r="AJ315" s="2"/>
      <c r="AK315" s="2"/>
    </row>
    <row r="316" spans="1:37" ht="48" hidden="1" customHeight="1" x14ac:dyDescent="0.2">
      <c r="A316" s="1"/>
      <c r="B316" s="2701" t="s">
        <v>225</v>
      </c>
      <c r="C316" s="2657"/>
      <c r="D316" s="2629"/>
      <c r="E316" s="2694"/>
      <c r="F316" s="2629"/>
      <c r="G316" s="2702"/>
      <c r="H316" s="2703"/>
      <c r="I316" s="2700"/>
      <c r="J316" s="2657"/>
      <c r="K316" s="2657"/>
      <c r="L316" s="2657"/>
      <c r="M316" s="2657"/>
      <c r="N316" s="2629"/>
      <c r="O316" s="1286"/>
      <c r="P316" s="95"/>
      <c r="Q316" s="95"/>
      <c r="AE316" s="95"/>
      <c r="AF316" s="95"/>
      <c r="AG316" s="95"/>
      <c r="AH316" s="2"/>
      <c r="AI316" s="2"/>
      <c r="AJ316" s="2"/>
      <c r="AK316" s="2"/>
    </row>
    <row r="317" spans="1:37" ht="48" hidden="1" customHeight="1" x14ac:dyDescent="0.2">
      <c r="A317" s="1"/>
      <c r="B317" s="2701" t="s">
        <v>226</v>
      </c>
      <c r="C317" s="2657"/>
      <c r="D317" s="2629"/>
      <c r="E317" s="2694"/>
      <c r="F317" s="2629"/>
      <c r="G317" s="2702"/>
      <c r="H317" s="2703"/>
      <c r="I317" s="2700"/>
      <c r="J317" s="2657"/>
      <c r="K317" s="2657"/>
      <c r="L317" s="2657"/>
      <c r="M317" s="2657"/>
      <c r="N317" s="2629"/>
      <c r="O317" s="1287"/>
      <c r="P317" s="103"/>
      <c r="Q317" s="103"/>
      <c r="AE317" s="95"/>
      <c r="AF317" s="95"/>
      <c r="AG317" s="95"/>
      <c r="AH317" s="2"/>
      <c r="AI317" s="2"/>
      <c r="AJ317" s="2"/>
      <c r="AK317" s="2"/>
    </row>
    <row r="318" spans="1:37" ht="48" hidden="1" customHeight="1" x14ac:dyDescent="0.2">
      <c r="A318" s="1"/>
      <c r="B318" s="2701" t="s">
        <v>227</v>
      </c>
      <c r="C318" s="2657"/>
      <c r="D318" s="2629"/>
      <c r="E318" s="2694"/>
      <c r="F318" s="2629"/>
      <c r="G318" s="2702"/>
      <c r="H318" s="2703"/>
      <c r="I318" s="2700"/>
      <c r="J318" s="2657"/>
      <c r="K318" s="2657"/>
      <c r="L318" s="2657"/>
      <c r="M318" s="2657"/>
      <c r="N318" s="2629"/>
      <c r="O318" s="1286"/>
      <c r="P318" s="95"/>
      <c r="Q318" s="95"/>
      <c r="AE318" s="95"/>
      <c r="AF318" s="95"/>
      <c r="AG318" s="95"/>
      <c r="AH318" s="2"/>
      <c r="AI318" s="2"/>
      <c r="AJ318" s="2"/>
      <c r="AK318" s="2"/>
    </row>
    <row r="319" spans="1:37" ht="48" hidden="1" customHeight="1" x14ac:dyDescent="0.2">
      <c r="A319" s="1"/>
      <c r="B319" s="2701" t="s">
        <v>228</v>
      </c>
      <c r="C319" s="2657"/>
      <c r="D319" s="2629"/>
      <c r="E319" s="2694"/>
      <c r="F319" s="2629"/>
      <c r="G319" s="2702"/>
      <c r="H319" s="2703"/>
      <c r="I319" s="2700"/>
      <c r="J319" s="2657"/>
      <c r="K319" s="2657"/>
      <c r="L319" s="2657"/>
      <c r="M319" s="2657"/>
      <c r="N319" s="2629"/>
      <c r="O319" s="1286"/>
      <c r="P319" s="95"/>
      <c r="Q319" s="95"/>
      <c r="AE319" s="95"/>
      <c r="AF319" s="95"/>
      <c r="AG319" s="95"/>
      <c r="AH319" s="2"/>
      <c r="AI319" s="2"/>
      <c r="AJ319" s="2"/>
      <c r="AK319" s="2"/>
    </row>
    <row r="320" spans="1:37" ht="48" hidden="1" customHeight="1" x14ac:dyDescent="0.2">
      <c r="A320" s="1"/>
      <c r="B320" s="2708" t="s">
        <v>229</v>
      </c>
      <c r="C320" s="2709"/>
      <c r="D320" s="2693"/>
      <c r="E320" s="2710"/>
      <c r="F320" s="2693"/>
      <c r="G320" s="2723"/>
      <c r="H320" s="2850"/>
      <c r="I320" s="2712"/>
      <c r="J320" s="2709"/>
      <c r="K320" s="2709"/>
      <c r="L320" s="2709"/>
      <c r="M320" s="2709"/>
      <c r="N320" s="2693"/>
      <c r="O320" s="1286"/>
      <c r="P320" s="95"/>
      <c r="Q320" s="95"/>
      <c r="AE320" s="95"/>
      <c r="AF320" s="95"/>
      <c r="AG320" s="95"/>
      <c r="AH320" s="2"/>
      <c r="AI320" s="2"/>
      <c r="AJ320" s="2"/>
      <c r="AK320" s="2"/>
    </row>
    <row r="321" spans="1:37" ht="31" customHeight="1" x14ac:dyDescent="0.2">
      <c r="A321" s="1"/>
      <c r="B321" s="2747" t="s">
        <v>939</v>
      </c>
      <c r="C321" s="2690"/>
      <c r="D321" s="2690"/>
      <c r="E321" s="2664">
        <v>4</v>
      </c>
      <c r="F321" s="2664"/>
      <c r="G321" s="2748">
        <v>1124.32</v>
      </c>
      <c r="H321" s="2748"/>
      <c r="I321" s="2655" t="s">
        <v>1004</v>
      </c>
      <c r="J321" s="2851"/>
      <c r="K321" s="2851"/>
      <c r="L321" s="2851"/>
      <c r="M321" s="2851"/>
      <c r="N321" s="2851"/>
      <c r="O321" s="1286"/>
      <c r="P321" s="95"/>
      <c r="Q321" s="95"/>
      <c r="AE321" s="95"/>
      <c r="AF321" s="95"/>
      <c r="AG321" s="95"/>
      <c r="AH321" s="2"/>
      <c r="AI321" s="2"/>
      <c r="AJ321" s="2"/>
      <c r="AK321" s="2"/>
    </row>
    <row r="322" spans="1:37" ht="31" customHeight="1" x14ac:dyDescent="0.2">
      <c r="A322" s="1"/>
      <c r="B322" s="2747" t="s">
        <v>226</v>
      </c>
      <c r="C322" s="2690"/>
      <c r="D322" s="2690"/>
      <c r="E322" s="2664">
        <v>2</v>
      </c>
      <c r="F322" s="2664"/>
      <c r="G322" s="2748">
        <v>396</v>
      </c>
      <c r="H322" s="2748"/>
      <c r="I322" s="2655" t="s">
        <v>1005</v>
      </c>
      <c r="J322" s="2655"/>
      <c r="K322" s="2655"/>
      <c r="L322" s="2655"/>
      <c r="M322" s="2655"/>
      <c r="N322" s="2655"/>
      <c r="O322" s="1286"/>
      <c r="P322" s="95"/>
      <c r="Q322" s="95"/>
      <c r="AE322" s="95"/>
      <c r="AF322" s="95"/>
      <c r="AG322" s="95"/>
      <c r="AH322" s="2"/>
      <c r="AI322" s="2"/>
      <c r="AJ322" s="2"/>
      <c r="AK322" s="2"/>
    </row>
    <row r="323" spans="1:37" ht="31" customHeight="1" x14ac:dyDescent="0.2">
      <c r="A323" s="1"/>
      <c r="B323" s="2747" t="s">
        <v>227</v>
      </c>
      <c r="C323" s="2690"/>
      <c r="D323" s="2690"/>
      <c r="E323" s="2664">
        <v>2</v>
      </c>
      <c r="F323" s="2664"/>
      <c r="G323" s="2748">
        <v>283.83999999999997</v>
      </c>
      <c r="H323" s="2748"/>
      <c r="I323" s="2655" t="s">
        <v>1006</v>
      </c>
      <c r="J323" s="2655"/>
      <c r="K323" s="2655"/>
      <c r="L323" s="2655"/>
      <c r="M323" s="2655"/>
      <c r="N323" s="2655"/>
      <c r="O323" s="1286"/>
      <c r="P323" s="95"/>
      <c r="Q323" s="95"/>
      <c r="AE323" s="95"/>
      <c r="AF323" s="95"/>
      <c r="AG323" s="95"/>
      <c r="AH323" s="2"/>
      <c r="AI323" s="2"/>
      <c r="AJ323" s="2"/>
      <c r="AK323" s="2"/>
    </row>
    <row r="324" spans="1:37" ht="31" customHeight="1" x14ac:dyDescent="0.2">
      <c r="A324" s="1"/>
      <c r="B324" s="2747" t="s">
        <v>228</v>
      </c>
      <c r="C324" s="2690"/>
      <c r="D324" s="2690"/>
      <c r="E324" s="2664">
        <v>4</v>
      </c>
      <c r="F324" s="2664"/>
      <c r="G324" s="2748">
        <v>705.04</v>
      </c>
      <c r="H324" s="2748"/>
      <c r="I324" s="2655" t="s">
        <v>1007</v>
      </c>
      <c r="J324" s="2655"/>
      <c r="K324" s="2655"/>
      <c r="L324" s="2655"/>
      <c r="M324" s="2655"/>
      <c r="N324" s="2655"/>
      <c r="O324" s="1286"/>
      <c r="P324" s="95"/>
      <c r="Q324" s="95"/>
      <c r="AE324" s="95"/>
      <c r="AF324" s="95"/>
      <c r="AG324" s="95"/>
      <c r="AH324" s="2"/>
      <c r="AI324" s="2"/>
      <c r="AJ324" s="2"/>
      <c r="AK324" s="2"/>
    </row>
    <row r="325" spans="1:37" ht="31" customHeight="1" x14ac:dyDescent="0.2">
      <c r="A325" s="1"/>
      <c r="B325" s="2747" t="s">
        <v>229</v>
      </c>
      <c r="C325" s="2690"/>
      <c r="D325" s="2690"/>
      <c r="E325" s="2664">
        <v>3</v>
      </c>
      <c r="F325" s="2664"/>
      <c r="G325" s="2748">
        <v>293.52</v>
      </c>
      <c r="H325" s="2748"/>
      <c r="I325" s="2655" t="s">
        <v>1008</v>
      </c>
      <c r="J325" s="2655"/>
      <c r="K325" s="2655"/>
      <c r="L325" s="2655"/>
      <c r="M325" s="2655"/>
      <c r="N325" s="2655"/>
      <c r="O325" s="1286"/>
      <c r="P325" s="95"/>
      <c r="Q325" s="95"/>
      <c r="AE325" s="95"/>
      <c r="AF325" s="95"/>
      <c r="AG325" s="95"/>
      <c r="AH325" s="2"/>
      <c r="AI325" s="2"/>
      <c r="AJ325" s="2"/>
      <c r="AK325" s="2"/>
    </row>
    <row r="326" spans="1:37" ht="31" customHeight="1" x14ac:dyDescent="0.2">
      <c r="A326" s="1"/>
      <c r="B326" s="2722" t="s">
        <v>239</v>
      </c>
      <c r="C326" s="2690"/>
      <c r="D326" s="2690"/>
      <c r="E326" s="2665">
        <f>SUM(E316:F325)</f>
        <v>15</v>
      </c>
      <c r="F326" s="2718"/>
      <c r="G326" s="2750">
        <v>2802.72</v>
      </c>
      <c r="H326" s="2751"/>
      <c r="I326" s="2722"/>
      <c r="J326" s="2721"/>
      <c r="K326" s="2721"/>
      <c r="L326" s="2721"/>
      <c r="M326" s="2721"/>
      <c r="N326" s="2721"/>
      <c r="O326" s="4"/>
      <c r="P326" s="1"/>
      <c r="AE326" s="95"/>
      <c r="AF326" s="95"/>
      <c r="AG326" s="95"/>
      <c r="AH326" s="2"/>
      <c r="AI326" s="2"/>
      <c r="AJ326" s="2"/>
      <c r="AK326" s="2"/>
    </row>
    <row r="327" spans="1:37" ht="41" customHeight="1" x14ac:dyDescent="0.2">
      <c r="A327" s="1"/>
      <c r="B327" s="2656" t="s">
        <v>462</v>
      </c>
      <c r="C327" s="2690"/>
      <c r="D327" s="2690"/>
      <c r="E327" s="2840">
        <f>'TH Thương hiệu DC2'!F137</f>
        <v>1693710.5999999999</v>
      </c>
      <c r="F327" s="2840"/>
      <c r="G327" s="2840"/>
      <c r="H327" s="2840"/>
      <c r="I327" s="2656" t="s">
        <v>945</v>
      </c>
      <c r="J327" s="2718"/>
      <c r="K327" s="2718"/>
      <c r="L327" s="2718"/>
      <c r="M327" s="2718"/>
      <c r="N327" s="2718"/>
      <c r="O327" s="4"/>
      <c r="P327" s="1"/>
      <c r="AE327" s="95"/>
      <c r="AF327" s="95"/>
      <c r="AG327" s="95"/>
      <c r="AH327" s="2"/>
      <c r="AI327" s="2"/>
      <c r="AJ327" s="2"/>
      <c r="AK327" s="2"/>
    </row>
    <row r="328" spans="1:37" ht="41" customHeight="1" x14ac:dyDescent="0.2">
      <c r="A328" s="1"/>
      <c r="B328" s="2841" t="s">
        <v>241</v>
      </c>
      <c r="C328" s="2842"/>
      <c r="D328" s="2842"/>
      <c r="E328" s="2843">
        <f>G326+G311</f>
        <v>4822.04</v>
      </c>
      <c r="F328" s="2843"/>
      <c r="G328" s="2843"/>
      <c r="H328" s="2843"/>
      <c r="I328" s="2844"/>
      <c r="J328" s="2845"/>
      <c r="K328" s="2845"/>
      <c r="L328" s="2845"/>
      <c r="M328" s="2845"/>
      <c r="N328" s="2845"/>
      <c r="O328" s="4"/>
      <c r="P328" s="1"/>
      <c r="AE328" s="95"/>
      <c r="AF328" s="95"/>
      <c r="AG328" s="95"/>
      <c r="AH328" s="2"/>
      <c r="AI328" s="2"/>
      <c r="AJ328" s="2"/>
      <c r="AK328" s="2"/>
    </row>
    <row r="329" spans="1:37" ht="41" customHeight="1" x14ac:dyDescent="0.2">
      <c r="A329" s="1"/>
      <c r="B329" s="2841" t="s">
        <v>242</v>
      </c>
      <c r="C329" s="2845"/>
      <c r="D329" s="2845"/>
      <c r="E329" s="2849">
        <f>E312+E327</f>
        <v>3396351.04</v>
      </c>
      <c r="F329" s="2849"/>
      <c r="G329" s="2849"/>
      <c r="H329" s="2849"/>
      <c r="I329" s="2841" t="s">
        <v>946</v>
      </c>
      <c r="J329" s="2845"/>
      <c r="K329" s="2845"/>
      <c r="L329" s="2845"/>
      <c r="M329" s="2845"/>
      <c r="N329" s="2845"/>
      <c r="O329" s="356"/>
      <c r="P329" s="71"/>
      <c r="Q329" s="209"/>
      <c r="AE329" s="95"/>
      <c r="AF329" s="95"/>
      <c r="AG329" s="95"/>
      <c r="AH329" s="2"/>
      <c r="AI329" s="2"/>
      <c r="AJ329" s="2"/>
      <c r="AK329" s="2"/>
    </row>
    <row r="330" spans="1:37" ht="27" customHeight="1" x14ac:dyDescent="0.2">
      <c r="A330" s="1"/>
      <c r="B330" s="2475" t="s">
        <v>244</v>
      </c>
      <c r="C330" s="2731"/>
      <c r="D330" s="2731"/>
      <c r="E330" s="2731"/>
      <c r="F330" s="2731"/>
      <c r="G330" s="2731"/>
      <c r="H330" s="2731"/>
      <c r="I330" s="2731"/>
      <c r="J330" s="2731"/>
      <c r="K330" s="2731"/>
      <c r="L330" s="2731"/>
      <c r="M330" s="2731"/>
      <c r="N330" s="2731"/>
      <c r="O330" s="1292"/>
      <c r="P330" s="301"/>
      <c r="Q330" s="337"/>
      <c r="AE330" s="95"/>
      <c r="AF330" s="95"/>
      <c r="AG330" s="95"/>
      <c r="AH330" s="2"/>
      <c r="AI330" s="2"/>
      <c r="AJ330" s="2"/>
      <c r="AK330" s="2"/>
    </row>
    <row r="331" spans="1:37" ht="47" customHeight="1" x14ac:dyDescent="0.2">
      <c r="A331" s="1"/>
      <c r="B331" s="2663" t="s">
        <v>245</v>
      </c>
      <c r="C331" s="2731"/>
      <c r="D331" s="2731"/>
      <c r="E331" s="2731"/>
      <c r="F331" s="2731"/>
      <c r="G331" s="2731"/>
      <c r="H331" s="2731"/>
      <c r="I331" s="2731"/>
      <c r="J331" s="2731"/>
      <c r="K331" s="2731"/>
      <c r="L331" s="2731"/>
      <c r="M331" s="2731"/>
      <c r="N331" s="2731"/>
      <c r="O331" s="1292"/>
      <c r="P331" s="301"/>
      <c r="Q331" s="337"/>
      <c r="AE331" s="95"/>
      <c r="AF331" s="95"/>
      <c r="AG331" s="95"/>
      <c r="AH331" s="2"/>
      <c r="AI331" s="2"/>
      <c r="AJ331" s="2"/>
      <c r="AK331" s="2"/>
    </row>
    <row r="332" spans="1:37" ht="48" customHeight="1" x14ac:dyDescent="0.2">
      <c r="A332" s="1"/>
      <c r="B332" s="2663" t="s">
        <v>947</v>
      </c>
      <c r="C332" s="2731"/>
      <c r="D332" s="2731"/>
      <c r="E332" s="2731"/>
      <c r="F332" s="2731"/>
      <c r="G332" s="2731"/>
      <c r="H332" s="2731"/>
      <c r="I332" s="2731"/>
      <c r="J332" s="2731"/>
      <c r="K332" s="2731"/>
      <c r="L332" s="2731"/>
      <c r="M332" s="2731"/>
      <c r="N332" s="2731"/>
      <c r="O332" s="1286"/>
      <c r="P332" s="95"/>
      <c r="Q332" s="95"/>
      <c r="AE332" s="95"/>
      <c r="AF332" s="95"/>
      <c r="AG332" s="95"/>
      <c r="AH332" s="2"/>
      <c r="AI332" s="2"/>
      <c r="AJ332" s="2"/>
      <c r="AK332" s="2"/>
    </row>
    <row r="333" spans="1:37" ht="32" customHeight="1" x14ac:dyDescent="0.2">
      <c r="A333" s="1"/>
      <c r="B333" s="2663" t="s">
        <v>948</v>
      </c>
      <c r="C333" s="2731"/>
      <c r="D333" s="2731"/>
      <c r="E333" s="2731"/>
      <c r="F333" s="2731"/>
      <c r="G333" s="2731"/>
      <c r="H333" s="2731"/>
      <c r="I333" s="2731"/>
      <c r="J333" s="2731"/>
      <c r="K333" s="2731"/>
      <c r="L333" s="2731"/>
      <c r="M333" s="2731"/>
      <c r="N333" s="2731"/>
      <c r="O333" s="1286"/>
      <c r="P333" s="95"/>
      <c r="Q333" s="95"/>
      <c r="AE333" s="95"/>
      <c r="AF333" s="95"/>
      <c r="AG333" s="95"/>
      <c r="AH333" s="2"/>
      <c r="AI333" s="2"/>
      <c r="AJ333" s="2"/>
      <c r="AK333" s="2"/>
    </row>
    <row r="334" spans="1:37" ht="32" customHeight="1" x14ac:dyDescent="0.2">
      <c r="A334" s="1"/>
      <c r="B334" s="2941" t="s">
        <v>949</v>
      </c>
      <c r="C334" s="2941"/>
      <c r="D334" s="2941"/>
      <c r="E334" s="2941"/>
      <c r="F334" s="2941"/>
      <c r="G334" s="2941"/>
      <c r="H334" s="2941"/>
      <c r="I334" s="2941"/>
      <c r="J334" s="2941"/>
      <c r="K334" s="2941"/>
      <c r="L334" s="2941"/>
      <c r="M334" s="2941"/>
      <c r="N334" s="2941"/>
      <c r="O334" s="1286"/>
      <c r="P334" s="95"/>
      <c r="Q334" s="95"/>
      <c r="AE334" s="95"/>
      <c r="AF334" s="95"/>
      <c r="AG334" s="95"/>
      <c r="AH334" s="2"/>
      <c r="AI334" s="2"/>
      <c r="AJ334" s="2"/>
      <c r="AK334" s="2"/>
    </row>
    <row r="335" spans="1:37" ht="45" customHeight="1" x14ac:dyDescent="0.2">
      <c r="A335" s="1"/>
      <c r="B335" s="2663" t="s">
        <v>950</v>
      </c>
      <c r="C335" s="2663"/>
      <c r="D335" s="2663"/>
      <c r="E335" s="2663"/>
      <c r="F335" s="2663"/>
      <c r="G335" s="2663"/>
      <c r="H335" s="2663"/>
      <c r="I335" s="2663"/>
      <c r="J335" s="2663"/>
      <c r="K335" s="2663"/>
      <c r="L335" s="2663"/>
      <c r="M335" s="2663"/>
      <c r="N335" s="2663"/>
      <c r="O335" s="1286"/>
      <c r="P335" s="95"/>
      <c r="Q335" s="95"/>
      <c r="AE335" s="95"/>
      <c r="AF335" s="95"/>
      <c r="AG335" s="95"/>
      <c r="AH335" s="2"/>
      <c r="AI335" s="2"/>
      <c r="AJ335" s="2"/>
      <c r="AK335" s="2"/>
    </row>
    <row r="336" spans="1:37" ht="32" customHeight="1" x14ac:dyDescent="0.2">
      <c r="A336" s="1"/>
      <c r="B336" s="2663" t="s">
        <v>951</v>
      </c>
      <c r="C336" s="2663"/>
      <c r="D336" s="2663"/>
      <c r="E336" s="2663"/>
      <c r="F336" s="2663"/>
      <c r="G336" s="2663"/>
      <c r="H336" s="2663"/>
      <c r="I336" s="2663"/>
      <c r="J336" s="2663"/>
      <c r="K336" s="2663"/>
      <c r="L336" s="2663"/>
      <c r="M336" s="2663"/>
      <c r="N336" s="2663"/>
      <c r="O336" s="1286"/>
      <c r="P336" s="95"/>
      <c r="Q336" s="95"/>
      <c r="AE336" s="95"/>
      <c r="AF336" s="95"/>
      <c r="AG336" s="95"/>
      <c r="AH336" s="2"/>
      <c r="AI336" s="2"/>
      <c r="AJ336" s="2"/>
      <c r="AK336" s="2"/>
    </row>
    <row r="337" spans="1:37" ht="27.75" customHeight="1" x14ac:dyDescent="0.2">
      <c r="A337" s="1"/>
      <c r="B337" s="42" t="s">
        <v>986</v>
      </c>
      <c r="C337" s="42"/>
      <c r="D337" s="42"/>
      <c r="E337" s="42"/>
      <c r="F337" s="42"/>
      <c r="G337" s="42"/>
      <c r="H337" s="42"/>
      <c r="I337" s="42"/>
      <c r="J337" s="42"/>
      <c r="K337" s="42"/>
      <c r="L337" s="42"/>
      <c r="M337" s="42"/>
      <c r="N337" s="42"/>
      <c r="O337" s="1286"/>
      <c r="P337" s="95"/>
      <c r="Q337" s="95"/>
      <c r="AE337" s="95"/>
      <c r="AF337" s="95"/>
      <c r="AG337" s="95"/>
      <c r="AH337" s="2"/>
      <c r="AI337" s="2"/>
      <c r="AJ337" s="2"/>
      <c r="AK337" s="2"/>
    </row>
    <row r="338" spans="1:37" ht="30" hidden="1" customHeight="1" x14ac:dyDescent="0.2">
      <c r="A338" s="1"/>
      <c r="B338" s="42" t="s">
        <v>57</v>
      </c>
      <c r="C338" s="1"/>
      <c r="D338" s="1"/>
      <c r="E338" s="1"/>
      <c r="F338" s="1"/>
      <c r="G338" s="1"/>
      <c r="H338" s="1"/>
      <c r="I338" s="1"/>
      <c r="J338" s="1"/>
      <c r="K338" s="1"/>
      <c r="L338" s="1"/>
      <c r="M338" s="1"/>
      <c r="N338" s="1"/>
      <c r="O338" s="1286"/>
      <c r="P338" s="95"/>
      <c r="Q338" s="95"/>
      <c r="AE338" s="95"/>
      <c r="AF338" s="95"/>
      <c r="AG338" s="95"/>
      <c r="AH338" s="2"/>
      <c r="AI338" s="2"/>
      <c r="AJ338" s="2"/>
      <c r="AK338" s="2"/>
    </row>
    <row r="339" spans="1:37" ht="30" hidden="1" customHeight="1" x14ac:dyDescent="0.2">
      <c r="A339" s="1"/>
      <c r="B339" s="2829" t="s">
        <v>929</v>
      </c>
      <c r="C339" s="2829"/>
      <c r="D339" s="2829"/>
      <c r="E339" s="2829"/>
      <c r="F339" s="2829"/>
      <c r="G339" s="2829"/>
      <c r="H339" s="2829"/>
      <c r="I339" s="2829"/>
      <c r="J339" s="2829"/>
      <c r="K339" s="2829"/>
      <c r="L339" s="2829"/>
      <c r="M339" s="2829"/>
      <c r="N339" s="2829"/>
      <c r="O339" s="2829"/>
      <c r="P339" s="95"/>
      <c r="Q339" s="95"/>
      <c r="AE339" s="95"/>
      <c r="AF339" s="95"/>
      <c r="AG339" s="95"/>
      <c r="AH339" s="2"/>
      <c r="AI339" s="2"/>
      <c r="AJ339" s="2"/>
      <c r="AK339" s="2"/>
    </row>
    <row r="340" spans="1:37" ht="30" hidden="1" customHeight="1" x14ac:dyDescent="0.2">
      <c r="A340" s="1"/>
      <c r="B340" s="42" t="s">
        <v>84</v>
      </c>
      <c r="C340" s="1"/>
      <c r="D340" s="1"/>
      <c r="E340" s="1"/>
      <c r="F340" s="1"/>
      <c r="G340" s="1"/>
      <c r="I340" s="1"/>
      <c r="J340" s="1"/>
      <c r="K340" s="1"/>
      <c r="L340" s="1"/>
      <c r="M340" s="1"/>
      <c r="N340" s="1"/>
      <c r="O340" s="1286"/>
      <c r="P340" s="95"/>
      <c r="Q340" s="95"/>
      <c r="AE340" s="95"/>
      <c r="AF340" s="95"/>
      <c r="AG340" s="95"/>
      <c r="AH340" s="2"/>
      <c r="AI340" s="2"/>
      <c r="AJ340" s="2"/>
      <c r="AK340" s="2"/>
    </row>
    <row r="341" spans="1:37" ht="30" hidden="1" customHeight="1" x14ac:dyDescent="0.2">
      <c r="A341" s="1"/>
      <c r="B341" s="79" t="s">
        <v>952</v>
      </c>
      <c r="C341" s="1"/>
      <c r="D341" s="1"/>
      <c r="E341" s="1"/>
      <c r="F341" s="1"/>
      <c r="G341" s="1"/>
      <c r="H341" s="1"/>
      <c r="I341" s="1"/>
      <c r="J341" s="1"/>
      <c r="K341" s="1"/>
      <c r="L341" s="1"/>
      <c r="M341" s="1"/>
      <c r="N341" s="1"/>
      <c r="O341" s="1286"/>
      <c r="P341" s="95"/>
      <c r="Q341" s="95"/>
      <c r="AE341" s="95"/>
      <c r="AF341" s="95"/>
      <c r="AG341" s="95"/>
      <c r="AH341" s="2"/>
      <c r="AI341" s="2"/>
      <c r="AJ341" s="2"/>
      <c r="AK341" s="2"/>
    </row>
    <row r="342" spans="1:37" ht="36.75" hidden="1" customHeight="1" x14ac:dyDescent="0.2">
      <c r="A342" s="1"/>
      <c r="B342" s="2839" t="s">
        <v>930</v>
      </c>
      <c r="C342" s="2839"/>
      <c r="D342" s="2839"/>
      <c r="E342" s="2839"/>
      <c r="F342" s="2839"/>
      <c r="G342" s="2839"/>
      <c r="H342" s="2839"/>
      <c r="I342" s="2839"/>
      <c r="J342" s="2839"/>
      <c r="K342" s="2839"/>
      <c r="L342" s="2839"/>
      <c r="M342" s="2839"/>
      <c r="N342" s="2839"/>
      <c r="O342" s="1286"/>
      <c r="P342" s="95"/>
      <c r="Q342" s="95"/>
      <c r="AE342" s="95"/>
      <c r="AF342" s="95"/>
      <c r="AG342" s="95"/>
      <c r="AH342" s="2"/>
      <c r="AI342" s="2"/>
      <c r="AJ342" s="2"/>
      <c r="AK342" s="2"/>
    </row>
    <row r="343" spans="1:37" ht="44" hidden="1" customHeight="1" x14ac:dyDescent="0.2">
      <c r="A343" s="1"/>
      <c r="B343" s="2837" t="s">
        <v>34</v>
      </c>
      <c r="C343" s="1322" t="s">
        <v>213</v>
      </c>
      <c r="D343" s="2837" t="s">
        <v>252</v>
      </c>
      <c r="E343" s="2837" t="s">
        <v>253</v>
      </c>
      <c r="F343" s="2837" t="s">
        <v>10</v>
      </c>
      <c r="G343" s="1323" t="s">
        <v>214</v>
      </c>
      <c r="H343" s="1322" t="s">
        <v>254</v>
      </c>
      <c r="I343" s="1324" t="s">
        <v>255</v>
      </c>
      <c r="J343" s="2837" t="s">
        <v>10</v>
      </c>
      <c r="K343" s="1326"/>
      <c r="L343" s="1326" t="s">
        <v>47</v>
      </c>
      <c r="M343" s="1326"/>
      <c r="N343" s="1327"/>
      <c r="O343" s="1286"/>
      <c r="P343" s="95"/>
      <c r="Q343" s="95"/>
      <c r="AE343" s="95"/>
      <c r="AF343" s="95"/>
      <c r="AG343" s="95"/>
      <c r="AH343" s="2"/>
      <c r="AI343" s="2"/>
      <c r="AJ343" s="2"/>
      <c r="AK343" s="2"/>
    </row>
    <row r="344" spans="1:37" ht="36.75" hidden="1" customHeight="1" thickBot="1" x14ac:dyDescent="0.25">
      <c r="A344" s="1"/>
      <c r="B344" s="2838"/>
      <c r="C344" s="1328" t="s">
        <v>256</v>
      </c>
      <c r="D344" s="2838"/>
      <c r="E344" s="2838"/>
      <c r="F344" s="2838"/>
      <c r="G344" s="1328" t="s">
        <v>21</v>
      </c>
      <c r="H344" s="1328" t="s">
        <v>22</v>
      </c>
      <c r="I344" s="1329" t="s">
        <v>257</v>
      </c>
      <c r="J344" s="2838"/>
      <c r="K344" s="1326"/>
      <c r="L344" s="1326"/>
      <c r="M344" s="1326"/>
      <c r="N344" s="1330"/>
      <c r="O344" s="1286"/>
      <c r="P344" s="95"/>
      <c r="Q344" s="95"/>
      <c r="AE344" s="95"/>
      <c r="AF344" s="95"/>
      <c r="AG344" s="95"/>
      <c r="AH344" s="2"/>
      <c r="AI344" s="2"/>
      <c r="AJ344" s="2"/>
      <c r="AK344" s="2"/>
    </row>
    <row r="345" spans="1:37" ht="36.75" hidden="1" customHeight="1" thickBot="1" x14ac:dyDescent="0.25">
      <c r="A345" s="1"/>
      <c r="B345" s="1331" t="s">
        <v>5</v>
      </c>
      <c r="C345" s="1332" t="s">
        <v>115</v>
      </c>
      <c r="D345" s="1333">
        <v>45710</v>
      </c>
      <c r="E345" s="1333"/>
      <c r="F345" s="1334">
        <f>I13</f>
        <v>111.95000633718044</v>
      </c>
      <c r="G345" s="1335">
        <f>H13</f>
        <v>1702641.5999999999</v>
      </c>
      <c r="H345" s="1336">
        <f>K14</f>
        <v>98.238806900204594</v>
      </c>
      <c r="I345" s="1337">
        <f>N13</f>
        <v>26</v>
      </c>
      <c r="J345" s="1325"/>
      <c r="K345" s="1338"/>
      <c r="L345" s="1338" t="s">
        <v>258</v>
      </c>
      <c r="M345" s="1338"/>
      <c r="N345" s="1339"/>
      <c r="O345" s="1286"/>
      <c r="P345" s="95"/>
      <c r="Q345" s="95"/>
      <c r="AE345" s="95"/>
      <c r="AF345" s="95"/>
      <c r="AG345" s="95"/>
      <c r="AH345" s="2"/>
      <c r="AI345" s="2"/>
      <c r="AJ345" s="2"/>
      <c r="AK345" s="2"/>
    </row>
    <row r="346" spans="1:37" ht="36.75" hidden="1" customHeight="1" x14ac:dyDescent="0.2">
      <c r="A346" s="1"/>
      <c r="B346" s="2836" t="s">
        <v>25</v>
      </c>
      <c r="C346" s="1340" t="s">
        <v>116</v>
      </c>
      <c r="D346" s="1341">
        <v>45721</v>
      </c>
      <c r="E346" s="1342" t="s">
        <v>142</v>
      </c>
      <c r="F346" s="1343">
        <f>I28</f>
        <v>0</v>
      </c>
      <c r="G346" s="1343">
        <f>H28</f>
        <v>100</v>
      </c>
      <c r="H346" s="1338">
        <v>99.17</v>
      </c>
      <c r="I346" s="1344">
        <v>151</v>
      </c>
      <c r="J346" s="1325"/>
      <c r="K346" s="1338"/>
      <c r="L346" s="1338" t="s">
        <v>258</v>
      </c>
      <c r="M346" s="1338"/>
      <c r="N346" s="1345"/>
      <c r="O346" s="1286"/>
      <c r="P346" s="95"/>
      <c r="Q346" s="95"/>
      <c r="AE346" s="95"/>
      <c r="AF346" s="95"/>
      <c r="AG346" s="95"/>
      <c r="AH346" s="2"/>
      <c r="AI346" s="2"/>
      <c r="AJ346" s="2"/>
      <c r="AK346" s="2"/>
    </row>
    <row r="347" spans="1:37" ht="34" hidden="1" customHeight="1" x14ac:dyDescent="0.2">
      <c r="A347" s="1"/>
      <c r="B347" s="2836"/>
      <c r="C347" s="1340" t="s">
        <v>119</v>
      </c>
      <c r="D347" s="1341">
        <v>45765</v>
      </c>
      <c r="E347" s="1342" t="s">
        <v>142</v>
      </c>
      <c r="F347" s="1343">
        <f>I32</f>
        <v>0</v>
      </c>
      <c r="G347" s="1346">
        <f>H32</f>
        <v>100</v>
      </c>
      <c r="H347" s="1338">
        <v>97.36</v>
      </c>
      <c r="I347" s="1344">
        <v>154</v>
      </c>
      <c r="J347" s="1325"/>
      <c r="K347" s="1338"/>
      <c r="L347" s="1338" t="s">
        <v>258</v>
      </c>
      <c r="M347" s="1338"/>
      <c r="N347" s="1345"/>
      <c r="O347" s="1286"/>
      <c r="P347" s="95"/>
      <c r="Q347" s="95"/>
      <c r="AE347" s="95"/>
      <c r="AF347" s="95"/>
      <c r="AG347" s="95"/>
      <c r="AH347" s="2"/>
      <c r="AI347" s="2"/>
      <c r="AJ347" s="2"/>
      <c r="AK347" s="2"/>
    </row>
    <row r="348" spans="1:37" ht="41" hidden="1" customHeight="1" x14ac:dyDescent="0.2">
      <c r="A348" s="1"/>
      <c r="B348" s="2836"/>
      <c r="C348" s="1347" t="s">
        <v>122</v>
      </c>
      <c r="D348" s="1348">
        <v>45797</v>
      </c>
      <c r="E348" s="1349" t="s">
        <v>142</v>
      </c>
      <c r="F348" s="1350">
        <f>I36</f>
        <v>0</v>
      </c>
      <c r="G348" s="1351">
        <f>H36</f>
        <v>100.00000000000001</v>
      </c>
      <c r="H348" s="1352">
        <v>97.75</v>
      </c>
      <c r="I348" s="1353">
        <v>51</v>
      </c>
      <c r="J348" s="1325"/>
      <c r="K348" s="1338"/>
      <c r="L348" s="1338" t="s">
        <v>258</v>
      </c>
      <c r="M348" s="1338"/>
      <c r="N348" s="1345"/>
      <c r="O348" s="1286"/>
      <c r="P348" s="95"/>
      <c r="Q348" s="95"/>
      <c r="AE348" s="95"/>
      <c r="AF348" s="95"/>
      <c r="AG348" s="95"/>
      <c r="AH348" s="2"/>
      <c r="AI348" s="2"/>
      <c r="AJ348" s="2"/>
      <c r="AK348" s="2"/>
    </row>
    <row r="349" spans="1:37" ht="38" hidden="1" customHeight="1" x14ac:dyDescent="0.2">
      <c r="A349" s="1"/>
      <c r="B349" s="1354" t="s">
        <v>259</v>
      </c>
      <c r="C349" s="2846" t="s">
        <v>260</v>
      </c>
      <c r="D349" s="2847"/>
      <c r="E349" s="2848"/>
      <c r="F349" s="1350">
        <f>SUM(F346:F348)</f>
        <v>0</v>
      </c>
      <c r="G349" s="1350">
        <f>SUM(G346:G348)</f>
        <v>300</v>
      </c>
      <c r="H349" s="1355">
        <v>98.36</v>
      </c>
      <c r="I349" s="1356">
        <v>123</v>
      </c>
      <c r="J349" s="1325"/>
      <c r="K349" s="1357"/>
      <c r="L349" s="1357" t="s">
        <v>258</v>
      </c>
      <c r="M349" s="1357"/>
      <c r="N349" s="1358"/>
      <c r="O349" s="1286"/>
      <c r="P349" s="95"/>
      <c r="Q349" s="95"/>
      <c r="AE349" s="95"/>
      <c r="AF349" s="95"/>
      <c r="AG349" s="95"/>
      <c r="AH349" s="2"/>
      <c r="AI349" s="2"/>
      <c r="AJ349" s="2"/>
      <c r="AK349" s="2"/>
    </row>
    <row r="350" spans="1:37" ht="38" hidden="1" customHeight="1" x14ac:dyDescent="0.2">
      <c r="A350" s="1"/>
      <c r="B350" s="2833" t="s">
        <v>127</v>
      </c>
      <c r="C350" s="2834"/>
      <c r="D350" s="2834"/>
      <c r="E350" s="2835"/>
      <c r="F350" s="1359">
        <f>SUM(F345:F348)</f>
        <v>111.95000633718044</v>
      </c>
      <c r="G350" s="1360">
        <f>SUM(G345:G348)</f>
        <v>1702941.5999999999</v>
      </c>
      <c r="H350" s="1361">
        <v>98.25</v>
      </c>
      <c r="I350" s="1366">
        <v>94</v>
      </c>
      <c r="J350" s="1325"/>
      <c r="K350" s="1362"/>
      <c r="L350" s="1362" t="s">
        <v>258</v>
      </c>
      <c r="M350" s="1362"/>
      <c r="N350" s="1363"/>
      <c r="O350" s="1286"/>
      <c r="P350" s="95"/>
      <c r="Q350" s="95"/>
      <c r="AE350" s="95"/>
      <c r="AF350" s="95"/>
      <c r="AG350" s="95"/>
      <c r="AH350" s="2"/>
      <c r="AI350" s="2"/>
      <c r="AJ350" s="2"/>
      <c r="AK350" s="2"/>
    </row>
    <row r="351" spans="1:37" ht="16.5" hidden="1" customHeight="1" x14ac:dyDescent="0.2">
      <c r="A351" s="1"/>
      <c r="B351" s="1"/>
      <c r="C351" s="1"/>
      <c r="D351" s="1"/>
      <c r="E351" s="1"/>
      <c r="F351" s="1"/>
      <c r="G351" s="1"/>
      <c r="H351" s="1"/>
      <c r="I351" s="1"/>
      <c r="J351" s="1"/>
      <c r="K351" s="1"/>
      <c r="L351" s="1"/>
      <c r="M351" s="1"/>
      <c r="N351" s="1"/>
      <c r="O351" s="1286"/>
      <c r="P351" s="95"/>
      <c r="Q351" s="95"/>
      <c r="AE351" s="95"/>
      <c r="AF351" s="95"/>
      <c r="AG351" s="95"/>
      <c r="AH351" s="2"/>
      <c r="AI351" s="2"/>
      <c r="AJ351" s="2"/>
      <c r="AK351" s="2"/>
    </row>
    <row r="352" spans="1:37" ht="27" customHeight="1" x14ac:dyDescent="0.2">
      <c r="A352" s="1"/>
      <c r="B352" s="42" t="s">
        <v>958</v>
      </c>
      <c r="C352" s="1"/>
      <c r="D352" s="1"/>
      <c r="E352" s="1"/>
      <c r="F352" s="1"/>
      <c r="G352" s="1"/>
      <c r="H352" s="1"/>
      <c r="I352" s="1"/>
      <c r="J352" s="1"/>
      <c r="K352" s="1"/>
      <c r="L352" s="1"/>
      <c r="M352" s="1"/>
      <c r="N352" s="1"/>
      <c r="O352" s="1286"/>
      <c r="P352" s="95"/>
      <c r="Q352" s="95"/>
      <c r="AE352" s="95"/>
      <c r="AF352" s="95"/>
      <c r="AG352" s="95"/>
      <c r="AH352" s="2"/>
      <c r="AI352" s="2"/>
      <c r="AJ352" s="2"/>
      <c r="AK352" s="2"/>
    </row>
    <row r="353" spans="1:37" ht="62" customHeight="1" x14ac:dyDescent="0.2">
      <c r="A353" s="1"/>
      <c r="B353" s="44" t="s">
        <v>34</v>
      </c>
      <c r="C353" s="2551" t="s">
        <v>902</v>
      </c>
      <c r="D353" s="2551"/>
      <c r="E353" s="44" t="s">
        <v>903</v>
      </c>
      <c r="F353" s="11" t="s">
        <v>904</v>
      </c>
      <c r="G353" s="11" t="s">
        <v>953</v>
      </c>
      <c r="H353" s="2551" t="s">
        <v>47</v>
      </c>
      <c r="I353" s="2551"/>
      <c r="J353" s="2551"/>
      <c r="K353" s="2551"/>
      <c r="L353" s="2551"/>
      <c r="M353" s="2551"/>
      <c r="N353" s="2551"/>
      <c r="O353" s="2551"/>
      <c r="P353" s="95"/>
      <c r="Q353" s="95"/>
      <c r="AE353" s="95"/>
      <c r="AF353" s="95"/>
      <c r="AG353" s="95"/>
      <c r="AH353" s="2"/>
      <c r="AI353" s="2"/>
      <c r="AJ353" s="2"/>
      <c r="AK353" s="2"/>
    </row>
    <row r="354" spans="1:37" ht="35" customHeight="1" x14ac:dyDescent="0.2">
      <c r="A354" s="1"/>
      <c r="B354" s="12" t="s">
        <v>5</v>
      </c>
      <c r="C354" s="2599">
        <v>120</v>
      </c>
      <c r="D354" s="2599"/>
      <c r="E354" s="12">
        <v>116</v>
      </c>
      <c r="F354" s="12">
        <v>106</v>
      </c>
      <c r="G354" s="12">
        <v>107</v>
      </c>
      <c r="H354" s="2599" t="s">
        <v>906</v>
      </c>
      <c r="I354" s="2599"/>
      <c r="J354" s="2599"/>
      <c r="K354" s="2599"/>
      <c r="L354" s="2599"/>
      <c r="M354" s="2599"/>
      <c r="N354" s="2599"/>
      <c r="O354" s="2599"/>
      <c r="P354" s="95"/>
      <c r="Q354" s="95"/>
      <c r="AE354" s="95"/>
      <c r="AF354" s="95"/>
      <c r="AG354" s="95"/>
      <c r="AH354" s="2"/>
      <c r="AI354" s="2"/>
      <c r="AJ354" s="2"/>
      <c r="AK354" s="2"/>
    </row>
    <row r="355" spans="1:37" ht="35" customHeight="1" x14ac:dyDescent="0.2">
      <c r="A355" s="1"/>
      <c r="B355" s="12" t="s">
        <v>25</v>
      </c>
      <c r="C355" s="2599">
        <v>120</v>
      </c>
      <c r="D355" s="2599"/>
      <c r="E355" s="12">
        <v>116</v>
      </c>
      <c r="F355" s="12">
        <v>96</v>
      </c>
      <c r="G355" s="12" t="s">
        <v>905</v>
      </c>
      <c r="H355" s="2599"/>
      <c r="I355" s="2599"/>
      <c r="J355" s="2599"/>
      <c r="K355" s="2599"/>
      <c r="L355" s="2599"/>
      <c r="M355" s="2599"/>
      <c r="N355" s="2599"/>
      <c r="O355" s="2599"/>
      <c r="P355" s="95"/>
      <c r="Q355" s="95"/>
      <c r="AE355" s="95"/>
      <c r="AF355" s="95"/>
      <c r="AG355" s="95"/>
      <c r="AH355" s="2"/>
      <c r="AI355" s="2"/>
      <c r="AJ355" s="2"/>
      <c r="AK355" s="2"/>
    </row>
    <row r="356" spans="1:37" ht="35" customHeight="1" x14ac:dyDescent="0.2">
      <c r="A356" s="1"/>
      <c r="B356" s="12" t="s">
        <v>663</v>
      </c>
      <c r="C356" s="2599">
        <v>69</v>
      </c>
      <c r="D356" s="2599"/>
      <c r="E356" s="12">
        <v>67</v>
      </c>
      <c r="F356" s="12">
        <v>57</v>
      </c>
      <c r="G356" s="12">
        <v>65</v>
      </c>
      <c r="H356" s="2599"/>
      <c r="I356" s="2599"/>
      <c r="J356" s="2599"/>
      <c r="K356" s="2599"/>
      <c r="L356" s="2599"/>
      <c r="M356" s="2599"/>
      <c r="N356" s="2599"/>
      <c r="O356" s="2599"/>
      <c r="P356" s="95"/>
      <c r="Q356" s="95"/>
      <c r="AE356" s="95"/>
      <c r="AF356" s="95"/>
      <c r="AG356" s="95"/>
      <c r="AH356" s="2"/>
      <c r="AI356" s="2"/>
      <c r="AJ356" s="2"/>
      <c r="AK356" s="2"/>
    </row>
    <row r="357" spans="1:37" ht="48" customHeight="1" x14ac:dyDescent="0.2">
      <c r="A357" s="1"/>
      <c r="B357" s="1309" t="s">
        <v>127</v>
      </c>
      <c r="C357" s="2827">
        <f>SUM(C354:D356)</f>
        <v>309</v>
      </c>
      <c r="D357" s="2827"/>
      <c r="E357" s="334">
        <f>SUM(E354:E356)</f>
        <v>299</v>
      </c>
      <c r="F357" s="334">
        <f>SUM(F354:F356)</f>
        <v>259</v>
      </c>
      <c r="G357" s="334">
        <v>281</v>
      </c>
      <c r="H357" s="2599"/>
      <c r="I357" s="2599"/>
      <c r="J357" s="2599"/>
      <c r="K357" s="2599"/>
      <c r="L357" s="2599"/>
      <c r="M357" s="2599"/>
      <c r="N357" s="2599"/>
      <c r="O357" s="2599"/>
      <c r="P357" s="95"/>
      <c r="Q357" s="95"/>
      <c r="AE357" s="95"/>
      <c r="AF357" s="95"/>
      <c r="AG357" s="95"/>
      <c r="AH357" s="2"/>
      <c r="AI357" s="2"/>
      <c r="AJ357" s="2"/>
      <c r="AK357" s="2"/>
    </row>
    <row r="358" spans="1:37" ht="48" customHeight="1" x14ac:dyDescent="0.2">
      <c r="A358" s="1"/>
      <c r="B358" s="2828" t="s">
        <v>980</v>
      </c>
      <c r="C358" s="2828"/>
      <c r="D358" s="2828"/>
      <c r="E358" s="2828"/>
      <c r="F358" s="2828"/>
      <c r="G358" s="2828"/>
      <c r="H358" s="2828"/>
      <c r="I358" s="2828"/>
      <c r="J358" s="2828"/>
      <c r="K358" s="2828"/>
      <c r="L358" s="2828"/>
      <c r="M358" s="2828"/>
      <c r="N358" s="2828"/>
      <c r="O358" s="2828"/>
      <c r="P358" s="95"/>
      <c r="Q358" s="95"/>
      <c r="AE358" s="95"/>
      <c r="AF358" s="95"/>
      <c r="AG358" s="95"/>
      <c r="AH358" s="2"/>
      <c r="AI358" s="2"/>
      <c r="AJ358" s="2"/>
      <c r="AK358" s="2"/>
    </row>
    <row r="359" spans="1:37" ht="34" customHeight="1" x14ac:dyDescent="0.2">
      <c r="A359" s="1"/>
      <c r="B359" s="2829" t="s">
        <v>979</v>
      </c>
      <c r="C359" s="2829"/>
      <c r="D359" s="2829"/>
      <c r="E359" s="2829"/>
      <c r="F359" s="2829"/>
      <c r="G359" s="2829"/>
      <c r="H359" s="2829"/>
      <c r="I359" s="2829"/>
      <c r="J359" s="2829"/>
      <c r="K359" s="2829"/>
      <c r="L359" s="2829"/>
      <c r="M359" s="2829"/>
      <c r="N359" s="2829"/>
      <c r="O359" s="2829"/>
      <c r="P359" s="95"/>
      <c r="Q359" s="95"/>
      <c r="AE359" s="95"/>
      <c r="AF359" s="95"/>
      <c r="AG359" s="95"/>
      <c r="AH359" s="2"/>
      <c r="AI359" s="2"/>
      <c r="AJ359" s="2"/>
      <c r="AK359" s="2"/>
    </row>
    <row r="360" spans="1:37" ht="43" customHeight="1" x14ac:dyDescent="0.2">
      <c r="A360" s="1"/>
      <c r="B360" s="2663" t="s">
        <v>661</v>
      </c>
      <c r="C360" s="2663"/>
      <c r="D360" s="2663"/>
      <c r="E360" s="2663"/>
      <c r="F360" s="2663"/>
      <c r="G360" s="2663"/>
      <c r="H360" s="2663"/>
      <c r="I360" s="2663"/>
      <c r="J360" s="2663"/>
      <c r="K360" s="2663"/>
      <c r="L360" s="2663"/>
      <c r="M360" s="2663"/>
      <c r="N360" s="2663"/>
      <c r="O360" s="2663"/>
      <c r="P360" s="95"/>
      <c r="Q360" s="95"/>
      <c r="AE360" s="95"/>
      <c r="AF360" s="95"/>
      <c r="AG360" s="95"/>
      <c r="AH360" s="2"/>
      <c r="AI360" s="2"/>
      <c r="AJ360" s="2"/>
      <c r="AK360" s="2"/>
    </row>
    <row r="361" spans="1:37" ht="34" customHeight="1" x14ac:dyDescent="0.2">
      <c r="A361" s="1"/>
      <c r="B361" s="2663" t="s">
        <v>599</v>
      </c>
      <c r="C361" s="2663"/>
      <c r="D361" s="2663"/>
      <c r="E361" s="2663"/>
      <c r="F361" s="2663"/>
      <c r="G361" s="2663"/>
      <c r="H361" s="2663"/>
      <c r="I361" s="2663"/>
      <c r="J361" s="2663"/>
      <c r="K361" s="2663"/>
      <c r="L361" s="2663"/>
      <c r="M361" s="2663"/>
      <c r="N361" s="2663"/>
      <c r="O361" s="2663"/>
      <c r="P361" s="95"/>
      <c r="Q361" s="95"/>
      <c r="AE361" s="95"/>
      <c r="AF361" s="95"/>
      <c r="AG361" s="95"/>
      <c r="AH361" s="2"/>
      <c r="AI361" s="2"/>
      <c r="AJ361" s="2"/>
      <c r="AK361" s="2"/>
    </row>
    <row r="362" spans="1:37" ht="34" customHeight="1" x14ac:dyDescent="0.2">
      <c r="A362" s="1"/>
      <c r="B362" s="2663" t="s">
        <v>600</v>
      </c>
      <c r="C362" s="2663"/>
      <c r="D362" s="2663"/>
      <c r="E362" s="2663"/>
      <c r="F362" s="2663"/>
      <c r="G362" s="2663"/>
      <c r="H362" s="2663"/>
      <c r="I362" s="2663"/>
      <c r="J362" s="2663"/>
      <c r="K362" s="2663"/>
      <c r="L362" s="2663"/>
      <c r="M362" s="2663"/>
      <c r="N362" s="2663"/>
      <c r="O362" s="2663"/>
      <c r="P362" s="95"/>
      <c r="Q362" s="95"/>
      <c r="AE362" s="95"/>
      <c r="AF362" s="95"/>
      <c r="AG362" s="95"/>
      <c r="AH362" s="2"/>
      <c r="AI362" s="2"/>
      <c r="AJ362" s="2"/>
      <c r="AK362" s="2"/>
    </row>
    <row r="363" spans="1:37" ht="34" customHeight="1" x14ac:dyDescent="0.2">
      <c r="A363" s="1"/>
      <c r="B363" s="2663" t="s">
        <v>983</v>
      </c>
      <c r="C363" s="2663"/>
      <c r="D363" s="2663"/>
      <c r="E363" s="2663"/>
      <c r="F363" s="2663"/>
      <c r="G363" s="2663"/>
      <c r="H363" s="2663"/>
      <c r="I363" s="2663"/>
      <c r="J363" s="2663"/>
      <c r="K363" s="2663"/>
      <c r="L363" s="2663"/>
      <c r="M363" s="2663"/>
      <c r="N363" s="2663"/>
      <c r="O363" s="2663"/>
      <c r="P363" s="95"/>
      <c r="Q363" s="95"/>
      <c r="AE363" s="95"/>
      <c r="AF363" s="95"/>
      <c r="AG363" s="95"/>
      <c r="AH363" s="2"/>
      <c r="AI363" s="2"/>
      <c r="AJ363" s="2"/>
      <c r="AK363" s="2"/>
    </row>
    <row r="364" spans="1:37" ht="34" customHeight="1" x14ac:dyDescent="0.2">
      <c r="A364" s="1"/>
      <c r="B364" s="2663" t="s">
        <v>766</v>
      </c>
      <c r="C364" s="2663"/>
      <c r="D364" s="2663"/>
      <c r="E364" s="2663"/>
      <c r="F364" s="2663"/>
      <c r="G364" s="2663"/>
      <c r="H364" s="2663"/>
      <c r="I364" s="2663"/>
      <c r="J364" s="2663"/>
      <c r="K364" s="2663"/>
      <c r="L364" s="2663"/>
      <c r="M364" s="2663"/>
      <c r="N364" s="2663"/>
      <c r="O364" s="2663"/>
      <c r="P364" s="95"/>
      <c r="Q364" s="95"/>
      <c r="AE364" s="95"/>
      <c r="AF364" s="95"/>
      <c r="AG364" s="95"/>
      <c r="AH364" s="2"/>
      <c r="AI364" s="2"/>
      <c r="AJ364" s="2"/>
      <c r="AK364" s="2"/>
    </row>
    <row r="365" spans="1:37" ht="34" customHeight="1" x14ac:dyDescent="0.2">
      <c r="A365" s="1"/>
      <c r="B365" s="2663" t="s">
        <v>767</v>
      </c>
      <c r="C365" s="2663"/>
      <c r="D365" s="2663"/>
      <c r="E365" s="2663"/>
      <c r="F365" s="2663"/>
      <c r="G365" s="2663"/>
      <c r="H365" s="2663"/>
      <c r="I365" s="2663"/>
      <c r="J365" s="2663"/>
      <c r="K365" s="2663"/>
      <c r="L365" s="2663"/>
      <c r="M365" s="2663"/>
      <c r="N365" s="2663"/>
      <c r="O365" s="2663"/>
      <c r="P365" s="95"/>
      <c r="Q365" s="95"/>
      <c r="AE365" s="95"/>
      <c r="AF365" s="95"/>
      <c r="AG365" s="95"/>
      <c r="AH365" s="2"/>
      <c r="AI365" s="2"/>
      <c r="AJ365" s="2"/>
      <c r="AK365" s="2"/>
    </row>
    <row r="366" spans="1:37" ht="34" customHeight="1" x14ac:dyDescent="0.2">
      <c r="A366" s="1"/>
      <c r="B366" s="79" t="s">
        <v>858</v>
      </c>
      <c r="C366" s="2"/>
      <c r="D366" s="2"/>
      <c r="E366" s="1"/>
      <c r="F366" s="1"/>
      <c r="G366" s="2"/>
      <c r="H366" s="2"/>
      <c r="I366" s="2"/>
      <c r="J366" s="2"/>
      <c r="K366" s="2"/>
      <c r="L366" s="2"/>
      <c r="M366" s="2"/>
      <c r="N366" s="2"/>
      <c r="O366" s="1286"/>
      <c r="P366" s="95"/>
      <c r="Q366" s="95"/>
      <c r="AE366" s="95"/>
      <c r="AF366" s="95"/>
      <c r="AG366" s="95"/>
      <c r="AH366" s="2"/>
      <c r="AI366" s="2"/>
      <c r="AJ366" s="2"/>
      <c r="AK366" s="2"/>
    </row>
    <row r="367" spans="1:37" ht="34" customHeight="1" x14ac:dyDescent="0.2">
      <c r="A367" s="1"/>
      <c r="B367" s="2829" t="s">
        <v>989</v>
      </c>
      <c r="C367" s="2829"/>
      <c r="D367" s="2829"/>
      <c r="E367" s="2829"/>
      <c r="F367" s="2829"/>
      <c r="G367" s="2829"/>
      <c r="H367" s="2829"/>
      <c r="I367" s="2829"/>
      <c r="J367" s="2829"/>
      <c r="K367" s="2829"/>
      <c r="L367" s="2829"/>
      <c r="M367" s="2829"/>
      <c r="N367" s="2829"/>
      <c r="O367" s="2829"/>
      <c r="P367" s="95"/>
      <c r="Q367" s="95"/>
      <c r="AE367" s="95"/>
      <c r="AF367" s="95"/>
      <c r="AG367" s="95"/>
      <c r="AH367" s="2"/>
      <c r="AI367" s="2"/>
      <c r="AJ367" s="2"/>
      <c r="AK367" s="2"/>
    </row>
    <row r="368" spans="1:37" ht="34" customHeight="1" x14ac:dyDescent="0.2">
      <c r="A368" s="1"/>
      <c r="B368" s="335" t="s">
        <v>959</v>
      </c>
      <c r="C368" s="2"/>
      <c r="D368" s="2"/>
      <c r="E368" s="1"/>
      <c r="F368" s="1"/>
      <c r="G368" s="2"/>
      <c r="H368" s="2"/>
      <c r="I368" s="2"/>
      <c r="J368" s="2"/>
      <c r="K368" s="2"/>
      <c r="L368" s="2"/>
      <c r="M368" s="2"/>
      <c r="N368" s="2"/>
      <c r="O368" s="1286"/>
      <c r="P368" s="95"/>
      <c r="Q368" s="95"/>
      <c r="AE368" s="95"/>
      <c r="AF368" s="95"/>
      <c r="AG368" s="95"/>
      <c r="AH368" s="2"/>
      <c r="AI368" s="2"/>
      <c r="AJ368" s="2"/>
      <c r="AK368" s="2"/>
    </row>
    <row r="369" spans="1:37" ht="50" customHeight="1" x14ac:dyDescent="0.2">
      <c r="A369" s="1"/>
      <c r="B369" s="2663" t="s">
        <v>981</v>
      </c>
      <c r="C369" s="2663"/>
      <c r="D369" s="2663"/>
      <c r="E369" s="2663"/>
      <c r="F369" s="2663"/>
      <c r="G369" s="2663"/>
      <c r="H369" s="2663"/>
      <c r="I369" s="2663"/>
      <c r="J369" s="2663"/>
      <c r="K369" s="2663"/>
      <c r="L369" s="2663"/>
      <c r="M369" s="2663"/>
      <c r="N369" s="2663"/>
      <c r="O369" s="2663"/>
      <c r="P369" s="95"/>
      <c r="Q369" s="95"/>
      <c r="AE369" s="95"/>
      <c r="AF369" s="95"/>
      <c r="AG369" s="95"/>
      <c r="AH369" s="2"/>
      <c r="AI369" s="2"/>
      <c r="AJ369" s="2"/>
      <c r="AK369" s="2"/>
    </row>
    <row r="370" spans="1:37" ht="29" customHeight="1" x14ac:dyDescent="0.2">
      <c r="A370" s="1"/>
      <c r="B370" s="2663" t="s">
        <v>982</v>
      </c>
      <c r="C370" s="2663"/>
      <c r="D370" s="2663"/>
      <c r="E370" s="2663"/>
      <c r="F370" s="2663"/>
      <c r="G370" s="2663"/>
      <c r="H370" s="2663"/>
      <c r="I370" s="2663"/>
      <c r="J370" s="2663"/>
      <c r="K370" s="2663"/>
      <c r="L370" s="2663"/>
      <c r="M370" s="2663"/>
      <c r="N370" s="2663"/>
      <c r="O370" s="2663"/>
      <c r="P370" s="95"/>
      <c r="Q370" s="95"/>
      <c r="AE370" s="95"/>
      <c r="AF370" s="95"/>
      <c r="AG370" s="95"/>
      <c r="AH370" s="2"/>
      <c r="AI370" s="2"/>
      <c r="AJ370" s="2"/>
      <c r="AK370" s="2"/>
    </row>
    <row r="371" spans="1:37" ht="46" customHeight="1" x14ac:dyDescent="0.2">
      <c r="A371" s="1"/>
      <c r="B371" s="2663" t="s">
        <v>954</v>
      </c>
      <c r="C371" s="2663"/>
      <c r="D371" s="2663"/>
      <c r="E371" s="2663"/>
      <c r="F371" s="2663"/>
      <c r="G371" s="2663"/>
      <c r="H371" s="2663"/>
      <c r="I371" s="2663"/>
      <c r="J371" s="2663"/>
      <c r="K371" s="2663"/>
      <c r="L371" s="2663"/>
      <c r="M371" s="2663"/>
      <c r="N371" s="2663"/>
      <c r="O371" s="1286"/>
      <c r="P371" s="95"/>
      <c r="Q371" s="95"/>
      <c r="AE371" s="95"/>
      <c r="AF371" s="95"/>
      <c r="AG371" s="95"/>
      <c r="AH371" s="2"/>
      <c r="AI371" s="2"/>
      <c r="AJ371" s="2"/>
      <c r="AK371" s="2"/>
    </row>
    <row r="372" spans="1:37" ht="33" customHeight="1" x14ac:dyDescent="0.2">
      <c r="A372" s="1"/>
      <c r="B372" s="79" t="s">
        <v>935</v>
      </c>
      <c r="C372" s="2"/>
      <c r="D372" s="2"/>
      <c r="E372" s="1"/>
      <c r="F372" s="1"/>
      <c r="G372" s="2"/>
      <c r="H372" s="2"/>
      <c r="I372" s="2"/>
      <c r="J372" s="2"/>
      <c r="K372" s="2"/>
      <c r="L372" s="2"/>
      <c r="M372" s="2"/>
      <c r="N372" s="2"/>
      <c r="O372" s="1286"/>
      <c r="P372" s="95"/>
      <c r="Q372" s="95"/>
      <c r="AE372" s="95"/>
      <c r="AF372" s="95"/>
      <c r="AG372" s="95"/>
      <c r="AH372" s="2"/>
      <c r="AI372" s="2"/>
      <c r="AJ372" s="2"/>
      <c r="AK372" s="2"/>
    </row>
    <row r="373" spans="1:37" ht="33" customHeight="1" x14ac:dyDescent="0.2">
      <c r="A373" s="1"/>
      <c r="B373" s="79" t="s">
        <v>276</v>
      </c>
      <c r="C373" s="2"/>
      <c r="D373" s="2"/>
      <c r="E373" s="1"/>
      <c r="F373" s="1"/>
      <c r="G373" s="2"/>
      <c r="H373" s="2"/>
      <c r="I373" s="2"/>
      <c r="J373" s="2"/>
      <c r="K373" s="2"/>
      <c r="L373" s="2"/>
      <c r="M373" s="2"/>
      <c r="N373" s="2"/>
      <c r="O373" s="1286"/>
      <c r="P373" s="95"/>
      <c r="Q373" s="95"/>
      <c r="AE373" s="95"/>
      <c r="AF373" s="95"/>
      <c r="AG373" s="95"/>
      <c r="AH373" s="2"/>
      <c r="AI373" s="2"/>
      <c r="AJ373" s="2"/>
      <c r="AK373" s="2"/>
    </row>
    <row r="374" spans="1:37" ht="33" customHeight="1" x14ac:dyDescent="0.2">
      <c r="A374" s="1"/>
      <c r="B374" s="79" t="s">
        <v>988</v>
      </c>
      <c r="C374" s="2"/>
      <c r="D374" s="2"/>
      <c r="E374" s="1"/>
      <c r="F374" s="1"/>
      <c r="G374" s="2"/>
      <c r="H374" s="2"/>
      <c r="I374" s="2"/>
      <c r="J374" s="2"/>
      <c r="K374" s="2"/>
      <c r="L374" s="2"/>
      <c r="M374" s="2"/>
      <c r="N374" s="2"/>
      <c r="O374" s="1286"/>
      <c r="P374" s="95"/>
      <c r="Q374" s="95"/>
      <c r="AE374" s="95"/>
      <c r="AF374" s="95"/>
      <c r="AG374" s="95"/>
      <c r="AH374" s="2"/>
      <c r="AI374" s="2"/>
      <c r="AJ374" s="2"/>
      <c r="AK374" s="2"/>
    </row>
    <row r="375" spans="1:37" ht="33" customHeight="1" x14ac:dyDescent="0.2">
      <c r="A375" s="1"/>
      <c r="B375" s="2475" t="s">
        <v>997</v>
      </c>
      <c r="C375" s="2475"/>
      <c r="D375" s="2475"/>
      <c r="E375" s="2475"/>
      <c r="F375" s="2475"/>
      <c r="G375" s="2475"/>
      <c r="H375" s="2475"/>
      <c r="I375" s="2475"/>
      <c r="J375" s="2475"/>
      <c r="K375" s="2475"/>
      <c r="L375" s="2475"/>
      <c r="M375" s="2475"/>
      <c r="N375" s="2475"/>
      <c r="O375" s="2475"/>
      <c r="P375" s="95"/>
      <c r="Q375" s="95"/>
      <c r="AE375" s="95"/>
      <c r="AF375" s="95"/>
      <c r="AG375" s="95"/>
      <c r="AH375" s="2"/>
      <c r="AI375" s="2"/>
      <c r="AJ375" s="2"/>
      <c r="AK375" s="2"/>
    </row>
    <row r="376" spans="1:37" ht="45" customHeight="1" x14ac:dyDescent="0.2">
      <c r="A376" s="1"/>
      <c r="B376" s="2663" t="s">
        <v>955</v>
      </c>
      <c r="C376" s="2663"/>
      <c r="D376" s="2663"/>
      <c r="E376" s="2663"/>
      <c r="F376" s="2663"/>
      <c r="G376" s="2663"/>
      <c r="H376" s="2663"/>
      <c r="I376" s="2663"/>
      <c r="J376" s="2663"/>
      <c r="K376" s="2663"/>
      <c r="L376" s="2663"/>
      <c r="M376" s="2663"/>
      <c r="N376" s="2663"/>
      <c r="O376" s="1286"/>
      <c r="P376" s="95"/>
      <c r="Q376" s="95"/>
      <c r="AE376" s="95"/>
      <c r="AF376" s="95"/>
      <c r="AG376" s="95"/>
      <c r="AH376" s="2"/>
      <c r="AI376" s="2"/>
      <c r="AJ376" s="2"/>
      <c r="AK376" s="2"/>
    </row>
    <row r="377" spans="1:37" s="1" customFormat="1" ht="24.75" customHeight="1" x14ac:dyDescent="0.2">
      <c r="B377" s="79" t="s">
        <v>279</v>
      </c>
      <c r="O377" s="1286"/>
      <c r="P377" s="95"/>
      <c r="Q377" s="95"/>
      <c r="R377" s="742"/>
      <c r="S377" s="742"/>
      <c r="T377" s="742"/>
      <c r="U377" s="742"/>
      <c r="V377" s="742"/>
      <c r="W377" s="742"/>
      <c r="X377" s="742"/>
      <c r="Y377" s="95"/>
      <c r="Z377" s="95"/>
      <c r="AA377" s="95"/>
      <c r="AB377" s="95"/>
      <c r="AC377" s="95"/>
      <c r="AD377" s="95"/>
      <c r="AE377" s="95"/>
      <c r="AF377" s="95"/>
      <c r="AG377" s="95"/>
      <c r="AH377" s="2"/>
      <c r="AI377" s="2"/>
      <c r="AJ377" s="2"/>
      <c r="AK377" s="2"/>
    </row>
    <row r="378" spans="1:37" s="1" customFormat="1" ht="31" customHeight="1" x14ac:dyDescent="0.2">
      <c r="B378" s="79" t="s">
        <v>280</v>
      </c>
      <c r="O378" s="1286"/>
      <c r="P378" s="95"/>
      <c r="Q378" s="95"/>
      <c r="R378" s="742"/>
      <c r="S378" s="742"/>
      <c r="T378" s="742"/>
      <c r="U378" s="742"/>
      <c r="V378" s="742"/>
      <c r="W378" s="742"/>
      <c r="X378" s="742"/>
      <c r="Y378" s="95"/>
      <c r="Z378" s="95"/>
      <c r="AA378" s="95"/>
      <c r="AB378" s="95"/>
      <c r="AC378" s="95"/>
      <c r="AD378" s="95"/>
      <c r="AE378" s="95"/>
      <c r="AF378" s="95"/>
      <c r="AG378" s="95"/>
      <c r="AH378" s="2"/>
      <c r="AI378" s="2"/>
      <c r="AJ378" s="2"/>
      <c r="AK378" s="2"/>
    </row>
    <row r="379" spans="1:37" s="1" customFormat="1" ht="31" customHeight="1" x14ac:dyDescent="0.2">
      <c r="B379" s="79" t="s">
        <v>956</v>
      </c>
      <c r="O379" s="1286"/>
      <c r="P379" s="95"/>
      <c r="Q379" s="95"/>
      <c r="R379" s="742"/>
      <c r="S379" s="742"/>
      <c r="T379" s="742"/>
      <c r="U379" s="742"/>
      <c r="V379" s="742"/>
      <c r="W379" s="742"/>
      <c r="X379" s="742"/>
      <c r="Y379" s="95"/>
      <c r="Z379" s="95"/>
      <c r="AA379" s="95"/>
      <c r="AB379" s="95"/>
      <c r="AC379" s="95"/>
      <c r="AD379" s="95"/>
      <c r="AE379" s="95"/>
      <c r="AF379" s="95"/>
      <c r="AG379" s="95"/>
      <c r="AH379" s="2"/>
      <c r="AI379" s="2"/>
      <c r="AJ379" s="2"/>
      <c r="AK379" s="2"/>
    </row>
    <row r="380" spans="1:37" s="1" customFormat="1" ht="31" customHeight="1" x14ac:dyDescent="0.2">
      <c r="B380" s="79" t="s">
        <v>282</v>
      </c>
      <c r="O380" s="1286"/>
      <c r="P380" s="95"/>
      <c r="Q380" s="95"/>
      <c r="R380" s="742"/>
      <c r="S380" s="742"/>
      <c r="T380" s="742"/>
      <c r="U380" s="742"/>
      <c r="V380" s="742"/>
      <c r="W380" s="742"/>
      <c r="X380" s="742"/>
      <c r="Y380" s="95"/>
      <c r="Z380" s="95"/>
      <c r="AA380" s="95"/>
      <c r="AB380" s="95"/>
      <c r="AC380" s="95"/>
      <c r="AD380" s="95"/>
      <c r="AE380" s="95"/>
      <c r="AF380" s="95"/>
      <c r="AG380" s="95"/>
      <c r="AH380" s="2"/>
      <c r="AI380" s="2"/>
      <c r="AJ380" s="2"/>
      <c r="AK380" s="2"/>
    </row>
    <row r="381" spans="1:37" s="1" customFormat="1" ht="31" customHeight="1" x14ac:dyDescent="0.2">
      <c r="B381" s="79" t="s">
        <v>957</v>
      </c>
      <c r="O381" s="1286"/>
      <c r="P381" s="95"/>
      <c r="Q381" s="95"/>
      <c r="R381" s="742"/>
      <c r="S381" s="742"/>
      <c r="T381" s="742"/>
      <c r="U381" s="742"/>
      <c r="V381" s="742"/>
      <c r="W381" s="742"/>
      <c r="X381" s="742"/>
      <c r="Y381" s="95"/>
      <c r="Z381" s="95"/>
      <c r="AA381" s="95"/>
      <c r="AB381" s="95"/>
      <c r="AC381" s="95"/>
      <c r="AD381" s="95"/>
      <c r="AE381" s="95"/>
      <c r="AF381" s="95"/>
      <c r="AG381" s="95"/>
      <c r="AH381" s="2"/>
      <c r="AI381" s="2"/>
      <c r="AJ381" s="2"/>
      <c r="AK381" s="2"/>
    </row>
    <row r="382" spans="1:37" s="1" customFormat="1" ht="25.5" customHeight="1" x14ac:dyDescent="0.2">
      <c r="B382" s="335" t="s">
        <v>990</v>
      </c>
      <c r="O382" s="1286"/>
      <c r="P382" s="95"/>
      <c r="Q382" s="95"/>
      <c r="R382" s="742"/>
      <c r="S382" s="742"/>
      <c r="T382" s="742"/>
      <c r="U382" s="742"/>
      <c r="V382" s="742"/>
      <c r="W382" s="742"/>
      <c r="X382" s="742"/>
      <c r="Y382" s="95"/>
      <c r="Z382" s="95"/>
      <c r="AA382" s="95"/>
      <c r="AB382" s="95"/>
      <c r="AC382" s="95"/>
      <c r="AD382" s="95"/>
      <c r="AE382" s="95"/>
      <c r="AF382" s="95"/>
      <c r="AG382" s="95"/>
      <c r="AH382" s="2"/>
      <c r="AI382" s="2"/>
      <c r="AJ382" s="2"/>
      <c r="AK382" s="2"/>
    </row>
    <row r="383" spans="1:37" s="1" customFormat="1" ht="49" customHeight="1" x14ac:dyDescent="0.2">
      <c r="B383" s="2663" t="s">
        <v>984</v>
      </c>
      <c r="C383" s="2663"/>
      <c r="D383" s="2663"/>
      <c r="E383" s="2663"/>
      <c r="F383" s="2663"/>
      <c r="G383" s="2663"/>
      <c r="H383" s="2663"/>
      <c r="I383" s="2663"/>
      <c r="J383" s="2663"/>
      <c r="K383" s="2663"/>
      <c r="L383" s="2663"/>
      <c r="M383" s="2663"/>
      <c r="N383" s="2663"/>
      <c r="O383" s="2663"/>
      <c r="P383" s="95"/>
      <c r="Q383" s="95"/>
      <c r="R383" s="742"/>
      <c r="S383" s="742"/>
      <c r="T383" s="742"/>
      <c r="U383" s="742"/>
      <c r="V383" s="742"/>
      <c r="W383" s="742"/>
      <c r="X383" s="742"/>
      <c r="Y383" s="95"/>
      <c r="Z383" s="95"/>
      <c r="AA383" s="95"/>
      <c r="AB383" s="95"/>
      <c r="AC383" s="95"/>
      <c r="AD383" s="95"/>
      <c r="AE383" s="95"/>
      <c r="AF383" s="95"/>
      <c r="AG383" s="95"/>
      <c r="AH383" s="2"/>
      <c r="AI383" s="2"/>
      <c r="AJ383" s="2"/>
      <c r="AK383" s="2"/>
    </row>
    <row r="384" spans="1:37" ht="28" customHeight="1" x14ac:dyDescent="0.2">
      <c r="A384" s="1"/>
      <c r="B384" s="79" t="s">
        <v>286</v>
      </c>
      <c r="C384" s="1"/>
      <c r="D384" s="1"/>
      <c r="E384" s="1"/>
      <c r="F384" s="1"/>
      <c r="G384" s="1"/>
      <c r="H384" s="1"/>
      <c r="I384" s="1"/>
      <c r="J384" s="1"/>
      <c r="K384" s="1"/>
      <c r="L384" s="1"/>
      <c r="M384" s="1"/>
      <c r="N384" s="1"/>
      <c r="O384" s="1286"/>
      <c r="P384" s="95"/>
      <c r="Q384" s="95"/>
      <c r="AE384" s="95"/>
      <c r="AF384" s="95"/>
      <c r="AG384" s="95"/>
      <c r="AH384" s="2"/>
      <c r="AI384" s="2"/>
      <c r="AJ384" s="2"/>
      <c r="AK384" s="2"/>
    </row>
    <row r="385" spans="1:37" ht="28" customHeight="1" x14ac:dyDescent="0.2">
      <c r="A385" s="1"/>
      <c r="B385" s="79" t="s">
        <v>287</v>
      </c>
      <c r="C385" s="1"/>
      <c r="D385" s="1"/>
      <c r="E385" s="1"/>
      <c r="F385" s="1"/>
      <c r="G385" s="1"/>
      <c r="H385" s="1"/>
      <c r="I385" s="1"/>
      <c r="J385" s="1"/>
      <c r="K385" s="1"/>
      <c r="L385" s="1"/>
      <c r="M385" s="1"/>
      <c r="N385" s="1"/>
      <c r="O385" s="1286"/>
      <c r="P385" s="95"/>
      <c r="Q385" s="95"/>
      <c r="AE385" s="95"/>
      <c r="AF385" s="95"/>
      <c r="AG385" s="95"/>
      <c r="AH385" s="2"/>
      <c r="AI385" s="2"/>
      <c r="AJ385" s="2"/>
      <c r="AK385" s="2"/>
    </row>
    <row r="386" spans="1:37" ht="28" customHeight="1" x14ac:dyDescent="0.2">
      <c r="A386" s="1"/>
      <c r="B386" s="79" t="s">
        <v>288</v>
      </c>
      <c r="C386" s="1"/>
      <c r="D386" s="1"/>
      <c r="E386" s="1"/>
      <c r="F386" s="1"/>
      <c r="G386" s="1"/>
      <c r="H386" s="1"/>
      <c r="I386" s="1"/>
      <c r="J386" s="1"/>
      <c r="K386" s="1"/>
      <c r="L386" s="1"/>
      <c r="M386" s="1"/>
      <c r="N386" s="1"/>
      <c r="O386" s="1286"/>
      <c r="P386" s="95"/>
      <c r="Q386" s="95"/>
      <c r="AE386" s="95"/>
      <c r="AF386" s="95"/>
      <c r="AG386" s="95"/>
      <c r="AH386" s="2"/>
      <c r="AI386" s="2"/>
      <c r="AJ386" s="2"/>
      <c r="AK386" s="2"/>
    </row>
    <row r="387" spans="1:37" ht="45" customHeight="1" x14ac:dyDescent="0.2">
      <c r="A387" s="1"/>
      <c r="B387" s="2663" t="s">
        <v>985</v>
      </c>
      <c r="C387" s="2663"/>
      <c r="D387" s="2663"/>
      <c r="E387" s="2663"/>
      <c r="F387" s="2663"/>
      <c r="G387" s="2663"/>
      <c r="H387" s="2663"/>
      <c r="I387" s="2663"/>
      <c r="J387" s="2663"/>
      <c r="K387" s="2663"/>
      <c r="L387" s="2663"/>
      <c r="M387" s="2663"/>
      <c r="N387" s="2663"/>
      <c r="O387" s="2663"/>
      <c r="P387" s="95"/>
      <c r="Q387" s="95"/>
      <c r="AE387" s="95"/>
      <c r="AF387" s="95"/>
      <c r="AG387" s="95"/>
      <c r="AH387" s="2"/>
      <c r="AI387" s="2"/>
      <c r="AJ387" s="2"/>
      <c r="AK387" s="2"/>
    </row>
    <row r="388" spans="1:37" ht="22" customHeight="1" x14ac:dyDescent="0.2">
      <c r="A388" s="1"/>
      <c r="B388" s="335" t="s">
        <v>290</v>
      </c>
      <c r="C388" s="1"/>
      <c r="D388" s="1"/>
      <c r="E388" s="1"/>
      <c r="F388" s="1"/>
      <c r="G388" s="1"/>
      <c r="H388" s="1"/>
      <c r="I388" s="1"/>
      <c r="J388" s="1"/>
      <c r="K388" s="1"/>
      <c r="L388" s="1"/>
      <c r="M388" s="1"/>
      <c r="N388" s="1"/>
      <c r="O388" s="1286"/>
      <c r="P388" s="95"/>
      <c r="Q388" s="95"/>
      <c r="AE388" s="95"/>
      <c r="AF388" s="95"/>
      <c r="AG388" s="95"/>
      <c r="AH388" s="2"/>
      <c r="AI388" s="2"/>
      <c r="AJ388" s="2"/>
      <c r="AK388" s="2"/>
    </row>
    <row r="389" spans="1:37" ht="28" customHeight="1" x14ac:dyDescent="0.2">
      <c r="A389" s="1"/>
      <c r="B389" s="79" t="s">
        <v>291</v>
      </c>
      <c r="C389" s="1"/>
      <c r="D389" s="1"/>
      <c r="E389" s="1"/>
      <c r="F389" s="1"/>
      <c r="G389" s="1"/>
      <c r="H389" s="1"/>
      <c r="I389" s="1"/>
      <c r="J389" s="1"/>
      <c r="K389" s="1"/>
      <c r="L389" s="1"/>
      <c r="M389" s="1"/>
      <c r="N389" s="1"/>
      <c r="O389" s="1286"/>
      <c r="P389" s="95"/>
      <c r="Q389" s="95"/>
      <c r="AE389" s="95"/>
      <c r="AF389" s="95"/>
      <c r="AG389" s="95"/>
      <c r="AH389" s="2"/>
      <c r="AI389" s="2"/>
      <c r="AJ389" s="2"/>
      <c r="AK389" s="2"/>
    </row>
    <row r="390" spans="1:37" ht="28" customHeight="1" x14ac:dyDescent="0.2">
      <c r="A390" s="1"/>
      <c r="B390" s="79" t="s">
        <v>292</v>
      </c>
      <c r="C390" s="1"/>
      <c r="D390" s="1"/>
      <c r="E390" s="1"/>
      <c r="F390" s="1"/>
      <c r="G390" s="1"/>
      <c r="H390" s="1"/>
      <c r="I390" s="1"/>
      <c r="J390" s="1"/>
      <c r="K390" s="1"/>
      <c r="L390" s="1"/>
      <c r="M390" s="1"/>
      <c r="N390" s="1"/>
      <c r="O390" s="1286"/>
      <c r="P390" s="95"/>
      <c r="Q390" s="95"/>
      <c r="AE390" s="95"/>
      <c r="AF390" s="95"/>
      <c r="AG390" s="95"/>
      <c r="AH390" s="2"/>
      <c r="AI390" s="2"/>
      <c r="AJ390" s="2"/>
      <c r="AK390" s="2"/>
    </row>
    <row r="391" spans="1:37" ht="28" customHeight="1" x14ac:dyDescent="0.2">
      <c r="A391" s="1"/>
      <c r="B391" s="79" t="s">
        <v>293</v>
      </c>
      <c r="C391" s="1"/>
      <c r="D391" s="1"/>
      <c r="E391" s="1"/>
      <c r="F391" s="1"/>
      <c r="G391" s="1"/>
      <c r="H391" s="1"/>
      <c r="I391" s="1"/>
      <c r="J391" s="1"/>
      <c r="K391" s="1"/>
      <c r="L391" s="1"/>
      <c r="M391" s="1"/>
      <c r="N391" s="1"/>
      <c r="O391" s="1286"/>
      <c r="P391" s="95"/>
      <c r="Q391" s="95"/>
      <c r="AE391" s="95"/>
      <c r="AF391" s="95"/>
      <c r="AG391" s="95"/>
      <c r="AH391" s="2"/>
      <c r="AI391" s="2"/>
      <c r="AJ391" s="2"/>
      <c r="AK391" s="2"/>
    </row>
    <row r="392" spans="1:37" ht="28" customHeight="1" x14ac:dyDescent="0.2">
      <c r="A392" s="1"/>
      <c r="B392" s="79" t="s">
        <v>937</v>
      </c>
      <c r="C392" s="1"/>
      <c r="D392" s="1"/>
      <c r="E392" s="1"/>
      <c r="F392" s="1"/>
      <c r="G392" s="1"/>
      <c r="H392" s="1"/>
      <c r="I392" s="1"/>
      <c r="J392" s="1"/>
      <c r="K392" s="1"/>
      <c r="L392" s="1"/>
      <c r="M392" s="1"/>
      <c r="N392" s="1"/>
      <c r="O392" s="1286"/>
      <c r="P392" s="95"/>
      <c r="Q392" s="95"/>
      <c r="AE392" s="95"/>
      <c r="AF392" s="95"/>
      <c r="AG392" s="95"/>
      <c r="AH392" s="2"/>
      <c r="AI392" s="2"/>
      <c r="AJ392" s="2"/>
      <c r="AK392" s="2"/>
    </row>
    <row r="393" spans="1:37" ht="48" customHeight="1" x14ac:dyDescent="0.2">
      <c r="A393" s="1"/>
      <c r="B393" s="2663" t="s">
        <v>295</v>
      </c>
      <c r="C393" s="2663"/>
      <c r="D393" s="2663"/>
      <c r="E393" s="2663"/>
      <c r="F393" s="2663"/>
      <c r="G393" s="2663"/>
      <c r="H393" s="2663"/>
      <c r="I393" s="2663"/>
      <c r="J393" s="2663"/>
      <c r="K393" s="2663"/>
      <c r="L393" s="2663"/>
      <c r="M393" s="2663"/>
      <c r="N393" s="2663"/>
      <c r="O393" s="1286"/>
      <c r="P393" s="95"/>
      <c r="Q393" s="95"/>
      <c r="AE393" s="95"/>
      <c r="AF393" s="95"/>
      <c r="AG393" s="95"/>
      <c r="AH393" s="2"/>
      <c r="AI393" s="2"/>
      <c r="AJ393" s="2"/>
      <c r="AK393" s="2"/>
    </row>
    <row r="394" spans="1:37" ht="29" customHeight="1" x14ac:dyDescent="0.2">
      <c r="A394" s="1"/>
      <c r="B394" s="2663" t="s">
        <v>987</v>
      </c>
      <c r="C394" s="2663"/>
      <c r="D394" s="2663"/>
      <c r="E394" s="2663"/>
      <c r="F394" s="2663"/>
      <c r="G394" s="2663"/>
      <c r="H394" s="2663"/>
      <c r="I394" s="2663"/>
      <c r="J394" s="2663"/>
      <c r="K394" s="2663"/>
      <c r="L394" s="2663"/>
      <c r="M394" s="2663"/>
      <c r="N394" s="2663"/>
      <c r="O394" s="2663"/>
      <c r="P394" s="95"/>
      <c r="Q394" s="95"/>
      <c r="AE394" s="95"/>
      <c r="AF394" s="95"/>
      <c r="AG394" s="95"/>
      <c r="AH394" s="2"/>
      <c r="AI394" s="2"/>
      <c r="AJ394" s="2"/>
      <c r="AK394" s="2"/>
    </row>
    <row r="395" spans="1:37" ht="29" customHeight="1" x14ac:dyDescent="0.2">
      <c r="A395" s="1"/>
      <c r="B395" s="2663" t="s">
        <v>938</v>
      </c>
      <c r="C395" s="2663"/>
      <c r="D395" s="2663"/>
      <c r="E395" s="2663"/>
      <c r="F395" s="2663"/>
      <c r="G395" s="2663"/>
      <c r="H395" s="2663"/>
      <c r="I395" s="2663"/>
      <c r="J395" s="2663"/>
      <c r="K395" s="2663"/>
      <c r="L395" s="2663"/>
      <c r="M395" s="2663"/>
      <c r="N395" s="2663"/>
      <c r="O395" s="2663"/>
      <c r="P395" s="95"/>
      <c r="Q395" s="95"/>
      <c r="AE395" s="95"/>
      <c r="AF395" s="95"/>
      <c r="AG395" s="95"/>
      <c r="AH395" s="2"/>
      <c r="AI395" s="2"/>
      <c r="AJ395" s="2"/>
      <c r="AK395" s="2"/>
    </row>
    <row r="396" spans="1:37" ht="45" customHeight="1" x14ac:dyDescent="0.2">
      <c r="A396" s="1"/>
      <c r="B396" s="2663" t="s">
        <v>936</v>
      </c>
      <c r="C396" s="2663"/>
      <c r="D396" s="2663"/>
      <c r="E396" s="2663"/>
      <c r="F396" s="2663"/>
      <c r="G396" s="2663"/>
      <c r="H396" s="2663"/>
      <c r="I396" s="2663"/>
      <c r="J396" s="2663"/>
      <c r="K396" s="2663"/>
      <c r="L396" s="2663"/>
      <c r="M396" s="2663"/>
      <c r="N396" s="2663"/>
      <c r="O396" s="1286"/>
      <c r="P396" s="95"/>
      <c r="Q396" s="95"/>
      <c r="AE396" s="95"/>
      <c r="AF396" s="95"/>
      <c r="AG396" s="95"/>
      <c r="AH396" s="2"/>
      <c r="AI396" s="2"/>
      <c r="AJ396" s="2"/>
      <c r="AK396" s="2"/>
    </row>
    <row r="397" spans="1:37" ht="28" customHeight="1" x14ac:dyDescent="0.2">
      <c r="A397" s="1"/>
      <c r="B397" s="79" t="s">
        <v>297</v>
      </c>
      <c r="C397" s="1"/>
      <c r="D397" s="1"/>
      <c r="E397" s="1"/>
      <c r="F397" s="1"/>
      <c r="G397" s="1"/>
      <c r="H397" s="1"/>
      <c r="I397" s="1"/>
      <c r="J397" s="1"/>
      <c r="K397" s="1"/>
      <c r="L397" s="1"/>
      <c r="M397" s="1"/>
      <c r="N397" s="1"/>
      <c r="O397" s="1286"/>
      <c r="P397" s="95"/>
      <c r="Q397" s="95"/>
      <c r="AE397" s="95"/>
      <c r="AF397" s="95"/>
      <c r="AG397" s="95"/>
      <c r="AH397" s="2"/>
      <c r="AI397" s="2"/>
      <c r="AJ397" s="2"/>
      <c r="AK397" s="2"/>
    </row>
    <row r="398" spans="1:37" ht="43" customHeight="1" x14ac:dyDescent="0.2">
      <c r="A398" s="1"/>
      <c r="B398" s="2830" t="s">
        <v>998</v>
      </c>
      <c r="C398" s="2830"/>
      <c r="D398" s="2830"/>
      <c r="E398" s="2830"/>
      <c r="F398" s="2830"/>
      <c r="G398" s="2830"/>
      <c r="H398" s="2830"/>
      <c r="I398" s="2830"/>
      <c r="J398" s="2830"/>
      <c r="K398" s="2830"/>
      <c r="L398" s="2830"/>
      <c r="M398" s="2830"/>
      <c r="N398" s="2830"/>
      <c r="O398" s="2830"/>
      <c r="P398" s="95"/>
      <c r="Q398" s="95"/>
      <c r="AE398" s="95"/>
      <c r="AF398" s="95"/>
      <c r="AG398" s="95"/>
      <c r="AH398" s="2"/>
      <c r="AI398" s="2"/>
      <c r="AJ398" s="2"/>
      <c r="AK398" s="2"/>
    </row>
    <row r="399" spans="1:37" ht="30" customHeight="1" x14ac:dyDescent="0.2">
      <c r="A399" s="1"/>
      <c r="B399" s="2832" t="s">
        <v>999</v>
      </c>
      <c r="C399" s="2832"/>
      <c r="D399" s="2832"/>
      <c r="E399" s="2832"/>
      <c r="F399" s="2832"/>
      <c r="G399" s="2832"/>
      <c r="H399" s="2832"/>
      <c r="I399" s="2832"/>
      <c r="J399" s="2832"/>
      <c r="K399" s="2832"/>
      <c r="L399" s="2832"/>
      <c r="M399" s="2832"/>
      <c r="N399" s="2832"/>
      <c r="O399" s="2832"/>
      <c r="P399" s="95"/>
      <c r="Q399" s="95"/>
      <c r="AE399" s="95"/>
      <c r="AF399" s="95"/>
      <c r="AG399" s="95"/>
      <c r="AH399" s="2"/>
      <c r="AI399" s="2"/>
      <c r="AJ399" s="2"/>
      <c r="AK399" s="2"/>
    </row>
    <row r="400" spans="1:37" ht="30" customHeight="1" x14ac:dyDescent="0.2">
      <c r="A400" s="1"/>
      <c r="B400" s="2831" t="s">
        <v>996</v>
      </c>
      <c r="C400" s="2831"/>
      <c r="D400" s="2831"/>
      <c r="E400" s="2831"/>
      <c r="F400" s="2831"/>
      <c r="G400" s="2831"/>
      <c r="H400" s="2831"/>
      <c r="I400" s="2831"/>
      <c r="J400" s="2831"/>
      <c r="K400" s="2831"/>
      <c r="L400" s="2831"/>
      <c r="M400" s="2831"/>
      <c r="N400" s="2831"/>
      <c r="O400" s="2831"/>
      <c r="P400" s="95"/>
      <c r="Q400" s="95"/>
      <c r="AE400" s="95"/>
      <c r="AF400" s="95"/>
      <c r="AG400" s="95"/>
      <c r="AH400" s="2"/>
      <c r="AI400" s="2"/>
      <c r="AJ400" s="2"/>
      <c r="AK400" s="2"/>
    </row>
    <row r="401" spans="1:37" ht="45" customHeight="1" x14ac:dyDescent="0.2">
      <c r="A401" s="1"/>
      <c r="B401" s="2663" t="s">
        <v>991</v>
      </c>
      <c r="C401" s="2663"/>
      <c r="D401" s="2663"/>
      <c r="E401" s="2663"/>
      <c r="F401" s="2663"/>
      <c r="G401" s="2663"/>
      <c r="H401" s="2663"/>
      <c r="I401" s="2663"/>
      <c r="J401" s="2663"/>
      <c r="K401" s="2663"/>
      <c r="L401" s="2663"/>
      <c r="M401" s="2663"/>
      <c r="N401" s="2663"/>
      <c r="O401" s="2663"/>
      <c r="P401" s="95"/>
      <c r="Q401" s="95"/>
      <c r="AE401" s="95"/>
      <c r="AF401" s="95"/>
      <c r="AG401" s="95"/>
      <c r="AH401" s="2"/>
      <c r="AI401" s="2"/>
      <c r="AJ401" s="2"/>
      <c r="AK401" s="2"/>
    </row>
    <row r="402" spans="1:37" ht="46" customHeight="1" x14ac:dyDescent="0.2">
      <c r="A402" s="1"/>
      <c r="B402" s="2663" t="s">
        <v>992</v>
      </c>
      <c r="C402" s="2663"/>
      <c r="D402" s="2663"/>
      <c r="E402" s="2663"/>
      <c r="F402" s="2663"/>
      <c r="G402" s="2663"/>
      <c r="H402" s="2663"/>
      <c r="I402" s="2663"/>
      <c r="J402" s="2663"/>
      <c r="K402" s="2663"/>
      <c r="L402" s="2663"/>
      <c r="M402" s="2663"/>
      <c r="N402" s="2663"/>
      <c r="O402" s="2663"/>
      <c r="P402" s="95"/>
      <c r="Q402" s="95"/>
      <c r="AE402" s="95"/>
      <c r="AF402" s="95"/>
      <c r="AG402" s="95"/>
      <c r="AH402" s="2"/>
      <c r="AI402" s="2"/>
      <c r="AJ402" s="2"/>
      <c r="AK402" s="2"/>
    </row>
    <row r="403" spans="1:37" ht="45" customHeight="1" x14ac:dyDescent="0.2">
      <c r="A403" s="1"/>
      <c r="B403" s="2663" t="s">
        <v>993</v>
      </c>
      <c r="C403" s="2663"/>
      <c r="D403" s="2663"/>
      <c r="E403" s="2663"/>
      <c r="F403" s="2663"/>
      <c r="G403" s="2663"/>
      <c r="H403" s="2663"/>
      <c r="I403" s="2663"/>
      <c r="J403" s="2663"/>
      <c r="K403" s="2663"/>
      <c r="L403" s="2663"/>
      <c r="M403" s="2663"/>
      <c r="N403" s="2663"/>
      <c r="O403" s="2663"/>
      <c r="P403" s="95"/>
      <c r="Q403" s="95"/>
      <c r="AE403" s="95"/>
      <c r="AF403" s="95"/>
      <c r="AG403" s="95"/>
      <c r="AH403" s="2"/>
      <c r="AI403" s="2"/>
      <c r="AJ403" s="2"/>
      <c r="AK403" s="2"/>
    </row>
    <row r="404" spans="1:37" ht="47" customHeight="1" x14ac:dyDescent="0.2">
      <c r="A404" s="1"/>
      <c r="B404" s="2663" t="s">
        <v>995</v>
      </c>
      <c r="C404" s="2663"/>
      <c r="D404" s="2663"/>
      <c r="E404" s="2663"/>
      <c r="F404" s="2663"/>
      <c r="G404" s="2663"/>
      <c r="H404" s="2663"/>
      <c r="I404" s="2663"/>
      <c r="J404" s="2663"/>
      <c r="K404" s="2663"/>
      <c r="L404" s="2663"/>
      <c r="M404" s="2663"/>
      <c r="N404" s="2663"/>
      <c r="O404" s="2663"/>
      <c r="P404" s="95"/>
      <c r="Q404" s="95"/>
      <c r="AE404" s="95"/>
      <c r="AF404" s="95"/>
      <c r="AG404" s="95"/>
      <c r="AH404" s="2"/>
      <c r="AI404" s="2"/>
      <c r="AJ404" s="2"/>
      <c r="AK404" s="2"/>
    </row>
    <row r="405" spans="1:37" ht="33" customHeight="1" x14ac:dyDescent="0.2">
      <c r="A405" s="1"/>
      <c r="B405" s="2663" t="s">
        <v>994</v>
      </c>
      <c r="C405" s="2663"/>
      <c r="D405" s="2663"/>
      <c r="E405" s="2663"/>
      <c r="F405" s="2663"/>
      <c r="G405" s="2663"/>
      <c r="H405" s="2663"/>
      <c r="I405" s="2663"/>
      <c r="J405" s="2663"/>
      <c r="K405" s="2663"/>
      <c r="L405" s="2663"/>
      <c r="M405" s="2663"/>
      <c r="N405" s="2663"/>
      <c r="O405" s="2663"/>
      <c r="P405" s="95"/>
      <c r="Q405" s="95"/>
      <c r="AE405" s="95"/>
      <c r="AF405" s="95"/>
      <c r="AG405" s="95"/>
      <c r="AH405" s="2"/>
      <c r="AI405" s="2"/>
      <c r="AJ405" s="2"/>
      <c r="AK405" s="2"/>
    </row>
    <row r="406" spans="1:37" ht="28" customHeight="1" x14ac:dyDescent="0.2">
      <c r="A406" s="1"/>
      <c r="B406" s="335" t="s">
        <v>862</v>
      </c>
      <c r="C406" s="1"/>
      <c r="D406" s="1"/>
      <c r="E406" s="1"/>
      <c r="F406" s="1"/>
      <c r="G406" s="1"/>
      <c r="H406" s="1"/>
      <c r="I406" s="1"/>
      <c r="J406" s="1"/>
      <c r="K406" s="1"/>
      <c r="L406" s="1"/>
      <c r="M406" s="1"/>
      <c r="N406" s="1"/>
      <c r="O406" s="1286"/>
      <c r="P406" s="95"/>
      <c r="Q406" s="95"/>
      <c r="AE406" s="95"/>
      <c r="AF406" s="95"/>
      <c r="AG406" s="95"/>
      <c r="AH406" s="2"/>
      <c r="AI406" s="2"/>
      <c r="AJ406" s="2"/>
      <c r="AK406" s="2"/>
    </row>
    <row r="407" spans="1:37" ht="28" customHeight="1" x14ac:dyDescent="0.2">
      <c r="A407" s="1"/>
      <c r="B407" s="2475" t="s">
        <v>57</v>
      </c>
      <c r="C407" s="2475"/>
      <c r="D407" s="2475"/>
      <c r="E407" s="2475"/>
      <c r="F407" s="2475"/>
      <c r="G407" s="2475"/>
      <c r="H407" s="2475"/>
      <c r="I407" s="2475"/>
      <c r="J407" s="2475"/>
      <c r="K407" s="2475"/>
      <c r="L407" s="2475"/>
      <c r="M407" s="2475"/>
      <c r="N407" s="2475"/>
      <c r="O407" s="2475"/>
      <c r="P407" s="95"/>
      <c r="Q407" s="95"/>
      <c r="AE407" s="95"/>
      <c r="AF407" s="95"/>
      <c r="AG407" s="95"/>
      <c r="AH407" s="2"/>
      <c r="AI407" s="2"/>
      <c r="AJ407" s="2"/>
      <c r="AK407" s="2"/>
    </row>
    <row r="408" spans="1:37" s="863" customFormat="1" ht="37" customHeight="1" x14ac:dyDescent="0.2">
      <c r="A408" s="71"/>
      <c r="B408" s="2602" t="s">
        <v>863</v>
      </c>
      <c r="C408" s="2602" t="s">
        <v>6</v>
      </c>
      <c r="D408" s="2602"/>
      <c r="E408" s="2602" t="s">
        <v>864</v>
      </c>
      <c r="F408" s="2602" t="s">
        <v>8</v>
      </c>
      <c r="G408" s="2602"/>
      <c r="H408" s="2602"/>
      <c r="I408" s="2819" t="s">
        <v>9</v>
      </c>
      <c r="J408" s="2602" t="s">
        <v>10</v>
      </c>
      <c r="K408" s="8" t="s">
        <v>11</v>
      </c>
      <c r="L408" s="2602" t="s">
        <v>80</v>
      </c>
      <c r="M408" s="8" t="s">
        <v>81</v>
      </c>
      <c r="N408" s="8" t="s">
        <v>82</v>
      </c>
      <c r="O408" s="1305" t="s">
        <v>15</v>
      </c>
      <c r="P408" s="165"/>
      <c r="Q408" s="165"/>
      <c r="R408" s="1285"/>
      <c r="S408" s="1285"/>
      <c r="T408" s="1285"/>
      <c r="U408" s="1285"/>
      <c r="V408" s="1285"/>
      <c r="W408" s="1285"/>
      <c r="X408" s="1285"/>
      <c r="Y408" s="165"/>
      <c r="Z408" s="165"/>
      <c r="AA408" s="165"/>
      <c r="AB408" s="165"/>
      <c r="AC408" s="165"/>
      <c r="AD408" s="165"/>
      <c r="AE408" s="165"/>
      <c r="AF408" s="165"/>
      <c r="AG408" s="165"/>
      <c r="AH408" s="209"/>
      <c r="AI408" s="209"/>
      <c r="AJ408" s="209"/>
      <c r="AK408" s="209"/>
    </row>
    <row r="409" spans="1:37" s="863" customFormat="1" ht="39" customHeight="1" x14ac:dyDescent="0.2">
      <c r="A409" s="71"/>
      <c r="B409" s="2602"/>
      <c r="C409" s="8" t="s">
        <v>865</v>
      </c>
      <c r="D409" s="8" t="s">
        <v>17</v>
      </c>
      <c r="E409" s="2602"/>
      <c r="F409" s="10" t="s">
        <v>18</v>
      </c>
      <c r="G409" s="10" t="s">
        <v>19</v>
      </c>
      <c r="H409" s="8" t="s">
        <v>20</v>
      </c>
      <c r="I409" s="2819"/>
      <c r="J409" s="2602"/>
      <c r="K409" s="8" t="s">
        <v>21</v>
      </c>
      <c r="L409" s="2602"/>
      <c r="M409" s="8" t="s">
        <v>13</v>
      </c>
      <c r="N409" s="8" t="s">
        <v>934</v>
      </c>
      <c r="O409" s="1305" t="s">
        <v>23</v>
      </c>
      <c r="P409" s="165"/>
      <c r="Q409" s="165"/>
      <c r="R409" s="1285"/>
      <c r="S409" s="1285"/>
      <c r="T409" s="1285"/>
      <c r="U409" s="1285"/>
      <c r="V409" s="1285"/>
      <c r="W409" s="1285"/>
      <c r="X409" s="1285"/>
      <c r="Y409" s="165"/>
      <c r="Z409" s="165"/>
      <c r="AA409" s="165"/>
      <c r="AB409" s="165"/>
      <c r="AC409" s="165"/>
      <c r="AD409" s="165"/>
      <c r="AE409" s="165"/>
      <c r="AF409" s="165"/>
      <c r="AG409" s="165"/>
      <c r="AH409" s="209"/>
      <c r="AI409" s="209"/>
      <c r="AJ409" s="209"/>
      <c r="AK409" s="209"/>
    </row>
    <row r="410" spans="1:37" ht="28" hidden="1" customHeight="1" x14ac:dyDescent="0.2">
      <c r="A410" s="1"/>
      <c r="B410" s="2824" t="s">
        <v>866</v>
      </c>
      <c r="C410" s="2825" t="s">
        <v>867</v>
      </c>
      <c r="D410" s="2825"/>
      <c r="E410" s="2825"/>
      <c r="F410" s="2825"/>
      <c r="G410" s="2825"/>
      <c r="H410" s="2825"/>
      <c r="I410" s="2825"/>
      <c r="J410" s="2825"/>
      <c r="K410" s="2825"/>
      <c r="L410" s="2825"/>
      <c r="M410" s="2825"/>
      <c r="N410" s="2825"/>
      <c r="O410" s="2825"/>
      <c r="P410" s="95"/>
      <c r="Q410" s="95"/>
      <c r="AE410" s="95"/>
      <c r="AF410" s="95"/>
      <c r="AG410" s="95"/>
      <c r="AH410" s="2"/>
      <c r="AI410" s="2"/>
      <c r="AJ410" s="2"/>
      <c r="AK410" s="2"/>
    </row>
    <row r="411" spans="1:37" ht="28" hidden="1" customHeight="1" x14ac:dyDescent="0.2">
      <c r="A411" s="1"/>
      <c r="B411" s="2824"/>
      <c r="C411" s="2825"/>
      <c r="D411" s="2825"/>
      <c r="E411" s="2825"/>
      <c r="F411" s="2825"/>
      <c r="G411" s="2825"/>
      <c r="H411" s="2825"/>
      <c r="I411" s="2825"/>
      <c r="J411" s="2825"/>
      <c r="K411" s="2825"/>
      <c r="L411" s="2825"/>
      <c r="M411" s="2825"/>
      <c r="N411" s="2825"/>
      <c r="O411" s="2825"/>
      <c r="P411" s="95"/>
      <c r="Q411" s="95"/>
      <c r="AE411" s="95"/>
      <c r="AF411" s="95"/>
      <c r="AG411" s="95"/>
      <c r="AH411" s="2"/>
      <c r="AI411" s="2"/>
      <c r="AJ411" s="2"/>
      <c r="AK411" s="2"/>
    </row>
    <row r="412" spans="1:37" ht="28" hidden="1" customHeight="1" x14ac:dyDescent="0.2">
      <c r="A412" s="1"/>
      <c r="B412" s="2824"/>
      <c r="C412" s="2825"/>
      <c r="D412" s="2825"/>
      <c r="E412" s="2825"/>
      <c r="F412" s="2825"/>
      <c r="G412" s="2825"/>
      <c r="H412" s="2825"/>
      <c r="I412" s="2825"/>
      <c r="J412" s="2825"/>
      <c r="K412" s="2825"/>
      <c r="L412" s="2825"/>
      <c r="M412" s="2825"/>
      <c r="N412" s="2825"/>
      <c r="O412" s="2825"/>
      <c r="P412" s="95"/>
      <c r="Q412" s="95"/>
      <c r="AE412" s="95"/>
      <c r="AF412" s="95"/>
      <c r="AG412" s="95"/>
      <c r="AH412" s="2"/>
      <c r="AI412" s="2"/>
      <c r="AJ412" s="2"/>
      <c r="AK412" s="2"/>
    </row>
    <row r="413" spans="1:37" ht="28" hidden="1" customHeight="1" x14ac:dyDescent="0.2">
      <c r="A413" s="1"/>
      <c r="B413" s="2824"/>
      <c r="C413" s="2825"/>
      <c r="D413" s="2825"/>
      <c r="E413" s="2825"/>
      <c r="F413" s="2825"/>
      <c r="G413" s="2825"/>
      <c r="H413" s="2825"/>
      <c r="I413" s="2825"/>
      <c r="J413" s="2825"/>
      <c r="K413" s="2825"/>
      <c r="L413" s="2825"/>
      <c r="M413" s="2825"/>
      <c r="N413" s="2825"/>
      <c r="O413" s="2825"/>
      <c r="P413" s="95"/>
      <c r="Q413" s="95"/>
      <c r="AE413" s="95"/>
      <c r="AF413" s="95"/>
      <c r="AG413" s="95"/>
      <c r="AH413" s="2"/>
      <c r="AI413" s="2"/>
      <c r="AJ413" s="2"/>
      <c r="AK413" s="2"/>
    </row>
    <row r="414" spans="1:37" ht="28" hidden="1" customHeight="1" x14ac:dyDescent="0.2">
      <c r="A414" s="1"/>
      <c r="B414" s="2665" t="s">
        <v>868</v>
      </c>
      <c r="C414" s="2792" t="s">
        <v>24</v>
      </c>
      <c r="D414" s="606" t="s">
        <v>21</v>
      </c>
      <c r="E414" s="622">
        <f>F414+G414+H414+M414</f>
        <v>0</v>
      </c>
      <c r="F414" s="622">
        <f>F415*I414/100</f>
        <v>0</v>
      </c>
      <c r="G414" s="622">
        <f>G415*I414/100</f>
        <v>0</v>
      </c>
      <c r="H414" s="622">
        <f>H415*I414/100</f>
        <v>0</v>
      </c>
      <c r="I414" s="838">
        <f>K414*J414</f>
        <v>0</v>
      </c>
      <c r="J414" s="622"/>
      <c r="K414" s="838"/>
      <c r="L414" s="1228"/>
      <c r="M414" s="2826">
        <f>M415*I414/100</f>
        <v>0</v>
      </c>
      <c r="N414" s="2826"/>
      <c r="O414" s="1306"/>
      <c r="P414" s="95"/>
      <c r="Q414" s="95"/>
      <c r="AE414" s="95"/>
      <c r="AF414" s="95"/>
      <c r="AG414" s="95"/>
      <c r="AH414" s="2"/>
      <c r="AI414" s="2"/>
      <c r="AJ414" s="2"/>
      <c r="AK414" s="2"/>
    </row>
    <row r="415" spans="1:37" ht="28" hidden="1" customHeight="1" x14ac:dyDescent="0.2">
      <c r="A415" s="1"/>
      <c r="B415" s="2665"/>
      <c r="C415" s="2792"/>
      <c r="D415" s="606" t="s">
        <v>22</v>
      </c>
      <c r="E415" s="622"/>
      <c r="F415" s="622">
        <v>89</v>
      </c>
      <c r="G415" s="622">
        <v>5</v>
      </c>
      <c r="H415" s="622">
        <v>6</v>
      </c>
      <c r="I415" s="622">
        <v>100</v>
      </c>
      <c r="J415" s="622"/>
      <c r="K415" s="622"/>
      <c r="L415" s="1229">
        <v>97.5</v>
      </c>
      <c r="M415" s="2795">
        <v>2.5</v>
      </c>
      <c r="N415" s="2795"/>
      <c r="O415" s="1306">
        <v>40</v>
      </c>
      <c r="P415" s="95"/>
      <c r="Q415" s="95"/>
      <c r="AE415" s="95"/>
      <c r="AF415" s="95"/>
      <c r="AG415" s="95"/>
      <c r="AH415" s="2"/>
      <c r="AI415" s="2"/>
      <c r="AJ415" s="2"/>
      <c r="AK415" s="2"/>
    </row>
    <row r="416" spans="1:37" ht="28" hidden="1" customHeight="1" x14ac:dyDescent="0.2">
      <c r="A416" s="1"/>
      <c r="B416" s="2665"/>
      <c r="C416" s="2551" t="s">
        <v>869</v>
      </c>
      <c r="D416" s="12" t="s">
        <v>21</v>
      </c>
      <c r="E416" s="13">
        <f>J416*K416*100/L417</f>
        <v>0</v>
      </c>
      <c r="F416" s="1230">
        <f>F417*I416/100</f>
        <v>0</v>
      </c>
      <c r="G416" s="1230">
        <f>G417*I416/100</f>
        <v>0</v>
      </c>
      <c r="H416" s="1230">
        <f>H417*I416/100</f>
        <v>0</v>
      </c>
      <c r="I416" s="14">
        <f>J416*K416</f>
        <v>0</v>
      </c>
      <c r="J416" s="13"/>
      <c r="K416" s="14"/>
      <c r="L416" s="1231"/>
      <c r="M416" s="1232"/>
      <c r="N416" s="1232"/>
      <c r="O416" s="733"/>
      <c r="P416" s="95"/>
      <c r="Q416" s="95"/>
      <c r="AE416" s="95"/>
      <c r="AF416" s="95"/>
      <c r="AG416" s="95"/>
      <c r="AH416" s="2"/>
      <c r="AI416" s="2"/>
      <c r="AJ416" s="2"/>
      <c r="AK416" s="2"/>
    </row>
    <row r="417" spans="1:37" ht="28" hidden="1" customHeight="1" x14ac:dyDescent="0.2">
      <c r="A417" s="1"/>
      <c r="B417" s="2665"/>
      <c r="C417" s="2551"/>
      <c r="D417" s="12" t="s">
        <v>22</v>
      </c>
      <c r="E417" s="13"/>
      <c r="F417" s="13">
        <v>90</v>
      </c>
      <c r="G417" s="13">
        <v>5</v>
      </c>
      <c r="H417" s="13">
        <v>5</v>
      </c>
      <c r="I417" s="13">
        <f>SUM(F417:H417)</f>
        <v>100</v>
      </c>
      <c r="J417" s="13"/>
      <c r="K417" s="13"/>
      <c r="L417" s="1231">
        <v>98</v>
      </c>
      <c r="M417" s="2798">
        <f>100-L417</f>
        <v>2</v>
      </c>
      <c r="N417" s="2798"/>
      <c r="O417" s="1307"/>
      <c r="P417" s="95"/>
      <c r="Q417" s="95"/>
      <c r="AE417" s="95"/>
      <c r="AF417" s="95"/>
      <c r="AG417" s="95"/>
      <c r="AH417" s="2"/>
      <c r="AI417" s="2"/>
      <c r="AJ417" s="2"/>
      <c r="AK417" s="2"/>
    </row>
    <row r="418" spans="1:37" ht="28" hidden="1" customHeight="1" x14ac:dyDescent="0.2">
      <c r="A418" s="1"/>
      <c r="B418" s="2665" t="s">
        <v>870</v>
      </c>
      <c r="C418" s="2792" t="s">
        <v>24</v>
      </c>
      <c r="D418" s="606" t="s">
        <v>21</v>
      </c>
      <c r="E418" s="622">
        <f>J418*K418*100/L419</f>
        <v>0</v>
      </c>
      <c r="F418" s="622">
        <f>F419*I418/100</f>
        <v>0</v>
      </c>
      <c r="G418" s="622">
        <f>G419*I418/100</f>
        <v>0</v>
      </c>
      <c r="H418" s="622">
        <f>H419*I418/100</f>
        <v>0</v>
      </c>
      <c r="I418" s="838">
        <f>K418*J418</f>
        <v>0</v>
      </c>
      <c r="J418" s="622"/>
      <c r="K418" s="838"/>
      <c r="L418" s="1228"/>
      <c r="M418" s="1228"/>
      <c r="N418" s="1228"/>
      <c r="O418" s="1306"/>
      <c r="P418" s="95"/>
      <c r="Q418" s="95"/>
      <c r="AE418" s="95"/>
      <c r="AF418" s="95"/>
      <c r="AG418" s="95"/>
      <c r="AH418" s="2"/>
      <c r="AI418" s="2"/>
      <c r="AJ418" s="2"/>
      <c r="AK418" s="2"/>
    </row>
    <row r="419" spans="1:37" ht="28" hidden="1" customHeight="1" x14ac:dyDescent="0.2">
      <c r="A419" s="1"/>
      <c r="B419" s="2665"/>
      <c r="C419" s="2792"/>
      <c r="D419" s="606" t="s">
        <v>22</v>
      </c>
      <c r="E419" s="622"/>
      <c r="F419" s="622">
        <v>89</v>
      </c>
      <c r="G419" s="622">
        <v>5</v>
      </c>
      <c r="H419" s="622">
        <v>6</v>
      </c>
      <c r="I419" s="622">
        <v>100</v>
      </c>
      <c r="J419" s="622"/>
      <c r="K419" s="622"/>
      <c r="L419" s="1229">
        <v>97.5</v>
      </c>
      <c r="M419" s="2795">
        <v>2.5</v>
      </c>
      <c r="N419" s="2795"/>
      <c r="O419" s="1306">
        <v>40</v>
      </c>
      <c r="P419" s="95"/>
      <c r="Q419" s="95"/>
      <c r="AE419" s="95"/>
      <c r="AF419" s="95"/>
      <c r="AG419" s="95"/>
      <c r="AH419" s="2"/>
      <c r="AI419" s="2"/>
      <c r="AJ419" s="2"/>
      <c r="AK419" s="2"/>
    </row>
    <row r="420" spans="1:37" ht="28" hidden="1" customHeight="1" x14ac:dyDescent="0.2">
      <c r="A420" s="1"/>
      <c r="B420" s="2665"/>
      <c r="C420" s="2551" t="s">
        <v>869</v>
      </c>
      <c r="D420" s="12" t="s">
        <v>21</v>
      </c>
      <c r="E420" s="13">
        <f>J420*K420*100/L421</f>
        <v>0</v>
      </c>
      <c r="F420" s="1230">
        <f>F421*I420/100</f>
        <v>0</v>
      </c>
      <c r="G420" s="1230">
        <f>G421*I420/100</f>
        <v>0</v>
      </c>
      <c r="H420" s="1230">
        <f>H421*I420/100</f>
        <v>0</v>
      </c>
      <c r="I420" s="14">
        <f>J420*K420</f>
        <v>0</v>
      </c>
      <c r="J420" s="13"/>
      <c r="K420" s="14"/>
      <c r="L420" s="1231"/>
      <c r="M420" s="1232"/>
      <c r="N420" s="1232"/>
      <c r="O420" s="733"/>
      <c r="P420" s="95"/>
      <c r="Q420" s="95"/>
      <c r="AE420" s="95"/>
      <c r="AF420" s="95"/>
      <c r="AG420" s="95"/>
      <c r="AH420" s="2"/>
      <c r="AI420" s="2"/>
      <c r="AJ420" s="2"/>
      <c r="AK420" s="2"/>
    </row>
    <row r="421" spans="1:37" ht="28" hidden="1" customHeight="1" x14ac:dyDescent="0.2">
      <c r="A421" s="1"/>
      <c r="B421" s="2665"/>
      <c r="C421" s="2551"/>
      <c r="D421" s="12" t="s">
        <v>22</v>
      </c>
      <c r="E421" s="13"/>
      <c r="F421" s="13">
        <v>90</v>
      </c>
      <c r="G421" s="13">
        <v>5</v>
      </c>
      <c r="H421" s="13">
        <v>5</v>
      </c>
      <c r="I421" s="13">
        <f>SUM(F421:H421)</f>
        <v>100</v>
      </c>
      <c r="J421" s="13"/>
      <c r="K421" s="13"/>
      <c r="L421" s="1231">
        <v>98</v>
      </c>
      <c r="M421" s="2798">
        <f>100-L421</f>
        <v>2</v>
      </c>
      <c r="N421" s="2798"/>
      <c r="O421" s="1307"/>
      <c r="P421" s="95"/>
      <c r="Q421" s="95"/>
      <c r="AE421" s="95"/>
      <c r="AF421" s="95"/>
      <c r="AG421" s="95"/>
      <c r="AH421" s="2"/>
      <c r="AI421" s="2"/>
      <c r="AJ421" s="2"/>
      <c r="AK421" s="2"/>
    </row>
    <row r="422" spans="1:37" ht="28" hidden="1" customHeight="1" x14ac:dyDescent="0.2">
      <c r="A422" s="1"/>
      <c r="B422" s="2665" t="s">
        <v>871</v>
      </c>
      <c r="C422" s="2792" t="s">
        <v>24</v>
      </c>
      <c r="D422" s="606" t="s">
        <v>21</v>
      </c>
      <c r="E422" s="622">
        <f>J422*K422*100/L423</f>
        <v>0</v>
      </c>
      <c r="F422" s="622">
        <f>F423*I422/100</f>
        <v>0</v>
      </c>
      <c r="G422" s="622">
        <f>G423*I422/100</f>
        <v>0</v>
      </c>
      <c r="H422" s="622">
        <f>H423*I422/100</f>
        <v>0</v>
      </c>
      <c r="I422" s="838">
        <f>K422*J422</f>
        <v>0</v>
      </c>
      <c r="J422" s="622"/>
      <c r="K422" s="838"/>
      <c r="L422" s="1228"/>
      <c r="M422" s="1228"/>
      <c r="N422" s="1228"/>
      <c r="O422" s="1306">
        <v>40</v>
      </c>
      <c r="P422" s="95"/>
      <c r="Q422" s="95"/>
      <c r="AE422" s="95"/>
      <c r="AF422" s="95"/>
      <c r="AG422" s="95"/>
      <c r="AH422" s="2"/>
      <c r="AI422" s="2"/>
      <c r="AJ422" s="2"/>
      <c r="AK422" s="2"/>
    </row>
    <row r="423" spans="1:37" ht="28" hidden="1" customHeight="1" x14ac:dyDescent="0.2">
      <c r="A423" s="1"/>
      <c r="B423" s="2665"/>
      <c r="C423" s="2792"/>
      <c r="D423" s="606" t="s">
        <v>22</v>
      </c>
      <c r="E423" s="622"/>
      <c r="F423" s="622">
        <v>89</v>
      </c>
      <c r="G423" s="622">
        <v>5</v>
      </c>
      <c r="H423" s="622">
        <v>6</v>
      </c>
      <c r="I423" s="622">
        <v>100</v>
      </c>
      <c r="J423" s="622"/>
      <c r="K423" s="622"/>
      <c r="L423" s="1229">
        <v>97.5</v>
      </c>
      <c r="M423" s="2795">
        <v>2.5</v>
      </c>
      <c r="N423" s="2795"/>
      <c r="O423" s="1308"/>
      <c r="P423" s="95"/>
      <c r="Q423" s="95"/>
      <c r="AE423" s="95"/>
      <c r="AF423" s="95"/>
      <c r="AG423" s="95"/>
      <c r="AH423" s="2"/>
      <c r="AI423" s="2"/>
      <c r="AJ423" s="2"/>
      <c r="AK423" s="2"/>
    </row>
    <row r="424" spans="1:37" ht="28" hidden="1" customHeight="1" x14ac:dyDescent="0.2">
      <c r="A424" s="1"/>
      <c r="B424" s="2665"/>
      <c r="C424" s="2551" t="s">
        <v>869</v>
      </c>
      <c r="D424" s="12" t="s">
        <v>21</v>
      </c>
      <c r="E424" s="13">
        <f>J424*K424*100/L425</f>
        <v>0</v>
      </c>
      <c r="F424" s="1230">
        <f>F425*I424/100</f>
        <v>0</v>
      </c>
      <c r="G424" s="1230">
        <f>G425*I424/100</f>
        <v>0</v>
      </c>
      <c r="H424" s="1230">
        <f>H425*I424/100</f>
        <v>0</v>
      </c>
      <c r="I424" s="14">
        <f>J424*K424</f>
        <v>0</v>
      </c>
      <c r="J424" s="13"/>
      <c r="K424" s="14"/>
      <c r="L424" s="1231"/>
      <c r="M424" s="1232"/>
      <c r="N424" s="1232"/>
      <c r="O424" s="733"/>
      <c r="P424" s="95"/>
      <c r="Q424" s="95"/>
      <c r="AE424" s="95"/>
      <c r="AF424" s="95"/>
      <c r="AG424" s="95"/>
      <c r="AH424" s="2"/>
      <c r="AI424" s="2"/>
      <c r="AJ424" s="2"/>
      <c r="AK424" s="2"/>
    </row>
    <row r="425" spans="1:37" ht="28" hidden="1" customHeight="1" x14ac:dyDescent="0.2">
      <c r="A425" s="1"/>
      <c r="B425" s="2665"/>
      <c r="C425" s="2551"/>
      <c r="D425" s="12" t="s">
        <v>22</v>
      </c>
      <c r="E425" s="13"/>
      <c r="F425" s="13">
        <v>90</v>
      </c>
      <c r="G425" s="13">
        <v>5</v>
      </c>
      <c r="H425" s="13">
        <v>5</v>
      </c>
      <c r="I425" s="13">
        <f>SUM(F425:H425)</f>
        <v>100</v>
      </c>
      <c r="J425" s="13"/>
      <c r="K425" s="13"/>
      <c r="L425" s="1231">
        <v>98</v>
      </c>
      <c r="M425" s="2798">
        <f>100-L425</f>
        <v>2</v>
      </c>
      <c r="N425" s="2798"/>
      <c r="O425" s="1307"/>
      <c r="P425" s="95"/>
      <c r="Q425" s="95"/>
      <c r="AE425" s="95"/>
      <c r="AF425" s="95"/>
      <c r="AG425" s="95"/>
      <c r="AH425" s="2"/>
      <c r="AI425" s="2"/>
      <c r="AJ425" s="2"/>
      <c r="AK425" s="2"/>
    </row>
    <row r="426" spans="1:37" ht="28" hidden="1" customHeight="1" x14ac:dyDescent="0.2">
      <c r="A426" s="1"/>
      <c r="B426" s="2665" t="s">
        <v>872</v>
      </c>
      <c r="C426" s="2792" t="s">
        <v>24</v>
      </c>
      <c r="D426" s="606" t="s">
        <v>21</v>
      </c>
      <c r="E426" s="622">
        <f>J426*K426*100/L427</f>
        <v>0</v>
      </c>
      <c r="F426" s="622">
        <f>F427*I426/100</f>
        <v>0</v>
      </c>
      <c r="G426" s="622">
        <f>G427*I426/100</f>
        <v>0</v>
      </c>
      <c r="H426" s="622">
        <f>H427*I426/100</f>
        <v>0</v>
      </c>
      <c r="I426" s="838">
        <f>K426*J426</f>
        <v>0</v>
      </c>
      <c r="J426" s="622"/>
      <c r="K426" s="838"/>
      <c r="L426" s="1228"/>
      <c r="M426" s="1228"/>
      <c r="N426" s="1228"/>
      <c r="O426" s="1306">
        <v>40</v>
      </c>
      <c r="P426" s="95"/>
      <c r="Q426" s="95"/>
      <c r="AE426" s="95"/>
      <c r="AF426" s="95"/>
      <c r="AG426" s="95"/>
      <c r="AH426" s="2"/>
      <c r="AI426" s="2"/>
      <c r="AJ426" s="2"/>
      <c r="AK426" s="2"/>
    </row>
    <row r="427" spans="1:37" ht="28" hidden="1" customHeight="1" x14ac:dyDescent="0.2">
      <c r="A427" s="1"/>
      <c r="B427" s="2665"/>
      <c r="C427" s="2792"/>
      <c r="D427" s="606" t="s">
        <v>22</v>
      </c>
      <c r="E427" s="622"/>
      <c r="F427" s="622">
        <v>89</v>
      </c>
      <c r="G427" s="622">
        <v>5</v>
      </c>
      <c r="H427" s="622">
        <v>6</v>
      </c>
      <c r="I427" s="622">
        <v>100</v>
      </c>
      <c r="J427" s="622"/>
      <c r="K427" s="622"/>
      <c r="L427" s="1229">
        <v>97.5</v>
      </c>
      <c r="M427" s="2795">
        <v>2.5</v>
      </c>
      <c r="N427" s="2795"/>
      <c r="O427" s="1308"/>
      <c r="P427" s="95"/>
      <c r="Q427" s="95"/>
      <c r="AE427" s="95"/>
      <c r="AF427" s="95"/>
      <c r="AG427" s="95"/>
      <c r="AH427" s="2"/>
      <c r="AI427" s="2"/>
      <c r="AJ427" s="2"/>
      <c r="AK427" s="2"/>
    </row>
    <row r="428" spans="1:37" ht="28" hidden="1" customHeight="1" x14ac:dyDescent="0.2">
      <c r="A428" s="1"/>
      <c r="B428" s="2665"/>
      <c r="C428" s="2551" t="s">
        <v>869</v>
      </c>
      <c r="D428" s="12" t="s">
        <v>21</v>
      </c>
      <c r="E428" s="13">
        <f>J428*K428*100/L429</f>
        <v>0</v>
      </c>
      <c r="F428" s="1230">
        <f>F429*I428/100</f>
        <v>0</v>
      </c>
      <c r="G428" s="1230">
        <f>G429*I428/100</f>
        <v>0</v>
      </c>
      <c r="H428" s="1230">
        <f>H429*I428/100</f>
        <v>0</v>
      </c>
      <c r="I428" s="14">
        <f>J428*K428</f>
        <v>0</v>
      </c>
      <c r="J428" s="13"/>
      <c r="K428" s="14"/>
      <c r="L428" s="1231"/>
      <c r="M428" s="1232"/>
      <c r="N428" s="1232"/>
      <c r="O428" s="733"/>
      <c r="P428" s="95"/>
      <c r="Q428" s="95"/>
      <c r="AE428" s="95"/>
      <c r="AF428" s="95"/>
      <c r="AG428" s="95"/>
      <c r="AH428" s="2"/>
      <c r="AI428" s="2"/>
      <c r="AJ428" s="2"/>
      <c r="AK428" s="2"/>
    </row>
    <row r="429" spans="1:37" ht="28" hidden="1" customHeight="1" x14ac:dyDescent="0.2">
      <c r="A429" s="1"/>
      <c r="B429" s="2665"/>
      <c r="C429" s="2551"/>
      <c r="D429" s="12" t="s">
        <v>22</v>
      </c>
      <c r="E429" s="13"/>
      <c r="F429" s="13">
        <v>90</v>
      </c>
      <c r="G429" s="13">
        <v>5</v>
      </c>
      <c r="H429" s="13">
        <v>5</v>
      </c>
      <c r="I429" s="13">
        <f>SUM(F429:H429)</f>
        <v>100</v>
      </c>
      <c r="J429" s="13"/>
      <c r="K429" s="13"/>
      <c r="L429" s="1231">
        <v>98</v>
      </c>
      <c r="M429" s="2798">
        <f>100-L429</f>
        <v>2</v>
      </c>
      <c r="N429" s="2798"/>
      <c r="O429" s="1307"/>
      <c r="P429" s="95"/>
      <c r="Q429" s="95"/>
      <c r="AE429" s="95"/>
      <c r="AF429" s="95"/>
      <c r="AG429" s="95"/>
      <c r="AH429" s="2"/>
      <c r="AI429" s="2"/>
      <c r="AJ429" s="2"/>
      <c r="AK429" s="2"/>
    </row>
    <row r="430" spans="1:37" ht="28" hidden="1" customHeight="1" x14ac:dyDescent="0.2">
      <c r="A430" s="1"/>
      <c r="B430" s="2665" t="s">
        <v>873</v>
      </c>
      <c r="C430" s="2792" t="s">
        <v>24</v>
      </c>
      <c r="D430" s="606" t="s">
        <v>21</v>
      </c>
      <c r="E430" s="622">
        <f>J430*K430*100/L431</f>
        <v>0</v>
      </c>
      <c r="F430" s="622">
        <f>F431*I430/100</f>
        <v>0</v>
      </c>
      <c r="G430" s="622">
        <f>G431*I430/100</f>
        <v>0</v>
      </c>
      <c r="H430" s="622">
        <f>H431*I430/100</f>
        <v>0</v>
      </c>
      <c r="I430" s="838">
        <f>K430*J430</f>
        <v>0</v>
      </c>
      <c r="J430" s="622"/>
      <c r="K430" s="838"/>
      <c r="L430" s="1228"/>
      <c r="M430" s="1228"/>
      <c r="N430" s="1228"/>
      <c r="O430" s="1306">
        <v>40</v>
      </c>
      <c r="P430" s="95"/>
      <c r="Q430" s="95"/>
      <c r="AE430" s="95"/>
      <c r="AF430" s="95"/>
      <c r="AG430" s="95"/>
      <c r="AH430" s="2"/>
      <c r="AI430" s="2"/>
      <c r="AJ430" s="2"/>
      <c r="AK430" s="2"/>
    </row>
    <row r="431" spans="1:37" ht="28" hidden="1" customHeight="1" x14ac:dyDescent="0.2">
      <c r="A431" s="1"/>
      <c r="B431" s="2665"/>
      <c r="C431" s="2792"/>
      <c r="D431" s="606" t="s">
        <v>22</v>
      </c>
      <c r="E431" s="622"/>
      <c r="F431" s="622">
        <v>89</v>
      </c>
      <c r="G431" s="622">
        <v>5</v>
      </c>
      <c r="H431" s="622">
        <v>6</v>
      </c>
      <c r="I431" s="622">
        <v>100</v>
      </c>
      <c r="J431" s="622"/>
      <c r="K431" s="622"/>
      <c r="L431" s="1229">
        <v>98</v>
      </c>
      <c r="M431" s="2795">
        <f>100-L431</f>
        <v>2</v>
      </c>
      <c r="N431" s="2795"/>
      <c r="O431" s="1308"/>
      <c r="P431" s="95"/>
      <c r="Q431" s="95"/>
      <c r="AE431" s="95"/>
      <c r="AF431" s="95"/>
      <c r="AG431" s="95"/>
      <c r="AH431" s="2"/>
      <c r="AI431" s="2"/>
      <c r="AJ431" s="2"/>
      <c r="AK431" s="2"/>
    </row>
    <row r="432" spans="1:37" ht="28" hidden="1" customHeight="1" x14ac:dyDescent="0.2">
      <c r="A432" s="1"/>
      <c r="B432" s="2665"/>
      <c r="C432" s="2551" t="s">
        <v>869</v>
      </c>
      <c r="D432" s="12" t="s">
        <v>21</v>
      </c>
      <c r="E432" s="13">
        <f>J432*K432*100/L433</f>
        <v>0</v>
      </c>
      <c r="F432" s="1230">
        <f>F433*I432/100</f>
        <v>0</v>
      </c>
      <c r="G432" s="1230">
        <f>G433*I432/100</f>
        <v>0</v>
      </c>
      <c r="H432" s="1230">
        <f>H433*I432/100</f>
        <v>0</v>
      </c>
      <c r="I432" s="14">
        <f>J432*K432</f>
        <v>0</v>
      </c>
      <c r="J432" s="13"/>
      <c r="K432" s="14"/>
      <c r="L432" s="1231"/>
      <c r="M432" s="1232"/>
      <c r="N432" s="1232"/>
      <c r="O432" s="733"/>
      <c r="P432" s="95"/>
      <c r="Q432" s="95"/>
      <c r="AE432" s="95"/>
      <c r="AF432" s="95"/>
      <c r="AG432" s="95"/>
      <c r="AH432" s="2"/>
      <c r="AI432" s="2"/>
      <c r="AJ432" s="2"/>
      <c r="AK432" s="2"/>
    </row>
    <row r="433" spans="1:37" ht="28" hidden="1" customHeight="1" x14ac:dyDescent="0.2">
      <c r="A433" s="1"/>
      <c r="B433" s="2665"/>
      <c r="C433" s="2551"/>
      <c r="D433" s="12" t="s">
        <v>22</v>
      </c>
      <c r="E433" s="13"/>
      <c r="F433" s="13">
        <v>90</v>
      </c>
      <c r="G433" s="13">
        <v>5</v>
      </c>
      <c r="H433" s="13">
        <v>5</v>
      </c>
      <c r="I433" s="13">
        <f>SUM(F433:H433)</f>
        <v>100</v>
      </c>
      <c r="J433" s="13"/>
      <c r="K433" s="13"/>
      <c r="L433" s="1231">
        <v>98</v>
      </c>
      <c r="M433" s="2798">
        <f>100-L433</f>
        <v>2</v>
      </c>
      <c r="N433" s="2798"/>
      <c r="O433" s="1307"/>
      <c r="P433" s="95"/>
      <c r="Q433" s="95"/>
      <c r="AE433" s="95"/>
      <c r="AF433" s="95"/>
      <c r="AG433" s="95"/>
      <c r="AH433" s="2"/>
      <c r="AI433" s="2"/>
      <c r="AJ433" s="2"/>
      <c r="AK433" s="2"/>
    </row>
    <row r="434" spans="1:37" ht="28" hidden="1" customHeight="1" x14ac:dyDescent="0.2">
      <c r="A434" s="1"/>
      <c r="B434" s="2665" t="s">
        <v>874</v>
      </c>
      <c r="C434" s="2792" t="s">
        <v>24</v>
      </c>
      <c r="D434" s="606" t="s">
        <v>21</v>
      </c>
      <c r="E434" s="622">
        <f>J434*K434*100/L435</f>
        <v>487459.18367346941</v>
      </c>
      <c r="F434" s="622">
        <f>F435*I434/100</f>
        <v>425161.9</v>
      </c>
      <c r="G434" s="622">
        <f>G435*I434/100</f>
        <v>28662.6</v>
      </c>
      <c r="H434" s="622">
        <f>H435*I434/100</f>
        <v>23885.5</v>
      </c>
      <c r="I434" s="838">
        <f>K434*J434</f>
        <v>477710</v>
      </c>
      <c r="J434" s="622">
        <v>31</v>
      </c>
      <c r="K434" s="838">
        <v>15410</v>
      </c>
      <c r="L434" s="1228"/>
      <c r="M434" s="1228"/>
      <c r="N434" s="1228"/>
      <c r="O434" s="1306">
        <v>40</v>
      </c>
      <c r="P434" s="95"/>
      <c r="Q434" s="95"/>
      <c r="AE434" s="95"/>
      <c r="AF434" s="95"/>
      <c r="AG434" s="95"/>
      <c r="AH434" s="2"/>
      <c r="AI434" s="2"/>
      <c r="AJ434" s="2"/>
      <c r="AK434" s="2"/>
    </row>
    <row r="435" spans="1:37" ht="28" hidden="1" customHeight="1" x14ac:dyDescent="0.2">
      <c r="A435" s="1"/>
      <c r="B435" s="2665"/>
      <c r="C435" s="2792"/>
      <c r="D435" s="606" t="s">
        <v>22</v>
      </c>
      <c r="E435" s="622"/>
      <c r="F435" s="622">
        <v>89</v>
      </c>
      <c r="G435" s="622">
        <v>6</v>
      </c>
      <c r="H435" s="622">
        <v>5</v>
      </c>
      <c r="I435" s="622">
        <v>100</v>
      </c>
      <c r="J435" s="622"/>
      <c r="K435" s="622"/>
      <c r="L435" s="1229">
        <v>98</v>
      </c>
      <c r="M435" s="2795">
        <f>100-L435</f>
        <v>2</v>
      </c>
      <c r="N435" s="2795"/>
      <c r="O435" s="1308"/>
      <c r="P435" s="95"/>
      <c r="Q435" s="95"/>
      <c r="AE435" s="95"/>
      <c r="AF435" s="95"/>
      <c r="AG435" s="95"/>
      <c r="AH435" s="2"/>
      <c r="AI435" s="2"/>
      <c r="AJ435" s="2"/>
      <c r="AK435" s="2"/>
    </row>
    <row r="436" spans="1:37" ht="28" hidden="1" customHeight="1" x14ac:dyDescent="0.2">
      <c r="A436" s="1"/>
      <c r="B436" s="2665"/>
      <c r="C436" s="2551" t="s">
        <v>869</v>
      </c>
      <c r="D436" s="12" t="s">
        <v>21</v>
      </c>
      <c r="E436" s="13">
        <f>J436*K436*100/L437</f>
        <v>495842.15885947045</v>
      </c>
      <c r="F436" s="1230">
        <f>F437*I436/100</f>
        <v>443094.47</v>
      </c>
      <c r="G436" s="1230">
        <f>G437*I436/100</f>
        <v>19476.68</v>
      </c>
      <c r="H436" s="1230">
        <f>H437*I436/100</f>
        <v>24345.85</v>
      </c>
      <c r="I436" s="14">
        <f>J436*K436</f>
        <v>486917</v>
      </c>
      <c r="J436" s="13">
        <v>31</v>
      </c>
      <c r="K436" s="14">
        <v>15707</v>
      </c>
      <c r="L436" s="1231"/>
      <c r="M436" s="1232"/>
      <c r="N436" s="1232"/>
      <c r="O436" s="733">
        <v>25</v>
      </c>
      <c r="P436" s="95"/>
      <c r="Q436" s="95"/>
      <c r="AE436" s="95"/>
      <c r="AF436" s="95"/>
      <c r="AG436" s="95"/>
      <c r="AH436" s="2"/>
      <c r="AI436" s="2"/>
      <c r="AJ436" s="2"/>
      <c r="AK436" s="2"/>
    </row>
    <row r="437" spans="1:37" ht="28" hidden="1" customHeight="1" x14ac:dyDescent="0.2">
      <c r="A437" s="1"/>
      <c r="B437" s="2665"/>
      <c r="C437" s="2551"/>
      <c r="D437" s="12" t="s">
        <v>22</v>
      </c>
      <c r="E437" s="13"/>
      <c r="F437" s="13">
        <v>91</v>
      </c>
      <c r="G437" s="13">
        <v>4</v>
      </c>
      <c r="H437" s="13">
        <v>5</v>
      </c>
      <c r="I437" s="13">
        <f>SUM(F437:H437)</f>
        <v>100</v>
      </c>
      <c r="J437" s="13"/>
      <c r="K437" s="13"/>
      <c r="L437" s="1231">
        <v>98.2</v>
      </c>
      <c r="M437" s="2798">
        <f>100-L437</f>
        <v>1.7999999999999972</v>
      </c>
      <c r="N437" s="2798"/>
      <c r="O437" s="1307"/>
      <c r="P437" s="95"/>
      <c r="Q437" s="95"/>
      <c r="AE437" s="95"/>
      <c r="AF437" s="95"/>
      <c r="AG437" s="95"/>
      <c r="AH437" s="2"/>
      <c r="AI437" s="2"/>
      <c r="AJ437" s="2"/>
      <c r="AK437" s="2"/>
    </row>
    <row r="438" spans="1:37" ht="28" hidden="1" customHeight="1" x14ac:dyDescent="0.2">
      <c r="A438" s="1"/>
      <c r="B438" s="2665" t="s">
        <v>875</v>
      </c>
      <c r="C438" s="2792" t="s">
        <v>24</v>
      </c>
      <c r="D438" s="606" t="s">
        <v>21</v>
      </c>
      <c r="E438" s="622">
        <f>J438*K438*100/L439</f>
        <v>487459.18367346941</v>
      </c>
      <c r="F438" s="622">
        <f>F439*I438/100</f>
        <v>425161.9</v>
      </c>
      <c r="G438" s="622">
        <f>G439*I438/100</f>
        <v>28662.6</v>
      </c>
      <c r="H438" s="622">
        <f>H439*I438/100</f>
        <v>23885.5</v>
      </c>
      <c r="I438" s="838">
        <f>K438*J438</f>
        <v>477710</v>
      </c>
      <c r="J438" s="622">
        <v>31</v>
      </c>
      <c r="K438" s="838">
        <v>15410</v>
      </c>
      <c r="L438" s="1228"/>
      <c r="M438" s="1228"/>
      <c r="N438" s="1228"/>
      <c r="O438" s="1306">
        <v>40</v>
      </c>
      <c r="P438" s="95"/>
      <c r="Q438" s="95"/>
      <c r="AE438" s="95"/>
      <c r="AF438" s="95"/>
      <c r="AG438" s="95"/>
      <c r="AH438" s="2"/>
      <c r="AI438" s="2"/>
      <c r="AJ438" s="2"/>
      <c r="AK438" s="2"/>
    </row>
    <row r="439" spans="1:37" ht="28" hidden="1" customHeight="1" x14ac:dyDescent="0.2">
      <c r="A439" s="1"/>
      <c r="B439" s="2665"/>
      <c r="C439" s="2792"/>
      <c r="D439" s="606" t="s">
        <v>22</v>
      </c>
      <c r="E439" s="622"/>
      <c r="F439" s="622">
        <v>89</v>
      </c>
      <c r="G439" s="622">
        <v>6</v>
      </c>
      <c r="H439" s="622">
        <v>5</v>
      </c>
      <c r="I439" s="622">
        <v>100</v>
      </c>
      <c r="J439" s="622"/>
      <c r="K439" s="622"/>
      <c r="L439" s="1229">
        <v>98</v>
      </c>
      <c r="M439" s="2795">
        <f>100-L439</f>
        <v>2</v>
      </c>
      <c r="N439" s="2795"/>
      <c r="O439" s="1308"/>
      <c r="P439" s="95"/>
      <c r="Q439" s="95"/>
      <c r="AE439" s="95"/>
      <c r="AF439" s="95"/>
      <c r="AG439" s="95"/>
      <c r="AH439" s="2"/>
      <c r="AI439" s="2"/>
      <c r="AJ439" s="2"/>
      <c r="AK439" s="2"/>
    </row>
    <row r="440" spans="1:37" ht="28" hidden="1" customHeight="1" x14ac:dyDescent="0.2">
      <c r="A440" s="1"/>
      <c r="B440" s="2665"/>
      <c r="C440" s="2551" t="s">
        <v>869</v>
      </c>
      <c r="D440" s="12" t="s">
        <v>21</v>
      </c>
      <c r="E440" s="13">
        <f>J440*K440*100/L441</f>
        <v>495842.15885947045</v>
      </c>
      <c r="F440" s="1230">
        <f>F441*I440/100</f>
        <v>443094.47</v>
      </c>
      <c r="G440" s="1230">
        <f>G441*I440/100</f>
        <v>19476.68</v>
      </c>
      <c r="H440" s="1230">
        <f>H441*I440/100</f>
        <v>24345.85</v>
      </c>
      <c r="I440" s="14">
        <f>J440*K440</f>
        <v>486917</v>
      </c>
      <c r="J440" s="13">
        <v>31</v>
      </c>
      <c r="K440" s="14">
        <v>15707</v>
      </c>
      <c r="L440" s="1231"/>
      <c r="M440" s="1232"/>
      <c r="N440" s="1232"/>
      <c r="O440" s="733">
        <v>25</v>
      </c>
      <c r="P440" s="95"/>
      <c r="Q440" s="95"/>
      <c r="AE440" s="95"/>
      <c r="AF440" s="95"/>
      <c r="AG440" s="95"/>
      <c r="AH440" s="2"/>
      <c r="AI440" s="2"/>
      <c r="AJ440" s="2"/>
      <c r="AK440" s="2"/>
    </row>
    <row r="441" spans="1:37" ht="28" hidden="1" customHeight="1" x14ac:dyDescent="0.2">
      <c r="A441" s="1"/>
      <c r="B441" s="2665"/>
      <c r="C441" s="2551"/>
      <c r="D441" s="12" t="s">
        <v>22</v>
      </c>
      <c r="E441" s="13"/>
      <c r="F441" s="13">
        <v>91</v>
      </c>
      <c r="G441" s="13">
        <v>4</v>
      </c>
      <c r="H441" s="13">
        <v>5</v>
      </c>
      <c r="I441" s="13">
        <f>SUM(F441:H441)</f>
        <v>100</v>
      </c>
      <c r="J441" s="13"/>
      <c r="K441" s="13"/>
      <c r="L441" s="1231">
        <v>98.2</v>
      </c>
      <c r="M441" s="2798">
        <f>100-L441</f>
        <v>1.7999999999999972</v>
      </c>
      <c r="N441" s="2798"/>
      <c r="O441" s="1307"/>
      <c r="P441" s="95"/>
      <c r="Q441" s="95"/>
      <c r="AE441" s="95"/>
      <c r="AF441" s="95"/>
      <c r="AG441" s="95"/>
      <c r="AH441" s="2"/>
      <c r="AI441" s="2"/>
      <c r="AJ441" s="2"/>
      <c r="AK441" s="2"/>
    </row>
    <row r="442" spans="1:37" ht="28" hidden="1" customHeight="1" x14ac:dyDescent="0.2">
      <c r="A442" s="1"/>
      <c r="B442" s="2665" t="s">
        <v>876</v>
      </c>
      <c r="C442" s="2792" t="s">
        <v>24</v>
      </c>
      <c r="D442" s="606" t="s">
        <v>21</v>
      </c>
      <c r="E442" s="622">
        <f>J442*K442*100/L443</f>
        <v>456010.20408163266</v>
      </c>
      <c r="F442" s="622">
        <f>F443*I442/100</f>
        <v>397732.1</v>
      </c>
      <c r="G442" s="622">
        <f>G443*I442/100</f>
        <v>26813.4</v>
      </c>
      <c r="H442" s="622">
        <f>H443*I442/100</f>
        <v>22344.5</v>
      </c>
      <c r="I442" s="838">
        <f>K442*J442</f>
        <v>446890</v>
      </c>
      <c r="J442" s="622">
        <v>29</v>
      </c>
      <c r="K442" s="838">
        <v>15410</v>
      </c>
      <c r="L442" s="1228"/>
      <c r="M442" s="1228"/>
      <c r="N442" s="1228"/>
      <c r="O442" s="1306">
        <v>40</v>
      </c>
      <c r="P442" s="95"/>
      <c r="Q442" s="95"/>
      <c r="AE442" s="95"/>
      <c r="AF442" s="95"/>
      <c r="AG442" s="95"/>
      <c r="AH442" s="2"/>
      <c r="AI442" s="2"/>
      <c r="AJ442" s="2"/>
      <c r="AK442" s="2"/>
    </row>
    <row r="443" spans="1:37" ht="28" hidden="1" customHeight="1" x14ac:dyDescent="0.2">
      <c r="A443" s="1"/>
      <c r="B443" s="2665"/>
      <c r="C443" s="2792"/>
      <c r="D443" s="606" t="s">
        <v>22</v>
      </c>
      <c r="E443" s="622"/>
      <c r="F443" s="622">
        <v>89</v>
      </c>
      <c r="G443" s="622">
        <v>6</v>
      </c>
      <c r="H443" s="622">
        <v>5</v>
      </c>
      <c r="I443" s="622">
        <v>100</v>
      </c>
      <c r="J443" s="622"/>
      <c r="K443" s="622"/>
      <c r="L443" s="1229">
        <v>98</v>
      </c>
      <c r="M443" s="2795">
        <f>100-L443</f>
        <v>2</v>
      </c>
      <c r="N443" s="2795"/>
      <c r="O443" s="1308"/>
      <c r="P443" s="95"/>
      <c r="Q443" s="95"/>
      <c r="AE443" s="95"/>
      <c r="AF443" s="95"/>
      <c r="AG443" s="95"/>
      <c r="AH443" s="2"/>
      <c r="AI443" s="2"/>
      <c r="AJ443" s="2"/>
      <c r="AK443" s="2"/>
    </row>
    <row r="444" spans="1:37" ht="28" hidden="1" customHeight="1" x14ac:dyDescent="0.2">
      <c r="A444" s="1"/>
      <c r="B444" s="2665"/>
      <c r="C444" s="2551" t="s">
        <v>869</v>
      </c>
      <c r="D444" s="12" t="s">
        <v>21</v>
      </c>
      <c r="E444" s="13">
        <f>J444*K444*100/L445</f>
        <v>463852.34215885948</v>
      </c>
      <c r="F444" s="1230">
        <f>F445*I444/100</f>
        <v>414507.73</v>
      </c>
      <c r="G444" s="1230">
        <f>G445*I444/100</f>
        <v>18220.12</v>
      </c>
      <c r="H444" s="1230">
        <f>H445*I444/100</f>
        <v>22775.15</v>
      </c>
      <c r="I444" s="14">
        <f>J444*K444</f>
        <v>455503</v>
      </c>
      <c r="J444" s="13">
        <v>29</v>
      </c>
      <c r="K444" s="14">
        <v>15707</v>
      </c>
      <c r="L444" s="1231"/>
      <c r="M444" s="1232"/>
      <c r="N444" s="1232"/>
      <c r="O444" s="733">
        <v>25</v>
      </c>
      <c r="P444" s="95"/>
      <c r="Q444" s="95"/>
      <c r="AE444" s="95"/>
      <c r="AF444" s="95"/>
      <c r="AG444" s="95"/>
      <c r="AH444" s="2"/>
      <c r="AI444" s="2"/>
      <c r="AJ444" s="2"/>
      <c r="AK444" s="2"/>
    </row>
    <row r="445" spans="1:37" ht="28" hidden="1" customHeight="1" x14ac:dyDescent="0.2">
      <c r="A445" s="1"/>
      <c r="B445" s="2665"/>
      <c r="C445" s="2551"/>
      <c r="D445" s="12" t="s">
        <v>22</v>
      </c>
      <c r="E445" s="13"/>
      <c r="F445" s="13">
        <v>91</v>
      </c>
      <c r="G445" s="13">
        <v>4</v>
      </c>
      <c r="H445" s="13">
        <v>5</v>
      </c>
      <c r="I445" s="13">
        <f>SUM(F445:H445)</f>
        <v>100</v>
      </c>
      <c r="J445" s="13"/>
      <c r="K445" s="13"/>
      <c r="L445" s="1231">
        <v>98.2</v>
      </c>
      <c r="M445" s="2798">
        <f>100-L445</f>
        <v>1.7999999999999972</v>
      </c>
      <c r="N445" s="2798"/>
      <c r="O445" s="1307"/>
      <c r="P445" s="95"/>
      <c r="Q445" s="95"/>
      <c r="AE445" s="95"/>
      <c r="AF445" s="95"/>
      <c r="AG445" s="95"/>
      <c r="AH445" s="2"/>
      <c r="AI445" s="2"/>
      <c r="AJ445" s="2"/>
      <c r="AK445" s="2"/>
    </row>
    <row r="446" spans="1:37" ht="28" hidden="1" customHeight="1" x14ac:dyDescent="0.2">
      <c r="A446" s="1"/>
      <c r="B446" s="2665" t="s">
        <v>877</v>
      </c>
      <c r="C446" s="2792" t="s">
        <v>24</v>
      </c>
      <c r="D446" s="606" t="s">
        <v>21</v>
      </c>
      <c r="E446" s="622">
        <f>J446*K446*100/L447</f>
        <v>487459.18367346941</v>
      </c>
      <c r="F446" s="622">
        <f>F447*I446/100</f>
        <v>425161.9</v>
      </c>
      <c r="G446" s="622">
        <f>G447*I446/100</f>
        <v>28662.6</v>
      </c>
      <c r="H446" s="622">
        <f>H447*I446/100</f>
        <v>23885.5</v>
      </c>
      <c r="I446" s="838">
        <f>K446*J446</f>
        <v>477710</v>
      </c>
      <c r="J446" s="622">
        <v>31</v>
      </c>
      <c r="K446" s="838">
        <v>15410</v>
      </c>
      <c r="L446" s="1228"/>
      <c r="M446" s="1228"/>
      <c r="N446" s="1228"/>
      <c r="O446" s="1306">
        <v>40</v>
      </c>
      <c r="P446" s="95"/>
      <c r="Q446" s="95"/>
      <c r="AE446" s="95"/>
      <c r="AF446" s="95"/>
      <c r="AG446" s="95"/>
      <c r="AH446" s="2"/>
      <c r="AI446" s="2"/>
      <c r="AJ446" s="2"/>
      <c r="AK446" s="2"/>
    </row>
    <row r="447" spans="1:37" ht="28" hidden="1" customHeight="1" x14ac:dyDescent="0.2">
      <c r="A447" s="1"/>
      <c r="B447" s="2665"/>
      <c r="C447" s="2792"/>
      <c r="D447" s="606" t="s">
        <v>22</v>
      </c>
      <c r="E447" s="622"/>
      <c r="F447" s="622">
        <v>89</v>
      </c>
      <c r="G447" s="622">
        <v>6</v>
      </c>
      <c r="H447" s="622">
        <v>5</v>
      </c>
      <c r="I447" s="622">
        <v>100</v>
      </c>
      <c r="J447" s="622"/>
      <c r="K447" s="622"/>
      <c r="L447" s="1229">
        <v>98</v>
      </c>
      <c r="M447" s="2795">
        <f>100-L447</f>
        <v>2</v>
      </c>
      <c r="N447" s="2795"/>
      <c r="O447" s="1308"/>
      <c r="P447" s="95"/>
      <c r="Q447" s="95"/>
      <c r="AE447" s="95"/>
      <c r="AF447" s="95"/>
      <c r="AG447" s="95"/>
      <c r="AH447" s="2"/>
      <c r="AI447" s="2"/>
      <c r="AJ447" s="2"/>
      <c r="AK447" s="2"/>
    </row>
    <row r="448" spans="1:37" ht="28" hidden="1" customHeight="1" x14ac:dyDescent="0.2">
      <c r="A448" s="1"/>
      <c r="B448" s="2665"/>
      <c r="C448" s="2551" t="s">
        <v>869</v>
      </c>
      <c r="D448" s="12" t="s">
        <v>21</v>
      </c>
      <c r="E448" s="13">
        <f>J448*K448*100/L449</f>
        <v>495842.15885947045</v>
      </c>
      <c r="F448" s="1230">
        <f>F449*I448/100</f>
        <v>443094.47</v>
      </c>
      <c r="G448" s="1230">
        <f>G449*I448/100</f>
        <v>19476.68</v>
      </c>
      <c r="H448" s="1230">
        <f>H449*I448/100</f>
        <v>24345.85</v>
      </c>
      <c r="I448" s="14">
        <f>J448*K448</f>
        <v>486917</v>
      </c>
      <c r="J448" s="13">
        <v>31</v>
      </c>
      <c r="K448" s="14">
        <v>15707</v>
      </c>
      <c r="L448" s="1231"/>
      <c r="M448" s="1232"/>
      <c r="N448" s="1232"/>
      <c r="O448" s="733">
        <v>25</v>
      </c>
      <c r="P448" s="95"/>
      <c r="Q448" s="95"/>
      <c r="AE448" s="95"/>
      <c r="AF448" s="95"/>
      <c r="AG448" s="95"/>
      <c r="AH448" s="2"/>
      <c r="AI448" s="2"/>
      <c r="AJ448" s="2"/>
      <c r="AK448" s="2"/>
    </row>
    <row r="449" spans="1:37" ht="28" hidden="1" customHeight="1" x14ac:dyDescent="0.2">
      <c r="A449" s="1"/>
      <c r="B449" s="2665"/>
      <c r="C449" s="2551"/>
      <c r="D449" s="12" t="s">
        <v>22</v>
      </c>
      <c r="E449" s="13"/>
      <c r="F449" s="13">
        <v>91</v>
      </c>
      <c r="G449" s="13">
        <v>4</v>
      </c>
      <c r="H449" s="13">
        <v>5</v>
      </c>
      <c r="I449" s="13">
        <f>SUM(F449:H449)</f>
        <v>100</v>
      </c>
      <c r="J449" s="13"/>
      <c r="K449" s="13"/>
      <c r="L449" s="1231">
        <v>98.2</v>
      </c>
      <c r="M449" s="2798">
        <f>100-L449</f>
        <v>1.7999999999999972</v>
      </c>
      <c r="N449" s="2798"/>
      <c r="O449" s="1307"/>
      <c r="P449" s="95"/>
      <c r="Q449" s="95"/>
      <c r="AE449" s="95"/>
      <c r="AF449" s="95"/>
      <c r="AG449" s="95"/>
      <c r="AH449" s="2"/>
      <c r="AI449" s="2"/>
      <c r="AJ449" s="2"/>
      <c r="AK449" s="2"/>
    </row>
    <row r="450" spans="1:37" ht="28" hidden="1" customHeight="1" x14ac:dyDescent="0.2">
      <c r="A450" s="1"/>
      <c r="B450" s="2665" t="s">
        <v>878</v>
      </c>
      <c r="C450" s="2792" t="s">
        <v>24</v>
      </c>
      <c r="D450" s="606" t="s">
        <v>21</v>
      </c>
      <c r="E450" s="622">
        <f>J450*K450*100/L451</f>
        <v>471734.69387755101</v>
      </c>
      <c r="F450" s="622">
        <f>F451*I450/100</f>
        <v>411447</v>
      </c>
      <c r="G450" s="622">
        <f>G451*I450/100</f>
        <v>27738</v>
      </c>
      <c r="H450" s="622">
        <f>H451*I450/100</f>
        <v>23115</v>
      </c>
      <c r="I450" s="838">
        <f>K450*J450</f>
        <v>462300</v>
      </c>
      <c r="J450" s="622">
        <v>30</v>
      </c>
      <c r="K450" s="838">
        <v>15410</v>
      </c>
      <c r="L450" s="1228"/>
      <c r="M450" s="1228"/>
      <c r="N450" s="1228"/>
      <c r="O450" s="1306">
        <v>40</v>
      </c>
      <c r="P450" s="95"/>
      <c r="Q450" s="95"/>
      <c r="AE450" s="95"/>
      <c r="AF450" s="95"/>
      <c r="AG450" s="95"/>
      <c r="AH450" s="2"/>
      <c r="AI450" s="2"/>
      <c r="AJ450" s="2"/>
      <c r="AK450" s="2"/>
    </row>
    <row r="451" spans="1:37" ht="28" hidden="1" customHeight="1" x14ac:dyDescent="0.2">
      <c r="A451" s="1"/>
      <c r="B451" s="2665"/>
      <c r="C451" s="2792"/>
      <c r="D451" s="606" t="s">
        <v>22</v>
      </c>
      <c r="E451" s="622"/>
      <c r="F451" s="622">
        <v>89</v>
      </c>
      <c r="G451" s="622">
        <v>6</v>
      </c>
      <c r="H451" s="622">
        <v>5</v>
      </c>
      <c r="I451" s="622">
        <v>100</v>
      </c>
      <c r="J451" s="622"/>
      <c r="K451" s="622"/>
      <c r="L451" s="1229">
        <v>98</v>
      </c>
      <c r="M451" s="2795">
        <f>100-L451</f>
        <v>2</v>
      </c>
      <c r="N451" s="2795"/>
      <c r="O451" s="1308"/>
      <c r="P451" s="95"/>
      <c r="Q451" s="95"/>
      <c r="AE451" s="95"/>
      <c r="AF451" s="95"/>
      <c r="AG451" s="95"/>
      <c r="AH451" s="2"/>
      <c r="AI451" s="2"/>
      <c r="AJ451" s="2"/>
      <c r="AK451" s="2"/>
    </row>
    <row r="452" spans="1:37" ht="28" hidden="1" customHeight="1" x14ac:dyDescent="0.2">
      <c r="A452" s="1"/>
      <c r="B452" s="2665"/>
      <c r="C452" s="2551" t="s">
        <v>869</v>
      </c>
      <c r="D452" s="12" t="s">
        <v>21</v>
      </c>
      <c r="E452" s="13">
        <f>J452*K452*100/L453</f>
        <v>479847.25050916494</v>
      </c>
      <c r="F452" s="1230">
        <f>F453*I452/100</f>
        <v>428801.1</v>
      </c>
      <c r="G452" s="1230">
        <f>G453*I452/100</f>
        <v>18848.400000000001</v>
      </c>
      <c r="H452" s="1230">
        <f>H453*I452/100</f>
        <v>23560.5</v>
      </c>
      <c r="I452" s="14">
        <f>J452*K452</f>
        <v>471210</v>
      </c>
      <c r="J452" s="13">
        <v>30</v>
      </c>
      <c r="K452" s="14">
        <v>15707</v>
      </c>
      <c r="L452" s="1231"/>
      <c r="M452" s="1232"/>
      <c r="N452" s="1232"/>
      <c r="O452" s="733">
        <v>25</v>
      </c>
      <c r="P452" s="95"/>
      <c r="Q452" s="95"/>
      <c r="AE452" s="95"/>
      <c r="AF452" s="95"/>
      <c r="AG452" s="95"/>
      <c r="AH452" s="2"/>
      <c r="AI452" s="2"/>
      <c r="AJ452" s="2"/>
      <c r="AK452" s="2"/>
    </row>
    <row r="453" spans="1:37" ht="28" hidden="1" customHeight="1" x14ac:dyDescent="0.2">
      <c r="A453" s="1"/>
      <c r="B453" s="2665"/>
      <c r="C453" s="2551"/>
      <c r="D453" s="12" t="s">
        <v>22</v>
      </c>
      <c r="E453" s="13"/>
      <c r="F453" s="13">
        <v>91</v>
      </c>
      <c r="G453" s="13">
        <v>4</v>
      </c>
      <c r="H453" s="13">
        <v>5</v>
      </c>
      <c r="I453" s="13">
        <f>SUM(F453:H453)</f>
        <v>100</v>
      </c>
      <c r="J453" s="13"/>
      <c r="K453" s="13"/>
      <c r="L453" s="1231">
        <v>98.2</v>
      </c>
      <c r="M453" s="2798">
        <f>100-L453</f>
        <v>1.7999999999999972</v>
      </c>
      <c r="N453" s="2798"/>
      <c r="O453" s="1307"/>
      <c r="P453" s="95"/>
      <c r="Q453" s="95"/>
      <c r="AE453" s="95"/>
      <c r="AF453" s="95"/>
      <c r="AG453" s="95"/>
      <c r="AH453" s="2"/>
      <c r="AI453" s="2"/>
      <c r="AJ453" s="2"/>
      <c r="AK453" s="2"/>
    </row>
    <row r="454" spans="1:37" ht="28" hidden="1" customHeight="1" x14ac:dyDescent="0.2">
      <c r="A454" s="1"/>
      <c r="B454" s="2665" t="s">
        <v>879</v>
      </c>
      <c r="C454" s="2792" t="s">
        <v>24</v>
      </c>
      <c r="D454" s="606" t="s">
        <v>21</v>
      </c>
      <c r="E454" s="622">
        <f>J454*K454*100/L455</f>
        <v>471734.69387755101</v>
      </c>
      <c r="F454" s="622">
        <f>F455*I454/100</f>
        <v>411447</v>
      </c>
      <c r="G454" s="622">
        <f>G455*I454/100</f>
        <v>27738</v>
      </c>
      <c r="H454" s="622">
        <f>H455*I454/100</f>
        <v>23115</v>
      </c>
      <c r="I454" s="838">
        <f>K454*J454</f>
        <v>462300</v>
      </c>
      <c r="J454" s="622">
        <v>30</v>
      </c>
      <c r="K454" s="838">
        <v>15410</v>
      </c>
      <c r="L454" s="1228"/>
      <c r="M454" s="1228"/>
      <c r="N454" s="1228"/>
      <c r="O454" s="1306">
        <v>40</v>
      </c>
      <c r="P454" s="95"/>
      <c r="Q454" s="95"/>
      <c r="AE454" s="95"/>
      <c r="AF454" s="95"/>
      <c r="AG454" s="95"/>
      <c r="AH454" s="2"/>
      <c r="AI454" s="2"/>
      <c r="AJ454" s="2"/>
      <c r="AK454" s="2"/>
    </row>
    <row r="455" spans="1:37" ht="28" hidden="1" customHeight="1" x14ac:dyDescent="0.2">
      <c r="A455" s="1"/>
      <c r="B455" s="2665"/>
      <c r="C455" s="2792"/>
      <c r="D455" s="606" t="s">
        <v>22</v>
      </c>
      <c r="E455" s="622"/>
      <c r="F455" s="622">
        <v>89</v>
      </c>
      <c r="G455" s="622">
        <v>6</v>
      </c>
      <c r="H455" s="622">
        <v>5</v>
      </c>
      <c r="I455" s="622">
        <v>100</v>
      </c>
      <c r="J455" s="622"/>
      <c r="K455" s="622"/>
      <c r="L455" s="1229">
        <v>98</v>
      </c>
      <c r="M455" s="2795">
        <f>100-L455</f>
        <v>2</v>
      </c>
      <c r="N455" s="2795"/>
      <c r="O455" s="1308"/>
      <c r="P455" s="95"/>
      <c r="Q455" s="95"/>
      <c r="AE455" s="95"/>
      <c r="AF455" s="95"/>
      <c r="AG455" s="95"/>
      <c r="AH455" s="2"/>
      <c r="AI455" s="2"/>
      <c r="AJ455" s="2"/>
      <c r="AK455" s="2"/>
    </row>
    <row r="456" spans="1:37" ht="28" hidden="1" customHeight="1" x14ac:dyDescent="0.2">
      <c r="A456" s="1"/>
      <c r="B456" s="2665"/>
      <c r="C456" s="2551" t="s">
        <v>869</v>
      </c>
      <c r="D456" s="12" t="s">
        <v>21</v>
      </c>
      <c r="E456" s="13">
        <f>J456*K456*100/L457</f>
        <v>479847.25050916494</v>
      </c>
      <c r="F456" s="1230">
        <f>F457*I456/100</f>
        <v>428801.1</v>
      </c>
      <c r="G456" s="1230">
        <f>G457*I456/100</f>
        <v>18848.400000000001</v>
      </c>
      <c r="H456" s="1230">
        <f>H457*I456/100</f>
        <v>23560.5</v>
      </c>
      <c r="I456" s="14">
        <f>J456*K456</f>
        <v>471210</v>
      </c>
      <c r="J456" s="13">
        <v>30</v>
      </c>
      <c r="K456" s="14">
        <v>15707</v>
      </c>
      <c r="L456" s="1231"/>
      <c r="M456" s="1232"/>
      <c r="N456" s="1232"/>
      <c r="O456" s="733">
        <v>25</v>
      </c>
      <c r="P456" s="95"/>
      <c r="Q456" s="95"/>
      <c r="AE456" s="95"/>
      <c r="AF456" s="95"/>
      <c r="AG456" s="95"/>
      <c r="AH456" s="2"/>
      <c r="AI456" s="2"/>
      <c r="AJ456" s="2"/>
      <c r="AK456" s="2"/>
    </row>
    <row r="457" spans="1:37" ht="28" hidden="1" customHeight="1" x14ac:dyDescent="0.2">
      <c r="A457" s="1"/>
      <c r="B457" s="2665"/>
      <c r="C457" s="2551"/>
      <c r="D457" s="12" t="s">
        <v>22</v>
      </c>
      <c r="E457" s="13"/>
      <c r="F457" s="13">
        <v>91</v>
      </c>
      <c r="G457" s="13">
        <v>4</v>
      </c>
      <c r="H457" s="13">
        <v>5</v>
      </c>
      <c r="I457" s="13">
        <f>SUM(F457:H457)</f>
        <v>100</v>
      </c>
      <c r="J457" s="13"/>
      <c r="K457" s="13"/>
      <c r="L457" s="1231">
        <v>98.2</v>
      </c>
      <c r="M457" s="2798">
        <f>100-L457</f>
        <v>1.7999999999999972</v>
      </c>
      <c r="N457" s="2798"/>
      <c r="O457" s="1307"/>
      <c r="P457" s="95"/>
      <c r="Q457" s="95"/>
      <c r="AE457" s="95"/>
      <c r="AF457" s="95"/>
      <c r="AG457" s="95"/>
      <c r="AH457" s="2"/>
      <c r="AI457" s="2"/>
      <c r="AJ457" s="2"/>
      <c r="AK457" s="2"/>
    </row>
    <row r="458" spans="1:37" ht="32" customHeight="1" x14ac:dyDescent="0.2">
      <c r="A458" s="1"/>
      <c r="B458" s="2820" t="s">
        <v>919</v>
      </c>
      <c r="C458" s="2820"/>
      <c r="D458" s="1256" t="s">
        <v>21</v>
      </c>
      <c r="E458" s="1257">
        <f>J458*K458*100/L459</f>
        <v>2861857.1428571427</v>
      </c>
      <c r="F458" s="1257">
        <f>F414+F418+F422+F426+F430+F434+F438+F442+F446+F450+F454</f>
        <v>2496111.7999999998</v>
      </c>
      <c r="G458" s="1257">
        <f>G414+G418+G422+G426+G430+G434+G438+G442+G446+G450+G454</f>
        <v>168277.2</v>
      </c>
      <c r="H458" s="1257">
        <f>H414+H418+H422+H426+H430+H434+H438+H442+H446+H450+H454</f>
        <v>140231</v>
      </c>
      <c r="I458" s="1257">
        <f>I414+I418+I422+I426+I430+I434+I438+I442+I446+I450+I454</f>
        <v>2804620</v>
      </c>
      <c r="J458" s="1258">
        <f>J414+J418+J422+J426+J430+J434+J438+J442+J446+J450+J454</f>
        <v>182</v>
      </c>
      <c r="K458" s="1257">
        <f>I458/J458</f>
        <v>15410</v>
      </c>
      <c r="L458" s="1259"/>
      <c r="M458" s="2808"/>
      <c r="N458" s="2808"/>
      <c r="O458" s="1144"/>
      <c r="P458" s="95"/>
      <c r="Q458" s="95"/>
      <c r="AE458" s="95"/>
      <c r="AF458" s="95"/>
      <c r="AG458" s="95"/>
      <c r="AH458" s="2"/>
      <c r="AI458" s="2"/>
      <c r="AJ458" s="2"/>
      <c r="AK458" s="2"/>
    </row>
    <row r="459" spans="1:37" ht="32" customHeight="1" x14ac:dyDescent="0.2">
      <c r="A459" s="1"/>
      <c r="B459" s="2820"/>
      <c r="C459" s="2820"/>
      <c r="D459" s="1260" t="s">
        <v>22</v>
      </c>
      <c r="E459" s="1261"/>
      <c r="F459" s="1262">
        <f>F458/I458*100</f>
        <v>88.999999999999986</v>
      </c>
      <c r="G459" s="1262">
        <f>G458/I458*100</f>
        <v>6.0000000000000009</v>
      </c>
      <c r="H459" s="1262">
        <f>H458/I458*100</f>
        <v>5</v>
      </c>
      <c r="I459" s="1262">
        <v>100</v>
      </c>
      <c r="J459" s="1263">
        <f>J419+J423+J427+J431+J435+J439+J443+J447+J451+J455</f>
        <v>0</v>
      </c>
      <c r="K459" s="1263">
        <f>K419+K423+K427+K431+K435+K439+K443+K447+K451+K455</f>
        <v>0</v>
      </c>
      <c r="L459" s="1264">
        <v>98</v>
      </c>
      <c r="M459" s="2821">
        <v>2</v>
      </c>
      <c r="N459" s="2821"/>
      <c r="O459" s="1144">
        <v>40</v>
      </c>
      <c r="P459" s="95"/>
      <c r="Q459" s="95"/>
      <c r="AE459" s="95"/>
      <c r="AF459" s="95"/>
      <c r="AG459" s="95"/>
      <c r="AH459" s="2"/>
      <c r="AI459" s="2"/>
      <c r="AJ459" s="2"/>
      <c r="AK459" s="2"/>
    </row>
    <row r="460" spans="1:37" ht="32" customHeight="1" x14ac:dyDescent="0.2">
      <c r="A460" s="1"/>
      <c r="B460" s="2822" t="s">
        <v>920</v>
      </c>
      <c r="C460" s="2822"/>
      <c r="D460" s="1265" t="s">
        <v>21</v>
      </c>
      <c r="E460" s="1257">
        <f>J460*K460*100/L461</f>
        <v>2911073.3197556008</v>
      </c>
      <c r="F460" s="1257">
        <f>F416+F420+F424+F428+F432+F436+F440+F444+F448+F452+F456</f>
        <v>2601393.34</v>
      </c>
      <c r="G460" s="1257">
        <f>G416+G420+G424+G428+G432+G436+G440+G444+G448+G452+G456</f>
        <v>114346.95999999999</v>
      </c>
      <c r="H460" s="1257">
        <f>H416+H420+H424+H428+H432+H436+H440+H444+H448+H452+H456</f>
        <v>142933.70000000001</v>
      </c>
      <c r="I460" s="1257">
        <f>I416+I420+I424+I428+I432+I436+I440+I444+I448+I452+I456</f>
        <v>2858674</v>
      </c>
      <c r="J460" s="1258">
        <f>J416+J420+J424+J428+J432+J436+J440+J444+J448+J452+J456</f>
        <v>182</v>
      </c>
      <c r="K460" s="1257">
        <f>I460/J460</f>
        <v>15707</v>
      </c>
      <c r="L460" s="1266"/>
      <c r="M460" s="2808"/>
      <c r="N460" s="2808"/>
      <c r="O460" s="1310"/>
      <c r="P460" s="95"/>
      <c r="Q460" s="95"/>
      <c r="AE460" s="95"/>
      <c r="AF460" s="95"/>
      <c r="AG460" s="95"/>
      <c r="AH460" s="2"/>
      <c r="AI460" s="2"/>
      <c r="AJ460" s="2"/>
      <c r="AK460" s="2"/>
    </row>
    <row r="461" spans="1:37" ht="32" customHeight="1" x14ac:dyDescent="0.2">
      <c r="A461" s="1"/>
      <c r="B461" s="2822"/>
      <c r="C461" s="2822"/>
      <c r="D461" s="1267" t="s">
        <v>22</v>
      </c>
      <c r="E461" s="1268"/>
      <c r="F461" s="1269">
        <f>+F460/I460*100</f>
        <v>90.999999999999986</v>
      </c>
      <c r="G461" s="1269">
        <f>+G460/I460*100</f>
        <v>3.9999999999999996</v>
      </c>
      <c r="H461" s="1269">
        <f>+H460/I460*100</f>
        <v>5</v>
      </c>
      <c r="I461" s="1269">
        <f>F461+G461+H461</f>
        <v>99.999999999999986</v>
      </c>
      <c r="J461" s="1269"/>
      <c r="K461" s="1269"/>
      <c r="L461" s="1270">
        <v>98.2</v>
      </c>
      <c r="M461" s="2823">
        <f>100-L461</f>
        <v>1.7999999999999972</v>
      </c>
      <c r="N461" s="2823"/>
      <c r="O461" s="1367">
        <v>25</v>
      </c>
      <c r="P461" s="95"/>
      <c r="Q461" s="95"/>
      <c r="AE461" s="95"/>
      <c r="AF461" s="95"/>
      <c r="AG461" s="95"/>
      <c r="AH461" s="2"/>
      <c r="AI461" s="2"/>
      <c r="AJ461" s="2"/>
      <c r="AK461" s="2"/>
    </row>
    <row r="462" spans="1:37" ht="32" customHeight="1" x14ac:dyDescent="0.2">
      <c r="A462" s="1"/>
      <c r="B462" s="2811" t="s">
        <v>880</v>
      </c>
      <c r="C462" s="2811"/>
      <c r="D462" s="1233" t="s">
        <v>21</v>
      </c>
      <c r="E462" s="1235">
        <f>E460-E458</f>
        <v>49216.176898458041</v>
      </c>
      <c r="F462" s="1235">
        <f t="shared" ref="F462:H463" si="64">F460-F458</f>
        <v>105281.54000000004</v>
      </c>
      <c r="G462" s="1235">
        <f t="shared" si="64"/>
        <v>-53930.24000000002</v>
      </c>
      <c r="H462" s="1235">
        <f t="shared" si="64"/>
        <v>2702.7000000000116</v>
      </c>
      <c r="I462" s="1235">
        <f>I460-I458</f>
        <v>54054</v>
      </c>
      <c r="J462" s="1234"/>
      <c r="K462" s="1235"/>
      <c r="L462" s="1236"/>
      <c r="M462" s="2800"/>
      <c r="N462" s="2800"/>
      <c r="O462" s="1311"/>
      <c r="P462" s="95"/>
      <c r="Q462" s="95"/>
      <c r="AE462" s="95"/>
      <c r="AF462" s="95"/>
      <c r="AG462" s="95"/>
      <c r="AH462" s="2"/>
      <c r="AI462" s="2"/>
      <c r="AJ462" s="2"/>
      <c r="AK462" s="2"/>
    </row>
    <row r="463" spans="1:37" ht="32" customHeight="1" x14ac:dyDescent="0.2">
      <c r="A463" s="1"/>
      <c r="B463" s="2811"/>
      <c r="C463" s="2811"/>
      <c r="D463" s="1233" t="s">
        <v>22</v>
      </c>
      <c r="E463" s="1234"/>
      <c r="F463" s="1312">
        <f>F461-F459</f>
        <v>2</v>
      </c>
      <c r="G463" s="1312">
        <f t="shared" si="64"/>
        <v>-2.0000000000000013</v>
      </c>
      <c r="H463" s="1312">
        <f t="shared" si="64"/>
        <v>0</v>
      </c>
      <c r="I463" s="1234"/>
      <c r="J463" s="1234"/>
      <c r="K463" s="1234"/>
      <c r="L463" s="1313"/>
      <c r="M463" s="2812"/>
      <c r="N463" s="2812"/>
      <c r="O463" s="1311"/>
      <c r="P463" s="95"/>
      <c r="Q463" s="95"/>
      <c r="AE463" s="95"/>
      <c r="AF463" s="95"/>
      <c r="AG463" s="95"/>
      <c r="AH463" s="2"/>
      <c r="AI463" s="2"/>
      <c r="AJ463" s="2"/>
      <c r="AK463" s="2"/>
    </row>
    <row r="464" spans="1:37" ht="28" customHeight="1" thickBot="1" x14ac:dyDescent="0.25">
      <c r="A464" s="1"/>
      <c r="B464" s="2475" t="s">
        <v>84</v>
      </c>
      <c r="C464" s="2475"/>
      <c r="D464" s="2475"/>
      <c r="E464" s="2475"/>
      <c r="F464" s="2475"/>
      <c r="G464" s="2475"/>
      <c r="H464" s="2475"/>
      <c r="I464" s="2475"/>
      <c r="J464" s="2475"/>
      <c r="K464" s="2475"/>
      <c r="L464" s="2475"/>
      <c r="M464" s="2475"/>
      <c r="N464" s="2475"/>
      <c r="O464" s="2475"/>
      <c r="P464" s="95"/>
      <c r="Q464" s="95"/>
      <c r="AE464" s="95"/>
      <c r="AF464" s="95"/>
      <c r="AG464" s="95"/>
      <c r="AH464" s="2"/>
      <c r="AI464" s="2"/>
      <c r="AJ464" s="2"/>
      <c r="AK464" s="2"/>
    </row>
    <row r="465" spans="1:37" s="863" customFormat="1" ht="40" customHeight="1" x14ac:dyDescent="0.2">
      <c r="A465" s="71"/>
      <c r="B465" s="2813" t="s">
        <v>881</v>
      </c>
      <c r="C465" s="2815" t="s">
        <v>865</v>
      </c>
      <c r="D465" s="2815" t="s">
        <v>17</v>
      </c>
      <c r="E465" s="2817" t="s">
        <v>864</v>
      </c>
      <c r="F465" s="2817" t="s">
        <v>8</v>
      </c>
      <c r="G465" s="2817"/>
      <c r="H465" s="2817"/>
      <c r="I465" s="2818" t="s">
        <v>9</v>
      </c>
      <c r="J465" s="2817" t="s">
        <v>10</v>
      </c>
      <c r="K465" s="6" t="s">
        <v>11</v>
      </c>
      <c r="L465" s="2817" t="s">
        <v>80</v>
      </c>
      <c r="M465" s="6" t="s">
        <v>81</v>
      </c>
      <c r="N465" s="6" t="s">
        <v>82</v>
      </c>
      <c r="O465" s="1293" t="s">
        <v>15</v>
      </c>
      <c r="P465" s="165"/>
      <c r="Q465" s="165"/>
      <c r="R465" s="1285"/>
      <c r="S465" s="1285"/>
      <c r="T465" s="1285"/>
      <c r="U465" s="1285"/>
      <c r="V465" s="1285"/>
      <c r="W465" s="1285"/>
      <c r="X465" s="1285"/>
      <c r="Y465" s="165"/>
      <c r="Z465" s="165"/>
      <c r="AA465" s="165"/>
      <c r="AB465" s="165"/>
      <c r="AC465" s="165"/>
      <c r="AD465" s="165"/>
      <c r="AE465" s="165"/>
      <c r="AF465" s="165"/>
      <c r="AG465" s="165"/>
      <c r="AH465" s="209"/>
      <c r="AI465" s="209"/>
      <c r="AJ465" s="209"/>
      <c r="AK465" s="209"/>
    </row>
    <row r="466" spans="1:37" s="863" customFormat="1" ht="44" customHeight="1" x14ac:dyDescent="0.2">
      <c r="A466" s="71"/>
      <c r="B466" s="2814"/>
      <c r="C466" s="2816"/>
      <c r="D466" s="2816"/>
      <c r="E466" s="2602"/>
      <c r="F466" s="10" t="s">
        <v>18</v>
      </c>
      <c r="G466" s="10" t="s">
        <v>19</v>
      </c>
      <c r="H466" s="8" t="s">
        <v>20</v>
      </c>
      <c r="I466" s="2819"/>
      <c r="J466" s="2602"/>
      <c r="K466" s="8" t="s">
        <v>21</v>
      </c>
      <c r="L466" s="2602"/>
      <c r="M466" s="8" t="s">
        <v>13</v>
      </c>
      <c r="N466" s="8" t="s">
        <v>934</v>
      </c>
      <c r="O466" s="1294" t="s">
        <v>23</v>
      </c>
      <c r="P466" s="165"/>
      <c r="Q466" s="165"/>
      <c r="R466" s="1285"/>
      <c r="S466" s="1285"/>
      <c r="T466" s="1285"/>
      <c r="U466" s="1285"/>
      <c r="V466" s="1285"/>
      <c r="W466" s="1285"/>
      <c r="X466" s="1285"/>
      <c r="Y466" s="165"/>
      <c r="Z466" s="165"/>
      <c r="AA466" s="165"/>
      <c r="AB466" s="165"/>
      <c r="AC466" s="165"/>
      <c r="AD466" s="165"/>
      <c r="AE466" s="165"/>
      <c r="AF466" s="165"/>
      <c r="AG466" s="165"/>
      <c r="AH466" s="209"/>
      <c r="AI466" s="209"/>
      <c r="AJ466" s="209"/>
      <c r="AK466" s="209"/>
    </row>
    <row r="467" spans="1:37" ht="28" hidden="1" customHeight="1" x14ac:dyDescent="0.2">
      <c r="A467" s="1"/>
      <c r="B467" s="2789" t="s">
        <v>874</v>
      </c>
      <c r="C467" s="2792" t="s">
        <v>27</v>
      </c>
      <c r="D467" s="606" t="s">
        <v>21</v>
      </c>
      <c r="E467" s="841">
        <f>J467*K467*100/L468</f>
        <v>90500</v>
      </c>
      <c r="F467" s="838">
        <f>F468*I467/100</f>
        <v>81594.8</v>
      </c>
      <c r="G467" s="838">
        <f>G468*I467/100</f>
        <v>3547.6</v>
      </c>
      <c r="H467" s="838">
        <f>H468*I467/100</f>
        <v>3547.6</v>
      </c>
      <c r="I467" s="838">
        <f>K467*J467</f>
        <v>88690</v>
      </c>
      <c r="J467" s="622">
        <v>7</v>
      </c>
      <c r="K467" s="838">
        <v>12670</v>
      </c>
      <c r="L467" s="1228"/>
      <c r="M467" s="2793"/>
      <c r="N467" s="2794"/>
      <c r="O467" s="1295"/>
      <c r="P467" s="95"/>
      <c r="Q467" s="95"/>
      <c r="AE467" s="95"/>
      <c r="AF467" s="95"/>
      <c r="AG467" s="95"/>
      <c r="AH467" s="2"/>
      <c r="AI467" s="2"/>
      <c r="AJ467" s="2"/>
      <c r="AK467" s="2"/>
    </row>
    <row r="468" spans="1:37" ht="28" hidden="1" customHeight="1" x14ac:dyDescent="0.2">
      <c r="A468" s="1"/>
      <c r="B468" s="2790"/>
      <c r="C468" s="2792"/>
      <c r="D468" s="606" t="s">
        <v>22</v>
      </c>
      <c r="E468" s="622"/>
      <c r="F468" s="622">
        <v>92</v>
      </c>
      <c r="G468" s="622">
        <v>4</v>
      </c>
      <c r="H468" s="622">
        <v>4</v>
      </c>
      <c r="I468" s="622">
        <v>100</v>
      </c>
      <c r="J468" s="622"/>
      <c r="K468" s="622"/>
      <c r="L468" s="1229">
        <v>98</v>
      </c>
      <c r="M468" s="2795">
        <v>2</v>
      </c>
      <c r="N468" s="2795"/>
      <c r="O468" s="1297">
        <v>100</v>
      </c>
      <c r="P468" s="95"/>
      <c r="Q468" s="95"/>
      <c r="AE468" s="95"/>
      <c r="AF468" s="95"/>
      <c r="AG468" s="95"/>
      <c r="AH468" s="2"/>
      <c r="AI468" s="2"/>
      <c r="AJ468" s="2"/>
      <c r="AK468" s="2"/>
    </row>
    <row r="469" spans="1:37" ht="28" hidden="1" customHeight="1" x14ac:dyDescent="0.2">
      <c r="A469" s="1"/>
      <c r="B469" s="2790"/>
      <c r="C469" s="2551" t="s">
        <v>882</v>
      </c>
      <c r="D469" s="12" t="s">
        <v>21</v>
      </c>
      <c r="E469" s="846">
        <f>J469*K469*100/L470</f>
        <v>91456.211812627284</v>
      </c>
      <c r="F469" s="895">
        <f>F470*I469/100</f>
        <v>84421.4</v>
      </c>
      <c r="G469" s="895">
        <f>G470*I469/100</f>
        <v>2694.3</v>
      </c>
      <c r="H469" s="895">
        <f>H470*I469/100</f>
        <v>2694.3</v>
      </c>
      <c r="I469" s="14">
        <f>J469*K469</f>
        <v>89810</v>
      </c>
      <c r="J469" s="13">
        <v>7</v>
      </c>
      <c r="K469" s="14">
        <v>12830</v>
      </c>
      <c r="L469" s="1231"/>
      <c r="M469" s="2796"/>
      <c r="N469" s="2797"/>
      <c r="O469" s="1296"/>
      <c r="P469" s="95"/>
      <c r="Q469" s="95"/>
      <c r="AE469" s="95"/>
      <c r="AF469" s="95"/>
      <c r="AG469" s="95"/>
      <c r="AH469" s="2"/>
      <c r="AI469" s="2"/>
      <c r="AJ469" s="2"/>
      <c r="AK469" s="2"/>
    </row>
    <row r="470" spans="1:37" ht="28" hidden="1" customHeight="1" x14ac:dyDescent="0.2">
      <c r="A470" s="1"/>
      <c r="B470" s="2791"/>
      <c r="C470" s="2551"/>
      <c r="D470" s="12" t="s">
        <v>22</v>
      </c>
      <c r="E470" s="13"/>
      <c r="F470" s="13">
        <v>94</v>
      </c>
      <c r="G470" s="13">
        <v>3</v>
      </c>
      <c r="H470" s="13">
        <v>3</v>
      </c>
      <c r="I470" s="13">
        <f>SUM(F470:H470)</f>
        <v>100</v>
      </c>
      <c r="J470" s="13"/>
      <c r="K470" s="13"/>
      <c r="L470" s="1231">
        <v>98.2</v>
      </c>
      <c r="M470" s="2798">
        <f>100-L470</f>
        <v>1.7999999999999972</v>
      </c>
      <c r="N470" s="2798"/>
      <c r="O470" s="1297">
        <v>80</v>
      </c>
      <c r="P470" s="95"/>
      <c r="Q470" s="95"/>
      <c r="AE470" s="95"/>
      <c r="AF470" s="95"/>
      <c r="AG470" s="95"/>
      <c r="AH470" s="2"/>
      <c r="AI470" s="2"/>
      <c r="AJ470" s="2"/>
      <c r="AK470" s="2"/>
    </row>
    <row r="471" spans="1:37" ht="28" hidden="1" customHeight="1" x14ac:dyDescent="0.2">
      <c r="A471" s="1"/>
      <c r="B471" s="2789" t="s">
        <v>875</v>
      </c>
      <c r="C471" s="2792" t="s">
        <v>27</v>
      </c>
      <c r="D471" s="606" t="s">
        <v>21</v>
      </c>
      <c r="E471" s="841">
        <f>J471*K471*100/L472</f>
        <v>258571.42857142858</v>
      </c>
      <c r="F471" s="838">
        <f>F472*I471/100</f>
        <v>233128</v>
      </c>
      <c r="G471" s="838">
        <f>G472*I471/100</f>
        <v>10136</v>
      </c>
      <c r="H471" s="838">
        <f>H472*I471/100</f>
        <v>10136</v>
      </c>
      <c r="I471" s="838">
        <f>K471*J471</f>
        <v>253400</v>
      </c>
      <c r="J471" s="622">
        <v>20</v>
      </c>
      <c r="K471" s="838">
        <v>12670</v>
      </c>
      <c r="L471" s="1228"/>
      <c r="M471" s="2793"/>
      <c r="N471" s="2794"/>
      <c r="O471" s="1295"/>
      <c r="P471" s="95"/>
      <c r="Q471" s="95"/>
      <c r="AE471" s="95"/>
      <c r="AF471" s="95"/>
      <c r="AG471" s="95"/>
      <c r="AH471" s="2"/>
      <c r="AI471" s="2"/>
      <c r="AJ471" s="2"/>
      <c r="AK471" s="2"/>
    </row>
    <row r="472" spans="1:37" ht="28" hidden="1" customHeight="1" x14ac:dyDescent="0.2">
      <c r="A472" s="1"/>
      <c r="B472" s="2790"/>
      <c r="C472" s="2792"/>
      <c r="D472" s="606" t="s">
        <v>22</v>
      </c>
      <c r="E472" s="622"/>
      <c r="F472" s="622">
        <v>92</v>
      </c>
      <c r="G472" s="622">
        <v>4</v>
      </c>
      <c r="H472" s="622">
        <v>4</v>
      </c>
      <c r="I472" s="622">
        <v>100</v>
      </c>
      <c r="J472" s="622"/>
      <c r="K472" s="622"/>
      <c r="L472" s="1229">
        <v>98</v>
      </c>
      <c r="M472" s="2795">
        <v>2</v>
      </c>
      <c r="N472" s="2795"/>
      <c r="O472" s="1297">
        <v>100</v>
      </c>
      <c r="P472" s="95"/>
      <c r="Q472" s="95"/>
      <c r="AE472" s="95"/>
      <c r="AF472" s="95"/>
      <c r="AG472" s="95"/>
      <c r="AH472" s="2"/>
      <c r="AI472" s="2"/>
      <c r="AJ472" s="2"/>
      <c r="AK472" s="2"/>
    </row>
    <row r="473" spans="1:37" ht="28" hidden="1" customHeight="1" x14ac:dyDescent="0.2">
      <c r="A473" s="1"/>
      <c r="B473" s="2790"/>
      <c r="C473" s="2551" t="s">
        <v>882</v>
      </c>
      <c r="D473" s="12" t="s">
        <v>21</v>
      </c>
      <c r="E473" s="846">
        <f>J473*K473*100/L474</f>
        <v>261303.46232179226</v>
      </c>
      <c r="F473" s="895">
        <f>F474*I473/100</f>
        <v>241204</v>
      </c>
      <c r="G473" s="895">
        <f>G474*I473/100</f>
        <v>7698</v>
      </c>
      <c r="H473" s="895">
        <f>H474*I473/100</f>
        <v>7698</v>
      </c>
      <c r="I473" s="14">
        <f>J473*K473</f>
        <v>256600</v>
      </c>
      <c r="J473" s="13">
        <v>20</v>
      </c>
      <c r="K473" s="14">
        <v>12830</v>
      </c>
      <c r="L473" s="1231"/>
      <c r="M473" s="2796"/>
      <c r="N473" s="2797"/>
      <c r="O473" s="1296"/>
      <c r="P473" s="95"/>
      <c r="Q473" s="95"/>
      <c r="AE473" s="95"/>
      <c r="AF473" s="95"/>
      <c r="AG473" s="95"/>
      <c r="AH473" s="2"/>
      <c r="AI473" s="2"/>
      <c r="AJ473" s="2"/>
      <c r="AK473" s="2"/>
    </row>
    <row r="474" spans="1:37" ht="28" hidden="1" customHeight="1" x14ac:dyDescent="0.2">
      <c r="A474" s="1"/>
      <c r="B474" s="2791"/>
      <c r="C474" s="2551"/>
      <c r="D474" s="12" t="s">
        <v>22</v>
      </c>
      <c r="E474" s="13"/>
      <c r="F474" s="13">
        <v>94</v>
      </c>
      <c r="G474" s="13">
        <v>3</v>
      </c>
      <c r="H474" s="13">
        <v>3</v>
      </c>
      <c r="I474" s="13">
        <f>SUM(F474:H474)</f>
        <v>100</v>
      </c>
      <c r="J474" s="13"/>
      <c r="K474" s="13"/>
      <c r="L474" s="1231">
        <v>98.2</v>
      </c>
      <c r="M474" s="2798">
        <f>100-L474</f>
        <v>1.7999999999999972</v>
      </c>
      <c r="N474" s="2798"/>
      <c r="O474" s="1297">
        <v>80</v>
      </c>
      <c r="P474" s="95"/>
      <c r="Q474" s="95"/>
      <c r="AE474" s="95"/>
      <c r="AF474" s="95"/>
      <c r="AG474" s="95"/>
      <c r="AH474" s="2"/>
      <c r="AI474" s="2"/>
      <c r="AJ474" s="2"/>
      <c r="AK474" s="2"/>
    </row>
    <row r="475" spans="1:37" ht="28" hidden="1" customHeight="1" x14ac:dyDescent="0.2">
      <c r="A475" s="1"/>
      <c r="B475" s="2789" t="s">
        <v>878</v>
      </c>
      <c r="C475" s="2792" t="s">
        <v>27</v>
      </c>
      <c r="D475" s="606" t="s">
        <v>21</v>
      </c>
      <c r="E475" s="841">
        <f>J475*K475*100/L476</f>
        <v>284428.57142857142</v>
      </c>
      <c r="F475" s="838">
        <f>F476*I475/100</f>
        <v>256440.8</v>
      </c>
      <c r="G475" s="838">
        <f>G476*I475/100</f>
        <v>11149.6</v>
      </c>
      <c r="H475" s="838">
        <f>H476*I475/100</f>
        <v>11149.6</v>
      </c>
      <c r="I475" s="838">
        <f>K475*J475</f>
        <v>278740</v>
      </c>
      <c r="J475" s="622">
        <v>22</v>
      </c>
      <c r="K475" s="838">
        <v>12670</v>
      </c>
      <c r="L475" s="1228"/>
      <c r="M475" s="2793"/>
      <c r="N475" s="2794"/>
      <c r="O475" s="1295"/>
      <c r="P475" s="95"/>
      <c r="Q475" s="95"/>
      <c r="AE475" s="95"/>
      <c r="AF475" s="95"/>
      <c r="AG475" s="95"/>
      <c r="AH475" s="2"/>
      <c r="AI475" s="2"/>
      <c r="AJ475" s="2"/>
      <c r="AK475" s="2"/>
    </row>
    <row r="476" spans="1:37" ht="28" hidden="1" customHeight="1" x14ac:dyDescent="0.2">
      <c r="A476" s="1"/>
      <c r="B476" s="2790"/>
      <c r="C476" s="2792"/>
      <c r="D476" s="606" t="s">
        <v>22</v>
      </c>
      <c r="E476" s="622"/>
      <c r="F476" s="622">
        <v>92</v>
      </c>
      <c r="G476" s="622">
        <v>4</v>
      </c>
      <c r="H476" s="622">
        <v>4</v>
      </c>
      <c r="I476" s="622">
        <v>100</v>
      </c>
      <c r="J476" s="622"/>
      <c r="K476" s="622"/>
      <c r="L476" s="1229">
        <v>98</v>
      </c>
      <c r="M476" s="2795">
        <v>2</v>
      </c>
      <c r="N476" s="2795"/>
      <c r="O476" s="1297">
        <v>100</v>
      </c>
      <c r="P476" s="95"/>
      <c r="Q476" s="95"/>
      <c r="AE476" s="95"/>
      <c r="AF476" s="95"/>
      <c r="AG476" s="95"/>
      <c r="AH476" s="2"/>
      <c r="AI476" s="2"/>
      <c r="AJ476" s="2"/>
      <c r="AK476" s="2"/>
    </row>
    <row r="477" spans="1:37" ht="28" hidden="1" customHeight="1" x14ac:dyDescent="0.2">
      <c r="A477" s="1"/>
      <c r="B477" s="2790"/>
      <c r="C477" s="2551" t="s">
        <v>882</v>
      </c>
      <c r="D477" s="12" t="s">
        <v>21</v>
      </c>
      <c r="E477" s="846">
        <f>J477*K477*100/L478</f>
        <v>287433.80855397147</v>
      </c>
      <c r="F477" s="895">
        <f>F478*I477/100</f>
        <v>265324.40000000002</v>
      </c>
      <c r="G477" s="895">
        <f>G478*I477/100</f>
        <v>8467.7999999999993</v>
      </c>
      <c r="H477" s="895">
        <f>H478*I477/100</f>
        <v>8467.7999999999993</v>
      </c>
      <c r="I477" s="14">
        <f>J477*K477</f>
        <v>282260</v>
      </c>
      <c r="J477" s="13">
        <v>22</v>
      </c>
      <c r="K477" s="14">
        <v>12830</v>
      </c>
      <c r="L477" s="1231"/>
      <c r="M477" s="2796"/>
      <c r="N477" s="2797"/>
      <c r="O477" s="1296"/>
      <c r="P477" s="95"/>
      <c r="Q477" s="95"/>
      <c r="AE477" s="95"/>
      <c r="AF477" s="95"/>
      <c r="AG477" s="95"/>
      <c r="AH477" s="2"/>
      <c r="AI477" s="2"/>
      <c r="AJ477" s="2"/>
      <c r="AK477" s="2"/>
    </row>
    <row r="478" spans="1:37" ht="28" hidden="1" customHeight="1" x14ac:dyDescent="0.2">
      <c r="A478" s="1"/>
      <c r="B478" s="2791"/>
      <c r="C478" s="2551"/>
      <c r="D478" s="12" t="s">
        <v>22</v>
      </c>
      <c r="E478" s="13"/>
      <c r="F478" s="13">
        <v>94</v>
      </c>
      <c r="G478" s="13">
        <v>3</v>
      </c>
      <c r="H478" s="13">
        <v>3</v>
      </c>
      <c r="I478" s="13">
        <f>SUM(F478:H478)</f>
        <v>100</v>
      </c>
      <c r="J478" s="13"/>
      <c r="K478" s="13"/>
      <c r="L478" s="1231">
        <v>98.2</v>
      </c>
      <c r="M478" s="2798">
        <f>100-L478</f>
        <v>1.7999999999999972</v>
      </c>
      <c r="N478" s="2798"/>
      <c r="O478" s="1297">
        <v>80</v>
      </c>
      <c r="P478" s="95"/>
      <c r="Q478" s="95"/>
      <c r="AE478" s="95"/>
      <c r="AF478" s="95"/>
      <c r="AG478" s="95"/>
      <c r="AH478" s="2"/>
      <c r="AI478" s="2"/>
      <c r="AJ478" s="2"/>
      <c r="AK478" s="2"/>
    </row>
    <row r="479" spans="1:37" ht="31" customHeight="1" x14ac:dyDescent="0.2">
      <c r="A479" s="1"/>
      <c r="B479" s="2666" t="s">
        <v>92</v>
      </c>
      <c r="C479" s="2807" t="s">
        <v>883</v>
      </c>
      <c r="D479" s="1271" t="s">
        <v>21</v>
      </c>
      <c r="E479" s="1257">
        <f>J479*K479*100/L480</f>
        <v>633500</v>
      </c>
      <c r="F479" s="1257">
        <f>F467+F471+F475</f>
        <v>571163.6</v>
      </c>
      <c r="G479" s="1257">
        <f>G467+G471+G475</f>
        <v>24833.200000000001</v>
      </c>
      <c r="H479" s="1257">
        <f>H467+H471+H475</f>
        <v>24833.200000000001</v>
      </c>
      <c r="I479" s="1257">
        <f>I467+I471+I475</f>
        <v>620830</v>
      </c>
      <c r="J479" s="1258">
        <f>J467+J471+J475</f>
        <v>49</v>
      </c>
      <c r="K479" s="1257">
        <f>(K467+K471+K475)/3</f>
        <v>12670</v>
      </c>
      <c r="L479" s="1258"/>
      <c r="M479" s="2808"/>
      <c r="N479" s="2808"/>
      <c r="O479" s="1314"/>
      <c r="P479" s="95"/>
      <c r="Q479" s="95"/>
      <c r="AE479" s="95"/>
      <c r="AF479" s="95"/>
      <c r="AG479" s="95"/>
      <c r="AH479" s="2"/>
      <c r="AI479" s="2"/>
      <c r="AJ479" s="2"/>
      <c r="AK479" s="2"/>
    </row>
    <row r="480" spans="1:37" ht="31" customHeight="1" x14ac:dyDescent="0.2">
      <c r="A480" s="1"/>
      <c r="B480" s="2666"/>
      <c r="C480" s="2807"/>
      <c r="D480" s="1272" t="s">
        <v>22</v>
      </c>
      <c r="E480" s="1273"/>
      <c r="F480" s="1273">
        <v>92</v>
      </c>
      <c r="G480" s="1273">
        <v>4</v>
      </c>
      <c r="H480" s="1273">
        <v>4</v>
      </c>
      <c r="I480" s="1273">
        <f>SUM(F480:H480)</f>
        <v>100</v>
      </c>
      <c r="J480" s="1273"/>
      <c r="K480" s="1274"/>
      <c r="L480" s="1273">
        <v>98</v>
      </c>
      <c r="M480" s="2809">
        <v>2</v>
      </c>
      <c r="N480" s="2809"/>
      <c r="O480" s="1315">
        <v>100</v>
      </c>
      <c r="P480" s="95"/>
      <c r="Q480" s="95"/>
      <c r="AE480" s="95"/>
      <c r="AF480" s="95"/>
      <c r="AG480" s="95"/>
      <c r="AH480" s="2"/>
      <c r="AI480" s="2"/>
      <c r="AJ480" s="2"/>
      <c r="AK480" s="2"/>
    </row>
    <row r="481" spans="1:37" ht="31" customHeight="1" x14ac:dyDescent="0.2">
      <c r="A481" s="1"/>
      <c r="B481" s="2666"/>
      <c r="C481" s="2807" t="s">
        <v>884</v>
      </c>
      <c r="D481" s="1271" t="s">
        <v>21</v>
      </c>
      <c r="E481" s="1257">
        <f>J481*K481*100/L482</f>
        <v>640193.482688391</v>
      </c>
      <c r="F481" s="1257">
        <f>F469+F473+F477</f>
        <v>590949.80000000005</v>
      </c>
      <c r="G481" s="1257">
        <f>G469+G473+G477</f>
        <v>18860.099999999999</v>
      </c>
      <c r="H481" s="1257">
        <f>H469+H473+H477</f>
        <v>18860.099999999999</v>
      </c>
      <c r="I481" s="1257">
        <f>I469+I473+I477</f>
        <v>628670</v>
      </c>
      <c r="J481" s="1258">
        <f>J469+J473+J477</f>
        <v>49</v>
      </c>
      <c r="K481" s="1257">
        <f>I481/J481</f>
        <v>12830</v>
      </c>
      <c r="L481" s="1275"/>
      <c r="M481" s="2808"/>
      <c r="N481" s="2808"/>
      <c r="O481" s="1314"/>
      <c r="P481" s="95"/>
      <c r="Q481" s="95"/>
      <c r="AE481" s="95"/>
      <c r="AF481" s="95"/>
      <c r="AG481" s="95"/>
      <c r="AH481" s="2"/>
      <c r="AI481" s="2"/>
      <c r="AJ481" s="2"/>
      <c r="AK481" s="2"/>
    </row>
    <row r="482" spans="1:37" ht="31" customHeight="1" x14ac:dyDescent="0.2">
      <c r="A482" s="1"/>
      <c r="B482" s="2666"/>
      <c r="C482" s="2807"/>
      <c r="D482" s="1272" t="s">
        <v>22</v>
      </c>
      <c r="E482" s="1273"/>
      <c r="F482" s="1273">
        <v>94</v>
      </c>
      <c r="G482" s="1273">
        <v>3</v>
      </c>
      <c r="H482" s="1273">
        <v>3</v>
      </c>
      <c r="I482" s="1273">
        <f>SUM(F482:H482)</f>
        <v>100</v>
      </c>
      <c r="J482" s="1273"/>
      <c r="K482" s="1274"/>
      <c r="L482" s="1276">
        <v>98.2</v>
      </c>
      <c r="M482" s="2809">
        <f>100-L482</f>
        <v>1.7999999999999972</v>
      </c>
      <c r="N482" s="2809"/>
      <c r="O482" s="1315">
        <v>80</v>
      </c>
      <c r="P482" s="95"/>
      <c r="Q482" s="95"/>
      <c r="AE482" s="95"/>
      <c r="AF482" s="95"/>
      <c r="AG482" s="95"/>
      <c r="AH482" s="2"/>
      <c r="AI482" s="2"/>
      <c r="AJ482" s="2"/>
      <c r="AK482" s="2"/>
    </row>
    <row r="483" spans="1:37" ht="28" hidden="1" customHeight="1" x14ac:dyDescent="0.2">
      <c r="A483" s="1"/>
      <c r="B483" s="2789" t="s">
        <v>875</v>
      </c>
      <c r="C483" s="2792" t="s">
        <v>724</v>
      </c>
      <c r="D483" s="606" t="s">
        <v>21</v>
      </c>
      <c r="E483" s="841">
        <f>J483*K483*100/L484</f>
        <v>122857.14285714286</v>
      </c>
      <c r="F483" s="838">
        <f>F484*I483/100</f>
        <v>107156</v>
      </c>
      <c r="G483" s="838">
        <f>G484*I483/100</f>
        <v>6020</v>
      </c>
      <c r="H483" s="838">
        <f>H484*I483/100</f>
        <v>7224</v>
      </c>
      <c r="I483" s="838">
        <f>K483*J483</f>
        <v>120400</v>
      </c>
      <c r="J483" s="838">
        <v>10</v>
      </c>
      <c r="K483" s="838">
        <v>12040</v>
      </c>
      <c r="L483" s="1228"/>
      <c r="M483" s="2793"/>
      <c r="N483" s="2794"/>
      <c r="O483" s="1295"/>
      <c r="P483" s="95"/>
      <c r="Q483" s="95"/>
      <c r="AE483" s="95"/>
      <c r="AF483" s="95"/>
      <c r="AG483" s="95"/>
      <c r="AH483" s="2"/>
      <c r="AI483" s="2"/>
      <c r="AJ483" s="2"/>
      <c r="AK483" s="2"/>
    </row>
    <row r="484" spans="1:37" ht="28" hidden="1" customHeight="1" x14ac:dyDescent="0.2">
      <c r="A484" s="1"/>
      <c r="B484" s="2790"/>
      <c r="C484" s="2792"/>
      <c r="D484" s="606" t="s">
        <v>22</v>
      </c>
      <c r="E484" s="838"/>
      <c r="F484" s="622">
        <v>89</v>
      </c>
      <c r="G484" s="622">
        <v>5</v>
      </c>
      <c r="H484" s="622">
        <v>6</v>
      </c>
      <c r="I484" s="622">
        <v>100</v>
      </c>
      <c r="J484" s="838"/>
      <c r="K484" s="838"/>
      <c r="L484" s="1229">
        <v>98</v>
      </c>
      <c r="M484" s="2795">
        <v>2.5</v>
      </c>
      <c r="N484" s="2795"/>
      <c r="O484" s="1298">
        <v>100</v>
      </c>
      <c r="P484" s="95"/>
      <c r="Q484" s="95"/>
      <c r="AE484" s="95"/>
      <c r="AF484" s="95"/>
      <c r="AG484" s="95"/>
      <c r="AH484" s="2"/>
      <c r="AI484" s="2"/>
      <c r="AJ484" s="2"/>
      <c r="AK484" s="2"/>
    </row>
    <row r="485" spans="1:37" ht="28" hidden="1" customHeight="1" x14ac:dyDescent="0.2">
      <c r="A485" s="1"/>
      <c r="B485" s="2790"/>
      <c r="C485" s="2551" t="s">
        <v>885</v>
      </c>
      <c r="D485" s="12" t="s">
        <v>21</v>
      </c>
      <c r="E485" s="846">
        <f>J485*K485*100/L486</f>
        <v>124460.28513238289</v>
      </c>
      <c r="F485" s="850">
        <f>F486*I485/100</f>
        <v>111220.2</v>
      </c>
      <c r="G485" s="850">
        <f>G486*I485/100</f>
        <v>4888.8</v>
      </c>
      <c r="H485" s="850">
        <f>H486*I485/100</f>
        <v>6111</v>
      </c>
      <c r="I485" s="848">
        <f>J485*K485</f>
        <v>122220</v>
      </c>
      <c r="J485" s="848">
        <v>10</v>
      </c>
      <c r="K485" s="848">
        <v>12222</v>
      </c>
      <c r="L485" s="1231"/>
      <c r="M485" s="2796"/>
      <c r="N485" s="2797"/>
      <c r="O485" s="1296"/>
      <c r="P485" s="95"/>
      <c r="Q485" s="95"/>
      <c r="AE485" s="95"/>
      <c r="AF485" s="95"/>
      <c r="AG485" s="95"/>
      <c r="AH485" s="2"/>
      <c r="AI485" s="2"/>
      <c r="AJ485" s="2"/>
      <c r="AK485" s="2"/>
    </row>
    <row r="486" spans="1:37" ht="28" hidden="1" customHeight="1" x14ac:dyDescent="0.2">
      <c r="A486" s="1"/>
      <c r="B486" s="2791"/>
      <c r="C486" s="2551"/>
      <c r="D486" s="12" t="s">
        <v>22</v>
      </c>
      <c r="E486" s="848"/>
      <c r="F486" s="572">
        <v>91</v>
      </c>
      <c r="G486" s="572">
        <v>4</v>
      </c>
      <c r="H486" s="572">
        <v>5</v>
      </c>
      <c r="I486" s="572">
        <f>SUM(F486:H486)</f>
        <v>100</v>
      </c>
      <c r="J486" s="848"/>
      <c r="K486" s="848"/>
      <c r="L486" s="1231">
        <v>98.2</v>
      </c>
      <c r="M486" s="2798">
        <f>100-L486</f>
        <v>1.7999999999999972</v>
      </c>
      <c r="N486" s="2798"/>
      <c r="O486" s="1297">
        <v>80</v>
      </c>
      <c r="P486" s="95"/>
      <c r="Q486" s="95"/>
      <c r="AE486" s="95"/>
      <c r="AF486" s="95"/>
      <c r="AG486" s="95"/>
      <c r="AH486" s="2"/>
      <c r="AI486" s="2"/>
      <c r="AJ486" s="2"/>
      <c r="AK486" s="2"/>
    </row>
    <row r="487" spans="1:37" ht="28" hidden="1" customHeight="1" x14ac:dyDescent="0.2">
      <c r="A487" s="1"/>
      <c r="B487" s="2789" t="s">
        <v>876</v>
      </c>
      <c r="C487" s="2792" t="s">
        <v>724</v>
      </c>
      <c r="D487" s="606" t="s">
        <v>21</v>
      </c>
      <c r="E487" s="841">
        <f>J487*K487*100/L488</f>
        <v>135142.85714285713</v>
      </c>
      <c r="F487" s="838">
        <f>F488*I487/100</f>
        <v>117871.6</v>
      </c>
      <c r="G487" s="838">
        <f>G488*I487/100</f>
        <v>6622</v>
      </c>
      <c r="H487" s="838">
        <f>H488*I487/100</f>
        <v>7946.4</v>
      </c>
      <c r="I487" s="838">
        <f>K487*J487</f>
        <v>132440</v>
      </c>
      <c r="J487" s="838">
        <v>11</v>
      </c>
      <c r="K487" s="838">
        <v>12040</v>
      </c>
      <c r="L487" s="1228"/>
      <c r="M487" s="2793"/>
      <c r="N487" s="2794"/>
      <c r="O487" s="1295"/>
      <c r="P487" s="95"/>
      <c r="Q487" s="95"/>
      <c r="AE487" s="95"/>
      <c r="AF487" s="95"/>
      <c r="AG487" s="95"/>
      <c r="AH487" s="2"/>
      <c r="AI487" s="2"/>
      <c r="AJ487" s="2"/>
      <c r="AK487" s="2"/>
    </row>
    <row r="488" spans="1:37" ht="28" hidden="1" customHeight="1" x14ac:dyDescent="0.2">
      <c r="A488" s="1"/>
      <c r="B488" s="2790"/>
      <c r="C488" s="2792"/>
      <c r="D488" s="606" t="s">
        <v>22</v>
      </c>
      <c r="E488" s="838"/>
      <c r="F488" s="622">
        <v>89</v>
      </c>
      <c r="G488" s="622">
        <v>5</v>
      </c>
      <c r="H488" s="622">
        <v>6</v>
      </c>
      <c r="I488" s="622">
        <v>100</v>
      </c>
      <c r="J488" s="838"/>
      <c r="K488" s="838"/>
      <c r="L488" s="1229">
        <v>98</v>
      </c>
      <c r="M488" s="2795">
        <v>2</v>
      </c>
      <c r="N488" s="2795"/>
      <c r="O488" s="1298">
        <v>100</v>
      </c>
      <c r="P488" s="95"/>
      <c r="Q488" s="95"/>
      <c r="AE488" s="95"/>
      <c r="AF488" s="95"/>
      <c r="AG488" s="95"/>
      <c r="AH488" s="2"/>
      <c r="AI488" s="2"/>
      <c r="AJ488" s="2"/>
      <c r="AK488" s="2"/>
    </row>
    <row r="489" spans="1:37" ht="28" hidden="1" customHeight="1" x14ac:dyDescent="0.2">
      <c r="A489" s="1"/>
      <c r="B489" s="2790"/>
      <c r="C489" s="2551" t="s">
        <v>885</v>
      </c>
      <c r="D489" s="12" t="s">
        <v>21</v>
      </c>
      <c r="E489" s="846">
        <f>J489*K489*100/L490</f>
        <v>136906.31364562118</v>
      </c>
      <c r="F489" s="850">
        <f>F490*I489/100</f>
        <v>122342.22</v>
      </c>
      <c r="G489" s="850">
        <f>G490*I489/100</f>
        <v>5377.68</v>
      </c>
      <c r="H489" s="850">
        <f>H490*I489/100</f>
        <v>6722.1</v>
      </c>
      <c r="I489" s="848">
        <f>J489*K489</f>
        <v>134442</v>
      </c>
      <c r="J489" s="848">
        <v>11</v>
      </c>
      <c r="K489" s="848">
        <v>12222</v>
      </c>
      <c r="L489" s="1231"/>
      <c r="M489" s="2796"/>
      <c r="N489" s="2797"/>
      <c r="O489" s="1296"/>
      <c r="P489" s="95"/>
      <c r="Q489" s="95"/>
      <c r="AE489" s="95"/>
      <c r="AF489" s="95"/>
      <c r="AG489" s="95"/>
      <c r="AH489" s="2"/>
      <c r="AI489" s="2"/>
      <c r="AJ489" s="2"/>
      <c r="AK489" s="2"/>
    </row>
    <row r="490" spans="1:37" ht="28" hidden="1" customHeight="1" x14ac:dyDescent="0.2">
      <c r="A490" s="1"/>
      <c r="B490" s="2791"/>
      <c r="C490" s="2551"/>
      <c r="D490" s="12" t="s">
        <v>22</v>
      </c>
      <c r="E490" s="848"/>
      <c r="F490" s="572">
        <v>91</v>
      </c>
      <c r="G490" s="572">
        <v>4</v>
      </c>
      <c r="H490" s="572">
        <v>5</v>
      </c>
      <c r="I490" s="572">
        <f>SUM(F490:H490)</f>
        <v>100</v>
      </c>
      <c r="J490" s="848"/>
      <c r="K490" s="848"/>
      <c r="L490" s="1231">
        <v>98.2</v>
      </c>
      <c r="M490" s="2798">
        <f>100-L490</f>
        <v>1.7999999999999972</v>
      </c>
      <c r="N490" s="2798"/>
      <c r="O490" s="1297">
        <v>80</v>
      </c>
      <c r="P490" s="95"/>
      <c r="Q490" s="95"/>
      <c r="AE490" s="95"/>
      <c r="AF490" s="95"/>
      <c r="AG490" s="95"/>
      <c r="AH490" s="2"/>
      <c r="AI490" s="2"/>
      <c r="AJ490" s="2"/>
      <c r="AK490" s="2"/>
    </row>
    <row r="491" spans="1:37" ht="28" hidden="1" customHeight="1" x14ac:dyDescent="0.2">
      <c r="A491" s="1"/>
      <c r="B491" s="2789" t="s">
        <v>878</v>
      </c>
      <c r="C491" s="2792" t="s">
        <v>724</v>
      </c>
      <c r="D491" s="606" t="s">
        <v>21</v>
      </c>
      <c r="E491" s="841">
        <f>J491*K491*100/L492</f>
        <v>86000</v>
      </c>
      <c r="F491" s="838">
        <f>F492*I491/100</f>
        <v>75009.2</v>
      </c>
      <c r="G491" s="838">
        <f>G492*I491/100</f>
        <v>4214</v>
      </c>
      <c r="H491" s="838">
        <f>H492*I491/100</f>
        <v>5056.8</v>
      </c>
      <c r="I491" s="838">
        <f>K491*J491</f>
        <v>84280</v>
      </c>
      <c r="J491" s="838">
        <v>7</v>
      </c>
      <c r="K491" s="838">
        <v>12040</v>
      </c>
      <c r="L491" s="1228"/>
      <c r="M491" s="2793"/>
      <c r="N491" s="2794"/>
      <c r="O491" s="1295"/>
      <c r="P491" s="95"/>
      <c r="Q491" s="95"/>
      <c r="AE491" s="95"/>
      <c r="AF491" s="95"/>
      <c r="AG491" s="95"/>
      <c r="AH491" s="2"/>
      <c r="AI491" s="2"/>
      <c r="AJ491" s="2"/>
      <c r="AK491" s="2"/>
    </row>
    <row r="492" spans="1:37" ht="28" hidden="1" customHeight="1" x14ac:dyDescent="0.2">
      <c r="A492" s="1"/>
      <c r="B492" s="2790"/>
      <c r="C492" s="2792"/>
      <c r="D492" s="606" t="s">
        <v>22</v>
      </c>
      <c r="E492" s="838"/>
      <c r="F492" s="622">
        <v>89</v>
      </c>
      <c r="G492" s="622">
        <v>5</v>
      </c>
      <c r="H492" s="622">
        <v>6</v>
      </c>
      <c r="I492" s="622">
        <v>100</v>
      </c>
      <c r="J492" s="838"/>
      <c r="K492" s="838"/>
      <c r="L492" s="1229">
        <v>98</v>
      </c>
      <c r="M492" s="2795">
        <v>2</v>
      </c>
      <c r="N492" s="2795"/>
      <c r="O492" s="1298">
        <v>100</v>
      </c>
      <c r="P492" s="95"/>
      <c r="Q492" s="95"/>
      <c r="AE492" s="95"/>
      <c r="AF492" s="95"/>
      <c r="AG492" s="95"/>
      <c r="AH492" s="2"/>
      <c r="AI492" s="2"/>
      <c r="AJ492" s="2"/>
      <c r="AK492" s="2"/>
    </row>
    <row r="493" spans="1:37" ht="28" hidden="1" customHeight="1" x14ac:dyDescent="0.2">
      <c r="A493" s="1"/>
      <c r="B493" s="2790"/>
      <c r="C493" s="2551" t="s">
        <v>885</v>
      </c>
      <c r="D493" s="12" t="s">
        <v>21</v>
      </c>
      <c r="E493" s="846">
        <f>J493*K493*100/L494</f>
        <v>87122.199592668025</v>
      </c>
      <c r="F493" s="850">
        <f>F494*I493/100</f>
        <v>77854.14</v>
      </c>
      <c r="G493" s="850">
        <f>G494*I493/100</f>
        <v>3422.16</v>
      </c>
      <c r="H493" s="850">
        <f>H494*I493/100</f>
        <v>4277.7</v>
      </c>
      <c r="I493" s="848">
        <f>J493*K493</f>
        <v>85554</v>
      </c>
      <c r="J493" s="848">
        <v>7</v>
      </c>
      <c r="K493" s="848">
        <v>12222</v>
      </c>
      <c r="L493" s="1231"/>
      <c r="M493" s="2796"/>
      <c r="N493" s="2797"/>
      <c r="O493" s="1296"/>
      <c r="P493" s="95"/>
      <c r="Q493" s="95"/>
      <c r="AE493" s="95"/>
      <c r="AF493" s="95"/>
      <c r="AG493" s="95"/>
      <c r="AH493" s="2"/>
      <c r="AI493" s="2"/>
      <c r="AJ493" s="2"/>
      <c r="AK493" s="2"/>
    </row>
    <row r="494" spans="1:37" ht="28" hidden="1" customHeight="1" x14ac:dyDescent="0.2">
      <c r="A494" s="1"/>
      <c r="B494" s="2791"/>
      <c r="C494" s="2551"/>
      <c r="D494" s="12" t="s">
        <v>22</v>
      </c>
      <c r="E494" s="848"/>
      <c r="F494" s="572">
        <v>91</v>
      </c>
      <c r="G494" s="572">
        <v>4</v>
      </c>
      <c r="H494" s="572">
        <v>5</v>
      </c>
      <c r="I494" s="572">
        <f>SUM(F494:H494)</f>
        <v>100</v>
      </c>
      <c r="J494" s="848"/>
      <c r="K494" s="848"/>
      <c r="L494" s="1231">
        <v>98.2</v>
      </c>
      <c r="M494" s="2798">
        <f>100-L494</f>
        <v>1.7999999999999972</v>
      </c>
      <c r="N494" s="2798"/>
      <c r="O494" s="1297">
        <v>80</v>
      </c>
      <c r="P494" s="95"/>
      <c r="Q494" s="95"/>
      <c r="AE494" s="95"/>
      <c r="AF494" s="95"/>
      <c r="AG494" s="95"/>
      <c r="AH494" s="2"/>
      <c r="AI494" s="2"/>
      <c r="AJ494" s="2"/>
      <c r="AK494" s="2"/>
    </row>
    <row r="495" spans="1:37" ht="28" hidden="1" customHeight="1" x14ac:dyDescent="0.2">
      <c r="A495" s="1"/>
      <c r="B495" s="2789" t="s">
        <v>879</v>
      </c>
      <c r="C495" s="2792" t="s">
        <v>724</v>
      </c>
      <c r="D495" s="606" t="s">
        <v>21</v>
      </c>
      <c r="E495" s="841">
        <f>J495*K495*100/L496</f>
        <v>159714.28571428571</v>
      </c>
      <c r="F495" s="838">
        <f>F496*I495/100</f>
        <v>139302.79999999999</v>
      </c>
      <c r="G495" s="838">
        <f>G496*I495/100</f>
        <v>7826</v>
      </c>
      <c r="H495" s="838">
        <f>H496*I495/100</f>
        <v>9391.2000000000007</v>
      </c>
      <c r="I495" s="838">
        <f>K495*J495</f>
        <v>156520</v>
      </c>
      <c r="J495" s="838">
        <v>13</v>
      </c>
      <c r="K495" s="838">
        <v>12040</v>
      </c>
      <c r="L495" s="1228"/>
      <c r="M495" s="2793"/>
      <c r="N495" s="2794"/>
      <c r="O495" s="1295"/>
      <c r="P495" s="95"/>
      <c r="Q495" s="95"/>
      <c r="AE495" s="95"/>
      <c r="AF495" s="95"/>
      <c r="AG495" s="95"/>
      <c r="AH495" s="2"/>
      <c r="AI495" s="2"/>
      <c r="AJ495" s="2"/>
      <c r="AK495" s="2"/>
    </row>
    <row r="496" spans="1:37" ht="28" hidden="1" customHeight="1" x14ac:dyDescent="0.2">
      <c r="A496" s="1"/>
      <c r="B496" s="2790"/>
      <c r="C496" s="2792"/>
      <c r="D496" s="606" t="s">
        <v>22</v>
      </c>
      <c r="E496" s="838"/>
      <c r="F496" s="622">
        <v>89</v>
      </c>
      <c r="G496" s="622">
        <v>5</v>
      </c>
      <c r="H496" s="622">
        <v>6</v>
      </c>
      <c r="I496" s="622">
        <v>100</v>
      </c>
      <c r="J496" s="838"/>
      <c r="K496" s="838"/>
      <c r="L496" s="1229">
        <v>98</v>
      </c>
      <c r="M496" s="2795">
        <v>2</v>
      </c>
      <c r="N496" s="2795"/>
      <c r="O496" s="1298">
        <v>100</v>
      </c>
      <c r="P496" s="95"/>
      <c r="Q496" s="95"/>
      <c r="AE496" s="95"/>
      <c r="AF496" s="95"/>
      <c r="AG496" s="95"/>
      <c r="AH496" s="2"/>
      <c r="AI496" s="2"/>
      <c r="AJ496" s="2"/>
      <c r="AK496" s="2"/>
    </row>
    <row r="497" spans="1:37" ht="28" hidden="1" customHeight="1" x14ac:dyDescent="0.2">
      <c r="A497" s="1"/>
      <c r="B497" s="2790"/>
      <c r="C497" s="2551" t="s">
        <v>885</v>
      </c>
      <c r="D497" s="12" t="s">
        <v>21</v>
      </c>
      <c r="E497" s="846">
        <f>J497*K497*100/L498</f>
        <v>161798.37067209775</v>
      </c>
      <c r="F497" s="850">
        <f>F498*I497/100</f>
        <v>144586.26</v>
      </c>
      <c r="G497" s="850">
        <f>G498*I497/100</f>
        <v>6355.44</v>
      </c>
      <c r="H497" s="850">
        <f>H498*I497/100</f>
        <v>7944.3</v>
      </c>
      <c r="I497" s="848">
        <f>J497*K497</f>
        <v>158886</v>
      </c>
      <c r="J497" s="848">
        <v>13</v>
      </c>
      <c r="K497" s="848">
        <v>12222</v>
      </c>
      <c r="L497" s="1231"/>
      <c r="M497" s="2796"/>
      <c r="N497" s="2797"/>
      <c r="O497" s="1296"/>
      <c r="P497" s="95"/>
      <c r="Q497" s="95"/>
      <c r="AE497" s="95"/>
      <c r="AF497" s="95"/>
      <c r="AG497" s="95"/>
      <c r="AH497" s="2"/>
      <c r="AI497" s="2"/>
      <c r="AJ497" s="2"/>
      <c r="AK497" s="2"/>
    </row>
    <row r="498" spans="1:37" ht="28" hidden="1" customHeight="1" x14ac:dyDescent="0.2">
      <c r="A498" s="1"/>
      <c r="B498" s="2791"/>
      <c r="C498" s="2551"/>
      <c r="D498" s="12" t="s">
        <v>22</v>
      </c>
      <c r="E498" s="572"/>
      <c r="F498" s="572">
        <v>91</v>
      </c>
      <c r="G498" s="572">
        <v>4</v>
      </c>
      <c r="H498" s="572">
        <v>5</v>
      </c>
      <c r="I498" s="572">
        <f>SUM(F498:H498)</f>
        <v>100</v>
      </c>
      <c r="J498" s="572"/>
      <c r="K498" s="848"/>
      <c r="L498" s="1231">
        <v>98.2</v>
      </c>
      <c r="M498" s="2798">
        <f>100-L498</f>
        <v>1.7999999999999972</v>
      </c>
      <c r="N498" s="2798"/>
      <c r="O498" s="1297">
        <v>80</v>
      </c>
      <c r="P498" s="95"/>
      <c r="Q498" s="95"/>
      <c r="AE498" s="95"/>
      <c r="AF498" s="95"/>
      <c r="AG498" s="95"/>
      <c r="AH498" s="2"/>
      <c r="AI498" s="2"/>
      <c r="AJ498" s="2"/>
      <c r="AK498" s="2"/>
    </row>
    <row r="499" spans="1:37" ht="33" customHeight="1" x14ac:dyDescent="0.2">
      <c r="A499" s="1"/>
      <c r="B499" s="2666" t="s">
        <v>100</v>
      </c>
      <c r="C499" s="2807" t="s">
        <v>883</v>
      </c>
      <c r="D499" s="1271" t="s">
        <v>21</v>
      </c>
      <c r="E499" s="1257">
        <f>J499*K499*100/L500</f>
        <v>503714.28571428574</v>
      </c>
      <c r="F499" s="1257">
        <f>F483+F487+F491+F495</f>
        <v>439339.6</v>
      </c>
      <c r="G499" s="1257">
        <f>G483+G487+G491+G495</f>
        <v>24682</v>
      </c>
      <c r="H499" s="1257">
        <f>H483+H487+H491+H495</f>
        <v>29618.400000000001</v>
      </c>
      <c r="I499" s="1257">
        <f>I483+I487+I491+I495</f>
        <v>493640</v>
      </c>
      <c r="J499" s="1258">
        <f>J483+J487+J491+J495</f>
        <v>41</v>
      </c>
      <c r="K499" s="1257">
        <v>12040</v>
      </c>
      <c r="L499" s="1275"/>
      <c r="M499" s="2808"/>
      <c r="N499" s="2808"/>
      <c r="O499" s="1314"/>
      <c r="P499" s="95"/>
      <c r="Q499" s="95"/>
      <c r="AE499" s="95"/>
      <c r="AF499" s="95"/>
      <c r="AG499" s="95"/>
      <c r="AH499" s="2"/>
      <c r="AI499" s="2"/>
      <c r="AJ499" s="2"/>
      <c r="AK499" s="2"/>
    </row>
    <row r="500" spans="1:37" ht="33" customHeight="1" x14ac:dyDescent="0.2">
      <c r="A500" s="1"/>
      <c r="B500" s="2666"/>
      <c r="C500" s="2807"/>
      <c r="D500" s="1272" t="s">
        <v>22</v>
      </c>
      <c r="E500" s="1274"/>
      <c r="F500" s="1273">
        <v>89</v>
      </c>
      <c r="G500" s="1273">
        <v>5</v>
      </c>
      <c r="H500" s="1273">
        <v>6</v>
      </c>
      <c r="I500" s="1273">
        <f>SUM(F500:H500)</f>
        <v>100</v>
      </c>
      <c r="J500" s="1258"/>
      <c r="K500" s="1257"/>
      <c r="L500" s="1273">
        <v>98</v>
      </c>
      <c r="M500" s="2809">
        <v>2</v>
      </c>
      <c r="N500" s="2809"/>
      <c r="O500" s="1314">
        <v>100</v>
      </c>
      <c r="P500" s="95"/>
      <c r="Q500" s="95"/>
      <c r="AE500" s="95"/>
      <c r="AF500" s="95"/>
      <c r="AG500" s="95"/>
      <c r="AH500" s="2"/>
      <c r="AI500" s="2"/>
      <c r="AJ500" s="2"/>
      <c r="AK500" s="2"/>
    </row>
    <row r="501" spans="1:37" ht="33" customHeight="1" x14ac:dyDescent="0.2">
      <c r="A501" s="1"/>
      <c r="B501" s="2666"/>
      <c r="C501" s="2807" t="s">
        <v>884</v>
      </c>
      <c r="D501" s="1271" t="s">
        <v>21</v>
      </c>
      <c r="E501" s="1257">
        <f>J501*K501*100/L502</f>
        <v>510287.16904276982</v>
      </c>
      <c r="F501" s="1257">
        <f>F485+F489+F493+F497</f>
        <v>456002.82</v>
      </c>
      <c r="G501" s="1257">
        <f>G485+G489+G493+G497</f>
        <v>20044.079999999998</v>
      </c>
      <c r="H501" s="1257">
        <f>H485+H489+H493+H497</f>
        <v>25055.1</v>
      </c>
      <c r="I501" s="1257">
        <f>I485+I489+I493+I497</f>
        <v>501102</v>
      </c>
      <c r="J501" s="1258">
        <f>J485+J489+J493+J497</f>
        <v>41</v>
      </c>
      <c r="K501" s="1257">
        <v>12222</v>
      </c>
      <c r="L501" s="1275"/>
      <c r="M501" s="2808"/>
      <c r="N501" s="2808"/>
      <c r="O501" s="1428"/>
      <c r="P501" s="95"/>
      <c r="Q501" s="95"/>
      <c r="AE501" s="95"/>
      <c r="AF501" s="95"/>
      <c r="AG501" s="95"/>
      <c r="AH501" s="2"/>
      <c r="AI501" s="2"/>
      <c r="AJ501" s="2"/>
      <c r="AK501" s="2"/>
    </row>
    <row r="502" spans="1:37" ht="33" customHeight="1" x14ac:dyDescent="0.2">
      <c r="A502" s="1"/>
      <c r="B502" s="2666"/>
      <c r="C502" s="2807"/>
      <c r="D502" s="1272" t="s">
        <v>22</v>
      </c>
      <c r="E502" s="1273"/>
      <c r="F502" s="1273">
        <v>91</v>
      </c>
      <c r="G502" s="1273">
        <v>4</v>
      </c>
      <c r="H502" s="1273">
        <v>5</v>
      </c>
      <c r="I502" s="1273">
        <f>SUM(F502:H502)</f>
        <v>100</v>
      </c>
      <c r="J502" s="1273"/>
      <c r="K502" s="1274"/>
      <c r="L502" s="1276">
        <v>98.2</v>
      </c>
      <c r="M502" s="2809">
        <f>100-L502</f>
        <v>1.7999999999999972</v>
      </c>
      <c r="N502" s="2809"/>
      <c r="O502" s="1314">
        <v>80</v>
      </c>
      <c r="P502" s="95"/>
      <c r="Q502" s="95"/>
      <c r="AE502" s="95"/>
      <c r="AF502" s="95"/>
      <c r="AG502" s="95"/>
      <c r="AH502" s="2"/>
      <c r="AI502" s="2"/>
      <c r="AJ502" s="2"/>
      <c r="AK502" s="2"/>
    </row>
    <row r="503" spans="1:37" ht="28" hidden="1" customHeight="1" x14ac:dyDescent="0.2">
      <c r="A503" s="1"/>
      <c r="B503" s="2810" t="s">
        <v>874</v>
      </c>
      <c r="C503" s="2792" t="s">
        <v>26</v>
      </c>
      <c r="D503" s="606" t="s">
        <v>21</v>
      </c>
      <c r="E503" s="841">
        <f>J503*K503*100/L504</f>
        <v>327632.6530612245</v>
      </c>
      <c r="F503" s="622">
        <f>F504*I503/100</f>
        <v>285761.2</v>
      </c>
      <c r="G503" s="622">
        <f>G504*I503/100</f>
        <v>16054</v>
      </c>
      <c r="H503" s="622">
        <f>H504*I503/100</f>
        <v>19264.8</v>
      </c>
      <c r="I503" s="838">
        <f>K503*J503</f>
        <v>321080</v>
      </c>
      <c r="J503" s="622">
        <v>23</v>
      </c>
      <c r="K503" s="838">
        <v>13960</v>
      </c>
      <c r="L503" s="1228"/>
      <c r="M503" s="2793"/>
      <c r="N503" s="2794"/>
      <c r="O503" s="1295"/>
      <c r="P503" s="95"/>
      <c r="Q503" s="95"/>
      <c r="AE503" s="95"/>
      <c r="AF503" s="95"/>
      <c r="AG503" s="95"/>
      <c r="AH503" s="2"/>
      <c r="AI503" s="2"/>
      <c r="AJ503" s="2"/>
      <c r="AK503" s="2"/>
    </row>
    <row r="504" spans="1:37" ht="28" hidden="1" customHeight="1" x14ac:dyDescent="0.2">
      <c r="A504" s="1"/>
      <c r="B504" s="2810"/>
      <c r="C504" s="2792"/>
      <c r="D504" s="606" t="s">
        <v>22</v>
      </c>
      <c r="E504" s="622"/>
      <c r="F504" s="622">
        <v>89</v>
      </c>
      <c r="G504" s="622">
        <v>5</v>
      </c>
      <c r="H504" s="622">
        <v>6</v>
      </c>
      <c r="I504" s="622">
        <v>100</v>
      </c>
      <c r="J504" s="622"/>
      <c r="K504" s="838"/>
      <c r="L504" s="1229">
        <v>98</v>
      </c>
      <c r="M504" s="2795">
        <v>2</v>
      </c>
      <c r="N504" s="2795"/>
      <c r="O504" s="1298">
        <v>40</v>
      </c>
      <c r="P504" s="95"/>
      <c r="Q504" s="95"/>
      <c r="AE504" s="95"/>
      <c r="AF504" s="95"/>
      <c r="AG504" s="95"/>
      <c r="AH504" s="2"/>
      <c r="AI504" s="2"/>
      <c r="AJ504" s="2"/>
      <c r="AK504" s="2"/>
    </row>
    <row r="505" spans="1:37" ht="28" hidden="1" customHeight="1" x14ac:dyDescent="0.2">
      <c r="A505" s="1"/>
      <c r="B505" s="2810"/>
      <c r="C505" s="2551" t="s">
        <v>886</v>
      </c>
      <c r="D505" s="12" t="s">
        <v>21</v>
      </c>
      <c r="E505" s="846">
        <f>J505*K505*100/L506</f>
        <v>334296.33401221997</v>
      </c>
      <c r="F505" s="583">
        <f>F506*I505/100</f>
        <v>298733.89</v>
      </c>
      <c r="G505" s="583">
        <f>G506*I505/100</f>
        <v>13131.16</v>
      </c>
      <c r="H505" s="583">
        <f>H506*I505/100</f>
        <v>16413.95</v>
      </c>
      <c r="I505" s="848">
        <f>J505*K505</f>
        <v>328279</v>
      </c>
      <c r="J505" s="572">
        <v>23</v>
      </c>
      <c r="K505" s="848">
        <v>14273</v>
      </c>
      <c r="L505" s="1231"/>
      <c r="M505" s="2796"/>
      <c r="N505" s="2797"/>
      <c r="O505" s="1296"/>
      <c r="P505" s="95"/>
      <c r="Q505" s="95"/>
      <c r="AE505" s="95"/>
      <c r="AF505" s="95"/>
      <c r="AG505" s="95"/>
      <c r="AH505" s="2"/>
      <c r="AI505" s="2"/>
      <c r="AJ505" s="2"/>
      <c r="AK505" s="2"/>
    </row>
    <row r="506" spans="1:37" ht="28" hidden="1" customHeight="1" x14ac:dyDescent="0.2">
      <c r="A506" s="1"/>
      <c r="B506" s="2810"/>
      <c r="C506" s="2551"/>
      <c r="D506" s="12" t="s">
        <v>22</v>
      </c>
      <c r="E506" s="572"/>
      <c r="F506" s="572">
        <v>91</v>
      </c>
      <c r="G506" s="572">
        <v>4</v>
      </c>
      <c r="H506" s="572">
        <v>5</v>
      </c>
      <c r="I506" s="572">
        <f>SUM(F506:H506)</f>
        <v>100</v>
      </c>
      <c r="J506" s="572"/>
      <c r="K506" s="848"/>
      <c r="L506" s="1231">
        <v>98.2</v>
      </c>
      <c r="M506" s="2798">
        <f>100-L506</f>
        <v>1.7999999999999972</v>
      </c>
      <c r="N506" s="2798"/>
      <c r="O506" s="1297">
        <v>25</v>
      </c>
      <c r="P506" s="95"/>
      <c r="Q506" s="95"/>
      <c r="AE506" s="95"/>
      <c r="AF506" s="95"/>
      <c r="AG506" s="95"/>
      <c r="AH506" s="2"/>
      <c r="AI506" s="2"/>
      <c r="AJ506" s="2"/>
      <c r="AK506" s="2"/>
    </row>
    <row r="507" spans="1:37" ht="28" hidden="1" customHeight="1" x14ac:dyDescent="0.2">
      <c r="A507" s="1"/>
      <c r="B507" s="2810" t="s">
        <v>876</v>
      </c>
      <c r="C507" s="2792" t="s">
        <v>26</v>
      </c>
      <c r="D507" s="606" t="s">
        <v>21</v>
      </c>
      <c r="E507" s="841">
        <f>J507*K507*100/L508</f>
        <v>256408.16326530612</v>
      </c>
      <c r="F507" s="622">
        <f>F508*I507/100</f>
        <v>223639.2</v>
      </c>
      <c r="G507" s="622">
        <f>G508*I507/100</f>
        <v>12564</v>
      </c>
      <c r="H507" s="622">
        <f>H508*I507/100</f>
        <v>15076.8</v>
      </c>
      <c r="I507" s="838">
        <f>K507*J507</f>
        <v>251280</v>
      </c>
      <c r="J507" s="622">
        <v>18</v>
      </c>
      <c r="K507" s="838">
        <v>13960</v>
      </c>
      <c r="L507" s="1228"/>
      <c r="M507" s="2793"/>
      <c r="N507" s="2794"/>
      <c r="O507" s="1295"/>
      <c r="P507" s="95"/>
      <c r="Q507" s="95"/>
      <c r="AE507" s="95"/>
      <c r="AF507" s="95"/>
      <c r="AG507" s="95"/>
      <c r="AH507" s="2"/>
      <c r="AI507" s="2"/>
      <c r="AJ507" s="2"/>
      <c r="AK507" s="2"/>
    </row>
    <row r="508" spans="1:37" ht="28" hidden="1" customHeight="1" x14ac:dyDescent="0.2">
      <c r="A508" s="1"/>
      <c r="B508" s="2810"/>
      <c r="C508" s="2792"/>
      <c r="D508" s="606" t="s">
        <v>22</v>
      </c>
      <c r="E508" s="622"/>
      <c r="F508" s="622">
        <v>89</v>
      </c>
      <c r="G508" s="622">
        <v>5</v>
      </c>
      <c r="H508" s="622">
        <v>6</v>
      </c>
      <c r="I508" s="622">
        <v>100</v>
      </c>
      <c r="J508" s="622"/>
      <c r="K508" s="838"/>
      <c r="L508" s="1229">
        <v>98</v>
      </c>
      <c r="M508" s="2795">
        <v>2</v>
      </c>
      <c r="N508" s="2795"/>
      <c r="O508" s="1298">
        <v>40</v>
      </c>
      <c r="P508" s="95"/>
      <c r="Q508" s="95"/>
      <c r="AE508" s="95"/>
      <c r="AF508" s="95"/>
      <c r="AG508" s="95"/>
      <c r="AH508" s="2"/>
      <c r="AI508" s="2"/>
      <c r="AJ508" s="2"/>
      <c r="AK508" s="2"/>
    </row>
    <row r="509" spans="1:37" ht="25" hidden="1" customHeight="1" x14ac:dyDescent="0.2">
      <c r="A509" s="1"/>
      <c r="B509" s="2810"/>
      <c r="C509" s="2551" t="s">
        <v>886</v>
      </c>
      <c r="D509" s="12" t="s">
        <v>21</v>
      </c>
      <c r="E509" s="846">
        <f>J509*K509*100/L510</f>
        <v>261623.21792260691</v>
      </c>
      <c r="F509" s="583">
        <f>F510*I509/100</f>
        <v>233791.74</v>
      </c>
      <c r="G509" s="583">
        <f>G510*I509/100</f>
        <v>10276.56</v>
      </c>
      <c r="H509" s="583">
        <f>H510*I509/100</f>
        <v>12845.7</v>
      </c>
      <c r="I509" s="848">
        <f>J509*K509</f>
        <v>256914</v>
      </c>
      <c r="J509" s="572">
        <v>18</v>
      </c>
      <c r="K509" s="848">
        <v>14273</v>
      </c>
      <c r="L509" s="1231"/>
      <c r="M509" s="2796"/>
      <c r="N509" s="2797"/>
      <c r="O509" s="1296"/>
      <c r="P509" s="95"/>
      <c r="Q509" s="95"/>
      <c r="AE509" s="95"/>
      <c r="AF509" s="95"/>
      <c r="AG509" s="95"/>
      <c r="AH509" s="2"/>
      <c r="AI509" s="2"/>
      <c r="AJ509" s="2"/>
      <c r="AK509" s="2"/>
    </row>
    <row r="510" spans="1:37" ht="25" hidden="1" customHeight="1" x14ac:dyDescent="0.2">
      <c r="A510" s="1"/>
      <c r="B510" s="2810"/>
      <c r="C510" s="2551"/>
      <c r="D510" s="12" t="s">
        <v>22</v>
      </c>
      <c r="E510" s="572"/>
      <c r="F510" s="572">
        <v>91</v>
      </c>
      <c r="G510" s="572">
        <v>4</v>
      </c>
      <c r="H510" s="572">
        <v>5</v>
      </c>
      <c r="I510" s="572">
        <f>SUM(F510:H510)</f>
        <v>100</v>
      </c>
      <c r="J510" s="572"/>
      <c r="K510" s="848"/>
      <c r="L510" s="1231">
        <v>98.2</v>
      </c>
      <c r="M510" s="2798">
        <f>100-L510</f>
        <v>1.7999999999999972</v>
      </c>
      <c r="N510" s="2798"/>
      <c r="O510" s="1297">
        <v>25</v>
      </c>
      <c r="P510" s="95"/>
      <c r="Q510" s="95"/>
      <c r="AE510" s="95"/>
      <c r="AF510" s="95"/>
      <c r="AG510" s="95"/>
      <c r="AH510" s="2"/>
      <c r="AI510" s="2"/>
      <c r="AJ510" s="2"/>
      <c r="AK510" s="2"/>
    </row>
    <row r="511" spans="1:37" ht="35" hidden="1" customHeight="1" x14ac:dyDescent="0.2">
      <c r="A511" s="1"/>
      <c r="B511" s="2810" t="s">
        <v>877</v>
      </c>
      <c r="C511" s="2792" t="s">
        <v>26</v>
      </c>
      <c r="D511" s="606" t="s">
        <v>21</v>
      </c>
      <c r="E511" s="841">
        <f>J511*K511*100/L512</f>
        <v>427346.93877551018</v>
      </c>
      <c r="F511" s="622">
        <f>F512*I511/100</f>
        <v>372732</v>
      </c>
      <c r="G511" s="622">
        <f>G512*I511/100</f>
        <v>20940</v>
      </c>
      <c r="H511" s="622">
        <f>H512*I511/100</f>
        <v>25128</v>
      </c>
      <c r="I511" s="838">
        <f>K511*J511</f>
        <v>418800</v>
      </c>
      <c r="J511" s="622">
        <v>30</v>
      </c>
      <c r="K511" s="838">
        <v>13960</v>
      </c>
      <c r="L511" s="1228"/>
      <c r="M511" s="2793"/>
      <c r="N511" s="2794"/>
      <c r="O511" s="1295"/>
      <c r="P511" s="95"/>
      <c r="Q511" s="95"/>
      <c r="AE511" s="95"/>
      <c r="AF511" s="95"/>
      <c r="AG511" s="95"/>
      <c r="AH511" s="2"/>
      <c r="AI511" s="2"/>
      <c r="AJ511" s="2"/>
      <c r="AK511" s="2"/>
    </row>
    <row r="512" spans="1:37" ht="35" hidden="1" customHeight="1" x14ac:dyDescent="0.2">
      <c r="A512" s="1"/>
      <c r="B512" s="2810"/>
      <c r="C512" s="2792"/>
      <c r="D512" s="606" t="s">
        <v>22</v>
      </c>
      <c r="E512" s="622"/>
      <c r="F512" s="622">
        <v>89</v>
      </c>
      <c r="G512" s="622">
        <v>5</v>
      </c>
      <c r="H512" s="622">
        <v>6</v>
      </c>
      <c r="I512" s="622">
        <v>100</v>
      </c>
      <c r="J512" s="622"/>
      <c r="K512" s="838"/>
      <c r="L512" s="1229">
        <v>98</v>
      </c>
      <c r="M512" s="2795">
        <v>2</v>
      </c>
      <c r="N512" s="2795"/>
      <c r="O512" s="1298">
        <v>40</v>
      </c>
      <c r="P512" s="95"/>
      <c r="Q512" s="95"/>
      <c r="AE512" s="95"/>
      <c r="AF512" s="95"/>
      <c r="AG512" s="95"/>
      <c r="AH512" s="2"/>
      <c r="AI512" s="2"/>
      <c r="AJ512" s="2"/>
      <c r="AK512" s="2"/>
    </row>
    <row r="513" spans="1:37" ht="35" hidden="1" customHeight="1" x14ac:dyDescent="0.2">
      <c r="A513" s="1"/>
      <c r="B513" s="2810"/>
      <c r="C513" s="2551" t="s">
        <v>886</v>
      </c>
      <c r="D513" s="12" t="s">
        <v>21</v>
      </c>
      <c r="E513" s="572">
        <f>I513+M513</f>
        <v>428190</v>
      </c>
      <c r="F513" s="583">
        <f>F514*I513/100</f>
        <v>389652.9</v>
      </c>
      <c r="G513" s="583">
        <f>G514*I513/100</f>
        <v>17127.599999999999</v>
      </c>
      <c r="H513" s="583">
        <f>H514*I513/100</f>
        <v>21409.5</v>
      </c>
      <c r="I513" s="848">
        <f>J513*K513</f>
        <v>428190</v>
      </c>
      <c r="J513" s="572">
        <v>30</v>
      </c>
      <c r="K513" s="848">
        <v>14273</v>
      </c>
      <c r="L513" s="1231"/>
      <c r="M513" s="2796"/>
      <c r="N513" s="2797"/>
      <c r="O513" s="1296"/>
      <c r="P513" s="95"/>
      <c r="Q513" s="95"/>
      <c r="AE513" s="95"/>
      <c r="AF513" s="95"/>
      <c r="AG513" s="95"/>
      <c r="AH513" s="2"/>
      <c r="AI513" s="2"/>
      <c r="AJ513" s="2"/>
      <c r="AK513" s="2"/>
    </row>
    <row r="514" spans="1:37" ht="35" hidden="1" customHeight="1" x14ac:dyDescent="0.2">
      <c r="A514" s="1"/>
      <c r="B514" s="2810"/>
      <c r="C514" s="2551"/>
      <c r="D514" s="12" t="s">
        <v>22</v>
      </c>
      <c r="E514" s="572"/>
      <c r="F514" s="572">
        <v>91</v>
      </c>
      <c r="G514" s="572">
        <v>4</v>
      </c>
      <c r="H514" s="572">
        <v>5</v>
      </c>
      <c r="I514" s="572">
        <f>SUM(F514:H514)</f>
        <v>100</v>
      </c>
      <c r="J514" s="572"/>
      <c r="K514" s="848"/>
      <c r="L514" s="1231">
        <v>98.2</v>
      </c>
      <c r="M514" s="2798">
        <f>100-L514</f>
        <v>1.7999999999999972</v>
      </c>
      <c r="N514" s="2798"/>
      <c r="O514" s="1297">
        <v>25</v>
      </c>
      <c r="P514" s="95"/>
      <c r="Q514" s="95"/>
      <c r="AE514" s="95"/>
      <c r="AF514" s="95"/>
      <c r="AG514" s="95"/>
      <c r="AH514" s="2"/>
      <c r="AI514" s="2"/>
      <c r="AJ514" s="2"/>
      <c r="AK514" s="2"/>
    </row>
    <row r="515" spans="1:37" ht="35" hidden="1" customHeight="1" x14ac:dyDescent="0.2">
      <c r="A515" s="1"/>
      <c r="B515" s="2810" t="s">
        <v>879</v>
      </c>
      <c r="C515" s="2792" t="s">
        <v>26</v>
      </c>
      <c r="D515" s="606" t="s">
        <v>21</v>
      </c>
      <c r="E515" s="841">
        <f>J515*K515*100/L516</f>
        <v>242163.26530612246</v>
      </c>
      <c r="F515" s="622">
        <f>F516*I515/100</f>
        <v>211214.8</v>
      </c>
      <c r="G515" s="622">
        <f>G516*I515/100</f>
        <v>11866</v>
      </c>
      <c r="H515" s="622">
        <f>H516*I515/100</f>
        <v>14239.2</v>
      </c>
      <c r="I515" s="838">
        <f>K515*J515</f>
        <v>237320</v>
      </c>
      <c r="J515" s="622">
        <v>17</v>
      </c>
      <c r="K515" s="838">
        <v>13960</v>
      </c>
      <c r="L515" s="1228"/>
      <c r="M515" s="2793"/>
      <c r="N515" s="2794"/>
      <c r="O515" s="1295"/>
      <c r="P515" s="95"/>
      <c r="Q515" s="95"/>
      <c r="AE515" s="95"/>
      <c r="AF515" s="95"/>
      <c r="AG515" s="95"/>
      <c r="AH515" s="2"/>
      <c r="AI515" s="2"/>
      <c r="AJ515" s="2"/>
      <c r="AK515" s="2"/>
    </row>
    <row r="516" spans="1:37" ht="35" hidden="1" customHeight="1" x14ac:dyDescent="0.2">
      <c r="A516" s="1"/>
      <c r="B516" s="2810"/>
      <c r="C516" s="2792"/>
      <c r="D516" s="606" t="s">
        <v>22</v>
      </c>
      <c r="E516" s="622"/>
      <c r="F516" s="622">
        <v>89</v>
      </c>
      <c r="G516" s="622">
        <v>5</v>
      </c>
      <c r="H516" s="622">
        <v>6</v>
      </c>
      <c r="I516" s="622">
        <v>100</v>
      </c>
      <c r="J516" s="622"/>
      <c r="K516" s="838"/>
      <c r="L516" s="1229">
        <v>98</v>
      </c>
      <c r="M516" s="2795">
        <v>2</v>
      </c>
      <c r="N516" s="2795"/>
      <c r="O516" s="1298">
        <v>40</v>
      </c>
      <c r="P516" s="95"/>
      <c r="Q516" s="95"/>
      <c r="AE516" s="95"/>
      <c r="AF516" s="95"/>
      <c r="AG516" s="95"/>
      <c r="AH516" s="2"/>
      <c r="AI516" s="2"/>
      <c r="AJ516" s="2"/>
      <c r="AK516" s="2"/>
    </row>
    <row r="517" spans="1:37" ht="35" hidden="1" customHeight="1" x14ac:dyDescent="0.2">
      <c r="A517" s="1"/>
      <c r="B517" s="2810"/>
      <c r="C517" s="2551" t="s">
        <v>886</v>
      </c>
      <c r="D517" s="12" t="s">
        <v>21</v>
      </c>
      <c r="E517" s="846">
        <f>J517*K517*100/L518</f>
        <v>247088.59470468431</v>
      </c>
      <c r="F517" s="583">
        <f>F518*I517/100</f>
        <v>220803.31</v>
      </c>
      <c r="G517" s="583">
        <f>G518*I517/100</f>
        <v>9705.64</v>
      </c>
      <c r="H517" s="583">
        <f>H518*I517/100</f>
        <v>12132.05</v>
      </c>
      <c r="I517" s="848">
        <f>J517*K517</f>
        <v>242641</v>
      </c>
      <c r="J517" s="572">
        <v>17</v>
      </c>
      <c r="K517" s="848">
        <v>14273</v>
      </c>
      <c r="L517" s="1231"/>
      <c r="M517" s="2796"/>
      <c r="N517" s="2797"/>
      <c r="O517" s="1296"/>
      <c r="P517" s="95"/>
      <c r="Q517" s="95"/>
      <c r="AE517" s="95"/>
      <c r="AF517" s="95"/>
      <c r="AG517" s="95"/>
      <c r="AH517" s="2"/>
      <c r="AI517" s="2"/>
      <c r="AJ517" s="2"/>
      <c r="AK517" s="2"/>
    </row>
    <row r="518" spans="1:37" ht="35" hidden="1" customHeight="1" x14ac:dyDescent="0.2">
      <c r="A518" s="1"/>
      <c r="B518" s="2810"/>
      <c r="C518" s="2551"/>
      <c r="D518" s="12" t="s">
        <v>22</v>
      </c>
      <c r="E518" s="572"/>
      <c r="F518" s="572">
        <v>91</v>
      </c>
      <c r="G518" s="572">
        <v>4</v>
      </c>
      <c r="H518" s="572">
        <v>5</v>
      </c>
      <c r="I518" s="572">
        <f>SUM(F518:H518)</f>
        <v>100</v>
      </c>
      <c r="J518" s="572"/>
      <c r="K518" s="848"/>
      <c r="L518" s="1231">
        <v>98.2</v>
      </c>
      <c r="M518" s="2798">
        <f>100-L518</f>
        <v>1.7999999999999972</v>
      </c>
      <c r="N518" s="2798"/>
      <c r="O518" s="1297">
        <v>25</v>
      </c>
      <c r="P518" s="95"/>
      <c r="Q518" s="95"/>
      <c r="AE518" s="95"/>
      <c r="AF518" s="95"/>
      <c r="AG518" s="95"/>
      <c r="AH518" s="2"/>
      <c r="AI518" s="2"/>
      <c r="AJ518" s="2"/>
      <c r="AK518" s="2"/>
    </row>
    <row r="519" spans="1:37" ht="23" hidden="1" customHeight="1" x14ac:dyDescent="0.2">
      <c r="A519" s="1"/>
      <c r="B519" s="2810" t="s">
        <v>878</v>
      </c>
      <c r="C519" s="2792" t="s">
        <v>26</v>
      </c>
      <c r="D519" s="606" t="s">
        <v>21</v>
      </c>
      <c r="E519" s="622">
        <f>I519+M519</f>
        <v>0</v>
      </c>
      <c r="F519" s="622">
        <f>F520*I519/100</f>
        <v>0</v>
      </c>
      <c r="G519" s="622">
        <f>G520*I519/100</f>
        <v>0</v>
      </c>
      <c r="H519" s="622">
        <f>H520*I519/100</f>
        <v>0</v>
      </c>
      <c r="I519" s="838">
        <f>K519*J519</f>
        <v>0</v>
      </c>
      <c r="J519" s="622"/>
      <c r="K519" s="838"/>
      <c r="L519" s="1228"/>
      <c r="M519" s="2793"/>
      <c r="N519" s="2794"/>
      <c r="O519" s="1295"/>
      <c r="P519" s="95"/>
      <c r="Q519" s="95"/>
      <c r="AE519" s="95"/>
      <c r="AF519" s="95"/>
      <c r="AG519" s="95"/>
      <c r="AH519" s="2"/>
      <c r="AI519" s="2"/>
      <c r="AJ519" s="2"/>
      <c r="AK519" s="2"/>
    </row>
    <row r="520" spans="1:37" ht="29" hidden="1" customHeight="1" x14ac:dyDescent="0.2">
      <c r="A520" s="1"/>
      <c r="B520" s="2810"/>
      <c r="C520" s="2792"/>
      <c r="D520" s="606" t="s">
        <v>22</v>
      </c>
      <c r="E520" s="622"/>
      <c r="F520" s="622">
        <v>89</v>
      </c>
      <c r="G520" s="622">
        <v>5</v>
      </c>
      <c r="H520" s="622">
        <v>6</v>
      </c>
      <c r="I520" s="622">
        <v>100</v>
      </c>
      <c r="J520" s="622"/>
      <c r="K520" s="838"/>
      <c r="L520" s="1229">
        <v>98</v>
      </c>
      <c r="M520" s="2795">
        <v>2</v>
      </c>
      <c r="N520" s="2795"/>
      <c r="O520" s="1298">
        <v>40</v>
      </c>
      <c r="P520" s="95"/>
      <c r="Q520" s="95"/>
      <c r="AE520" s="95"/>
      <c r="AF520" s="95"/>
      <c r="AG520" s="95"/>
      <c r="AH520" s="2"/>
      <c r="AI520" s="2"/>
      <c r="AJ520" s="2"/>
      <c r="AK520" s="2"/>
    </row>
    <row r="521" spans="1:37" ht="29" hidden="1" customHeight="1" x14ac:dyDescent="0.2">
      <c r="A521" s="1"/>
      <c r="B521" s="2810"/>
      <c r="C521" s="2551" t="s">
        <v>886</v>
      </c>
      <c r="D521" s="12" t="s">
        <v>21</v>
      </c>
      <c r="E521" s="572">
        <f>I521+M521</f>
        <v>0</v>
      </c>
      <c r="F521" s="583">
        <f>F522*I521/100</f>
        <v>0</v>
      </c>
      <c r="G521" s="583">
        <f>G522*I521/100</f>
        <v>0</v>
      </c>
      <c r="H521" s="583">
        <f>H522*I521/100</f>
        <v>0</v>
      </c>
      <c r="I521" s="848">
        <f>J521*K521</f>
        <v>0</v>
      </c>
      <c r="J521" s="572"/>
      <c r="K521" s="848"/>
      <c r="L521" s="1231"/>
      <c r="M521" s="2796"/>
      <c r="N521" s="2797"/>
      <c r="O521" s="1296"/>
      <c r="P521" s="95"/>
      <c r="Q521" s="95"/>
      <c r="AE521" s="95"/>
      <c r="AF521" s="95"/>
      <c r="AG521" s="95"/>
      <c r="AH521" s="2"/>
      <c r="AI521" s="2"/>
      <c r="AJ521" s="2"/>
      <c r="AK521" s="2"/>
    </row>
    <row r="522" spans="1:37" ht="29" hidden="1" customHeight="1" x14ac:dyDescent="0.2">
      <c r="A522" s="1"/>
      <c r="B522" s="2810"/>
      <c r="C522" s="2551"/>
      <c r="D522" s="12" t="s">
        <v>22</v>
      </c>
      <c r="E522" s="572"/>
      <c r="F522" s="572">
        <v>90</v>
      </c>
      <c r="G522" s="572">
        <v>5</v>
      </c>
      <c r="H522" s="572">
        <v>5</v>
      </c>
      <c r="I522" s="572">
        <f>SUM(F522:H522)</f>
        <v>100</v>
      </c>
      <c r="J522" s="572"/>
      <c r="K522" s="848"/>
      <c r="L522" s="1231">
        <v>98.2</v>
      </c>
      <c r="M522" s="2798">
        <f>100-L522</f>
        <v>1.7999999999999972</v>
      </c>
      <c r="N522" s="2798"/>
      <c r="O522" s="1297">
        <v>25</v>
      </c>
      <c r="P522" s="95"/>
      <c r="Q522" s="95"/>
      <c r="AE522" s="95"/>
      <c r="AF522" s="95"/>
      <c r="AG522" s="95"/>
      <c r="AH522" s="2"/>
      <c r="AI522" s="2"/>
      <c r="AJ522" s="2"/>
      <c r="AK522" s="2"/>
    </row>
    <row r="523" spans="1:37" ht="29" hidden="1" customHeight="1" x14ac:dyDescent="0.2">
      <c r="A523" s="1"/>
      <c r="B523" s="2810" t="s">
        <v>879</v>
      </c>
      <c r="C523" s="2792" t="s">
        <v>26</v>
      </c>
      <c r="D523" s="606" t="s">
        <v>21</v>
      </c>
      <c r="E523" s="622">
        <f>I523+M523</f>
        <v>0</v>
      </c>
      <c r="F523" s="622">
        <f>F524*I523/100</f>
        <v>0</v>
      </c>
      <c r="G523" s="622">
        <f>G524*I523/100</f>
        <v>0</v>
      </c>
      <c r="H523" s="622">
        <f>H524*I523/100</f>
        <v>0</v>
      </c>
      <c r="I523" s="838">
        <f>K523*J523</f>
        <v>0</v>
      </c>
      <c r="J523" s="622"/>
      <c r="K523" s="838"/>
      <c r="L523" s="1228"/>
      <c r="M523" s="2793"/>
      <c r="N523" s="2794"/>
      <c r="O523" s="1295"/>
      <c r="P523" s="95"/>
      <c r="Q523" s="95"/>
      <c r="AE523" s="95"/>
      <c r="AF523" s="95"/>
      <c r="AG523" s="95"/>
      <c r="AH523" s="2"/>
      <c r="AI523" s="2"/>
      <c r="AJ523" s="2"/>
      <c r="AK523" s="2"/>
    </row>
    <row r="524" spans="1:37" ht="29" hidden="1" customHeight="1" x14ac:dyDescent="0.2">
      <c r="A524" s="1"/>
      <c r="B524" s="2810"/>
      <c r="C524" s="2792"/>
      <c r="D524" s="606" t="s">
        <v>22</v>
      </c>
      <c r="E524" s="622"/>
      <c r="F524" s="622">
        <v>89</v>
      </c>
      <c r="G524" s="622">
        <v>5</v>
      </c>
      <c r="H524" s="622">
        <v>6</v>
      </c>
      <c r="I524" s="622">
        <v>100</v>
      </c>
      <c r="J524" s="622"/>
      <c r="K524" s="838"/>
      <c r="L524" s="1229">
        <v>98</v>
      </c>
      <c r="M524" s="2795">
        <v>2</v>
      </c>
      <c r="N524" s="2795"/>
      <c r="O524" s="1298">
        <v>40</v>
      </c>
      <c r="P524" s="95"/>
      <c r="Q524" s="95"/>
      <c r="AE524" s="95"/>
      <c r="AF524" s="95"/>
      <c r="AG524" s="95"/>
      <c r="AH524" s="2"/>
      <c r="AI524" s="2"/>
      <c r="AJ524" s="2"/>
      <c r="AK524" s="2"/>
    </row>
    <row r="525" spans="1:37" ht="29" hidden="1" customHeight="1" x14ac:dyDescent="0.2">
      <c r="A525" s="1"/>
      <c r="B525" s="2810"/>
      <c r="C525" s="2551" t="s">
        <v>886</v>
      </c>
      <c r="D525" s="12" t="s">
        <v>21</v>
      </c>
      <c r="E525" s="572">
        <f>I525+M525</f>
        <v>0</v>
      </c>
      <c r="F525" s="583">
        <f>F526*I525/100</f>
        <v>0</v>
      </c>
      <c r="G525" s="583">
        <f>G526*I525/100</f>
        <v>0</v>
      </c>
      <c r="H525" s="583">
        <f>H526*I525/100</f>
        <v>0</v>
      </c>
      <c r="I525" s="848">
        <f>J525*K525</f>
        <v>0</v>
      </c>
      <c r="J525" s="572"/>
      <c r="K525" s="848"/>
      <c r="L525" s="1231"/>
      <c r="M525" s="2796">
        <f>I525*2/100</f>
        <v>0</v>
      </c>
      <c r="N525" s="2797"/>
      <c r="O525" s="1296"/>
      <c r="P525" s="95"/>
      <c r="Q525" s="95"/>
      <c r="AE525" s="95"/>
      <c r="AF525" s="95"/>
      <c r="AG525" s="95"/>
      <c r="AH525" s="2"/>
      <c r="AI525" s="2"/>
      <c r="AJ525" s="2"/>
      <c r="AK525" s="2"/>
    </row>
    <row r="526" spans="1:37" ht="29" hidden="1" customHeight="1" x14ac:dyDescent="0.2">
      <c r="A526" s="1"/>
      <c r="B526" s="2810"/>
      <c r="C526" s="2551"/>
      <c r="D526" s="12" t="s">
        <v>22</v>
      </c>
      <c r="E526" s="572"/>
      <c r="F526" s="572">
        <v>90</v>
      </c>
      <c r="G526" s="572">
        <v>5</v>
      </c>
      <c r="H526" s="572">
        <v>5</v>
      </c>
      <c r="I526" s="572">
        <f>SUM(F526:H526)</f>
        <v>100</v>
      </c>
      <c r="J526" s="572"/>
      <c r="K526" s="848"/>
      <c r="L526" s="1231">
        <v>98.2</v>
      </c>
      <c r="M526" s="2798">
        <f>100-L526</f>
        <v>1.7999999999999972</v>
      </c>
      <c r="N526" s="2798"/>
      <c r="O526" s="1297">
        <v>25</v>
      </c>
      <c r="P526" s="95"/>
      <c r="Q526" s="95"/>
      <c r="AE526" s="95"/>
      <c r="AF526" s="95"/>
      <c r="AG526" s="95"/>
      <c r="AH526" s="2"/>
      <c r="AI526" s="2"/>
      <c r="AJ526" s="2"/>
      <c r="AK526" s="2"/>
    </row>
    <row r="527" spans="1:37" ht="38" customHeight="1" x14ac:dyDescent="0.2">
      <c r="A527" s="1"/>
      <c r="B527" s="2666" t="s">
        <v>116</v>
      </c>
      <c r="C527" s="2807" t="s">
        <v>883</v>
      </c>
      <c r="D527" s="1271" t="s">
        <v>21</v>
      </c>
      <c r="E527" s="1257">
        <f>J527*K527*100/L528</f>
        <v>1253551.0204081633</v>
      </c>
      <c r="F527" s="1257">
        <f>F503+F507+F511+F515+F519+F523</f>
        <v>1093347.2</v>
      </c>
      <c r="G527" s="1257">
        <f>G503+G507+G511+G515+G519+G523</f>
        <v>61424</v>
      </c>
      <c r="H527" s="1257">
        <f>H503+H507+H511+H515+H519+H523</f>
        <v>73708.800000000003</v>
      </c>
      <c r="I527" s="1257">
        <f>I503+I507+I511+I515+I519+I523</f>
        <v>1228480</v>
      </c>
      <c r="J527" s="1258">
        <f>J503+J507+J511+J515+J519+J523</f>
        <v>88</v>
      </c>
      <c r="K527" s="1257">
        <f>I527/J527</f>
        <v>13960</v>
      </c>
      <c r="L527" s="1275"/>
      <c r="M527" s="2808"/>
      <c r="N527" s="2808"/>
      <c r="O527" s="1314"/>
      <c r="P527" s="95"/>
      <c r="Q527" s="95"/>
      <c r="AE527" s="95"/>
      <c r="AF527" s="95"/>
      <c r="AG527" s="95"/>
      <c r="AH527" s="2"/>
      <c r="AI527" s="2"/>
      <c r="AJ527" s="2"/>
      <c r="AK527" s="2"/>
    </row>
    <row r="528" spans="1:37" ht="35" customHeight="1" x14ac:dyDescent="0.2">
      <c r="A528" s="1"/>
      <c r="B528" s="2666"/>
      <c r="C528" s="2807"/>
      <c r="D528" s="1272" t="s">
        <v>22</v>
      </c>
      <c r="E528" s="1273"/>
      <c r="F528" s="1273">
        <v>89</v>
      </c>
      <c r="G528" s="1273">
        <v>5</v>
      </c>
      <c r="H528" s="1273">
        <v>6</v>
      </c>
      <c r="I528" s="1273">
        <f>SUM(F528:H528)</f>
        <v>100</v>
      </c>
      <c r="J528" s="1273"/>
      <c r="K528" s="1274"/>
      <c r="L528" s="1276">
        <v>98</v>
      </c>
      <c r="M528" s="2809">
        <v>2</v>
      </c>
      <c r="N528" s="2809"/>
      <c r="O528" s="1315">
        <v>40</v>
      </c>
      <c r="P528" s="95"/>
      <c r="Q528" s="95"/>
      <c r="AE528" s="95"/>
      <c r="AF528" s="95"/>
      <c r="AG528" s="95"/>
      <c r="AH528" s="2"/>
      <c r="AI528" s="2"/>
      <c r="AJ528" s="2"/>
      <c r="AK528" s="2"/>
    </row>
    <row r="529" spans="1:37" ht="35" customHeight="1" x14ac:dyDescent="0.2">
      <c r="A529" s="1"/>
      <c r="B529" s="2666"/>
      <c r="C529" s="2807" t="s">
        <v>884</v>
      </c>
      <c r="D529" s="1271" t="s">
        <v>21</v>
      </c>
      <c r="E529" s="1257">
        <f>J529*K529*100/L530</f>
        <v>1279046.8431771894</v>
      </c>
      <c r="F529" s="1257">
        <f>F505+F509+F513+F517+F521+F525</f>
        <v>1142981.8400000001</v>
      </c>
      <c r="G529" s="1257">
        <f>G505+G509+G513+G517+G521+G525</f>
        <v>50240.959999999999</v>
      </c>
      <c r="H529" s="1257">
        <f>H505+H509+H513+H517+H521+H525</f>
        <v>62801.2</v>
      </c>
      <c r="I529" s="1257">
        <f>I505+I509+I513+I517+I521+I525</f>
        <v>1256024</v>
      </c>
      <c r="J529" s="1258">
        <f>J505+J509+J513+J517+J521+J525</f>
        <v>88</v>
      </c>
      <c r="K529" s="1257">
        <f>I529/J529</f>
        <v>14273</v>
      </c>
      <c r="L529" s="1275"/>
      <c r="M529" s="2808"/>
      <c r="N529" s="2808"/>
      <c r="O529" s="1314"/>
      <c r="P529" s="95"/>
      <c r="Q529" s="95"/>
      <c r="AE529" s="95"/>
      <c r="AF529" s="95"/>
      <c r="AG529" s="95"/>
      <c r="AH529" s="2"/>
      <c r="AI529" s="2"/>
      <c r="AJ529" s="2"/>
      <c r="AK529" s="2"/>
    </row>
    <row r="530" spans="1:37" ht="35" customHeight="1" x14ac:dyDescent="0.2">
      <c r="A530" s="1"/>
      <c r="B530" s="2666"/>
      <c r="C530" s="2807"/>
      <c r="D530" s="1272" t="s">
        <v>22</v>
      </c>
      <c r="E530" s="1273"/>
      <c r="F530" s="1273">
        <v>91</v>
      </c>
      <c r="G530" s="1273">
        <v>4</v>
      </c>
      <c r="H530" s="1273">
        <v>5</v>
      </c>
      <c r="I530" s="1273">
        <f>SUM(F530:H530)</f>
        <v>100</v>
      </c>
      <c r="J530" s="1273"/>
      <c r="K530" s="1274"/>
      <c r="L530" s="1276">
        <v>98.2</v>
      </c>
      <c r="M530" s="2809">
        <f>100-L530</f>
        <v>1.7999999999999972</v>
      </c>
      <c r="N530" s="2809"/>
      <c r="O530" s="1315">
        <v>25</v>
      </c>
      <c r="P530" s="95"/>
      <c r="Q530" s="95"/>
      <c r="AE530" s="95"/>
      <c r="AF530" s="95"/>
      <c r="AG530" s="95"/>
      <c r="AH530" s="2"/>
      <c r="AI530" s="2"/>
      <c r="AJ530" s="2"/>
      <c r="AK530" s="2"/>
    </row>
    <row r="531" spans="1:37" ht="29" customHeight="1" x14ac:dyDescent="0.2">
      <c r="A531" s="1"/>
      <c r="B531" s="2804" t="s">
        <v>921</v>
      </c>
      <c r="C531" s="2804"/>
      <c r="D531" s="1277" t="s">
        <v>21</v>
      </c>
      <c r="E531" s="1278">
        <f>J531*K531*100/L532</f>
        <v>2390765.3061224488</v>
      </c>
      <c r="F531" s="1278">
        <f>F479+F499+F527</f>
        <v>2103850.4</v>
      </c>
      <c r="G531" s="1278">
        <f>G479+G499+G527</f>
        <v>110939.2</v>
      </c>
      <c r="H531" s="1278">
        <f>H479+H499+H527</f>
        <v>128160.40000000001</v>
      </c>
      <c r="I531" s="1278">
        <f>I479+I499+I527</f>
        <v>2342950</v>
      </c>
      <c r="J531" s="1279">
        <f>J479+J499+J527</f>
        <v>178</v>
      </c>
      <c r="K531" s="1278">
        <f>I531/J531</f>
        <v>13162.640449438202</v>
      </c>
      <c r="L531" s="1280"/>
      <c r="M531" s="2805"/>
      <c r="N531" s="2805"/>
      <c r="O531" s="1299"/>
      <c r="P531" s="95"/>
      <c r="Q531" s="95"/>
      <c r="AE531" s="95"/>
      <c r="AF531" s="95"/>
      <c r="AG531" s="95"/>
      <c r="AH531" s="2"/>
      <c r="AI531" s="2"/>
      <c r="AJ531" s="2"/>
      <c r="AK531" s="2"/>
    </row>
    <row r="532" spans="1:37" ht="29" customHeight="1" x14ac:dyDescent="0.2">
      <c r="A532" s="42"/>
      <c r="B532" s="2804"/>
      <c r="C532" s="2804"/>
      <c r="D532" s="1281" t="s">
        <v>22</v>
      </c>
      <c r="E532" s="1282">
        <f>E468+E504+E508+E472+E484+E512+E516+E476+E496+E520+E524</f>
        <v>0</v>
      </c>
      <c r="F532" s="1282">
        <f>F531/I531*100</f>
        <v>89.794933737382351</v>
      </c>
      <c r="G532" s="1282">
        <f>G531/I531*100</f>
        <v>4.7350220875392131</v>
      </c>
      <c r="H532" s="1282">
        <f>H531/I531*100</f>
        <v>5.470044175078427</v>
      </c>
      <c r="I532" s="1282">
        <v>100</v>
      </c>
      <c r="J532" s="1282">
        <f>J468+J504+J508+J472+J484+J512+J516+J476+J496+J520+J524</f>
        <v>0</v>
      </c>
      <c r="K532" s="1282"/>
      <c r="L532" s="1283">
        <v>98</v>
      </c>
      <c r="M532" s="2806">
        <v>2</v>
      </c>
      <c r="N532" s="2806"/>
      <c r="O532" s="1304"/>
      <c r="P532" s="95"/>
      <c r="Q532" s="95"/>
      <c r="AE532" s="95"/>
      <c r="AF532" s="95"/>
      <c r="AG532" s="95"/>
      <c r="AH532" s="2"/>
      <c r="AI532" s="2"/>
      <c r="AJ532" s="2"/>
      <c r="AK532" s="2"/>
    </row>
    <row r="533" spans="1:37" ht="29" customHeight="1" x14ac:dyDescent="0.2">
      <c r="A533" s="1"/>
      <c r="B533" s="2804" t="s">
        <v>922</v>
      </c>
      <c r="C533" s="2804"/>
      <c r="D533" s="1277" t="s">
        <v>21</v>
      </c>
      <c r="E533" s="1278">
        <f>J533*K533*100/L534</f>
        <v>2429527.4949083501</v>
      </c>
      <c r="F533" s="1278">
        <f>F481+F501+F529</f>
        <v>2189934.46</v>
      </c>
      <c r="G533" s="1278">
        <f>G481+G501+G529</f>
        <v>89145.139999999985</v>
      </c>
      <c r="H533" s="1278">
        <f>H481+H501+H529</f>
        <v>106716.4</v>
      </c>
      <c r="I533" s="1278">
        <f>I481+I501+I529</f>
        <v>2385796</v>
      </c>
      <c r="J533" s="1279">
        <f>J481+J501+J529</f>
        <v>178</v>
      </c>
      <c r="K533" s="1278">
        <f>I533/J533</f>
        <v>13403.348314606741</v>
      </c>
      <c r="L533" s="1284"/>
      <c r="M533" s="2805"/>
      <c r="N533" s="2805"/>
      <c r="O533" s="1299"/>
      <c r="P533" s="95"/>
      <c r="Q533" s="95"/>
      <c r="AE533" s="95"/>
      <c r="AF533" s="95"/>
      <c r="AG533" s="95"/>
      <c r="AH533" s="2"/>
      <c r="AI533" s="2"/>
      <c r="AJ533" s="2"/>
      <c r="AK533" s="2"/>
    </row>
    <row r="534" spans="1:37" ht="29" customHeight="1" x14ac:dyDescent="0.2">
      <c r="A534" s="1"/>
      <c r="B534" s="2804"/>
      <c r="C534" s="2804"/>
      <c r="D534" s="1281" t="s">
        <v>22</v>
      </c>
      <c r="E534" s="1282"/>
      <c r="F534" s="1282">
        <f>+F533/I533*100</f>
        <v>91.790516037414761</v>
      </c>
      <c r="G534" s="1282">
        <f>+G533/I533*100</f>
        <v>3.7364946541950772</v>
      </c>
      <c r="H534" s="1282">
        <f>+H533/I533*100</f>
        <v>4.4729893083901553</v>
      </c>
      <c r="I534" s="1282">
        <f>F534+G534+H534</f>
        <v>99.999999999999986</v>
      </c>
      <c r="J534" s="1282"/>
      <c r="K534" s="1282"/>
      <c r="L534" s="1283">
        <v>98.2</v>
      </c>
      <c r="M534" s="2806">
        <f>100-L534</f>
        <v>1.7999999999999972</v>
      </c>
      <c r="N534" s="2806"/>
      <c r="O534" s="1299"/>
      <c r="P534" s="95"/>
      <c r="Q534" s="95"/>
      <c r="AE534" s="95"/>
      <c r="AF534" s="95"/>
      <c r="AG534" s="95"/>
      <c r="AH534" s="2"/>
      <c r="AI534" s="2"/>
      <c r="AJ534" s="2"/>
      <c r="AK534" s="2"/>
    </row>
    <row r="535" spans="1:37" ht="29" customHeight="1" x14ac:dyDescent="0.2">
      <c r="A535" s="1"/>
      <c r="B535" s="2799" t="s">
        <v>28</v>
      </c>
      <c r="C535" s="2799" t="s">
        <v>887</v>
      </c>
      <c r="D535" s="1237" t="s">
        <v>21</v>
      </c>
      <c r="E535" s="1239">
        <f>J535*K535*100/L536</f>
        <v>5252622.448979592</v>
      </c>
      <c r="F535" s="1239">
        <f>F458+F531</f>
        <v>4599962.1999999993</v>
      </c>
      <c r="G535" s="1239">
        <f>G458+G531</f>
        <v>279216.40000000002</v>
      </c>
      <c r="H535" s="1239">
        <f>H458+H531</f>
        <v>268391.40000000002</v>
      </c>
      <c r="I535" s="1239">
        <f>I458+I531</f>
        <v>5147570</v>
      </c>
      <c r="J535" s="1238">
        <f>J458+J531</f>
        <v>360</v>
      </c>
      <c r="K535" s="1239">
        <f>+I535/J535</f>
        <v>14298.805555555555</v>
      </c>
      <c r="L535" s="1240"/>
      <c r="M535" s="2800"/>
      <c r="N535" s="2800"/>
      <c r="O535" s="1148"/>
      <c r="P535" s="95"/>
      <c r="Q535" s="95"/>
      <c r="AE535" s="95"/>
      <c r="AF535" s="95"/>
      <c r="AG535" s="95"/>
      <c r="AH535" s="2"/>
      <c r="AI535" s="2"/>
      <c r="AJ535" s="2"/>
      <c r="AK535" s="2"/>
    </row>
    <row r="536" spans="1:37" ht="29" customHeight="1" x14ac:dyDescent="0.2">
      <c r="A536" s="1"/>
      <c r="B536" s="2799"/>
      <c r="C536" s="2799"/>
      <c r="D536" s="1237" t="s">
        <v>22</v>
      </c>
      <c r="E536" s="1238"/>
      <c r="F536" s="1241">
        <f>+F535/I535*100</f>
        <v>89.361819266178017</v>
      </c>
      <c r="G536" s="1241">
        <f>+G535/I535*100</f>
        <v>5.4242370671986979</v>
      </c>
      <c r="H536" s="1241">
        <f>+H535/I535*100</f>
        <v>5.2139436666232806</v>
      </c>
      <c r="I536" s="1241">
        <v>100</v>
      </c>
      <c r="J536" s="1241"/>
      <c r="K536" s="1242"/>
      <c r="L536" s="1243">
        <v>98</v>
      </c>
      <c r="M536" s="2801">
        <v>2</v>
      </c>
      <c r="N536" s="2801"/>
      <c r="O536" s="1148"/>
      <c r="P536" s="95"/>
      <c r="Q536" s="95"/>
      <c r="AE536" s="95"/>
      <c r="AF536" s="95"/>
      <c r="AG536" s="95"/>
      <c r="AH536" s="2"/>
      <c r="AI536" s="2"/>
      <c r="AJ536" s="2"/>
      <c r="AK536" s="2"/>
    </row>
    <row r="537" spans="1:37" ht="29" customHeight="1" x14ac:dyDescent="0.2">
      <c r="A537" s="1"/>
      <c r="B537" s="2799"/>
      <c r="C537" s="2799" t="s">
        <v>888</v>
      </c>
      <c r="D537" s="1237" t="s">
        <v>21</v>
      </c>
      <c r="E537" s="1239">
        <f>J537*K537*100/L538</f>
        <v>5340600.8146639513</v>
      </c>
      <c r="F537" s="1239">
        <f>F460+F533</f>
        <v>4791327.8</v>
      </c>
      <c r="G537" s="1239">
        <f>G460+G533</f>
        <v>203492.09999999998</v>
      </c>
      <c r="H537" s="1239">
        <f>H460+H533</f>
        <v>249650.1</v>
      </c>
      <c r="I537" s="1239">
        <f>I460+I533</f>
        <v>5244470</v>
      </c>
      <c r="J537" s="1238">
        <f>J460+J533</f>
        <v>360</v>
      </c>
      <c r="K537" s="1239">
        <f>I537/J537</f>
        <v>14567.972222222223</v>
      </c>
      <c r="L537" s="1244"/>
      <c r="M537" s="2800"/>
      <c r="N537" s="2800"/>
      <c r="O537" s="1148"/>
      <c r="P537" s="95"/>
      <c r="Q537" s="95"/>
      <c r="AE537" s="95"/>
      <c r="AF537" s="95"/>
      <c r="AG537" s="95"/>
      <c r="AH537" s="2"/>
      <c r="AI537" s="2"/>
      <c r="AJ537" s="2"/>
      <c r="AK537" s="2"/>
    </row>
    <row r="538" spans="1:37" ht="29" customHeight="1" x14ac:dyDescent="0.2">
      <c r="A538" s="1"/>
      <c r="B538" s="2799"/>
      <c r="C538" s="2799"/>
      <c r="D538" s="1237" t="s">
        <v>22</v>
      </c>
      <c r="E538" s="1238"/>
      <c r="F538" s="1241">
        <f>F537/I537*100</f>
        <v>91.359618798467707</v>
      </c>
      <c r="G538" s="1241">
        <f>G537/I537*100</f>
        <v>3.8801270671774266</v>
      </c>
      <c r="H538" s="1241">
        <f>H537/I537*100</f>
        <v>4.7602541343548541</v>
      </c>
      <c r="I538" s="1241">
        <f>F538+G538+H538</f>
        <v>99.999999999999986</v>
      </c>
      <c r="J538" s="1241"/>
      <c r="K538" s="1242"/>
      <c r="L538" s="1243">
        <v>98.2</v>
      </c>
      <c r="M538" s="2801">
        <f>100-L538</f>
        <v>1.7999999999999972</v>
      </c>
      <c r="N538" s="2801"/>
      <c r="O538" s="1300"/>
      <c r="P538" s="95"/>
      <c r="Q538" s="95"/>
      <c r="AE538" s="95"/>
      <c r="AF538" s="95"/>
      <c r="AG538" s="95"/>
      <c r="AH538" s="2"/>
      <c r="AI538" s="2"/>
      <c r="AJ538" s="2"/>
      <c r="AK538" s="2"/>
    </row>
    <row r="539" spans="1:37" ht="29" customHeight="1" x14ac:dyDescent="0.2">
      <c r="A539" s="1"/>
      <c r="B539" s="2799"/>
      <c r="C539" s="2799" t="s">
        <v>880</v>
      </c>
      <c r="D539" s="1237" t="s">
        <v>21</v>
      </c>
      <c r="E539" s="1239">
        <f>E537-E535</f>
        <v>87978.365684359334</v>
      </c>
      <c r="F539" s="1239">
        <f t="shared" ref="F539:H540" si="65">F537-F535</f>
        <v>191365.60000000056</v>
      </c>
      <c r="G539" s="1239">
        <f t="shared" si="65"/>
        <v>-75724.300000000047</v>
      </c>
      <c r="H539" s="1239">
        <f t="shared" si="65"/>
        <v>-18741.300000000017</v>
      </c>
      <c r="I539" s="1239">
        <f>I537-I535</f>
        <v>96900</v>
      </c>
      <c r="J539" s="1238"/>
      <c r="K539" s="1239"/>
      <c r="L539" s="1245"/>
      <c r="M539" s="2800"/>
      <c r="N539" s="2800"/>
      <c r="O539" s="1148"/>
      <c r="P539" s="95"/>
      <c r="Q539" s="95"/>
      <c r="AE539" s="95"/>
      <c r="AF539" s="95"/>
      <c r="AG539" s="95"/>
      <c r="AH539" s="2"/>
      <c r="AI539" s="2"/>
      <c r="AJ539" s="2"/>
      <c r="AK539" s="2"/>
    </row>
    <row r="540" spans="1:37" ht="29" customHeight="1" x14ac:dyDescent="0.2">
      <c r="A540" s="1"/>
      <c r="B540" s="2799"/>
      <c r="C540" s="2799"/>
      <c r="D540" s="1237" t="s">
        <v>22</v>
      </c>
      <c r="E540" s="1238"/>
      <c r="F540" s="1241">
        <f>F538-F536</f>
        <v>1.9977995322896902</v>
      </c>
      <c r="G540" s="1241">
        <f t="shared" si="65"/>
        <v>-1.5441100000212713</v>
      </c>
      <c r="H540" s="1241">
        <f t="shared" si="65"/>
        <v>-0.45368953226842645</v>
      </c>
      <c r="I540" s="1238"/>
      <c r="J540" s="1238"/>
      <c r="K540" s="1238"/>
      <c r="L540" s="1246"/>
      <c r="M540" s="2802"/>
      <c r="N540" s="2802"/>
      <c r="O540" s="1148"/>
      <c r="P540" s="95"/>
      <c r="Q540" s="95"/>
      <c r="AE540" s="95"/>
      <c r="AF540" s="95"/>
      <c r="AG540" s="95"/>
      <c r="AH540" s="2"/>
      <c r="AI540" s="2"/>
      <c r="AJ540" s="2"/>
      <c r="AK540" s="2"/>
    </row>
    <row r="541" spans="1:37" ht="29" customHeight="1" x14ac:dyDescent="0.2">
      <c r="A541" s="1"/>
      <c r="B541" s="2725" t="s">
        <v>931</v>
      </c>
      <c r="C541" s="2725"/>
      <c r="D541" s="2725"/>
      <c r="E541" s="2725"/>
      <c r="F541" s="2725"/>
      <c r="G541" s="2725"/>
      <c r="H541" s="2725"/>
      <c r="I541" s="2725"/>
      <c r="J541" s="2725"/>
      <c r="K541" s="2725"/>
      <c r="L541" s="2725"/>
      <c r="M541" s="2725"/>
      <c r="N541" s="2725"/>
      <c r="O541" s="2725"/>
      <c r="P541" s="95"/>
      <c r="Q541" s="95"/>
      <c r="AE541" s="95"/>
      <c r="AF541" s="95"/>
      <c r="AG541" s="95"/>
      <c r="AH541" s="2"/>
      <c r="AI541" s="2"/>
      <c r="AJ541" s="2"/>
      <c r="AK541" s="2"/>
    </row>
    <row r="542" spans="1:37" ht="42" customHeight="1" x14ac:dyDescent="0.2">
      <c r="A542" s="1"/>
      <c r="B542" s="2725" t="s">
        <v>978</v>
      </c>
      <c r="C542" s="2725"/>
      <c r="D542" s="2725"/>
      <c r="E542" s="2725"/>
      <c r="F542" s="2725"/>
      <c r="G542" s="2725"/>
      <c r="H542" s="2725"/>
      <c r="I542" s="2725"/>
      <c r="J542" s="2725"/>
      <c r="K542" s="2725"/>
      <c r="L542" s="2725"/>
      <c r="M542" s="2725"/>
      <c r="N542" s="2725"/>
      <c r="O542" s="2725"/>
      <c r="P542" s="95"/>
      <c r="Q542" s="95"/>
      <c r="AE542" s="95"/>
      <c r="AF542" s="95"/>
      <c r="AG542" s="95"/>
      <c r="AH542" s="2"/>
      <c r="AI542" s="2"/>
      <c r="AJ542" s="2"/>
      <c r="AK542" s="2"/>
    </row>
    <row r="543" spans="1:37" ht="31" customHeight="1" x14ac:dyDescent="0.2">
      <c r="A543" s="1"/>
      <c r="B543" s="2663" t="s">
        <v>927</v>
      </c>
      <c r="C543" s="2663"/>
      <c r="D543" s="2663"/>
      <c r="E543" s="2663"/>
      <c r="F543" s="2663"/>
      <c r="G543" s="2663"/>
      <c r="H543" s="2663"/>
      <c r="I543" s="2663"/>
      <c r="J543" s="2663"/>
      <c r="K543" s="2663"/>
      <c r="L543" s="2663"/>
      <c r="M543" s="2663"/>
      <c r="N543" s="2663"/>
      <c r="O543" s="2663"/>
      <c r="P543" s="95"/>
      <c r="Q543" s="95"/>
      <c r="AE543" s="95"/>
      <c r="AF543" s="95"/>
      <c r="AG543" s="95"/>
      <c r="AH543" s="2"/>
      <c r="AI543" s="2"/>
      <c r="AJ543" s="2"/>
      <c r="AK543" s="2"/>
    </row>
    <row r="544" spans="1:37" ht="29" customHeight="1" x14ac:dyDescent="0.2">
      <c r="A544" s="1"/>
      <c r="B544" s="2663" t="s">
        <v>932</v>
      </c>
      <c r="C544" s="2663"/>
      <c r="D544" s="2663"/>
      <c r="E544" s="2663"/>
      <c r="F544" s="2663"/>
      <c r="G544" s="2663"/>
      <c r="H544" s="2663"/>
      <c r="I544" s="2663"/>
      <c r="J544" s="2663"/>
      <c r="K544" s="2663"/>
      <c r="L544" s="2663"/>
      <c r="M544" s="2663"/>
      <c r="N544" s="2663"/>
      <c r="O544" s="2663"/>
      <c r="P544" s="95"/>
      <c r="Q544" s="95"/>
      <c r="AE544" s="95"/>
      <c r="AF544" s="95"/>
      <c r="AG544" s="95"/>
      <c r="AH544" s="2"/>
      <c r="AI544" s="2"/>
      <c r="AJ544" s="2"/>
      <c r="AK544" s="2"/>
    </row>
    <row r="545" spans="1:37" ht="31" customHeight="1" x14ac:dyDescent="0.2">
      <c r="A545" s="1"/>
      <c r="B545" s="2663" t="s">
        <v>926</v>
      </c>
      <c r="C545" s="2663"/>
      <c r="D545" s="2663"/>
      <c r="E545" s="2663"/>
      <c r="F545" s="2663"/>
      <c r="G545" s="2663"/>
      <c r="H545" s="2663"/>
      <c r="I545" s="2663"/>
      <c r="J545" s="2663"/>
      <c r="K545" s="2663"/>
      <c r="L545" s="2663"/>
      <c r="M545" s="2663"/>
      <c r="N545" s="2663"/>
      <c r="O545" s="2663"/>
      <c r="P545" s="95"/>
      <c r="Q545" s="95"/>
      <c r="AE545" s="95"/>
      <c r="AF545" s="95"/>
      <c r="AG545" s="95"/>
      <c r="AH545" s="2"/>
      <c r="AI545" s="2"/>
      <c r="AJ545" s="2"/>
      <c r="AK545" s="2"/>
    </row>
    <row r="546" spans="1:37" ht="23" customHeight="1" x14ac:dyDescent="0.2">
      <c r="A546" s="1"/>
      <c r="B546" s="84"/>
      <c r="C546" s="88" t="s">
        <v>494</v>
      </c>
      <c r="D546" s="84"/>
      <c r="E546" s="84"/>
      <c r="F546" s="84"/>
      <c r="G546" s="84"/>
      <c r="H546" s="84"/>
      <c r="I546" s="84"/>
      <c r="J546" s="84"/>
      <c r="K546" s="84"/>
      <c r="L546" s="84"/>
      <c r="M546" s="84"/>
      <c r="N546" s="84"/>
      <c r="O546" s="4"/>
      <c r="P546" s="95"/>
      <c r="Q546" s="95"/>
      <c r="AE546" s="95"/>
      <c r="AF546" s="95"/>
      <c r="AG546" s="95"/>
      <c r="AH546" s="2"/>
      <c r="AI546" s="2"/>
      <c r="AJ546" s="2"/>
      <c r="AK546" s="2"/>
    </row>
    <row r="547" spans="1:37" ht="21.75" customHeight="1" x14ac:dyDescent="0.2">
      <c r="A547" s="1"/>
      <c r="B547" s="1"/>
      <c r="C547" s="1"/>
      <c r="D547" s="42"/>
      <c r="E547" s="1"/>
      <c r="F547" s="43"/>
      <c r="G547" s="43"/>
      <c r="H547" s="1"/>
      <c r="I547" s="43"/>
      <c r="J547" s="2803" t="s">
        <v>933</v>
      </c>
      <c r="K547" s="2803"/>
      <c r="L547" s="2803"/>
      <c r="M547" s="2803"/>
      <c r="N547" s="2803"/>
      <c r="O547" s="2803"/>
      <c r="P547" s="95"/>
      <c r="Q547" s="95"/>
      <c r="AE547" s="95"/>
      <c r="AF547" s="95"/>
      <c r="AG547" s="95"/>
      <c r="AH547" s="2"/>
      <c r="AI547" s="2"/>
      <c r="AJ547" s="2"/>
      <c r="AK547" s="2"/>
    </row>
    <row r="548" spans="1:37" ht="21.75" customHeight="1" x14ac:dyDescent="0.2">
      <c r="A548" s="1"/>
      <c r="B548" s="91" t="s">
        <v>655</v>
      </c>
      <c r="C548" s="84"/>
      <c r="D548" s="84"/>
      <c r="E548" s="84"/>
      <c r="F548" s="2683"/>
      <c r="G548" s="2683"/>
      <c r="H548" s="84"/>
      <c r="I548" s="2683" t="s">
        <v>928</v>
      </c>
      <c r="J548" s="2683"/>
      <c r="K548" s="2683"/>
      <c r="L548" s="2683"/>
      <c r="M548" s="2683"/>
      <c r="N548" s="2683"/>
      <c r="O548" s="2683"/>
      <c r="P548" s="95"/>
      <c r="Q548" s="95"/>
      <c r="AE548" s="95"/>
      <c r="AF548" s="95"/>
      <c r="AG548" s="95"/>
      <c r="AH548" s="2"/>
      <c r="AI548" s="2"/>
      <c r="AJ548" s="2"/>
      <c r="AK548" s="2"/>
    </row>
    <row r="549" spans="1:37" ht="21.75" customHeight="1" x14ac:dyDescent="0.2">
      <c r="A549" s="1"/>
      <c r="B549" s="94" t="s">
        <v>890</v>
      </c>
      <c r="C549" s="92"/>
      <c r="D549" s="4"/>
      <c r="E549" s="4"/>
      <c r="F549" s="93"/>
      <c r="G549" s="93"/>
      <c r="H549" s="4"/>
      <c r="I549" s="93"/>
      <c r="J549" s="4"/>
      <c r="K549" s="4"/>
      <c r="L549" s="4"/>
      <c r="M549" s="4"/>
      <c r="N549" s="4"/>
      <c r="O549" s="4"/>
      <c r="P549" s="95"/>
      <c r="Q549" s="95"/>
      <c r="AE549" s="95"/>
      <c r="AF549" s="95"/>
      <c r="AG549" s="95"/>
      <c r="AH549" s="2"/>
      <c r="AI549" s="2"/>
      <c r="AJ549" s="2"/>
      <c r="AK549" s="2"/>
    </row>
    <row r="550" spans="1:37" ht="21.75" customHeight="1" x14ac:dyDescent="0.2">
      <c r="A550" s="1"/>
      <c r="B550" s="94" t="s">
        <v>891</v>
      </c>
      <c r="C550" s="92"/>
      <c r="D550" s="4"/>
      <c r="E550" s="4"/>
      <c r="F550" s="93"/>
      <c r="G550" s="93"/>
      <c r="H550" s="4"/>
      <c r="I550" s="93"/>
      <c r="J550" s="4"/>
      <c r="K550" s="4"/>
      <c r="L550" s="4"/>
      <c r="M550" s="4"/>
      <c r="N550" s="4"/>
      <c r="O550" s="4"/>
      <c r="P550" s="95"/>
      <c r="Q550" s="95"/>
      <c r="AE550" s="95"/>
      <c r="AF550" s="95"/>
      <c r="AG550" s="95"/>
      <c r="AH550" s="2"/>
      <c r="AI550" s="2"/>
      <c r="AJ550" s="2"/>
      <c r="AK550" s="2"/>
    </row>
    <row r="551" spans="1:37" ht="21.75" customHeight="1" x14ac:dyDescent="0.2">
      <c r="A551" s="1"/>
      <c r="B551" s="94" t="s">
        <v>838</v>
      </c>
      <c r="C551" s="92"/>
      <c r="D551" s="4"/>
      <c r="E551" s="4"/>
      <c r="F551" s="93"/>
      <c r="G551" s="93"/>
      <c r="H551" s="4"/>
      <c r="I551" s="93"/>
      <c r="J551" s="4"/>
      <c r="K551" s="4"/>
      <c r="L551" s="4"/>
      <c r="M551" s="4"/>
      <c r="N551" s="4"/>
      <c r="O551" s="4"/>
      <c r="P551" s="95"/>
      <c r="Q551" s="95"/>
      <c r="AE551" s="95"/>
      <c r="AF551" s="95"/>
      <c r="AG551" s="95"/>
      <c r="AH551" s="2"/>
      <c r="AI551" s="2"/>
      <c r="AJ551" s="2"/>
      <c r="AK551" s="2"/>
    </row>
    <row r="552" spans="1:37" ht="21.75" customHeight="1" x14ac:dyDescent="0.2">
      <c r="A552" s="1"/>
      <c r="C552" s="1"/>
      <c r="D552" s="1"/>
      <c r="E552" s="1"/>
      <c r="F552" s="1"/>
      <c r="G552" s="1"/>
      <c r="H552" s="1"/>
      <c r="I552" s="1"/>
      <c r="J552" s="1"/>
      <c r="K552" s="1"/>
      <c r="L552" s="1"/>
      <c r="M552" s="1"/>
      <c r="N552" s="1"/>
      <c r="O552" s="1286"/>
      <c r="P552" s="95"/>
      <c r="Q552" s="95"/>
      <c r="AE552" s="95"/>
      <c r="AF552" s="95"/>
      <c r="AG552" s="95"/>
      <c r="AH552" s="2"/>
      <c r="AI552" s="2"/>
      <c r="AJ552" s="2"/>
      <c r="AK552" s="2"/>
    </row>
    <row r="553" spans="1:37" ht="21.75" customHeight="1" x14ac:dyDescent="0.2">
      <c r="A553" s="1"/>
      <c r="B553" s="1"/>
      <c r="C553" s="1"/>
      <c r="D553" s="1"/>
      <c r="E553" s="1"/>
      <c r="F553" s="1"/>
      <c r="G553" s="1"/>
      <c r="H553" s="1"/>
      <c r="I553" s="1"/>
      <c r="J553" s="1"/>
      <c r="K553" s="1"/>
      <c r="L553" s="1"/>
      <c r="M553" s="1"/>
      <c r="N553" s="1"/>
      <c r="O553" s="1286"/>
      <c r="P553" s="95"/>
      <c r="Q553" s="95"/>
      <c r="AE553" s="95"/>
      <c r="AF553" s="95"/>
      <c r="AG553" s="95"/>
      <c r="AH553" s="2"/>
      <c r="AI553" s="2"/>
      <c r="AJ553" s="2"/>
      <c r="AK553" s="2"/>
    </row>
    <row r="554" spans="1:37" ht="21.75" customHeight="1" x14ac:dyDescent="0.2">
      <c r="A554" s="1"/>
      <c r="B554" s="1"/>
      <c r="C554" s="1"/>
      <c r="D554" s="1"/>
      <c r="E554" s="1"/>
      <c r="F554" s="1"/>
      <c r="G554" s="1"/>
      <c r="H554" s="1"/>
      <c r="I554" s="1"/>
      <c r="J554" s="1"/>
      <c r="K554" s="1"/>
      <c r="L554" s="1"/>
      <c r="M554" s="1"/>
      <c r="N554" s="1"/>
      <c r="O554" s="1286"/>
      <c r="P554" s="95"/>
      <c r="Q554" s="95"/>
      <c r="AE554" s="95"/>
      <c r="AF554" s="95"/>
      <c r="AG554" s="95"/>
      <c r="AH554" s="2"/>
      <c r="AI554" s="2"/>
      <c r="AJ554" s="2"/>
      <c r="AK554" s="2"/>
    </row>
    <row r="555" spans="1:37" ht="21.75" customHeight="1" x14ac:dyDescent="0.2">
      <c r="A555" s="1"/>
      <c r="B555" s="1"/>
      <c r="C555" s="1"/>
      <c r="D555" s="1"/>
      <c r="E555" s="1"/>
      <c r="F555" s="1"/>
      <c r="G555" s="1"/>
      <c r="H555" s="1"/>
      <c r="I555" s="1"/>
      <c r="J555" s="1"/>
      <c r="K555" s="1"/>
      <c r="L555" s="1"/>
      <c r="M555" s="1"/>
      <c r="N555" s="1"/>
      <c r="O555" s="1286"/>
      <c r="P555" s="95"/>
      <c r="Q555" s="95"/>
      <c r="AE555" s="95"/>
      <c r="AF555" s="95"/>
      <c r="AG555" s="95"/>
      <c r="AH555" s="2"/>
      <c r="AI555" s="2"/>
      <c r="AJ555" s="2"/>
      <c r="AK555" s="2"/>
    </row>
    <row r="556" spans="1:37" ht="21.75" customHeight="1" x14ac:dyDescent="0.2">
      <c r="A556" s="1"/>
      <c r="B556" s="1"/>
      <c r="C556" s="1"/>
      <c r="D556" s="1"/>
      <c r="E556" s="1"/>
      <c r="F556" s="1"/>
      <c r="G556" s="1"/>
      <c r="H556" s="1"/>
      <c r="I556" s="1"/>
      <c r="J556" s="1"/>
      <c r="K556" s="1"/>
      <c r="L556" s="1"/>
      <c r="M556" s="1"/>
      <c r="N556" s="1"/>
      <c r="O556" s="1286"/>
      <c r="P556" s="95"/>
      <c r="Q556" s="95"/>
      <c r="AE556" s="95"/>
      <c r="AF556" s="95"/>
      <c r="AG556" s="95"/>
      <c r="AH556" s="2"/>
      <c r="AI556" s="2"/>
      <c r="AJ556" s="2"/>
      <c r="AK556" s="2"/>
    </row>
    <row r="557" spans="1:37" ht="21.75" customHeight="1" x14ac:dyDescent="0.2">
      <c r="A557" s="1"/>
      <c r="B557" s="1"/>
      <c r="C557" s="1"/>
      <c r="D557" s="1"/>
      <c r="E557" s="1"/>
      <c r="F557" s="1"/>
      <c r="G557" s="1"/>
      <c r="H557" s="1"/>
      <c r="I557" s="1"/>
      <c r="J557" s="1"/>
      <c r="K557" s="1"/>
      <c r="L557" s="1"/>
      <c r="M557" s="1"/>
      <c r="N557" s="1"/>
      <c r="O557" s="1286"/>
      <c r="P557" s="95"/>
      <c r="Q557" s="95"/>
      <c r="AE557" s="95"/>
      <c r="AF557" s="95"/>
      <c r="AG557" s="95"/>
      <c r="AH557" s="2"/>
      <c r="AI557" s="2"/>
      <c r="AJ557" s="2"/>
      <c r="AK557" s="2"/>
    </row>
    <row r="558" spans="1:37" ht="21.75" customHeight="1" x14ac:dyDescent="0.2">
      <c r="A558" s="1"/>
      <c r="B558" s="1"/>
      <c r="C558" s="1"/>
      <c r="D558" s="1"/>
      <c r="E558" s="1"/>
      <c r="F558" s="1"/>
      <c r="G558" s="1"/>
      <c r="H558" s="1"/>
      <c r="I558" s="1"/>
      <c r="J558" s="1"/>
      <c r="K558" s="1"/>
      <c r="L558" s="1"/>
      <c r="M558" s="1"/>
      <c r="N558" s="1"/>
      <c r="O558" s="1286"/>
      <c r="P558" s="95"/>
      <c r="Q558" s="95"/>
      <c r="AE558" s="95"/>
      <c r="AF558" s="95"/>
      <c r="AG558" s="95"/>
      <c r="AH558" s="2"/>
      <c r="AI558" s="2"/>
      <c r="AJ558" s="2"/>
      <c r="AK558" s="2"/>
    </row>
    <row r="559" spans="1:37" ht="21.75" customHeight="1" x14ac:dyDescent="0.2">
      <c r="A559" s="1"/>
      <c r="B559" s="1"/>
      <c r="C559" s="1"/>
      <c r="D559" s="1"/>
      <c r="E559" s="1"/>
      <c r="F559" s="1"/>
      <c r="G559" s="1"/>
      <c r="H559" s="1"/>
      <c r="I559" s="1"/>
      <c r="J559" s="1"/>
      <c r="K559" s="1"/>
      <c r="L559" s="1"/>
      <c r="M559" s="1"/>
      <c r="N559" s="1"/>
      <c r="O559" s="1286"/>
      <c r="P559" s="95"/>
      <c r="Q559" s="95"/>
      <c r="AE559" s="95"/>
      <c r="AF559" s="95"/>
      <c r="AG559" s="95"/>
      <c r="AH559" s="2"/>
      <c r="AI559" s="2"/>
      <c r="AJ559" s="2"/>
      <c r="AK559" s="2"/>
    </row>
    <row r="560" spans="1:37" ht="21.75" customHeight="1" x14ac:dyDescent="0.2">
      <c r="A560" s="1"/>
      <c r="B560" s="1"/>
      <c r="C560" s="1"/>
      <c r="D560" s="1"/>
      <c r="E560" s="1"/>
      <c r="F560" s="1"/>
      <c r="G560" s="1"/>
      <c r="H560" s="1"/>
      <c r="I560" s="1"/>
      <c r="J560" s="1"/>
      <c r="K560" s="1"/>
      <c r="L560" s="1"/>
      <c r="M560" s="1"/>
      <c r="N560" s="1"/>
      <c r="O560" s="1286"/>
      <c r="P560" s="95"/>
      <c r="Q560" s="95"/>
      <c r="AE560" s="95"/>
      <c r="AF560" s="95"/>
      <c r="AG560" s="95"/>
      <c r="AH560" s="2"/>
      <c r="AI560" s="2"/>
      <c r="AJ560" s="2"/>
      <c r="AK560" s="2"/>
    </row>
    <row r="561" spans="1:37" ht="21.75" customHeight="1" x14ac:dyDescent="0.2">
      <c r="A561" s="1"/>
      <c r="B561" s="1"/>
      <c r="C561" s="1"/>
      <c r="D561" s="1"/>
      <c r="E561" s="1"/>
      <c r="F561" s="1"/>
      <c r="G561" s="1"/>
      <c r="H561" s="1"/>
      <c r="I561" s="1"/>
      <c r="J561" s="1"/>
      <c r="K561" s="1"/>
      <c r="L561" s="1"/>
      <c r="M561" s="1"/>
      <c r="N561" s="1"/>
      <c r="O561" s="1286"/>
      <c r="P561" s="95"/>
      <c r="Q561" s="95"/>
      <c r="AE561" s="95"/>
      <c r="AF561" s="95"/>
      <c r="AG561" s="95"/>
      <c r="AH561" s="2"/>
      <c r="AI561" s="2"/>
      <c r="AJ561" s="2"/>
      <c r="AK561" s="2"/>
    </row>
    <row r="562" spans="1:37" ht="21.75" customHeight="1" x14ac:dyDescent="0.2">
      <c r="A562" s="1"/>
      <c r="B562" s="1"/>
      <c r="C562" s="1"/>
      <c r="D562" s="1"/>
      <c r="E562" s="1"/>
      <c r="F562" s="1"/>
      <c r="G562" s="1"/>
      <c r="H562" s="1"/>
      <c r="I562" s="1"/>
      <c r="J562" s="1"/>
      <c r="K562" s="1"/>
      <c r="L562" s="1"/>
      <c r="M562" s="1"/>
      <c r="N562" s="1"/>
      <c r="O562" s="1286"/>
      <c r="P562" s="95"/>
      <c r="Q562" s="95"/>
      <c r="AE562" s="95"/>
      <c r="AF562" s="95"/>
      <c r="AG562" s="95"/>
      <c r="AH562" s="2"/>
      <c r="AI562" s="2"/>
      <c r="AJ562" s="2"/>
      <c r="AK562" s="2"/>
    </row>
    <row r="563" spans="1:37" ht="21.75" customHeight="1" x14ac:dyDescent="0.2">
      <c r="A563" s="1"/>
      <c r="B563" s="1"/>
      <c r="C563" s="1"/>
      <c r="D563" s="1"/>
      <c r="E563" s="1"/>
      <c r="F563" s="1"/>
      <c r="G563" s="1"/>
      <c r="H563" s="1"/>
      <c r="I563" s="1"/>
      <c r="J563" s="1"/>
      <c r="K563" s="1"/>
      <c r="L563" s="1"/>
      <c r="M563" s="1"/>
      <c r="N563" s="1"/>
      <c r="O563" s="1286"/>
      <c r="P563" s="95"/>
      <c r="Q563" s="95"/>
      <c r="AE563" s="95"/>
      <c r="AF563" s="95"/>
      <c r="AG563" s="95"/>
      <c r="AH563" s="2"/>
      <c r="AI563" s="2"/>
      <c r="AJ563" s="2"/>
      <c r="AK563" s="2"/>
    </row>
    <row r="564" spans="1:37" ht="21.75" customHeight="1" x14ac:dyDescent="0.2">
      <c r="A564" s="1"/>
      <c r="B564" s="1"/>
      <c r="C564" s="1"/>
      <c r="D564" s="1"/>
      <c r="E564" s="1"/>
      <c r="F564" s="1"/>
      <c r="G564" s="1"/>
      <c r="H564" s="1"/>
      <c r="I564" s="1"/>
      <c r="J564" s="1"/>
      <c r="K564" s="1"/>
      <c r="L564" s="1"/>
      <c r="M564" s="1"/>
      <c r="N564" s="1"/>
      <c r="O564" s="1286"/>
      <c r="P564" s="95"/>
      <c r="Q564" s="95"/>
      <c r="AE564" s="95"/>
      <c r="AF564" s="95"/>
      <c r="AG564" s="95"/>
      <c r="AH564" s="2"/>
      <c r="AI564" s="2"/>
      <c r="AJ564" s="2"/>
      <c r="AK564" s="2"/>
    </row>
    <row r="565" spans="1:37" ht="21.75" customHeight="1" x14ac:dyDescent="0.2">
      <c r="A565" s="1"/>
      <c r="B565" s="1"/>
      <c r="C565" s="1"/>
      <c r="D565" s="1"/>
      <c r="E565" s="1"/>
      <c r="F565" s="1"/>
      <c r="G565" s="1"/>
      <c r="H565" s="1"/>
      <c r="I565" s="1"/>
      <c r="J565" s="1"/>
      <c r="K565" s="1"/>
      <c r="L565" s="1"/>
      <c r="M565" s="1"/>
      <c r="N565" s="1"/>
      <c r="O565" s="1286"/>
      <c r="P565" s="95"/>
      <c r="Q565" s="95"/>
      <c r="AE565" s="95"/>
      <c r="AF565" s="95"/>
      <c r="AG565" s="95"/>
      <c r="AH565" s="2"/>
      <c r="AI565" s="2"/>
      <c r="AJ565" s="2"/>
      <c r="AK565" s="2"/>
    </row>
    <row r="566" spans="1:37" ht="21.75" customHeight="1" x14ac:dyDescent="0.2">
      <c r="A566" s="1"/>
      <c r="B566" s="1"/>
      <c r="C566" s="1"/>
      <c r="D566" s="1"/>
      <c r="E566" s="1"/>
      <c r="F566" s="1"/>
      <c r="G566" s="1"/>
      <c r="H566" s="1"/>
      <c r="I566" s="1"/>
      <c r="J566" s="1"/>
      <c r="K566" s="1"/>
      <c r="L566" s="1"/>
      <c r="M566" s="1"/>
      <c r="N566" s="1"/>
      <c r="O566" s="1286"/>
      <c r="P566" s="95"/>
      <c r="Q566" s="95"/>
      <c r="AE566" s="95"/>
      <c r="AF566" s="95"/>
      <c r="AG566" s="95"/>
      <c r="AH566" s="2"/>
      <c r="AI566" s="2"/>
      <c r="AJ566" s="2"/>
      <c r="AK566" s="2"/>
    </row>
    <row r="567" spans="1:37" ht="21.75" customHeight="1" x14ac:dyDescent="0.2">
      <c r="A567" s="1"/>
      <c r="B567" s="1"/>
      <c r="C567" s="1"/>
      <c r="D567" s="1"/>
      <c r="E567" s="1"/>
      <c r="F567" s="1"/>
      <c r="G567" s="1"/>
      <c r="H567" s="1"/>
      <c r="I567" s="1"/>
      <c r="J567" s="1"/>
      <c r="K567" s="1"/>
      <c r="L567" s="1"/>
      <c r="M567" s="1"/>
      <c r="N567" s="1"/>
      <c r="O567" s="1286"/>
      <c r="P567" s="95"/>
      <c r="Q567" s="95"/>
      <c r="AE567" s="95"/>
      <c r="AF567" s="95"/>
      <c r="AG567" s="95"/>
      <c r="AH567" s="2"/>
      <c r="AI567" s="2"/>
      <c r="AJ567" s="2"/>
      <c r="AK567" s="2"/>
    </row>
    <row r="568" spans="1:37" ht="21.75" customHeight="1" x14ac:dyDescent="0.2">
      <c r="A568" s="1"/>
      <c r="B568" s="1"/>
      <c r="C568" s="1"/>
      <c r="D568" s="1"/>
      <c r="E568" s="1"/>
      <c r="F568" s="1"/>
      <c r="G568" s="1"/>
      <c r="H568" s="1"/>
      <c r="I568" s="1"/>
      <c r="J568" s="1"/>
      <c r="K568" s="1"/>
      <c r="L568" s="1"/>
      <c r="M568" s="1"/>
      <c r="N568" s="1"/>
      <c r="O568" s="1286"/>
      <c r="P568" s="95"/>
      <c r="Q568" s="95"/>
      <c r="AE568" s="95"/>
      <c r="AF568" s="95"/>
      <c r="AG568" s="95"/>
      <c r="AH568" s="2"/>
      <c r="AI568" s="2"/>
      <c r="AJ568" s="2"/>
      <c r="AK568" s="2"/>
    </row>
    <row r="569" spans="1:37" ht="21.75" customHeight="1" x14ac:dyDescent="0.2">
      <c r="A569" s="1"/>
      <c r="B569" s="1"/>
      <c r="C569" s="1"/>
      <c r="D569" s="1"/>
      <c r="E569" s="1"/>
      <c r="F569" s="1"/>
      <c r="G569" s="1"/>
      <c r="H569" s="1"/>
      <c r="I569" s="1"/>
      <c r="J569" s="1"/>
      <c r="K569" s="1"/>
      <c r="L569" s="1"/>
      <c r="M569" s="1"/>
      <c r="N569" s="1"/>
      <c r="O569" s="1286"/>
      <c r="P569" s="95"/>
      <c r="Q569" s="95"/>
      <c r="AE569" s="95"/>
      <c r="AF569" s="95"/>
      <c r="AG569" s="95"/>
      <c r="AH569" s="2"/>
      <c r="AI569" s="2"/>
      <c r="AJ569" s="2"/>
      <c r="AK569" s="2"/>
    </row>
    <row r="570" spans="1:37" ht="21.75" customHeight="1" x14ac:dyDescent="0.2">
      <c r="A570" s="1"/>
      <c r="B570" s="1"/>
      <c r="C570" s="1"/>
      <c r="D570" s="1"/>
      <c r="E570" s="1"/>
      <c r="F570" s="1"/>
      <c r="G570" s="1"/>
      <c r="H570" s="1"/>
      <c r="I570" s="1"/>
      <c r="J570" s="1"/>
      <c r="K570" s="1"/>
      <c r="L570" s="1"/>
      <c r="M570" s="1"/>
      <c r="N570" s="1"/>
      <c r="O570" s="1286"/>
      <c r="P570" s="95"/>
      <c r="Q570" s="95"/>
      <c r="AE570" s="95"/>
      <c r="AF570" s="95"/>
      <c r="AG570" s="95"/>
      <c r="AH570" s="2"/>
      <c r="AI570" s="2"/>
      <c r="AJ570" s="2"/>
      <c r="AK570" s="2"/>
    </row>
    <row r="571" spans="1:37" ht="21.75" customHeight="1" x14ac:dyDescent="0.2">
      <c r="A571" s="1"/>
      <c r="B571" s="1"/>
      <c r="C571" s="1"/>
      <c r="D571" s="1"/>
      <c r="E571" s="1"/>
      <c r="F571" s="1"/>
      <c r="G571" s="1"/>
      <c r="H571" s="1"/>
      <c r="I571" s="1"/>
      <c r="J571" s="1"/>
      <c r="K571" s="1"/>
      <c r="L571" s="1"/>
      <c r="M571" s="1"/>
      <c r="N571" s="1"/>
      <c r="O571" s="1286"/>
      <c r="P571" s="95"/>
      <c r="Q571" s="95"/>
      <c r="AE571" s="95"/>
      <c r="AF571" s="95"/>
      <c r="AG571" s="95"/>
      <c r="AH571" s="2"/>
      <c r="AI571" s="2"/>
      <c r="AJ571" s="2"/>
      <c r="AK571" s="2"/>
    </row>
    <row r="572" spans="1:37" ht="21.75" customHeight="1" x14ac:dyDescent="0.2">
      <c r="A572" s="1"/>
      <c r="B572" s="1"/>
      <c r="C572" s="1"/>
      <c r="D572" s="1"/>
      <c r="E572" s="1"/>
      <c r="F572" s="1"/>
      <c r="G572" s="1"/>
      <c r="H572" s="1"/>
      <c r="I572" s="1"/>
      <c r="J572" s="1"/>
      <c r="K572" s="1"/>
      <c r="L572" s="1"/>
      <c r="M572" s="1"/>
      <c r="N572" s="1"/>
      <c r="O572" s="1286"/>
      <c r="P572" s="95"/>
      <c r="Q572" s="95"/>
      <c r="AE572" s="95"/>
      <c r="AF572" s="95"/>
      <c r="AG572" s="95"/>
      <c r="AH572" s="2"/>
      <c r="AI572" s="2"/>
      <c r="AJ572" s="2"/>
      <c r="AK572" s="2"/>
    </row>
    <row r="573" spans="1:37" ht="21.75" customHeight="1" x14ac:dyDescent="0.2">
      <c r="A573" s="1"/>
      <c r="B573" s="1"/>
      <c r="C573" s="1"/>
      <c r="D573" s="1"/>
      <c r="E573" s="1"/>
      <c r="F573" s="1"/>
      <c r="G573" s="1"/>
      <c r="H573" s="1"/>
      <c r="I573" s="1"/>
      <c r="J573" s="1"/>
      <c r="K573" s="1"/>
      <c r="L573" s="1"/>
      <c r="M573" s="1"/>
      <c r="N573" s="1"/>
      <c r="O573" s="1286"/>
      <c r="P573" s="95"/>
      <c r="Q573" s="95"/>
      <c r="AE573" s="95"/>
      <c r="AF573" s="95"/>
      <c r="AG573" s="95"/>
      <c r="AH573" s="2"/>
      <c r="AI573" s="2"/>
      <c r="AJ573" s="2"/>
      <c r="AK573" s="2"/>
    </row>
    <row r="574" spans="1:37" ht="21.75" customHeight="1" x14ac:dyDescent="0.2">
      <c r="A574" s="1"/>
      <c r="B574" s="1"/>
      <c r="C574" s="1"/>
      <c r="D574" s="1"/>
      <c r="E574" s="1"/>
      <c r="F574" s="1"/>
      <c r="G574" s="1"/>
      <c r="H574" s="1"/>
      <c r="I574" s="1"/>
      <c r="J574" s="1"/>
      <c r="K574" s="1"/>
      <c r="L574" s="1"/>
      <c r="M574" s="1"/>
      <c r="N574" s="1"/>
      <c r="O574" s="1286"/>
      <c r="P574" s="95"/>
      <c r="Q574" s="95"/>
      <c r="AE574" s="95"/>
      <c r="AF574" s="95"/>
      <c r="AG574" s="95"/>
      <c r="AH574" s="2"/>
      <c r="AI574" s="2"/>
      <c r="AJ574" s="2"/>
      <c r="AK574" s="2"/>
    </row>
    <row r="575" spans="1:37" ht="21.75" customHeight="1" x14ac:dyDescent="0.2">
      <c r="A575" s="1"/>
      <c r="B575" s="1"/>
      <c r="C575" s="1"/>
      <c r="D575" s="1"/>
      <c r="E575" s="1"/>
      <c r="F575" s="1"/>
      <c r="G575" s="1"/>
      <c r="H575" s="1"/>
      <c r="I575" s="1"/>
      <c r="J575" s="1"/>
      <c r="K575" s="1"/>
      <c r="L575" s="1"/>
      <c r="M575" s="1"/>
      <c r="N575" s="1"/>
      <c r="O575" s="1286"/>
      <c r="P575" s="95"/>
      <c r="Q575" s="95"/>
      <c r="AE575" s="95"/>
      <c r="AF575" s="95"/>
      <c r="AG575" s="95"/>
      <c r="AH575" s="2"/>
      <c r="AI575" s="2"/>
      <c r="AJ575" s="2"/>
      <c r="AK575" s="2"/>
    </row>
    <row r="576" spans="1:37" ht="21.75" customHeight="1" x14ac:dyDescent="0.2">
      <c r="A576" s="1"/>
      <c r="B576" s="1"/>
      <c r="C576" s="1"/>
      <c r="D576" s="1"/>
      <c r="E576" s="1"/>
      <c r="F576" s="1"/>
      <c r="G576" s="1"/>
      <c r="H576" s="1"/>
      <c r="I576" s="1"/>
      <c r="J576" s="1"/>
      <c r="K576" s="1"/>
      <c r="L576" s="1"/>
      <c r="M576" s="1"/>
      <c r="N576" s="1"/>
      <c r="O576" s="1286"/>
      <c r="P576" s="95"/>
      <c r="Q576" s="95"/>
      <c r="AE576" s="95"/>
      <c r="AF576" s="95"/>
      <c r="AG576" s="95"/>
      <c r="AH576" s="2"/>
      <c r="AI576" s="2"/>
      <c r="AJ576" s="2"/>
      <c r="AK576" s="2"/>
    </row>
    <row r="577" spans="1:37" ht="15.75" customHeight="1" x14ac:dyDescent="0.2">
      <c r="A577" s="1"/>
      <c r="B577" s="2"/>
      <c r="C577" s="1"/>
      <c r="D577" s="1"/>
      <c r="E577" s="48"/>
      <c r="F577" s="48"/>
      <c r="G577" s="2"/>
      <c r="H577" s="48"/>
      <c r="I577" s="2"/>
      <c r="J577" s="2"/>
      <c r="K577" s="2"/>
      <c r="L577" s="2"/>
      <c r="M577" s="2"/>
      <c r="N577" s="2"/>
      <c r="O577" s="1286"/>
      <c r="P577" s="95"/>
      <c r="Q577" s="95"/>
      <c r="AE577" s="95"/>
      <c r="AF577" s="95"/>
      <c r="AG577" s="95"/>
      <c r="AH577" s="2"/>
      <c r="AI577" s="2"/>
      <c r="AJ577" s="2"/>
      <c r="AK577" s="2"/>
    </row>
    <row r="578" spans="1:37" ht="15.75" customHeight="1" x14ac:dyDescent="0.2">
      <c r="A578" s="1"/>
      <c r="B578" s="2"/>
      <c r="C578" s="1"/>
      <c r="D578" s="1"/>
      <c r="E578" s="48"/>
      <c r="F578" s="48"/>
      <c r="G578" s="2"/>
      <c r="H578" s="48"/>
      <c r="I578" s="2"/>
      <c r="J578" s="2"/>
      <c r="K578" s="2"/>
      <c r="L578" s="2"/>
      <c r="M578" s="2"/>
      <c r="N578" s="2"/>
      <c r="O578" s="1286"/>
      <c r="P578" s="95"/>
      <c r="Q578" s="95"/>
      <c r="AE578" s="95"/>
      <c r="AF578" s="95"/>
      <c r="AG578" s="95"/>
      <c r="AH578" s="2"/>
      <c r="AI578" s="2"/>
      <c r="AJ578" s="2"/>
      <c r="AK578" s="2"/>
    </row>
    <row r="579" spans="1:37" ht="15.75" customHeight="1" x14ac:dyDescent="0.2">
      <c r="A579" s="1"/>
      <c r="B579" s="2"/>
      <c r="C579" s="1"/>
      <c r="D579" s="1"/>
      <c r="E579" s="48"/>
      <c r="F579" s="48"/>
      <c r="G579" s="2"/>
      <c r="H579" s="48"/>
      <c r="I579" s="2"/>
      <c r="J579" s="2"/>
      <c r="K579" s="2"/>
      <c r="L579" s="2"/>
      <c r="M579" s="2"/>
      <c r="N579" s="2"/>
      <c r="O579" s="1286"/>
      <c r="P579" s="95"/>
      <c r="Q579" s="95"/>
      <c r="AE579" s="95"/>
      <c r="AF579" s="95"/>
      <c r="AG579" s="95"/>
      <c r="AH579" s="2"/>
      <c r="AI579" s="2"/>
      <c r="AJ579" s="2"/>
      <c r="AK579" s="2"/>
    </row>
    <row r="580" spans="1:37" ht="15.75" customHeight="1" x14ac:dyDescent="0.2">
      <c r="A580" s="1"/>
      <c r="B580" s="2"/>
      <c r="C580" s="1"/>
      <c r="D580" s="1"/>
      <c r="E580" s="48"/>
      <c r="F580" s="48"/>
      <c r="G580" s="2"/>
      <c r="H580" s="48"/>
      <c r="I580" s="2"/>
      <c r="J580" s="2"/>
      <c r="K580" s="2"/>
      <c r="L580" s="2"/>
      <c r="M580" s="2"/>
      <c r="N580" s="2"/>
      <c r="O580" s="1286"/>
      <c r="P580" s="95"/>
      <c r="Q580" s="95"/>
      <c r="AE580" s="95"/>
      <c r="AF580" s="95"/>
      <c r="AG580" s="95"/>
      <c r="AH580" s="2"/>
      <c r="AI580" s="2"/>
      <c r="AJ580" s="2"/>
      <c r="AK580" s="2"/>
    </row>
    <row r="581" spans="1:37" ht="15.75" customHeight="1" x14ac:dyDescent="0.2">
      <c r="A581" s="1"/>
      <c r="B581" s="2"/>
      <c r="C581" s="1"/>
      <c r="D581" s="1"/>
      <c r="E581" s="48"/>
      <c r="F581" s="48"/>
      <c r="G581" s="2"/>
      <c r="H581" s="48"/>
      <c r="I581" s="2"/>
      <c r="J581" s="2"/>
      <c r="K581" s="2"/>
      <c r="L581" s="2"/>
      <c r="M581" s="2"/>
      <c r="N581" s="2"/>
      <c r="O581" s="1286"/>
      <c r="P581" s="95"/>
      <c r="Q581" s="95"/>
      <c r="AE581" s="95"/>
      <c r="AF581" s="95"/>
      <c r="AG581" s="95"/>
      <c r="AH581" s="2"/>
      <c r="AI581" s="2"/>
      <c r="AJ581" s="2"/>
      <c r="AK581" s="2"/>
    </row>
    <row r="582" spans="1:37" ht="15.75" customHeight="1" x14ac:dyDescent="0.2">
      <c r="A582" s="1"/>
      <c r="B582" s="2"/>
      <c r="C582" s="1"/>
      <c r="D582" s="1"/>
      <c r="E582" s="48"/>
      <c r="F582" s="48"/>
      <c r="G582" s="2"/>
      <c r="H582" s="48"/>
      <c r="I582" s="2"/>
      <c r="J582" s="2"/>
      <c r="K582" s="2"/>
      <c r="L582" s="2"/>
      <c r="M582" s="2"/>
      <c r="N582" s="2"/>
      <c r="O582" s="1286"/>
      <c r="P582" s="95"/>
      <c r="Q582" s="95"/>
      <c r="AE582" s="95"/>
      <c r="AF582" s="95"/>
      <c r="AG582" s="95"/>
      <c r="AH582" s="2"/>
      <c r="AI582" s="2"/>
      <c r="AJ582" s="2"/>
      <c r="AK582" s="2"/>
    </row>
    <row r="583" spans="1:37" ht="15.75" customHeight="1" x14ac:dyDescent="0.2">
      <c r="A583" s="1"/>
      <c r="B583" s="2"/>
      <c r="C583" s="1"/>
      <c r="D583" s="1"/>
      <c r="E583" s="48"/>
      <c r="F583" s="48"/>
      <c r="G583" s="2"/>
      <c r="H583" s="48"/>
      <c r="I583" s="2"/>
      <c r="J583" s="2"/>
      <c r="K583" s="2"/>
      <c r="L583" s="2"/>
      <c r="M583" s="2"/>
      <c r="N583" s="2"/>
      <c r="O583" s="1286"/>
      <c r="P583" s="95"/>
      <c r="Q583" s="95"/>
      <c r="AE583" s="95"/>
      <c r="AF583" s="95"/>
      <c r="AG583" s="95"/>
      <c r="AH583" s="2"/>
      <c r="AI583" s="2"/>
      <c r="AJ583" s="2"/>
      <c r="AK583" s="2"/>
    </row>
    <row r="584" spans="1:37" ht="15.75" customHeight="1" x14ac:dyDescent="0.2">
      <c r="A584" s="1"/>
      <c r="B584" s="2"/>
      <c r="C584" s="1"/>
      <c r="D584" s="1"/>
      <c r="E584" s="48"/>
      <c r="F584" s="48"/>
      <c r="G584" s="2"/>
      <c r="H584" s="48"/>
      <c r="I584" s="2"/>
      <c r="J584" s="2"/>
      <c r="K584" s="2"/>
      <c r="L584" s="2"/>
      <c r="M584" s="2"/>
      <c r="N584" s="2"/>
      <c r="O584" s="1286"/>
      <c r="P584" s="95"/>
      <c r="Q584" s="95"/>
      <c r="AE584" s="95"/>
      <c r="AF584" s="95"/>
      <c r="AG584" s="95"/>
      <c r="AH584" s="2"/>
      <c r="AI584" s="2"/>
      <c r="AJ584" s="2"/>
      <c r="AK584" s="2"/>
    </row>
    <row r="585" spans="1:37" ht="15.75" customHeight="1" x14ac:dyDescent="0.2">
      <c r="A585" s="1"/>
      <c r="B585" s="2"/>
      <c r="C585" s="1"/>
      <c r="D585" s="1"/>
      <c r="E585" s="48"/>
      <c r="F585" s="48"/>
      <c r="G585" s="2"/>
      <c r="H585" s="48"/>
      <c r="I585" s="2"/>
      <c r="J585" s="2"/>
      <c r="K585" s="2"/>
      <c r="L585" s="2"/>
      <c r="M585" s="2"/>
      <c r="N585" s="2"/>
      <c r="O585" s="1286"/>
      <c r="P585" s="95"/>
      <c r="Q585" s="95"/>
      <c r="AE585" s="95"/>
      <c r="AF585" s="95"/>
      <c r="AG585" s="95"/>
      <c r="AH585" s="2"/>
      <c r="AI585" s="2"/>
      <c r="AJ585" s="2"/>
      <c r="AK585" s="2"/>
    </row>
    <row r="586" spans="1:37" ht="15.75" customHeight="1" x14ac:dyDescent="0.2">
      <c r="A586" s="1"/>
      <c r="B586" s="2"/>
      <c r="C586" s="1"/>
      <c r="D586" s="1"/>
      <c r="E586" s="48"/>
      <c r="F586" s="48"/>
      <c r="G586" s="2"/>
      <c r="H586" s="48"/>
      <c r="I586" s="2"/>
      <c r="J586" s="2"/>
      <c r="K586" s="2"/>
      <c r="L586" s="2"/>
      <c r="M586" s="2"/>
      <c r="N586" s="2"/>
      <c r="O586" s="1286"/>
      <c r="P586" s="95"/>
      <c r="Q586" s="95"/>
      <c r="AE586" s="95"/>
      <c r="AF586" s="95"/>
      <c r="AG586" s="95"/>
      <c r="AH586" s="2"/>
      <c r="AI586" s="2"/>
      <c r="AJ586" s="2"/>
      <c r="AK586" s="2"/>
    </row>
    <row r="587" spans="1:37" ht="15.75" customHeight="1" x14ac:dyDescent="0.2">
      <c r="A587" s="1"/>
      <c r="B587" s="2"/>
      <c r="C587" s="1"/>
      <c r="D587" s="1"/>
      <c r="E587" s="48"/>
      <c r="F587" s="48"/>
      <c r="G587" s="2"/>
      <c r="H587" s="48"/>
      <c r="I587" s="2"/>
      <c r="J587" s="2"/>
      <c r="K587" s="2"/>
      <c r="L587" s="2"/>
      <c r="M587" s="2"/>
      <c r="N587" s="2"/>
      <c r="O587" s="1286"/>
      <c r="P587" s="95"/>
      <c r="Q587" s="95"/>
      <c r="AE587" s="95"/>
      <c r="AF587" s="95"/>
      <c r="AG587" s="95"/>
      <c r="AH587" s="2"/>
      <c r="AI587" s="2"/>
      <c r="AJ587" s="2"/>
      <c r="AK587" s="2"/>
    </row>
    <row r="588" spans="1:37" ht="15.75" customHeight="1" x14ac:dyDescent="0.2">
      <c r="A588" s="1"/>
      <c r="B588" s="2"/>
      <c r="C588" s="1"/>
      <c r="D588" s="1"/>
      <c r="E588" s="48"/>
      <c r="F588" s="48"/>
      <c r="G588" s="2"/>
      <c r="H588" s="48"/>
      <c r="I588" s="2"/>
      <c r="J588" s="2"/>
      <c r="K588" s="2"/>
      <c r="L588" s="2"/>
      <c r="M588" s="2"/>
      <c r="N588" s="2"/>
      <c r="O588" s="1286"/>
      <c r="P588" s="95"/>
      <c r="Q588" s="95"/>
      <c r="AE588" s="95"/>
      <c r="AF588" s="95"/>
      <c r="AG588" s="95"/>
      <c r="AH588" s="2"/>
      <c r="AI588" s="2"/>
      <c r="AJ588" s="2"/>
      <c r="AK588" s="2"/>
    </row>
    <row r="589" spans="1:37" ht="15.75" customHeight="1" x14ac:dyDescent="0.2">
      <c r="A589" s="1"/>
      <c r="B589" s="2"/>
      <c r="C589" s="1"/>
      <c r="D589" s="1"/>
      <c r="E589" s="48"/>
      <c r="F589" s="48"/>
      <c r="G589" s="2"/>
      <c r="H589" s="48"/>
      <c r="I589" s="2"/>
      <c r="J589" s="2"/>
      <c r="K589" s="2"/>
      <c r="L589" s="2"/>
      <c r="M589" s="2"/>
      <c r="N589" s="2"/>
      <c r="O589" s="1286"/>
      <c r="P589" s="95"/>
      <c r="Q589" s="95"/>
      <c r="AE589" s="95"/>
      <c r="AF589" s="95"/>
      <c r="AG589" s="95"/>
      <c r="AH589" s="2"/>
      <c r="AI589" s="2"/>
      <c r="AJ589" s="2"/>
      <c r="AK589" s="2"/>
    </row>
    <row r="590" spans="1:37" ht="15.75" customHeight="1" x14ac:dyDescent="0.2">
      <c r="A590" s="1"/>
      <c r="B590" s="2"/>
      <c r="C590" s="1"/>
      <c r="D590" s="1"/>
      <c r="E590" s="48"/>
      <c r="F590" s="48"/>
      <c r="G590" s="2"/>
      <c r="H590" s="48"/>
      <c r="I590" s="2"/>
      <c r="J590" s="2"/>
      <c r="K590" s="2"/>
      <c r="L590" s="2"/>
      <c r="M590" s="2"/>
      <c r="N590" s="2"/>
      <c r="O590" s="1286"/>
      <c r="P590" s="95"/>
      <c r="Q590" s="95"/>
      <c r="AE590" s="95"/>
      <c r="AF590" s="95"/>
      <c r="AG590" s="95"/>
      <c r="AH590" s="2"/>
      <c r="AI590" s="2"/>
      <c r="AJ590" s="2"/>
      <c r="AK590" s="2"/>
    </row>
    <row r="591" spans="1:37" ht="15.75" customHeight="1" x14ac:dyDescent="0.2">
      <c r="A591" s="1"/>
      <c r="B591" s="2"/>
      <c r="C591" s="1"/>
      <c r="D591" s="1"/>
      <c r="E591" s="48"/>
      <c r="F591" s="48"/>
      <c r="G591" s="2"/>
      <c r="H591" s="48"/>
      <c r="I591" s="2"/>
      <c r="J591" s="2"/>
      <c r="K591" s="2"/>
      <c r="L591" s="2"/>
      <c r="M591" s="2"/>
      <c r="N591" s="2"/>
      <c r="O591" s="1286"/>
      <c r="P591" s="95"/>
      <c r="Q591" s="95"/>
      <c r="AE591" s="95"/>
      <c r="AF591" s="95"/>
      <c r="AG591" s="95"/>
      <c r="AH591" s="2"/>
      <c r="AI591" s="2"/>
      <c r="AJ591" s="2"/>
      <c r="AK591" s="2"/>
    </row>
    <row r="592" spans="1:37" ht="15.75" customHeight="1" x14ac:dyDescent="0.2">
      <c r="A592" s="1"/>
      <c r="B592" s="2"/>
      <c r="C592" s="1"/>
      <c r="D592" s="1"/>
      <c r="E592" s="48"/>
      <c r="F592" s="48"/>
      <c r="G592" s="2"/>
      <c r="H592" s="48"/>
      <c r="I592" s="2"/>
      <c r="J592" s="2"/>
      <c r="K592" s="2"/>
      <c r="L592" s="2"/>
      <c r="M592" s="2"/>
      <c r="N592" s="2"/>
      <c r="O592" s="1286"/>
      <c r="P592" s="95"/>
      <c r="Q592" s="95"/>
      <c r="AE592" s="95"/>
      <c r="AF592" s="95"/>
      <c r="AG592" s="95"/>
      <c r="AH592" s="2"/>
      <c r="AI592" s="2"/>
      <c r="AJ592" s="2"/>
      <c r="AK592" s="2"/>
    </row>
    <row r="593" spans="1:37" ht="15.75" customHeight="1" x14ac:dyDescent="0.2">
      <c r="A593" s="1"/>
      <c r="B593" s="2"/>
      <c r="C593" s="1"/>
      <c r="D593" s="1"/>
      <c r="E593" s="48"/>
      <c r="F593" s="48"/>
      <c r="G593" s="2"/>
      <c r="H593" s="48"/>
      <c r="I593" s="2"/>
      <c r="J593" s="2"/>
      <c r="K593" s="2"/>
      <c r="L593" s="2"/>
      <c r="M593" s="2"/>
      <c r="N593" s="2"/>
      <c r="O593" s="1286"/>
      <c r="P593" s="95"/>
      <c r="Q593" s="95"/>
      <c r="AE593" s="95"/>
      <c r="AF593" s="95"/>
      <c r="AG593" s="95"/>
      <c r="AH593" s="2"/>
      <c r="AI593" s="2"/>
      <c r="AJ593" s="2"/>
      <c r="AK593" s="2"/>
    </row>
    <row r="594" spans="1:37" ht="15.75" customHeight="1" x14ac:dyDescent="0.2">
      <c r="A594" s="1"/>
      <c r="B594" s="2"/>
      <c r="C594" s="1"/>
      <c r="D594" s="1"/>
      <c r="E594" s="48"/>
      <c r="F594" s="48"/>
      <c r="G594" s="2"/>
      <c r="H594" s="48"/>
      <c r="I594" s="2"/>
      <c r="J594" s="2"/>
      <c r="K594" s="2"/>
      <c r="L594" s="2"/>
      <c r="M594" s="2"/>
      <c r="N594" s="2"/>
      <c r="O594" s="1286"/>
      <c r="P594" s="95"/>
      <c r="Q594" s="95"/>
      <c r="AE594" s="95"/>
      <c r="AF594" s="95"/>
      <c r="AG594" s="95"/>
      <c r="AH594" s="2"/>
      <c r="AI594" s="2"/>
      <c r="AJ594" s="2"/>
      <c r="AK594" s="2"/>
    </row>
    <row r="595" spans="1:37" ht="15.75" customHeight="1" x14ac:dyDescent="0.2">
      <c r="A595" s="1"/>
      <c r="B595" s="2"/>
      <c r="C595" s="1"/>
      <c r="D595" s="1"/>
      <c r="E595" s="48"/>
      <c r="F595" s="48"/>
      <c r="G595" s="2"/>
      <c r="H595" s="48"/>
      <c r="I595" s="2"/>
      <c r="J595" s="2"/>
      <c r="K595" s="2"/>
      <c r="L595" s="2"/>
      <c r="M595" s="2"/>
      <c r="N595" s="2"/>
      <c r="O595" s="1286"/>
      <c r="P595" s="95"/>
      <c r="Q595" s="95"/>
      <c r="AE595" s="95"/>
      <c r="AF595" s="95"/>
      <c r="AG595" s="95"/>
      <c r="AH595" s="2"/>
      <c r="AI595" s="2"/>
      <c r="AJ595" s="2"/>
      <c r="AK595" s="2"/>
    </row>
    <row r="596" spans="1:37" ht="15.75" customHeight="1" x14ac:dyDescent="0.2">
      <c r="A596" s="1"/>
      <c r="B596" s="2"/>
      <c r="C596" s="1"/>
      <c r="D596" s="1"/>
      <c r="E596" s="48"/>
      <c r="F596" s="48"/>
      <c r="G596" s="2"/>
      <c r="H596" s="48"/>
      <c r="I596" s="2"/>
      <c r="J596" s="2"/>
      <c r="K596" s="2"/>
      <c r="L596" s="2"/>
      <c r="M596" s="2"/>
      <c r="N596" s="2"/>
      <c r="O596" s="1286"/>
      <c r="P596" s="95"/>
      <c r="Q596" s="95"/>
      <c r="AE596" s="95"/>
      <c r="AF596" s="95"/>
      <c r="AG596" s="95"/>
      <c r="AH596" s="2"/>
      <c r="AI596" s="2"/>
      <c r="AJ596" s="2"/>
      <c r="AK596" s="2"/>
    </row>
    <row r="597" spans="1:37" ht="15.75" customHeight="1" x14ac:dyDescent="0.2">
      <c r="A597" s="1"/>
      <c r="B597" s="2"/>
      <c r="C597" s="1"/>
      <c r="D597" s="1"/>
      <c r="E597" s="48"/>
      <c r="F597" s="48"/>
      <c r="G597" s="2"/>
      <c r="H597" s="48"/>
      <c r="I597" s="2"/>
      <c r="J597" s="2"/>
      <c r="K597" s="2"/>
      <c r="L597" s="2"/>
      <c r="M597" s="2"/>
      <c r="N597" s="2"/>
      <c r="O597" s="1286"/>
      <c r="P597" s="95"/>
      <c r="Q597" s="95"/>
      <c r="AE597" s="95"/>
      <c r="AF597" s="95"/>
      <c r="AG597" s="95"/>
      <c r="AH597" s="2"/>
      <c r="AI597" s="2"/>
      <c r="AJ597" s="2"/>
      <c r="AK597" s="2"/>
    </row>
    <row r="598" spans="1:37" ht="15.75" customHeight="1" x14ac:dyDescent="0.2">
      <c r="A598" s="1"/>
      <c r="B598" s="2"/>
      <c r="C598" s="1"/>
      <c r="D598" s="1"/>
      <c r="E598" s="48"/>
      <c r="F598" s="48"/>
      <c r="G598" s="2"/>
      <c r="H598" s="48"/>
      <c r="I598" s="2"/>
      <c r="J598" s="2"/>
      <c r="K598" s="2"/>
      <c r="L598" s="2"/>
      <c r="M598" s="2"/>
      <c r="N598" s="2"/>
      <c r="O598" s="1286"/>
      <c r="P598" s="95"/>
      <c r="Q598" s="95"/>
      <c r="AE598" s="95"/>
      <c r="AF598" s="95"/>
      <c r="AG598" s="95"/>
      <c r="AH598" s="2"/>
      <c r="AI598" s="2"/>
      <c r="AJ598" s="2"/>
      <c r="AK598" s="2"/>
    </row>
    <row r="599" spans="1:37" ht="15.75" customHeight="1" x14ac:dyDescent="0.2">
      <c r="A599" s="1"/>
      <c r="B599" s="2"/>
      <c r="C599" s="1"/>
      <c r="D599" s="1"/>
      <c r="E599" s="48"/>
      <c r="F599" s="48"/>
      <c r="G599" s="2"/>
      <c r="H599" s="48"/>
      <c r="I599" s="2"/>
      <c r="J599" s="2"/>
      <c r="K599" s="2"/>
      <c r="L599" s="2"/>
      <c r="M599" s="2"/>
      <c r="N599" s="2"/>
      <c r="O599" s="1286"/>
      <c r="P599" s="95"/>
      <c r="Q599" s="95"/>
      <c r="AE599" s="95"/>
      <c r="AF599" s="95"/>
      <c r="AG599" s="95"/>
      <c r="AH599" s="2"/>
      <c r="AI599" s="2"/>
      <c r="AJ599" s="2"/>
      <c r="AK599" s="2"/>
    </row>
    <row r="600" spans="1:37" ht="15.75" customHeight="1" x14ac:dyDescent="0.2">
      <c r="A600" s="1"/>
      <c r="B600" s="2"/>
      <c r="C600" s="1"/>
      <c r="D600" s="1"/>
      <c r="E600" s="48"/>
      <c r="F600" s="48"/>
      <c r="G600" s="2"/>
      <c r="H600" s="48"/>
      <c r="I600" s="2"/>
      <c r="J600" s="2"/>
      <c r="K600" s="2"/>
      <c r="L600" s="2"/>
      <c r="M600" s="2"/>
      <c r="N600" s="2"/>
      <c r="O600" s="1286"/>
      <c r="P600" s="95"/>
      <c r="Q600" s="95"/>
      <c r="AE600" s="95"/>
      <c r="AF600" s="95"/>
      <c r="AG600" s="95"/>
      <c r="AH600" s="2"/>
      <c r="AI600" s="2"/>
      <c r="AJ600" s="2"/>
      <c r="AK600" s="2"/>
    </row>
    <row r="601" spans="1:37" ht="15.75" customHeight="1" x14ac:dyDescent="0.2">
      <c r="A601" s="1"/>
      <c r="B601" s="2"/>
      <c r="C601" s="1"/>
      <c r="D601" s="1"/>
      <c r="E601" s="48"/>
      <c r="F601" s="48"/>
      <c r="G601" s="2"/>
      <c r="H601" s="48"/>
      <c r="I601" s="2"/>
      <c r="J601" s="2"/>
      <c r="K601" s="2"/>
      <c r="L601" s="2"/>
      <c r="M601" s="2"/>
      <c r="N601" s="2"/>
      <c r="O601" s="1286"/>
      <c r="P601" s="95"/>
      <c r="Q601" s="95"/>
      <c r="AE601" s="95"/>
      <c r="AF601" s="95"/>
      <c r="AG601" s="95"/>
      <c r="AH601" s="2"/>
      <c r="AI601" s="2"/>
      <c r="AJ601" s="2"/>
      <c r="AK601" s="2"/>
    </row>
    <row r="602" spans="1:37" ht="15.75" customHeight="1" x14ac:dyDescent="0.2">
      <c r="A602" s="1"/>
      <c r="B602" s="2"/>
      <c r="C602" s="1"/>
      <c r="D602" s="1"/>
      <c r="E602" s="48"/>
      <c r="F602" s="48"/>
      <c r="G602" s="2"/>
      <c r="H602" s="48"/>
      <c r="I602" s="2"/>
      <c r="J602" s="2"/>
      <c r="K602" s="2"/>
      <c r="L602" s="2"/>
      <c r="M602" s="2"/>
      <c r="N602" s="2"/>
      <c r="O602" s="1286"/>
      <c r="P602" s="95"/>
      <c r="Q602" s="95"/>
      <c r="AE602" s="95"/>
      <c r="AF602" s="95"/>
      <c r="AG602" s="95"/>
      <c r="AH602" s="2"/>
      <c r="AI602" s="2"/>
      <c r="AJ602" s="2"/>
      <c r="AK602" s="2"/>
    </row>
    <row r="603" spans="1:37" ht="15.75" customHeight="1" x14ac:dyDescent="0.2">
      <c r="A603" s="1"/>
      <c r="B603" s="2"/>
      <c r="C603" s="1"/>
      <c r="D603" s="1"/>
      <c r="E603" s="48"/>
      <c r="F603" s="48"/>
      <c r="G603" s="2"/>
      <c r="H603" s="48"/>
      <c r="I603" s="2"/>
      <c r="J603" s="2"/>
      <c r="K603" s="2"/>
      <c r="L603" s="2"/>
      <c r="M603" s="2"/>
      <c r="N603" s="2"/>
      <c r="O603" s="1286"/>
      <c r="P603" s="95"/>
      <c r="Q603" s="95"/>
      <c r="AE603" s="95"/>
      <c r="AF603" s="95"/>
      <c r="AG603" s="95"/>
      <c r="AH603" s="2"/>
      <c r="AI603" s="2"/>
      <c r="AJ603" s="2"/>
      <c r="AK603" s="2"/>
    </row>
    <row r="604" spans="1:37" ht="15.75" customHeight="1" x14ac:dyDescent="0.2">
      <c r="A604" s="1"/>
      <c r="B604" s="2"/>
      <c r="C604" s="1"/>
      <c r="D604" s="1"/>
      <c r="E604" s="48"/>
      <c r="F604" s="48"/>
      <c r="G604" s="2"/>
      <c r="H604" s="48"/>
      <c r="I604" s="2"/>
      <c r="J604" s="2"/>
      <c r="K604" s="2"/>
      <c r="L604" s="2"/>
      <c r="M604" s="2"/>
      <c r="N604" s="2"/>
      <c r="O604" s="1286"/>
      <c r="P604" s="95"/>
      <c r="Q604" s="95"/>
      <c r="AE604" s="95"/>
      <c r="AF604" s="95"/>
      <c r="AG604" s="95"/>
      <c r="AH604" s="2"/>
      <c r="AI604" s="2"/>
      <c r="AJ604" s="2"/>
      <c r="AK604" s="2"/>
    </row>
    <row r="605" spans="1:37" ht="15.75" customHeight="1" x14ac:dyDescent="0.2">
      <c r="A605" s="1"/>
      <c r="B605" s="2"/>
      <c r="C605" s="1"/>
      <c r="D605" s="1"/>
      <c r="E605" s="48"/>
      <c r="F605" s="48"/>
      <c r="G605" s="2"/>
      <c r="H605" s="48"/>
      <c r="I605" s="2"/>
      <c r="J605" s="2"/>
      <c r="K605" s="2"/>
      <c r="L605" s="2"/>
      <c r="M605" s="2"/>
      <c r="N605" s="2"/>
      <c r="O605" s="1286"/>
      <c r="P605" s="95"/>
      <c r="Q605" s="95"/>
      <c r="AE605" s="95"/>
      <c r="AF605" s="95"/>
      <c r="AG605" s="95"/>
      <c r="AH605" s="2"/>
      <c r="AI605" s="2"/>
      <c r="AJ605" s="2"/>
      <c r="AK605" s="2"/>
    </row>
    <row r="606" spans="1:37" ht="15.75" customHeight="1" x14ac:dyDescent="0.2">
      <c r="A606" s="1"/>
      <c r="B606" s="2"/>
      <c r="C606" s="1"/>
      <c r="D606" s="1"/>
      <c r="E606" s="48"/>
      <c r="F606" s="48"/>
      <c r="G606" s="2"/>
      <c r="H606" s="48"/>
      <c r="I606" s="2"/>
      <c r="J606" s="2"/>
      <c r="K606" s="2"/>
      <c r="L606" s="2"/>
      <c r="M606" s="2"/>
      <c r="N606" s="2"/>
      <c r="O606" s="1286"/>
      <c r="P606" s="95"/>
      <c r="Q606" s="95"/>
      <c r="AE606" s="95"/>
      <c r="AF606" s="95"/>
      <c r="AG606" s="95"/>
      <c r="AH606" s="2"/>
      <c r="AI606" s="2"/>
      <c r="AJ606" s="2"/>
      <c r="AK606" s="2"/>
    </row>
    <row r="607" spans="1:37" ht="15.75" customHeight="1" x14ac:dyDescent="0.2">
      <c r="A607" s="1"/>
      <c r="B607" s="2"/>
      <c r="C607" s="1"/>
      <c r="D607" s="1"/>
      <c r="E607" s="48"/>
      <c r="F607" s="48"/>
      <c r="G607" s="2"/>
      <c r="H607" s="48"/>
      <c r="I607" s="2"/>
      <c r="J607" s="2"/>
      <c r="K607" s="2"/>
      <c r="L607" s="2"/>
      <c r="M607" s="2"/>
      <c r="N607" s="2"/>
      <c r="O607" s="1286"/>
      <c r="P607" s="95"/>
      <c r="Q607" s="95"/>
      <c r="AE607" s="95"/>
      <c r="AF607" s="95"/>
      <c r="AG607" s="95"/>
      <c r="AH607" s="2"/>
      <c r="AI607" s="2"/>
      <c r="AJ607" s="2"/>
      <c r="AK607" s="2"/>
    </row>
    <row r="608" spans="1:37" ht="15.75" customHeight="1" x14ac:dyDescent="0.2">
      <c r="A608" s="1"/>
      <c r="B608" s="2"/>
      <c r="C608" s="1"/>
      <c r="D608" s="1"/>
      <c r="E608" s="48"/>
      <c r="F608" s="48"/>
      <c r="G608" s="2"/>
      <c r="H608" s="48"/>
      <c r="I608" s="2"/>
      <c r="J608" s="2"/>
      <c r="K608" s="2"/>
      <c r="L608" s="2"/>
      <c r="M608" s="2"/>
      <c r="N608" s="2"/>
      <c r="O608" s="1286"/>
      <c r="P608" s="95"/>
      <c r="Q608" s="95"/>
      <c r="AE608" s="95"/>
      <c r="AF608" s="95"/>
      <c r="AG608" s="95"/>
      <c r="AH608" s="2"/>
      <c r="AI608" s="2"/>
      <c r="AJ608" s="2"/>
      <c r="AK608" s="2"/>
    </row>
    <row r="609" spans="1:37" ht="15.75" customHeight="1" x14ac:dyDescent="0.2">
      <c r="A609" s="1"/>
      <c r="B609" s="2"/>
      <c r="C609" s="1"/>
      <c r="D609" s="1"/>
      <c r="E609" s="48"/>
      <c r="F609" s="48"/>
      <c r="G609" s="2"/>
      <c r="H609" s="48"/>
      <c r="I609" s="2"/>
      <c r="J609" s="2"/>
      <c r="K609" s="2"/>
      <c r="L609" s="2"/>
      <c r="M609" s="2"/>
      <c r="N609" s="2"/>
      <c r="O609" s="1286"/>
      <c r="P609" s="95"/>
      <c r="Q609" s="95"/>
      <c r="AE609" s="95"/>
      <c r="AF609" s="95"/>
      <c r="AG609" s="95"/>
      <c r="AH609" s="2"/>
      <c r="AI609" s="2"/>
      <c r="AJ609" s="2"/>
      <c r="AK609" s="2"/>
    </row>
    <row r="610" spans="1:37" ht="15.75" customHeight="1" x14ac:dyDescent="0.2">
      <c r="A610" s="1"/>
      <c r="B610" s="2"/>
      <c r="C610" s="1"/>
      <c r="D610" s="1"/>
      <c r="E610" s="48"/>
      <c r="F610" s="48"/>
      <c r="G610" s="2"/>
      <c r="H610" s="48"/>
      <c r="I610" s="2"/>
      <c r="J610" s="2"/>
      <c r="K610" s="2"/>
      <c r="L610" s="2"/>
      <c r="M610" s="2"/>
      <c r="N610" s="2"/>
      <c r="O610" s="1286"/>
      <c r="P610" s="95"/>
      <c r="Q610" s="95"/>
      <c r="AE610" s="95"/>
      <c r="AF610" s="95"/>
      <c r="AG610" s="95"/>
      <c r="AH610" s="2"/>
      <c r="AI610" s="2"/>
      <c r="AJ610" s="2"/>
      <c r="AK610" s="2"/>
    </row>
    <row r="611" spans="1:37" ht="15.75" customHeight="1" x14ac:dyDescent="0.2">
      <c r="A611" s="1"/>
      <c r="B611" s="2"/>
      <c r="C611" s="1"/>
      <c r="D611" s="1"/>
      <c r="E611" s="48"/>
      <c r="F611" s="48"/>
      <c r="G611" s="2"/>
      <c r="H611" s="48"/>
      <c r="I611" s="2"/>
      <c r="J611" s="2"/>
      <c r="K611" s="2"/>
      <c r="L611" s="2"/>
      <c r="M611" s="2"/>
      <c r="N611" s="2"/>
      <c r="O611" s="1286"/>
      <c r="P611" s="95"/>
      <c r="Q611" s="95"/>
      <c r="AE611" s="95"/>
      <c r="AF611" s="95"/>
      <c r="AG611" s="95"/>
      <c r="AH611" s="2"/>
      <c r="AI611" s="2"/>
      <c r="AJ611" s="2"/>
      <c r="AK611" s="2"/>
    </row>
    <row r="612" spans="1:37" ht="15.75" customHeight="1" x14ac:dyDescent="0.2">
      <c r="A612" s="1"/>
      <c r="B612" s="2"/>
      <c r="C612" s="1"/>
      <c r="D612" s="1"/>
      <c r="E612" s="48"/>
      <c r="F612" s="48"/>
      <c r="G612" s="2"/>
      <c r="H612" s="48"/>
      <c r="I612" s="2"/>
      <c r="J612" s="2"/>
      <c r="K612" s="2"/>
      <c r="L612" s="2"/>
      <c r="M612" s="2"/>
      <c r="N612" s="2"/>
      <c r="O612" s="1286"/>
      <c r="P612" s="95"/>
      <c r="Q612" s="95"/>
      <c r="AE612" s="95"/>
      <c r="AF612" s="95"/>
      <c r="AG612" s="95"/>
      <c r="AH612" s="2"/>
      <c r="AI612" s="2"/>
      <c r="AJ612" s="2"/>
      <c r="AK612" s="2"/>
    </row>
    <row r="613" spans="1:37" ht="15.75" customHeight="1" x14ac:dyDescent="0.2">
      <c r="A613" s="1"/>
      <c r="B613" s="2"/>
      <c r="C613" s="1"/>
      <c r="D613" s="1"/>
      <c r="E613" s="48"/>
      <c r="F613" s="48"/>
      <c r="G613" s="2"/>
      <c r="H613" s="48"/>
      <c r="I613" s="2"/>
      <c r="J613" s="2"/>
      <c r="K613" s="2"/>
      <c r="L613" s="2"/>
      <c r="M613" s="2"/>
      <c r="N613" s="2"/>
      <c r="O613" s="1286"/>
      <c r="P613" s="95"/>
      <c r="Q613" s="95"/>
      <c r="AE613" s="95"/>
      <c r="AF613" s="95"/>
      <c r="AG613" s="95"/>
      <c r="AH613" s="2"/>
      <c r="AI613" s="2"/>
      <c r="AJ613" s="2"/>
      <c r="AK613" s="2"/>
    </row>
    <row r="614" spans="1:37" ht="15.75" customHeight="1" x14ac:dyDescent="0.2">
      <c r="A614" s="1"/>
      <c r="B614" s="2"/>
      <c r="C614" s="1"/>
      <c r="D614" s="1"/>
      <c r="E614" s="48"/>
      <c r="F614" s="48"/>
      <c r="G614" s="2"/>
      <c r="H614" s="48"/>
      <c r="I614" s="2"/>
      <c r="J614" s="2"/>
      <c r="K614" s="2"/>
      <c r="L614" s="2"/>
      <c r="M614" s="2"/>
      <c r="N614" s="2"/>
      <c r="O614" s="1286"/>
      <c r="P614" s="95"/>
      <c r="Q614" s="95"/>
      <c r="AE614" s="95"/>
      <c r="AF614" s="95"/>
      <c r="AG614" s="95"/>
      <c r="AH614" s="2"/>
      <c r="AI614" s="2"/>
      <c r="AJ614" s="2"/>
      <c r="AK614" s="2"/>
    </row>
    <row r="615" spans="1:37" ht="15.75" customHeight="1" x14ac:dyDescent="0.2">
      <c r="A615" s="1"/>
      <c r="B615" s="2"/>
      <c r="C615" s="1"/>
      <c r="D615" s="1"/>
      <c r="E615" s="48"/>
      <c r="F615" s="48"/>
      <c r="G615" s="2"/>
      <c r="H615" s="48"/>
      <c r="I615" s="2"/>
      <c r="J615" s="2"/>
      <c r="K615" s="2"/>
      <c r="L615" s="2"/>
      <c r="M615" s="2"/>
      <c r="N615" s="2"/>
      <c r="O615" s="1286"/>
      <c r="P615" s="95"/>
      <c r="Q615" s="95"/>
      <c r="AE615" s="95"/>
      <c r="AF615" s="95"/>
      <c r="AG615" s="95"/>
      <c r="AH615" s="2"/>
      <c r="AI615" s="2"/>
      <c r="AJ615" s="2"/>
      <c r="AK615" s="2"/>
    </row>
    <row r="616" spans="1:37" ht="15.75" customHeight="1" x14ac:dyDescent="0.2">
      <c r="A616" s="1"/>
      <c r="B616" s="2"/>
      <c r="C616" s="1"/>
      <c r="D616" s="1"/>
      <c r="E616" s="48"/>
      <c r="F616" s="48"/>
      <c r="G616" s="2"/>
      <c r="H616" s="48"/>
      <c r="I616" s="2"/>
      <c r="J616" s="2"/>
      <c r="K616" s="2"/>
      <c r="L616" s="2"/>
      <c r="M616" s="2"/>
      <c r="N616" s="2"/>
      <c r="O616" s="1286"/>
      <c r="P616" s="95"/>
      <c r="Q616" s="95"/>
      <c r="AE616" s="95"/>
      <c r="AF616" s="95"/>
      <c r="AG616" s="95"/>
      <c r="AH616" s="2"/>
      <c r="AI616" s="2"/>
      <c r="AJ616" s="2"/>
      <c r="AK616" s="2"/>
    </row>
    <row r="617" spans="1:37" ht="15.75" customHeight="1" x14ac:dyDescent="0.2">
      <c r="A617" s="1"/>
      <c r="B617" s="2"/>
      <c r="C617" s="1"/>
      <c r="D617" s="1"/>
      <c r="E617" s="48"/>
      <c r="F617" s="48"/>
      <c r="G617" s="2"/>
      <c r="H617" s="48"/>
      <c r="I617" s="2"/>
      <c r="J617" s="2"/>
      <c r="K617" s="2"/>
      <c r="L617" s="2"/>
      <c r="M617" s="2"/>
      <c r="N617" s="2"/>
      <c r="O617" s="1286"/>
      <c r="P617" s="95"/>
      <c r="Q617" s="95"/>
      <c r="AE617" s="95"/>
      <c r="AF617" s="95"/>
      <c r="AG617" s="95"/>
      <c r="AH617" s="2"/>
      <c r="AI617" s="2"/>
      <c r="AJ617" s="2"/>
      <c r="AK617" s="2"/>
    </row>
    <row r="618" spans="1:37" ht="15.75" customHeight="1" x14ac:dyDescent="0.2">
      <c r="A618" s="1"/>
      <c r="B618" s="2"/>
      <c r="C618" s="1"/>
      <c r="D618" s="1"/>
      <c r="E618" s="48"/>
      <c r="F618" s="48"/>
      <c r="G618" s="2"/>
      <c r="H618" s="48"/>
      <c r="I618" s="2"/>
      <c r="J618" s="2"/>
      <c r="K618" s="2"/>
      <c r="L618" s="2"/>
      <c r="M618" s="2"/>
      <c r="N618" s="2"/>
      <c r="O618" s="1286"/>
      <c r="P618" s="95"/>
      <c r="Q618" s="95"/>
      <c r="AE618" s="95"/>
      <c r="AF618" s="95"/>
      <c r="AG618" s="95"/>
      <c r="AH618" s="2"/>
      <c r="AI618" s="2"/>
      <c r="AJ618" s="2"/>
      <c r="AK618" s="2"/>
    </row>
    <row r="619" spans="1:37" ht="15.75" customHeight="1" x14ac:dyDescent="0.2">
      <c r="A619" s="1"/>
      <c r="B619" s="2"/>
      <c r="C619" s="1"/>
      <c r="D619" s="1"/>
      <c r="E619" s="48"/>
      <c r="F619" s="48"/>
      <c r="G619" s="2"/>
      <c r="H619" s="48"/>
      <c r="I619" s="2"/>
      <c r="J619" s="2"/>
      <c r="K619" s="2"/>
      <c r="L619" s="2"/>
      <c r="M619" s="2"/>
      <c r="N619" s="2"/>
      <c r="O619" s="1286"/>
      <c r="P619" s="95"/>
      <c r="Q619" s="95"/>
      <c r="AE619" s="95"/>
      <c r="AF619" s="95"/>
      <c r="AG619" s="95"/>
      <c r="AH619" s="2"/>
      <c r="AI619" s="2"/>
      <c r="AJ619" s="2"/>
      <c r="AK619" s="2"/>
    </row>
    <row r="620" spans="1:37" ht="15.75" customHeight="1" x14ac:dyDescent="0.2">
      <c r="A620" s="1"/>
      <c r="B620" s="2"/>
      <c r="C620" s="1"/>
      <c r="D620" s="1"/>
      <c r="E620" s="48"/>
      <c r="F620" s="48"/>
      <c r="G620" s="2"/>
      <c r="H620" s="48"/>
      <c r="I620" s="2"/>
      <c r="J620" s="2"/>
      <c r="K620" s="2"/>
      <c r="L620" s="2"/>
      <c r="M620" s="2"/>
      <c r="N620" s="2"/>
      <c r="O620" s="1286"/>
      <c r="P620" s="95"/>
      <c r="Q620" s="95"/>
      <c r="AE620" s="95"/>
      <c r="AF620" s="95"/>
      <c r="AG620" s="95"/>
      <c r="AH620" s="2"/>
      <c r="AI620" s="2"/>
      <c r="AJ620" s="2"/>
      <c r="AK620" s="2"/>
    </row>
    <row r="621" spans="1:37" ht="15.75" customHeight="1" x14ac:dyDescent="0.2">
      <c r="A621" s="1"/>
      <c r="B621" s="2"/>
      <c r="C621" s="1"/>
      <c r="D621" s="1"/>
      <c r="E621" s="48"/>
      <c r="F621" s="48"/>
      <c r="G621" s="2"/>
      <c r="H621" s="48"/>
      <c r="I621" s="2"/>
      <c r="J621" s="2"/>
      <c r="K621" s="2"/>
      <c r="L621" s="2"/>
      <c r="M621" s="2"/>
      <c r="N621" s="2"/>
      <c r="O621" s="1286"/>
      <c r="P621" s="95"/>
      <c r="Q621" s="95"/>
      <c r="AE621" s="95"/>
      <c r="AF621" s="95"/>
      <c r="AG621" s="95"/>
      <c r="AH621" s="2"/>
      <c r="AI621" s="2"/>
      <c r="AJ621" s="2"/>
      <c r="AK621" s="2"/>
    </row>
    <row r="622" spans="1:37" ht="15.75" customHeight="1" x14ac:dyDescent="0.2">
      <c r="A622" s="1"/>
      <c r="B622" s="2"/>
      <c r="C622" s="1"/>
      <c r="D622" s="1"/>
      <c r="E622" s="48"/>
      <c r="F622" s="48"/>
      <c r="G622" s="2"/>
      <c r="H622" s="48"/>
      <c r="I622" s="2"/>
      <c r="J622" s="2"/>
      <c r="K622" s="2"/>
      <c r="L622" s="2"/>
      <c r="M622" s="2"/>
      <c r="N622" s="2"/>
      <c r="O622" s="1286"/>
      <c r="P622" s="95"/>
      <c r="Q622" s="95"/>
      <c r="AE622" s="95"/>
      <c r="AF622" s="95"/>
      <c r="AG622" s="95"/>
      <c r="AH622" s="2"/>
      <c r="AI622" s="2"/>
      <c r="AJ622" s="2"/>
      <c r="AK622" s="2"/>
    </row>
    <row r="623" spans="1:37" ht="15.75" customHeight="1" x14ac:dyDescent="0.2">
      <c r="A623" s="1"/>
      <c r="B623" s="2"/>
      <c r="C623" s="1"/>
      <c r="D623" s="1"/>
      <c r="E623" s="48"/>
      <c r="F623" s="48"/>
      <c r="G623" s="2"/>
      <c r="H623" s="48"/>
      <c r="I623" s="2"/>
      <c r="J623" s="2"/>
      <c r="K623" s="2"/>
      <c r="L623" s="2"/>
      <c r="M623" s="2"/>
      <c r="N623" s="2"/>
      <c r="O623" s="1286"/>
      <c r="P623" s="95"/>
      <c r="Q623" s="95"/>
      <c r="AE623" s="95"/>
      <c r="AF623" s="95"/>
      <c r="AG623" s="95"/>
      <c r="AH623" s="2"/>
      <c r="AI623" s="2"/>
      <c r="AJ623" s="2"/>
      <c r="AK623" s="2"/>
    </row>
    <row r="624" spans="1:37" ht="15.75" customHeight="1" x14ac:dyDescent="0.2">
      <c r="A624" s="1"/>
      <c r="B624" s="2"/>
      <c r="C624" s="1"/>
      <c r="D624" s="1"/>
      <c r="E624" s="48"/>
      <c r="F624" s="48"/>
      <c r="G624" s="2"/>
      <c r="H624" s="48"/>
      <c r="I624" s="2"/>
      <c r="J624" s="2"/>
      <c r="K624" s="2"/>
      <c r="L624" s="2"/>
      <c r="M624" s="2"/>
      <c r="N624" s="2"/>
      <c r="O624" s="1286"/>
      <c r="P624" s="95"/>
      <c r="Q624" s="95"/>
      <c r="AE624" s="95"/>
      <c r="AF624" s="95"/>
      <c r="AG624" s="95"/>
      <c r="AH624" s="2"/>
      <c r="AI624" s="2"/>
      <c r="AJ624" s="2"/>
      <c r="AK624" s="2"/>
    </row>
    <row r="625" spans="1:37" ht="15.75" customHeight="1" x14ac:dyDescent="0.2">
      <c r="A625" s="1"/>
      <c r="B625" s="2"/>
      <c r="C625" s="1"/>
      <c r="D625" s="1"/>
      <c r="E625" s="48"/>
      <c r="F625" s="48"/>
      <c r="G625" s="2"/>
      <c r="H625" s="48"/>
      <c r="I625" s="2"/>
      <c r="J625" s="2"/>
      <c r="K625" s="2"/>
      <c r="L625" s="2"/>
      <c r="M625" s="2"/>
      <c r="N625" s="2"/>
      <c r="O625" s="1286"/>
      <c r="P625" s="95"/>
      <c r="Q625" s="95"/>
      <c r="AE625" s="95"/>
      <c r="AF625" s="95"/>
      <c r="AG625" s="95"/>
      <c r="AH625" s="2"/>
      <c r="AI625" s="2"/>
      <c r="AJ625" s="2"/>
      <c r="AK625" s="2"/>
    </row>
    <row r="626" spans="1:37" ht="15.75" customHeight="1" x14ac:dyDescent="0.2">
      <c r="A626" s="1"/>
      <c r="B626" s="2"/>
      <c r="C626" s="1"/>
      <c r="D626" s="1"/>
      <c r="E626" s="48"/>
      <c r="F626" s="48"/>
      <c r="G626" s="2"/>
      <c r="H626" s="48"/>
      <c r="I626" s="2"/>
      <c r="J626" s="2"/>
      <c r="K626" s="2"/>
      <c r="L626" s="2"/>
      <c r="M626" s="2"/>
      <c r="N626" s="2"/>
      <c r="O626" s="1286"/>
      <c r="P626" s="95"/>
      <c r="Q626" s="95"/>
      <c r="AE626" s="95"/>
      <c r="AF626" s="95"/>
      <c r="AG626" s="95"/>
      <c r="AH626" s="2"/>
      <c r="AI626" s="2"/>
      <c r="AJ626" s="2"/>
      <c r="AK626" s="2"/>
    </row>
    <row r="627" spans="1:37" ht="15.75" customHeight="1" x14ac:dyDescent="0.2">
      <c r="A627" s="1"/>
      <c r="B627" s="2"/>
      <c r="C627" s="1"/>
      <c r="D627" s="1"/>
      <c r="E627" s="48"/>
      <c r="F627" s="48"/>
      <c r="G627" s="2"/>
      <c r="H627" s="48"/>
      <c r="I627" s="2"/>
      <c r="J627" s="2"/>
      <c r="K627" s="2"/>
      <c r="L627" s="2"/>
      <c r="M627" s="2"/>
      <c r="N627" s="2"/>
      <c r="O627" s="1286"/>
      <c r="P627" s="95"/>
      <c r="Q627" s="95"/>
      <c r="AE627" s="95"/>
      <c r="AF627" s="95"/>
      <c r="AG627" s="95"/>
      <c r="AH627" s="2"/>
      <c r="AI627" s="2"/>
      <c r="AJ627" s="2"/>
      <c r="AK627" s="2"/>
    </row>
    <row r="628" spans="1:37" ht="15.75" customHeight="1" x14ac:dyDescent="0.2">
      <c r="A628" s="1"/>
      <c r="B628" s="2"/>
      <c r="C628" s="1"/>
      <c r="D628" s="1"/>
      <c r="E628" s="48"/>
      <c r="F628" s="48"/>
      <c r="G628" s="2"/>
      <c r="H628" s="48"/>
      <c r="I628" s="2"/>
      <c r="J628" s="2"/>
      <c r="K628" s="2"/>
      <c r="L628" s="2"/>
      <c r="M628" s="2"/>
      <c r="N628" s="2"/>
      <c r="O628" s="1286"/>
      <c r="P628" s="95"/>
      <c r="Q628" s="95"/>
      <c r="AE628" s="95"/>
      <c r="AF628" s="95"/>
      <c r="AG628" s="95"/>
      <c r="AH628" s="2"/>
      <c r="AI628" s="2"/>
      <c r="AJ628" s="2"/>
      <c r="AK628" s="2"/>
    </row>
    <row r="629" spans="1:37" ht="15.75" customHeight="1" x14ac:dyDescent="0.2">
      <c r="A629" s="1"/>
      <c r="B629" s="2"/>
      <c r="C629" s="1"/>
      <c r="D629" s="1"/>
      <c r="E629" s="48"/>
      <c r="F629" s="48"/>
      <c r="G629" s="2"/>
      <c r="H629" s="48"/>
      <c r="I629" s="2"/>
      <c r="J629" s="2"/>
      <c r="K629" s="2"/>
      <c r="L629" s="2"/>
      <c r="M629" s="2"/>
      <c r="N629" s="2"/>
      <c r="O629" s="1286"/>
      <c r="P629" s="95"/>
      <c r="Q629" s="95"/>
      <c r="AE629" s="95"/>
      <c r="AF629" s="95"/>
      <c r="AG629" s="95"/>
      <c r="AH629" s="2"/>
      <c r="AI629" s="2"/>
      <c r="AJ629" s="2"/>
      <c r="AK629" s="2"/>
    </row>
    <row r="630" spans="1:37" ht="15.75" customHeight="1" x14ac:dyDescent="0.2">
      <c r="A630" s="1"/>
      <c r="B630" s="2"/>
      <c r="C630" s="1"/>
      <c r="D630" s="1"/>
      <c r="E630" s="48"/>
      <c r="F630" s="48"/>
      <c r="G630" s="2"/>
      <c r="H630" s="48"/>
      <c r="I630" s="2"/>
      <c r="J630" s="2"/>
      <c r="K630" s="2"/>
      <c r="L630" s="2"/>
      <c r="M630" s="2"/>
      <c r="N630" s="2"/>
      <c r="O630" s="1286"/>
      <c r="P630" s="95"/>
      <c r="Q630" s="95"/>
      <c r="AE630" s="95"/>
      <c r="AF630" s="95"/>
      <c r="AG630" s="95"/>
      <c r="AH630" s="2"/>
      <c r="AI630" s="2"/>
      <c r="AJ630" s="2"/>
      <c r="AK630" s="2"/>
    </row>
    <row r="631" spans="1:37" ht="15.75" customHeight="1" x14ac:dyDescent="0.2">
      <c r="A631" s="1"/>
      <c r="B631" s="2"/>
      <c r="C631" s="1"/>
      <c r="D631" s="1"/>
      <c r="E631" s="48"/>
      <c r="F631" s="48"/>
      <c r="G631" s="2"/>
      <c r="H631" s="48"/>
      <c r="I631" s="2"/>
      <c r="J631" s="2"/>
      <c r="K631" s="2"/>
      <c r="L631" s="2"/>
      <c r="M631" s="2"/>
      <c r="N631" s="2"/>
      <c r="O631" s="1286"/>
      <c r="P631" s="95"/>
      <c r="Q631" s="95"/>
      <c r="AE631" s="95"/>
      <c r="AF631" s="95"/>
      <c r="AG631" s="95"/>
      <c r="AH631" s="2"/>
      <c r="AI631" s="2"/>
      <c r="AJ631" s="2"/>
      <c r="AK631" s="2"/>
    </row>
    <row r="632" spans="1:37" ht="15.75" customHeight="1" x14ac:dyDescent="0.2">
      <c r="A632" s="1"/>
      <c r="B632" s="2"/>
      <c r="C632" s="1"/>
      <c r="D632" s="1"/>
      <c r="E632" s="48"/>
      <c r="F632" s="48"/>
      <c r="G632" s="2"/>
      <c r="H632" s="48"/>
      <c r="I632" s="2"/>
      <c r="J632" s="2"/>
      <c r="K632" s="2"/>
      <c r="L632" s="2"/>
      <c r="M632" s="2"/>
      <c r="N632" s="2"/>
      <c r="O632" s="1286"/>
      <c r="P632" s="95"/>
      <c r="Q632" s="95"/>
      <c r="AE632" s="95"/>
      <c r="AF632" s="95"/>
      <c r="AG632" s="95"/>
      <c r="AH632" s="2"/>
      <c r="AI632" s="2"/>
      <c r="AJ632" s="2"/>
      <c r="AK632" s="2"/>
    </row>
    <row r="633" spans="1:37" ht="15.75" customHeight="1" x14ac:dyDescent="0.2">
      <c r="A633" s="1"/>
      <c r="B633" s="2"/>
      <c r="C633" s="1"/>
      <c r="D633" s="1"/>
      <c r="E633" s="48"/>
      <c r="F633" s="48"/>
      <c r="G633" s="2"/>
      <c r="H633" s="48"/>
      <c r="I633" s="2"/>
      <c r="J633" s="2"/>
      <c r="K633" s="2"/>
      <c r="L633" s="2"/>
      <c r="M633" s="2"/>
      <c r="N633" s="2"/>
      <c r="O633" s="1286"/>
      <c r="P633" s="95"/>
      <c r="Q633" s="95"/>
      <c r="AE633" s="95"/>
      <c r="AF633" s="95"/>
      <c r="AG633" s="95"/>
      <c r="AH633" s="2"/>
      <c r="AI633" s="2"/>
      <c r="AJ633" s="2"/>
      <c r="AK633" s="2"/>
    </row>
    <row r="634" spans="1:37" ht="15.75" customHeight="1" x14ac:dyDescent="0.2">
      <c r="A634" s="1"/>
      <c r="B634" s="2"/>
      <c r="C634" s="1"/>
      <c r="D634" s="1"/>
      <c r="E634" s="48"/>
      <c r="F634" s="48"/>
      <c r="G634" s="2"/>
      <c r="H634" s="48"/>
      <c r="I634" s="2"/>
      <c r="J634" s="2"/>
      <c r="K634" s="2"/>
      <c r="L634" s="2"/>
      <c r="M634" s="2"/>
      <c r="N634" s="2"/>
      <c r="O634" s="1286"/>
      <c r="P634" s="95"/>
      <c r="Q634" s="95"/>
      <c r="AE634" s="95"/>
      <c r="AF634" s="95"/>
      <c r="AG634" s="95"/>
      <c r="AH634" s="2"/>
      <c r="AI634" s="2"/>
      <c r="AJ634" s="2"/>
      <c r="AK634" s="2"/>
    </row>
    <row r="635" spans="1:37" ht="15.75" customHeight="1" x14ac:dyDescent="0.2">
      <c r="A635" s="1"/>
      <c r="B635" s="2"/>
      <c r="C635" s="1"/>
      <c r="D635" s="1"/>
      <c r="E635" s="48"/>
      <c r="F635" s="48"/>
      <c r="G635" s="2"/>
      <c r="H635" s="48"/>
      <c r="I635" s="2"/>
      <c r="J635" s="2"/>
      <c r="K635" s="2"/>
      <c r="L635" s="2"/>
      <c r="M635" s="2"/>
      <c r="N635" s="2"/>
      <c r="O635" s="1286"/>
      <c r="P635" s="95"/>
      <c r="Q635" s="95"/>
      <c r="AE635" s="95"/>
      <c r="AF635" s="95"/>
      <c r="AG635" s="95"/>
      <c r="AH635" s="2"/>
      <c r="AI635" s="2"/>
      <c r="AJ635" s="2"/>
      <c r="AK635" s="2"/>
    </row>
    <row r="636" spans="1:37" ht="15.75" customHeight="1" x14ac:dyDescent="0.2">
      <c r="A636" s="1"/>
      <c r="B636" s="2"/>
      <c r="C636" s="1"/>
      <c r="D636" s="1"/>
      <c r="E636" s="48"/>
      <c r="F636" s="48"/>
      <c r="G636" s="2"/>
      <c r="H636" s="48"/>
      <c r="I636" s="2"/>
      <c r="J636" s="2"/>
      <c r="K636" s="2"/>
      <c r="L636" s="2"/>
      <c r="M636" s="2"/>
      <c r="N636" s="2"/>
      <c r="O636" s="1286"/>
      <c r="P636" s="95"/>
      <c r="Q636" s="95"/>
      <c r="AE636" s="95"/>
      <c r="AF636" s="95"/>
      <c r="AG636" s="95"/>
      <c r="AH636" s="2"/>
      <c r="AI636" s="2"/>
      <c r="AJ636" s="2"/>
      <c r="AK636" s="2"/>
    </row>
    <row r="637" spans="1:37" ht="15.75" customHeight="1" x14ac:dyDescent="0.2">
      <c r="A637" s="1"/>
      <c r="B637" s="2"/>
      <c r="C637" s="1"/>
      <c r="D637" s="1"/>
      <c r="E637" s="48"/>
      <c r="F637" s="48"/>
      <c r="G637" s="2"/>
      <c r="H637" s="48"/>
      <c r="I637" s="2"/>
      <c r="J637" s="2"/>
      <c r="K637" s="2"/>
      <c r="L637" s="2"/>
      <c r="M637" s="2"/>
      <c r="N637" s="2"/>
      <c r="O637" s="1286"/>
      <c r="P637" s="95"/>
      <c r="Q637" s="95"/>
      <c r="AE637" s="95"/>
      <c r="AF637" s="95"/>
      <c r="AG637" s="95"/>
      <c r="AH637" s="2"/>
      <c r="AI637" s="2"/>
      <c r="AJ637" s="2"/>
      <c r="AK637" s="2"/>
    </row>
    <row r="638" spans="1:37" ht="15.75" customHeight="1" x14ac:dyDescent="0.2">
      <c r="A638" s="1"/>
      <c r="B638" s="2"/>
      <c r="C638" s="1"/>
      <c r="D638" s="1"/>
      <c r="E638" s="48"/>
      <c r="F638" s="48"/>
      <c r="G638" s="2"/>
      <c r="H638" s="48"/>
      <c r="I638" s="2"/>
      <c r="J638" s="2"/>
      <c r="K638" s="2"/>
      <c r="L638" s="2"/>
      <c r="M638" s="2"/>
      <c r="N638" s="2"/>
      <c r="O638" s="1286"/>
      <c r="P638" s="95"/>
      <c r="Q638" s="95"/>
      <c r="AE638" s="95"/>
      <c r="AF638" s="95"/>
      <c r="AG638" s="95"/>
      <c r="AH638" s="2"/>
      <c r="AI638" s="2"/>
      <c r="AJ638" s="2"/>
      <c r="AK638" s="2"/>
    </row>
    <row r="639" spans="1:37" ht="15.75" customHeight="1" x14ac:dyDescent="0.2">
      <c r="A639" s="1"/>
      <c r="B639" s="2"/>
      <c r="C639" s="1"/>
      <c r="D639" s="1"/>
      <c r="E639" s="48"/>
      <c r="F639" s="48"/>
      <c r="G639" s="2"/>
      <c r="H639" s="48"/>
      <c r="I639" s="2"/>
      <c r="J639" s="2"/>
      <c r="K639" s="2"/>
      <c r="L639" s="2"/>
      <c r="M639" s="2"/>
      <c r="N639" s="2"/>
      <c r="O639" s="1286"/>
      <c r="P639" s="95"/>
      <c r="Q639" s="95"/>
      <c r="AE639" s="95"/>
      <c r="AF639" s="95"/>
      <c r="AG639" s="95"/>
      <c r="AH639" s="2"/>
      <c r="AI639" s="2"/>
      <c r="AJ639" s="2"/>
      <c r="AK639" s="2"/>
    </row>
    <row r="640" spans="1:37" ht="15.75" customHeight="1" x14ac:dyDescent="0.2">
      <c r="A640" s="1"/>
      <c r="B640" s="2"/>
      <c r="C640" s="1"/>
      <c r="D640" s="1"/>
      <c r="E640" s="48"/>
      <c r="F640" s="48"/>
      <c r="G640" s="2"/>
      <c r="H640" s="48"/>
      <c r="I640" s="2"/>
      <c r="J640" s="2"/>
      <c r="K640" s="2"/>
      <c r="L640" s="2"/>
      <c r="M640" s="2"/>
      <c r="N640" s="2"/>
      <c r="O640" s="1286"/>
      <c r="P640" s="95"/>
      <c r="Q640" s="95"/>
      <c r="AE640" s="95"/>
      <c r="AF640" s="95"/>
      <c r="AG640" s="95"/>
      <c r="AH640" s="2"/>
      <c r="AI640" s="2"/>
      <c r="AJ640" s="2"/>
      <c r="AK640" s="2"/>
    </row>
    <row r="641" spans="1:37" ht="15.75" customHeight="1" x14ac:dyDescent="0.2">
      <c r="A641" s="1"/>
      <c r="B641" s="2"/>
      <c r="C641" s="1"/>
      <c r="D641" s="1"/>
      <c r="E641" s="48"/>
      <c r="F641" s="48"/>
      <c r="G641" s="2"/>
      <c r="H641" s="48"/>
      <c r="I641" s="2"/>
      <c r="J641" s="2"/>
      <c r="K641" s="2"/>
      <c r="L641" s="2"/>
      <c r="M641" s="2"/>
      <c r="N641" s="2"/>
      <c r="O641" s="1286"/>
      <c r="P641" s="95"/>
      <c r="Q641" s="95"/>
      <c r="AE641" s="95"/>
      <c r="AF641" s="95"/>
      <c r="AG641" s="95"/>
      <c r="AH641" s="2"/>
      <c r="AI641" s="2"/>
      <c r="AJ641" s="2"/>
      <c r="AK641" s="2"/>
    </row>
    <row r="642" spans="1:37" ht="15.75" customHeight="1" x14ac:dyDescent="0.2">
      <c r="A642" s="1"/>
      <c r="B642" s="2"/>
      <c r="C642" s="1"/>
      <c r="D642" s="1"/>
      <c r="E642" s="48"/>
      <c r="F642" s="48"/>
      <c r="G642" s="2"/>
      <c r="H642" s="48"/>
      <c r="I642" s="2"/>
      <c r="J642" s="2"/>
      <c r="K642" s="2"/>
      <c r="L642" s="2"/>
      <c r="M642" s="2"/>
      <c r="N642" s="2"/>
      <c r="O642" s="1286"/>
      <c r="P642" s="95"/>
      <c r="Q642" s="95"/>
      <c r="AE642" s="95"/>
      <c r="AF642" s="95"/>
      <c r="AG642" s="95"/>
      <c r="AH642" s="2"/>
      <c r="AI642" s="2"/>
      <c r="AJ642" s="2"/>
      <c r="AK642" s="2"/>
    </row>
    <row r="643" spans="1:37" ht="15.75" customHeight="1" x14ac:dyDescent="0.2">
      <c r="A643" s="1"/>
      <c r="B643" s="2"/>
      <c r="C643" s="1"/>
      <c r="D643" s="1"/>
      <c r="E643" s="48"/>
      <c r="F643" s="48"/>
      <c r="G643" s="2"/>
      <c r="H643" s="48"/>
      <c r="I643" s="2"/>
      <c r="J643" s="2"/>
      <c r="K643" s="2"/>
      <c r="L643" s="2"/>
      <c r="M643" s="2"/>
      <c r="N643" s="2"/>
      <c r="O643" s="1286"/>
      <c r="P643" s="95"/>
      <c r="Q643" s="95"/>
      <c r="AE643" s="95"/>
      <c r="AF643" s="95"/>
      <c r="AG643" s="95"/>
      <c r="AH643" s="2"/>
      <c r="AI643" s="2"/>
      <c r="AJ643" s="2"/>
      <c r="AK643" s="2"/>
    </row>
    <row r="644" spans="1:37" ht="15.75" customHeight="1" x14ac:dyDescent="0.2">
      <c r="A644" s="1"/>
      <c r="B644" s="2"/>
      <c r="C644" s="1"/>
      <c r="D644" s="1"/>
      <c r="E644" s="48"/>
      <c r="F644" s="48"/>
      <c r="G644" s="2"/>
      <c r="H644" s="48"/>
      <c r="I644" s="2"/>
      <c r="J644" s="2"/>
      <c r="K644" s="2"/>
      <c r="L644" s="2"/>
      <c r="M644" s="2"/>
      <c r="N644" s="2"/>
      <c r="O644" s="1286"/>
      <c r="P644" s="95"/>
      <c r="Q644" s="95"/>
      <c r="AE644" s="95"/>
      <c r="AF644" s="95"/>
      <c r="AG644" s="95"/>
      <c r="AH644" s="2"/>
      <c r="AI644" s="2"/>
      <c r="AJ644" s="2"/>
      <c r="AK644" s="2"/>
    </row>
    <row r="645" spans="1:37" ht="15.75" customHeight="1" x14ac:dyDescent="0.2">
      <c r="A645" s="1"/>
      <c r="B645" s="2"/>
      <c r="C645" s="1"/>
      <c r="D645" s="1"/>
      <c r="E645" s="48"/>
      <c r="F645" s="48"/>
      <c r="G645" s="2"/>
      <c r="H645" s="48"/>
      <c r="I645" s="2"/>
      <c r="J645" s="2"/>
      <c r="K645" s="2"/>
      <c r="L645" s="2"/>
      <c r="M645" s="2"/>
      <c r="N645" s="2"/>
      <c r="O645" s="1286"/>
      <c r="P645" s="95"/>
      <c r="Q645" s="95"/>
      <c r="AE645" s="95"/>
      <c r="AF645" s="95"/>
      <c r="AG645" s="95"/>
      <c r="AH645" s="2"/>
      <c r="AI645" s="2"/>
      <c r="AJ645" s="2"/>
      <c r="AK645" s="2"/>
    </row>
    <row r="646" spans="1:37" ht="15.75" customHeight="1" x14ac:dyDescent="0.2">
      <c r="A646" s="1"/>
      <c r="B646" s="2"/>
      <c r="C646" s="1"/>
      <c r="D646" s="1"/>
      <c r="E646" s="48"/>
      <c r="F646" s="48"/>
      <c r="G646" s="2"/>
      <c r="H646" s="48"/>
      <c r="I646" s="2"/>
      <c r="J646" s="2"/>
      <c r="K646" s="2"/>
      <c r="L646" s="2"/>
      <c r="M646" s="2"/>
      <c r="N646" s="2"/>
      <c r="O646" s="1286"/>
      <c r="P646" s="95"/>
      <c r="Q646" s="95"/>
      <c r="AE646" s="95"/>
      <c r="AF646" s="95"/>
      <c r="AG646" s="95"/>
      <c r="AH646" s="2"/>
      <c r="AI646" s="2"/>
      <c r="AJ646" s="2"/>
      <c r="AK646" s="2"/>
    </row>
    <row r="647" spans="1:37" ht="15.75" customHeight="1" x14ac:dyDescent="0.2">
      <c r="A647" s="1"/>
      <c r="B647" s="2"/>
      <c r="C647" s="1"/>
      <c r="D647" s="1"/>
      <c r="E647" s="48"/>
      <c r="F647" s="48"/>
      <c r="G647" s="2"/>
      <c r="H647" s="48"/>
      <c r="I647" s="2"/>
      <c r="J647" s="2"/>
      <c r="K647" s="2"/>
      <c r="L647" s="2"/>
      <c r="M647" s="2"/>
      <c r="N647" s="2"/>
      <c r="O647" s="1286"/>
      <c r="P647" s="95"/>
      <c r="Q647" s="95"/>
      <c r="AE647" s="95"/>
      <c r="AF647" s="95"/>
      <c r="AG647" s="95"/>
      <c r="AH647" s="2"/>
      <c r="AI647" s="2"/>
      <c r="AJ647" s="2"/>
      <c r="AK647" s="2"/>
    </row>
    <row r="648" spans="1:37" ht="15.75" customHeight="1" x14ac:dyDescent="0.2">
      <c r="A648" s="1"/>
      <c r="B648" s="2"/>
      <c r="C648" s="1"/>
      <c r="D648" s="1"/>
      <c r="E648" s="48"/>
      <c r="F648" s="48"/>
      <c r="G648" s="2"/>
      <c r="H648" s="48"/>
      <c r="I648" s="2"/>
      <c r="J648" s="2"/>
      <c r="K648" s="2"/>
      <c r="L648" s="2"/>
      <c r="M648" s="2"/>
      <c r="N648" s="2"/>
      <c r="O648" s="1286"/>
      <c r="P648" s="95"/>
      <c r="Q648" s="95"/>
      <c r="AE648" s="95"/>
      <c r="AF648" s="95"/>
      <c r="AG648" s="95"/>
      <c r="AH648" s="2"/>
      <c r="AI648" s="2"/>
      <c r="AJ648" s="2"/>
      <c r="AK648" s="2"/>
    </row>
    <row r="649" spans="1:37" ht="15.75" customHeight="1" x14ac:dyDescent="0.2">
      <c r="A649" s="1"/>
      <c r="B649" s="2"/>
      <c r="C649" s="1"/>
      <c r="D649" s="1"/>
      <c r="E649" s="48"/>
      <c r="F649" s="48"/>
      <c r="G649" s="2"/>
      <c r="H649" s="48"/>
      <c r="I649" s="2"/>
      <c r="J649" s="2"/>
      <c r="K649" s="2"/>
      <c r="L649" s="2"/>
      <c r="M649" s="2"/>
      <c r="N649" s="2"/>
      <c r="O649" s="1286"/>
      <c r="P649" s="95"/>
      <c r="Q649" s="95"/>
      <c r="AE649" s="95"/>
      <c r="AF649" s="95"/>
      <c r="AG649" s="95"/>
      <c r="AH649" s="2"/>
      <c r="AI649" s="2"/>
      <c r="AJ649" s="2"/>
      <c r="AK649" s="2"/>
    </row>
    <row r="650" spans="1:37" ht="15.75" customHeight="1" x14ac:dyDescent="0.2">
      <c r="A650" s="1"/>
      <c r="B650" s="2"/>
      <c r="C650" s="1"/>
      <c r="D650" s="1"/>
      <c r="E650" s="48"/>
      <c r="F650" s="48"/>
      <c r="G650" s="2"/>
      <c r="H650" s="48"/>
      <c r="I650" s="2"/>
      <c r="J650" s="2"/>
      <c r="K650" s="2"/>
      <c r="L650" s="2"/>
      <c r="M650" s="2"/>
      <c r="N650" s="2"/>
      <c r="O650" s="1286"/>
      <c r="P650" s="95"/>
      <c r="Q650" s="95"/>
      <c r="AE650" s="95"/>
      <c r="AF650" s="95"/>
      <c r="AG650" s="95"/>
      <c r="AH650" s="2"/>
      <c r="AI650" s="2"/>
      <c r="AJ650" s="2"/>
      <c r="AK650" s="2"/>
    </row>
    <row r="651" spans="1:37" ht="15.75" customHeight="1" x14ac:dyDescent="0.2">
      <c r="A651" s="1"/>
      <c r="B651" s="2"/>
      <c r="C651" s="1"/>
      <c r="D651" s="1"/>
      <c r="E651" s="48"/>
      <c r="F651" s="48"/>
      <c r="G651" s="2"/>
      <c r="H651" s="48"/>
      <c r="I651" s="2"/>
      <c r="J651" s="2"/>
      <c r="K651" s="2"/>
      <c r="L651" s="2"/>
      <c r="M651" s="2"/>
      <c r="N651" s="2"/>
      <c r="O651" s="1286"/>
      <c r="P651" s="95"/>
      <c r="Q651" s="95"/>
      <c r="AE651" s="95"/>
      <c r="AF651" s="95"/>
      <c r="AG651" s="95"/>
      <c r="AH651" s="2"/>
      <c r="AI651" s="2"/>
      <c r="AJ651" s="2"/>
      <c r="AK651" s="2"/>
    </row>
    <row r="652" spans="1:37" ht="15.75" customHeight="1" x14ac:dyDescent="0.2">
      <c r="A652" s="1"/>
      <c r="B652" s="2"/>
      <c r="C652" s="1"/>
      <c r="D652" s="1"/>
      <c r="E652" s="48"/>
      <c r="F652" s="48"/>
      <c r="G652" s="2"/>
      <c r="H652" s="48"/>
      <c r="I652" s="2"/>
      <c r="J652" s="2"/>
      <c r="K652" s="2"/>
      <c r="L652" s="2"/>
      <c r="M652" s="2"/>
      <c r="N652" s="2"/>
      <c r="O652" s="1286"/>
      <c r="P652" s="95"/>
      <c r="Q652" s="95"/>
      <c r="AE652" s="95"/>
      <c r="AF652" s="95"/>
      <c r="AG652" s="95"/>
      <c r="AH652" s="2"/>
      <c r="AI652" s="2"/>
      <c r="AJ652" s="2"/>
      <c r="AK652" s="2"/>
    </row>
    <row r="653" spans="1:37" ht="15.75" customHeight="1" x14ac:dyDescent="0.2">
      <c r="A653" s="1"/>
      <c r="B653" s="2"/>
      <c r="C653" s="1"/>
      <c r="D653" s="1"/>
      <c r="E653" s="48"/>
      <c r="F653" s="48"/>
      <c r="G653" s="2"/>
      <c r="H653" s="48"/>
      <c r="I653" s="2"/>
      <c r="J653" s="2"/>
      <c r="K653" s="2"/>
      <c r="L653" s="2"/>
      <c r="M653" s="2"/>
      <c r="N653" s="2"/>
      <c r="O653" s="1286"/>
      <c r="P653" s="95"/>
      <c r="Q653" s="95"/>
      <c r="AE653" s="95"/>
      <c r="AF653" s="95"/>
      <c r="AG653" s="95"/>
      <c r="AH653" s="2"/>
      <c r="AI653" s="2"/>
      <c r="AJ653" s="2"/>
      <c r="AK653" s="2"/>
    </row>
    <row r="654" spans="1:37" ht="15.75" customHeight="1" x14ac:dyDescent="0.2">
      <c r="A654" s="1"/>
      <c r="B654" s="2"/>
      <c r="C654" s="1"/>
      <c r="D654" s="1"/>
      <c r="E654" s="48"/>
      <c r="F654" s="48"/>
      <c r="G654" s="2"/>
      <c r="H654" s="48"/>
      <c r="I654" s="2"/>
      <c r="J654" s="2"/>
      <c r="K654" s="2"/>
      <c r="L654" s="2"/>
      <c r="M654" s="2"/>
      <c r="N654" s="2"/>
      <c r="O654" s="1286"/>
      <c r="P654" s="95"/>
      <c r="Q654" s="95"/>
      <c r="AE654" s="95"/>
      <c r="AF654" s="95"/>
      <c r="AG654" s="95"/>
      <c r="AH654" s="2"/>
      <c r="AI654" s="2"/>
      <c r="AJ654" s="2"/>
      <c r="AK654" s="2"/>
    </row>
    <row r="655" spans="1:37" ht="15.75" customHeight="1" x14ac:dyDescent="0.2">
      <c r="A655" s="1"/>
      <c r="B655" s="2"/>
      <c r="C655" s="1"/>
      <c r="D655" s="1"/>
      <c r="E655" s="48"/>
      <c r="F655" s="48"/>
      <c r="G655" s="2"/>
      <c r="H655" s="48"/>
      <c r="I655" s="2"/>
      <c r="J655" s="2"/>
      <c r="K655" s="2"/>
      <c r="L655" s="2"/>
      <c r="M655" s="2"/>
      <c r="N655" s="2"/>
      <c r="O655" s="1286"/>
      <c r="P655" s="95"/>
      <c r="Q655" s="95"/>
      <c r="AE655" s="95"/>
      <c r="AF655" s="95"/>
      <c r="AG655" s="95"/>
      <c r="AH655" s="2"/>
      <c r="AI655" s="2"/>
      <c r="AJ655" s="2"/>
      <c r="AK655" s="2"/>
    </row>
    <row r="656" spans="1:37" ht="15.75" customHeight="1" x14ac:dyDescent="0.2">
      <c r="A656" s="1"/>
      <c r="B656" s="2"/>
      <c r="C656" s="1"/>
      <c r="D656" s="1"/>
      <c r="E656" s="48"/>
      <c r="F656" s="48"/>
      <c r="G656" s="2"/>
      <c r="H656" s="48"/>
      <c r="I656" s="2"/>
      <c r="J656" s="2"/>
      <c r="K656" s="2"/>
      <c r="L656" s="2"/>
      <c r="M656" s="2"/>
      <c r="N656" s="2"/>
      <c r="O656" s="1286"/>
      <c r="P656" s="95"/>
      <c r="Q656" s="95"/>
      <c r="AE656" s="95"/>
      <c r="AF656" s="95"/>
      <c r="AG656" s="95"/>
      <c r="AH656" s="2"/>
      <c r="AI656" s="2"/>
      <c r="AJ656" s="2"/>
      <c r="AK656" s="2"/>
    </row>
    <row r="657" spans="1:37" ht="15.75" customHeight="1" x14ac:dyDescent="0.2">
      <c r="A657" s="1"/>
      <c r="B657" s="2"/>
      <c r="C657" s="1"/>
      <c r="D657" s="1"/>
      <c r="E657" s="48"/>
      <c r="F657" s="48"/>
      <c r="G657" s="2"/>
      <c r="H657" s="48"/>
      <c r="I657" s="2"/>
      <c r="J657" s="2"/>
      <c r="K657" s="2"/>
      <c r="L657" s="2"/>
      <c r="M657" s="2"/>
      <c r="N657" s="2"/>
      <c r="O657" s="1286"/>
      <c r="P657" s="95"/>
      <c r="Q657" s="95"/>
      <c r="AE657" s="95"/>
      <c r="AF657" s="95"/>
      <c r="AG657" s="95"/>
      <c r="AH657" s="2"/>
      <c r="AI657" s="2"/>
      <c r="AJ657" s="2"/>
      <c r="AK657" s="2"/>
    </row>
    <row r="658" spans="1:37" ht="15.75" customHeight="1" x14ac:dyDescent="0.2">
      <c r="A658" s="1"/>
      <c r="B658" s="2"/>
      <c r="C658" s="1"/>
      <c r="D658" s="1"/>
      <c r="E658" s="48"/>
      <c r="F658" s="48"/>
      <c r="G658" s="2"/>
      <c r="H658" s="48"/>
      <c r="I658" s="2"/>
      <c r="J658" s="2"/>
      <c r="K658" s="2"/>
      <c r="L658" s="2"/>
      <c r="M658" s="2"/>
      <c r="N658" s="2"/>
      <c r="O658" s="1286"/>
      <c r="P658" s="95"/>
      <c r="Q658" s="95"/>
      <c r="AE658" s="95"/>
      <c r="AF658" s="95"/>
      <c r="AG658" s="95"/>
      <c r="AH658" s="2"/>
      <c r="AI658" s="2"/>
      <c r="AJ658" s="2"/>
      <c r="AK658" s="2"/>
    </row>
    <row r="659" spans="1:37" ht="15.75" customHeight="1" x14ac:dyDescent="0.2">
      <c r="A659" s="1"/>
      <c r="B659" s="2"/>
      <c r="C659" s="1"/>
      <c r="D659" s="1"/>
      <c r="E659" s="48"/>
      <c r="F659" s="48"/>
      <c r="G659" s="2"/>
      <c r="H659" s="48"/>
      <c r="I659" s="2"/>
      <c r="J659" s="2"/>
      <c r="K659" s="2"/>
      <c r="L659" s="2"/>
      <c r="M659" s="2"/>
      <c r="N659" s="2"/>
      <c r="O659" s="1286"/>
      <c r="P659" s="95"/>
      <c r="Q659" s="95"/>
      <c r="AE659" s="95"/>
      <c r="AF659" s="95"/>
      <c r="AG659" s="95"/>
      <c r="AH659" s="2"/>
      <c r="AI659" s="2"/>
      <c r="AJ659" s="2"/>
      <c r="AK659" s="2"/>
    </row>
    <row r="660" spans="1:37" ht="15.75" customHeight="1" x14ac:dyDescent="0.2">
      <c r="A660" s="1"/>
      <c r="B660" s="2"/>
      <c r="C660" s="1"/>
      <c r="D660" s="1"/>
      <c r="E660" s="48"/>
      <c r="F660" s="48"/>
      <c r="G660" s="2"/>
      <c r="H660" s="48"/>
      <c r="I660" s="2"/>
      <c r="J660" s="2"/>
      <c r="K660" s="2"/>
      <c r="L660" s="2"/>
      <c r="M660" s="2"/>
      <c r="N660" s="2"/>
      <c r="O660" s="1286"/>
      <c r="P660" s="95"/>
      <c r="Q660" s="95"/>
      <c r="AE660" s="95"/>
      <c r="AF660" s="95"/>
      <c r="AG660" s="95"/>
      <c r="AH660" s="2"/>
      <c r="AI660" s="2"/>
      <c r="AJ660" s="2"/>
      <c r="AK660" s="2"/>
    </row>
    <row r="661" spans="1:37" ht="15.75" customHeight="1" x14ac:dyDescent="0.2">
      <c r="A661" s="1"/>
      <c r="B661" s="2"/>
      <c r="C661" s="1"/>
      <c r="D661" s="1"/>
      <c r="E661" s="48"/>
      <c r="F661" s="48"/>
      <c r="G661" s="2"/>
      <c r="H661" s="48"/>
      <c r="I661" s="2"/>
      <c r="J661" s="2"/>
      <c r="K661" s="2"/>
      <c r="L661" s="2"/>
      <c r="M661" s="2"/>
      <c r="N661" s="2"/>
      <c r="O661" s="1286"/>
      <c r="P661" s="95"/>
      <c r="Q661" s="95"/>
      <c r="AE661" s="95"/>
      <c r="AF661" s="95"/>
      <c r="AG661" s="95"/>
      <c r="AH661" s="2"/>
      <c r="AI661" s="2"/>
      <c r="AJ661" s="2"/>
      <c r="AK661" s="2"/>
    </row>
    <row r="662" spans="1:37" ht="15.75" customHeight="1" x14ac:dyDescent="0.2">
      <c r="A662" s="1"/>
      <c r="B662" s="2"/>
      <c r="C662" s="1"/>
      <c r="D662" s="1"/>
      <c r="E662" s="48"/>
      <c r="F662" s="48"/>
      <c r="G662" s="2"/>
      <c r="H662" s="48"/>
      <c r="I662" s="2"/>
      <c r="J662" s="2"/>
      <c r="K662" s="2"/>
      <c r="L662" s="2"/>
      <c r="M662" s="2"/>
      <c r="N662" s="2"/>
      <c r="O662" s="1286"/>
      <c r="P662" s="95"/>
      <c r="Q662" s="95"/>
      <c r="AE662" s="95"/>
      <c r="AF662" s="95"/>
      <c r="AG662" s="95"/>
      <c r="AH662" s="2"/>
      <c r="AI662" s="2"/>
      <c r="AJ662" s="2"/>
      <c r="AK662" s="2"/>
    </row>
    <row r="663" spans="1:37" ht="15.75" customHeight="1" x14ac:dyDescent="0.2">
      <c r="A663" s="1"/>
      <c r="B663" s="2"/>
      <c r="C663" s="1"/>
      <c r="D663" s="1"/>
      <c r="E663" s="48"/>
      <c r="F663" s="48"/>
      <c r="G663" s="2"/>
      <c r="H663" s="48"/>
      <c r="I663" s="2"/>
      <c r="J663" s="2"/>
      <c r="K663" s="2"/>
      <c r="L663" s="2"/>
      <c r="M663" s="2"/>
      <c r="N663" s="2"/>
      <c r="O663" s="1286"/>
      <c r="P663" s="95"/>
      <c r="Q663" s="95"/>
      <c r="AE663" s="95"/>
      <c r="AF663" s="95"/>
      <c r="AG663" s="95"/>
      <c r="AH663" s="2"/>
      <c r="AI663" s="2"/>
      <c r="AJ663" s="2"/>
      <c r="AK663" s="2"/>
    </row>
    <row r="664" spans="1:37" ht="15.75" customHeight="1" x14ac:dyDescent="0.2">
      <c r="A664" s="1"/>
      <c r="B664" s="2"/>
      <c r="C664" s="1"/>
      <c r="D664" s="1"/>
      <c r="E664" s="48"/>
      <c r="F664" s="48"/>
      <c r="G664" s="2"/>
      <c r="H664" s="48"/>
      <c r="I664" s="2"/>
      <c r="J664" s="2"/>
      <c r="K664" s="2"/>
      <c r="L664" s="2"/>
      <c r="M664" s="2"/>
      <c r="N664" s="2"/>
      <c r="O664" s="1286"/>
      <c r="P664" s="95"/>
      <c r="Q664" s="95"/>
      <c r="AE664" s="95"/>
      <c r="AF664" s="95"/>
      <c r="AG664" s="95"/>
      <c r="AH664" s="2"/>
      <c r="AI664" s="2"/>
      <c r="AJ664" s="2"/>
      <c r="AK664" s="2"/>
    </row>
    <row r="665" spans="1:37" ht="15.75" customHeight="1" x14ac:dyDescent="0.2">
      <c r="A665" s="1"/>
      <c r="B665" s="2"/>
      <c r="C665" s="1"/>
      <c r="D665" s="1"/>
      <c r="E665" s="48"/>
      <c r="F665" s="48"/>
      <c r="G665" s="2"/>
      <c r="H665" s="48"/>
      <c r="I665" s="2"/>
      <c r="J665" s="2"/>
      <c r="K665" s="2"/>
      <c r="L665" s="2"/>
      <c r="M665" s="2"/>
      <c r="N665" s="2"/>
      <c r="O665" s="1286"/>
      <c r="P665" s="95"/>
      <c r="Q665" s="95"/>
      <c r="AE665" s="95"/>
      <c r="AF665" s="95"/>
      <c r="AG665" s="95"/>
      <c r="AH665" s="2"/>
      <c r="AI665" s="2"/>
      <c r="AJ665" s="2"/>
      <c r="AK665" s="2"/>
    </row>
    <row r="666" spans="1:37" ht="15.75" customHeight="1" x14ac:dyDescent="0.2">
      <c r="A666" s="1"/>
      <c r="B666" s="2"/>
      <c r="C666" s="1"/>
      <c r="D666" s="1"/>
      <c r="E666" s="48"/>
      <c r="F666" s="48"/>
      <c r="G666" s="2"/>
      <c r="H666" s="48"/>
      <c r="I666" s="2"/>
      <c r="J666" s="2"/>
      <c r="K666" s="2"/>
      <c r="L666" s="2"/>
      <c r="M666" s="2"/>
      <c r="N666" s="2"/>
      <c r="O666" s="1286"/>
      <c r="P666" s="95"/>
      <c r="Q666" s="95"/>
      <c r="AE666" s="95"/>
      <c r="AF666" s="95"/>
      <c r="AG666" s="95"/>
      <c r="AH666" s="2"/>
      <c r="AI666" s="2"/>
      <c r="AJ666" s="2"/>
      <c r="AK666" s="2"/>
    </row>
    <row r="667" spans="1:37" ht="15.75" customHeight="1" x14ac:dyDescent="0.2">
      <c r="A667" s="1"/>
      <c r="B667" s="2"/>
      <c r="C667" s="1"/>
      <c r="D667" s="1"/>
      <c r="E667" s="48"/>
      <c r="F667" s="48"/>
      <c r="G667" s="2"/>
      <c r="H667" s="48"/>
      <c r="I667" s="2"/>
      <c r="J667" s="2"/>
      <c r="K667" s="2"/>
      <c r="L667" s="2"/>
      <c r="M667" s="2"/>
      <c r="N667" s="2"/>
      <c r="O667" s="1286"/>
      <c r="P667" s="95"/>
      <c r="Q667" s="95"/>
      <c r="AE667" s="95"/>
      <c r="AF667" s="95"/>
      <c r="AG667" s="95"/>
      <c r="AH667" s="2"/>
      <c r="AI667" s="2"/>
      <c r="AJ667" s="2"/>
      <c r="AK667" s="2"/>
    </row>
    <row r="668" spans="1:37" ht="15.75" customHeight="1" x14ac:dyDescent="0.2">
      <c r="A668" s="1"/>
      <c r="B668" s="2"/>
      <c r="C668" s="1"/>
      <c r="D668" s="1"/>
      <c r="E668" s="48"/>
      <c r="F668" s="48"/>
      <c r="G668" s="2"/>
      <c r="H668" s="48"/>
      <c r="I668" s="2"/>
      <c r="J668" s="2"/>
      <c r="K668" s="2"/>
      <c r="L668" s="2"/>
      <c r="M668" s="2"/>
      <c r="N668" s="2"/>
      <c r="O668" s="1286"/>
      <c r="P668" s="95"/>
      <c r="Q668" s="95"/>
      <c r="AE668" s="95"/>
      <c r="AF668" s="95"/>
      <c r="AG668" s="95"/>
      <c r="AH668" s="2"/>
      <c r="AI668" s="2"/>
      <c r="AJ668" s="2"/>
      <c r="AK668" s="2"/>
    </row>
    <row r="669" spans="1:37" ht="15.75" customHeight="1" x14ac:dyDescent="0.2">
      <c r="A669" s="1"/>
      <c r="B669" s="2"/>
      <c r="C669" s="1"/>
      <c r="D669" s="1"/>
      <c r="E669" s="48"/>
      <c r="F669" s="48"/>
      <c r="G669" s="2"/>
      <c r="H669" s="48"/>
      <c r="I669" s="2"/>
      <c r="J669" s="2"/>
      <c r="K669" s="2"/>
      <c r="L669" s="2"/>
      <c r="M669" s="2"/>
      <c r="N669" s="2"/>
      <c r="O669" s="1286"/>
      <c r="P669" s="95"/>
      <c r="Q669" s="95"/>
      <c r="AE669" s="95"/>
      <c r="AF669" s="95"/>
      <c r="AG669" s="95"/>
      <c r="AH669" s="2"/>
      <c r="AI669" s="2"/>
      <c r="AJ669" s="2"/>
      <c r="AK669" s="2"/>
    </row>
    <row r="670" spans="1:37" ht="15.75" customHeight="1" x14ac:dyDescent="0.2">
      <c r="A670" s="1"/>
      <c r="B670" s="2"/>
      <c r="C670" s="1"/>
      <c r="D670" s="1"/>
      <c r="E670" s="48"/>
      <c r="F670" s="48"/>
      <c r="G670" s="2"/>
      <c r="H670" s="48"/>
      <c r="I670" s="2"/>
      <c r="J670" s="2"/>
      <c r="K670" s="2"/>
      <c r="L670" s="2"/>
      <c r="M670" s="2"/>
      <c r="N670" s="2"/>
      <c r="O670" s="1286"/>
      <c r="P670" s="95"/>
      <c r="Q670" s="95"/>
      <c r="AE670" s="95"/>
      <c r="AF670" s="95"/>
      <c r="AG670" s="95"/>
      <c r="AH670" s="2"/>
      <c r="AI670" s="2"/>
      <c r="AJ670" s="2"/>
      <c r="AK670" s="2"/>
    </row>
    <row r="671" spans="1:37" ht="15.75" customHeight="1" x14ac:dyDescent="0.2">
      <c r="A671" s="1"/>
      <c r="B671" s="2"/>
      <c r="C671" s="1"/>
      <c r="D671" s="1"/>
      <c r="E671" s="48"/>
      <c r="F671" s="48"/>
      <c r="G671" s="2"/>
      <c r="H671" s="48"/>
      <c r="I671" s="2"/>
      <c r="J671" s="2"/>
      <c r="K671" s="2"/>
      <c r="L671" s="2"/>
      <c r="M671" s="2"/>
      <c r="N671" s="2"/>
      <c r="O671" s="1286"/>
      <c r="P671" s="95"/>
      <c r="Q671" s="95"/>
      <c r="AE671" s="95"/>
      <c r="AF671" s="95"/>
      <c r="AG671" s="95"/>
      <c r="AH671" s="2"/>
      <c r="AI671" s="2"/>
      <c r="AJ671" s="2"/>
      <c r="AK671" s="2"/>
    </row>
    <row r="672" spans="1:37" ht="15.75" customHeight="1" x14ac:dyDescent="0.2">
      <c r="A672" s="1"/>
      <c r="B672" s="2"/>
      <c r="C672" s="1"/>
      <c r="D672" s="1"/>
      <c r="E672" s="48"/>
      <c r="F672" s="48"/>
      <c r="G672" s="2"/>
      <c r="H672" s="48"/>
      <c r="I672" s="2"/>
      <c r="J672" s="2"/>
      <c r="K672" s="2"/>
      <c r="L672" s="2"/>
      <c r="M672" s="2"/>
      <c r="N672" s="2"/>
      <c r="O672" s="1286"/>
      <c r="P672" s="95"/>
      <c r="Q672" s="95"/>
      <c r="AE672" s="95"/>
      <c r="AF672" s="95"/>
      <c r="AG672" s="95"/>
      <c r="AH672" s="2"/>
      <c r="AI672" s="2"/>
      <c r="AJ672" s="2"/>
      <c r="AK672" s="2"/>
    </row>
    <row r="673" spans="1:37" ht="15.75" customHeight="1" x14ac:dyDescent="0.2">
      <c r="A673" s="1"/>
      <c r="B673" s="2"/>
      <c r="C673" s="1"/>
      <c r="D673" s="1"/>
      <c r="E673" s="48"/>
      <c r="F673" s="48"/>
      <c r="G673" s="2"/>
      <c r="H673" s="48"/>
      <c r="I673" s="2"/>
      <c r="J673" s="2"/>
      <c r="K673" s="2"/>
      <c r="L673" s="2"/>
      <c r="M673" s="2"/>
      <c r="N673" s="2"/>
      <c r="O673" s="1286"/>
      <c r="P673" s="95"/>
      <c r="Q673" s="95"/>
      <c r="AE673" s="95"/>
      <c r="AF673" s="95"/>
      <c r="AG673" s="95"/>
      <c r="AH673" s="2"/>
      <c r="AI673" s="2"/>
      <c r="AJ673" s="2"/>
      <c r="AK673" s="2"/>
    </row>
    <row r="674" spans="1:37" ht="15.75" customHeight="1" x14ac:dyDescent="0.2">
      <c r="A674" s="1"/>
      <c r="B674" s="2"/>
      <c r="C674" s="1"/>
      <c r="D674" s="1"/>
      <c r="E674" s="48"/>
      <c r="F674" s="48"/>
      <c r="G674" s="2"/>
      <c r="H674" s="48"/>
      <c r="I674" s="2"/>
      <c r="J674" s="2"/>
      <c r="K674" s="2"/>
      <c r="L674" s="2"/>
      <c r="M674" s="2"/>
      <c r="N674" s="2"/>
      <c r="O674" s="1286"/>
      <c r="P674" s="95"/>
      <c r="Q674" s="95"/>
      <c r="AE674" s="95"/>
      <c r="AF674" s="95"/>
      <c r="AG674" s="95"/>
      <c r="AH674" s="2"/>
      <c r="AI674" s="2"/>
      <c r="AJ674" s="2"/>
      <c r="AK674" s="2"/>
    </row>
    <row r="675" spans="1:37" ht="15.75" customHeight="1" x14ac:dyDescent="0.2">
      <c r="A675" s="1"/>
      <c r="B675" s="2"/>
      <c r="C675" s="1"/>
      <c r="D675" s="1"/>
      <c r="E675" s="48"/>
      <c r="F675" s="48"/>
      <c r="G675" s="2"/>
      <c r="H675" s="48"/>
      <c r="I675" s="2"/>
      <c r="J675" s="2"/>
      <c r="K675" s="2"/>
      <c r="L675" s="2"/>
      <c r="M675" s="2"/>
      <c r="N675" s="2"/>
      <c r="O675" s="1286"/>
      <c r="P675" s="95"/>
      <c r="Q675" s="95"/>
      <c r="AE675" s="95"/>
      <c r="AF675" s="95"/>
      <c r="AG675" s="95"/>
      <c r="AH675" s="2"/>
      <c r="AI675" s="2"/>
      <c r="AJ675" s="2"/>
      <c r="AK675" s="2"/>
    </row>
    <row r="676" spans="1:37" ht="15.75" customHeight="1" x14ac:dyDescent="0.2">
      <c r="A676" s="1"/>
      <c r="B676" s="2"/>
      <c r="C676" s="1"/>
      <c r="D676" s="1"/>
      <c r="E676" s="48"/>
      <c r="F676" s="48"/>
      <c r="G676" s="2"/>
      <c r="H676" s="48"/>
      <c r="I676" s="2"/>
      <c r="J676" s="2"/>
      <c r="K676" s="2"/>
      <c r="L676" s="2"/>
      <c r="M676" s="2"/>
      <c r="N676" s="2"/>
      <c r="O676" s="1286"/>
      <c r="P676" s="95"/>
      <c r="Q676" s="95"/>
      <c r="AE676" s="95"/>
      <c r="AF676" s="95"/>
      <c r="AG676" s="95"/>
      <c r="AH676" s="2"/>
      <c r="AI676" s="2"/>
      <c r="AJ676" s="2"/>
      <c r="AK676" s="2"/>
    </row>
    <row r="677" spans="1:37" ht="15.75" customHeight="1" x14ac:dyDescent="0.2">
      <c r="A677" s="1"/>
      <c r="B677" s="2"/>
      <c r="C677" s="1"/>
      <c r="D677" s="1"/>
      <c r="E677" s="48"/>
      <c r="F677" s="48"/>
      <c r="G677" s="2"/>
      <c r="H677" s="48"/>
      <c r="I677" s="2"/>
      <c r="J677" s="2"/>
      <c r="K677" s="2"/>
      <c r="L677" s="2"/>
      <c r="M677" s="2"/>
      <c r="N677" s="2"/>
      <c r="O677" s="1286"/>
      <c r="P677" s="95"/>
      <c r="Q677" s="95"/>
      <c r="AE677" s="95"/>
      <c r="AF677" s="95"/>
      <c r="AG677" s="95"/>
      <c r="AH677" s="2"/>
      <c r="AI677" s="2"/>
      <c r="AJ677" s="2"/>
      <c r="AK677" s="2"/>
    </row>
    <row r="678" spans="1:37" ht="15.75" customHeight="1" x14ac:dyDescent="0.2">
      <c r="A678" s="1"/>
      <c r="B678" s="2"/>
      <c r="C678" s="1"/>
      <c r="D678" s="1"/>
      <c r="E678" s="48"/>
      <c r="F678" s="48"/>
      <c r="G678" s="2"/>
      <c r="H678" s="48"/>
      <c r="I678" s="2"/>
      <c r="J678" s="2"/>
      <c r="K678" s="2"/>
      <c r="L678" s="2"/>
      <c r="M678" s="2"/>
      <c r="N678" s="2"/>
      <c r="O678" s="1286"/>
      <c r="P678" s="95"/>
      <c r="Q678" s="95"/>
      <c r="AE678" s="95"/>
      <c r="AF678" s="95"/>
      <c r="AG678" s="95"/>
      <c r="AH678" s="2"/>
      <c r="AI678" s="2"/>
      <c r="AJ678" s="2"/>
      <c r="AK678" s="2"/>
    </row>
    <row r="679" spans="1:37" ht="15.75" customHeight="1" x14ac:dyDescent="0.2">
      <c r="A679" s="1"/>
      <c r="B679" s="2"/>
      <c r="C679" s="1"/>
      <c r="D679" s="1"/>
      <c r="E679" s="48"/>
      <c r="F679" s="48"/>
      <c r="G679" s="2"/>
      <c r="H679" s="48"/>
      <c r="I679" s="2"/>
      <c r="J679" s="2"/>
      <c r="K679" s="2"/>
      <c r="L679" s="2"/>
      <c r="M679" s="2"/>
      <c r="N679" s="2"/>
      <c r="O679" s="1286"/>
      <c r="P679" s="95"/>
      <c r="Q679" s="95"/>
      <c r="AE679" s="95"/>
      <c r="AF679" s="95"/>
      <c r="AG679" s="95"/>
      <c r="AH679" s="2"/>
      <c r="AI679" s="2"/>
      <c r="AJ679" s="2"/>
      <c r="AK679" s="2"/>
    </row>
    <row r="680" spans="1:37" ht="15.75" customHeight="1" x14ac:dyDescent="0.2">
      <c r="A680" s="1"/>
      <c r="B680" s="2"/>
      <c r="C680" s="1"/>
      <c r="D680" s="1"/>
      <c r="E680" s="48"/>
      <c r="F680" s="48"/>
      <c r="G680" s="2"/>
      <c r="H680" s="48"/>
      <c r="I680" s="2"/>
      <c r="J680" s="2"/>
      <c r="K680" s="2"/>
      <c r="L680" s="2"/>
      <c r="M680" s="2"/>
      <c r="N680" s="2"/>
      <c r="O680" s="1286"/>
      <c r="P680" s="95"/>
      <c r="Q680" s="95"/>
      <c r="AE680" s="95"/>
      <c r="AF680" s="95"/>
      <c r="AG680" s="95"/>
      <c r="AH680" s="2"/>
      <c r="AI680" s="2"/>
      <c r="AJ680" s="2"/>
      <c r="AK680" s="2"/>
    </row>
    <row r="681" spans="1:37" ht="15.75" customHeight="1" x14ac:dyDescent="0.2">
      <c r="A681" s="1"/>
      <c r="B681" s="2"/>
      <c r="C681" s="1"/>
      <c r="D681" s="1"/>
      <c r="E681" s="48"/>
      <c r="F681" s="48"/>
      <c r="G681" s="2"/>
      <c r="H681" s="48"/>
      <c r="I681" s="2"/>
      <c r="J681" s="2"/>
      <c r="K681" s="2"/>
      <c r="L681" s="2"/>
      <c r="M681" s="2"/>
      <c r="N681" s="2"/>
      <c r="O681" s="1286"/>
      <c r="P681" s="95"/>
      <c r="Q681" s="95"/>
      <c r="AE681" s="95"/>
      <c r="AF681" s="95"/>
      <c r="AG681" s="95"/>
      <c r="AH681" s="2"/>
      <c r="AI681" s="2"/>
      <c r="AJ681" s="2"/>
      <c r="AK681" s="2"/>
    </row>
    <row r="682" spans="1:37" ht="15.75" customHeight="1" x14ac:dyDescent="0.2">
      <c r="A682" s="1"/>
      <c r="B682" s="2"/>
      <c r="C682" s="1"/>
      <c r="D682" s="1"/>
      <c r="E682" s="48"/>
      <c r="F682" s="48"/>
      <c r="G682" s="2"/>
      <c r="H682" s="48"/>
      <c r="I682" s="2"/>
      <c r="J682" s="2"/>
      <c r="K682" s="2"/>
      <c r="L682" s="2"/>
      <c r="M682" s="2"/>
      <c r="N682" s="2"/>
      <c r="O682" s="1286"/>
      <c r="P682" s="95"/>
      <c r="Q682" s="95"/>
      <c r="AE682" s="95"/>
      <c r="AF682" s="95"/>
      <c r="AG682" s="95"/>
      <c r="AH682" s="2"/>
      <c r="AI682" s="2"/>
      <c r="AJ682" s="2"/>
      <c r="AK682" s="2"/>
    </row>
    <row r="683" spans="1:37" ht="15.75" customHeight="1" x14ac:dyDescent="0.2">
      <c r="A683" s="1"/>
      <c r="B683" s="2"/>
      <c r="C683" s="1"/>
      <c r="D683" s="1"/>
      <c r="E683" s="48"/>
      <c r="F683" s="48"/>
      <c r="G683" s="2"/>
      <c r="H683" s="48"/>
      <c r="I683" s="2"/>
      <c r="J683" s="2"/>
      <c r="K683" s="2"/>
      <c r="L683" s="2"/>
      <c r="M683" s="2"/>
      <c r="N683" s="2"/>
      <c r="O683" s="1286"/>
      <c r="P683" s="95"/>
      <c r="Q683" s="95"/>
      <c r="AE683" s="95"/>
      <c r="AF683" s="95"/>
      <c r="AG683" s="95"/>
      <c r="AH683" s="2"/>
      <c r="AI683" s="2"/>
      <c r="AJ683" s="2"/>
      <c r="AK683" s="2"/>
    </row>
    <row r="684" spans="1:37" ht="15.75" customHeight="1" x14ac:dyDescent="0.2">
      <c r="A684" s="1"/>
      <c r="B684" s="2"/>
      <c r="C684" s="1"/>
      <c r="D684" s="1"/>
      <c r="E684" s="48"/>
      <c r="F684" s="48"/>
      <c r="G684" s="2"/>
      <c r="H684" s="48"/>
      <c r="I684" s="2"/>
      <c r="J684" s="2"/>
      <c r="K684" s="2"/>
      <c r="L684" s="2"/>
      <c r="M684" s="2"/>
      <c r="N684" s="2"/>
      <c r="O684" s="1286"/>
      <c r="P684" s="95"/>
      <c r="Q684" s="95"/>
      <c r="AE684" s="95"/>
      <c r="AF684" s="95"/>
      <c r="AG684" s="95"/>
      <c r="AH684" s="2"/>
      <c r="AI684" s="2"/>
      <c r="AJ684" s="2"/>
      <c r="AK684" s="2"/>
    </row>
    <row r="685" spans="1:37" ht="15.75" customHeight="1" x14ac:dyDescent="0.2">
      <c r="A685" s="1"/>
      <c r="B685" s="2"/>
      <c r="C685" s="1"/>
      <c r="D685" s="1"/>
      <c r="E685" s="48"/>
      <c r="F685" s="48"/>
      <c r="G685" s="2"/>
      <c r="H685" s="48"/>
      <c r="I685" s="2"/>
      <c r="J685" s="2"/>
      <c r="K685" s="2"/>
      <c r="L685" s="2"/>
      <c r="M685" s="2"/>
      <c r="N685" s="2"/>
      <c r="O685" s="1286"/>
      <c r="P685" s="95"/>
      <c r="Q685" s="95"/>
      <c r="AE685" s="95"/>
      <c r="AF685" s="95"/>
      <c r="AG685" s="95"/>
      <c r="AH685" s="2"/>
      <c r="AI685" s="2"/>
      <c r="AJ685" s="2"/>
      <c r="AK685" s="2"/>
    </row>
    <row r="686" spans="1:37" ht="15.75" customHeight="1" x14ac:dyDescent="0.2">
      <c r="A686" s="1"/>
      <c r="B686" s="2"/>
      <c r="C686" s="1"/>
      <c r="D686" s="1"/>
      <c r="E686" s="48"/>
      <c r="F686" s="48"/>
      <c r="G686" s="2"/>
      <c r="H686" s="48"/>
      <c r="I686" s="2"/>
      <c r="J686" s="2"/>
      <c r="K686" s="2"/>
      <c r="L686" s="2"/>
      <c r="M686" s="2"/>
      <c r="N686" s="2"/>
      <c r="O686" s="1286"/>
      <c r="P686" s="95"/>
      <c r="Q686" s="95"/>
      <c r="AE686" s="95"/>
      <c r="AF686" s="95"/>
      <c r="AG686" s="95"/>
      <c r="AH686" s="2"/>
      <c r="AI686" s="2"/>
      <c r="AJ686" s="2"/>
      <c r="AK686" s="2"/>
    </row>
    <row r="687" spans="1:37" ht="15.75" customHeight="1" x14ac:dyDescent="0.2">
      <c r="A687" s="1"/>
      <c r="B687" s="2"/>
      <c r="C687" s="1"/>
      <c r="D687" s="1"/>
      <c r="E687" s="48"/>
      <c r="F687" s="48"/>
      <c r="G687" s="2"/>
      <c r="H687" s="48"/>
      <c r="I687" s="2"/>
      <c r="J687" s="2"/>
      <c r="K687" s="2"/>
      <c r="L687" s="2"/>
      <c r="M687" s="2"/>
      <c r="N687" s="2"/>
      <c r="O687" s="1286"/>
      <c r="P687" s="95"/>
      <c r="Q687" s="95"/>
      <c r="AE687" s="95"/>
      <c r="AF687" s="95"/>
      <c r="AG687" s="95"/>
      <c r="AH687" s="2"/>
      <c r="AI687" s="2"/>
      <c r="AJ687" s="2"/>
      <c r="AK687" s="2"/>
    </row>
    <row r="688" spans="1:37" ht="15.75" customHeight="1" x14ac:dyDescent="0.2">
      <c r="A688" s="1"/>
      <c r="B688" s="2"/>
      <c r="C688" s="1"/>
      <c r="D688" s="1"/>
      <c r="E688" s="48"/>
      <c r="F688" s="48"/>
      <c r="G688" s="2"/>
      <c r="H688" s="48"/>
      <c r="I688" s="2"/>
      <c r="J688" s="2"/>
      <c r="K688" s="2"/>
      <c r="L688" s="2"/>
      <c r="M688" s="2"/>
      <c r="N688" s="2"/>
      <c r="O688" s="1286"/>
      <c r="P688" s="95"/>
      <c r="Q688" s="95"/>
      <c r="AE688" s="95"/>
      <c r="AF688" s="95"/>
      <c r="AG688" s="95"/>
      <c r="AH688" s="2"/>
      <c r="AI688" s="2"/>
      <c r="AJ688" s="2"/>
      <c r="AK688" s="2"/>
    </row>
    <row r="689" spans="1:37" ht="15.75" customHeight="1" x14ac:dyDescent="0.2">
      <c r="A689" s="1"/>
      <c r="B689" s="2"/>
      <c r="C689" s="1"/>
      <c r="D689" s="1"/>
      <c r="E689" s="48"/>
      <c r="F689" s="48"/>
      <c r="G689" s="2"/>
      <c r="H689" s="48"/>
      <c r="I689" s="2"/>
      <c r="J689" s="2"/>
      <c r="K689" s="2"/>
      <c r="L689" s="2"/>
      <c r="M689" s="2"/>
      <c r="N689" s="2"/>
      <c r="O689" s="1286"/>
      <c r="P689" s="95"/>
      <c r="Q689" s="95"/>
      <c r="AE689" s="95"/>
      <c r="AF689" s="95"/>
      <c r="AG689" s="95"/>
      <c r="AH689" s="2"/>
      <c r="AI689" s="2"/>
      <c r="AJ689" s="2"/>
      <c r="AK689" s="2"/>
    </row>
    <row r="690" spans="1:37" ht="15.75" customHeight="1" x14ac:dyDescent="0.2">
      <c r="A690" s="1"/>
      <c r="B690" s="2"/>
      <c r="C690" s="1"/>
      <c r="D690" s="1"/>
      <c r="E690" s="48"/>
      <c r="F690" s="48"/>
      <c r="G690" s="2"/>
      <c r="H690" s="48"/>
      <c r="I690" s="2"/>
      <c r="J690" s="2"/>
      <c r="K690" s="2"/>
      <c r="L690" s="2"/>
      <c r="M690" s="2"/>
      <c r="N690" s="2"/>
      <c r="O690" s="1286"/>
      <c r="P690" s="95"/>
      <c r="Q690" s="95"/>
      <c r="AE690" s="95"/>
      <c r="AF690" s="95"/>
      <c r="AG690" s="95"/>
      <c r="AH690" s="2"/>
      <c r="AI690" s="2"/>
      <c r="AJ690" s="2"/>
      <c r="AK690" s="2"/>
    </row>
    <row r="691" spans="1:37" ht="15.75" customHeight="1" x14ac:dyDescent="0.2">
      <c r="A691" s="1"/>
      <c r="B691" s="2"/>
      <c r="C691" s="1"/>
      <c r="D691" s="1"/>
      <c r="E691" s="48"/>
      <c r="F691" s="48"/>
      <c r="G691" s="2"/>
      <c r="H691" s="48"/>
      <c r="I691" s="2"/>
      <c r="J691" s="2"/>
      <c r="K691" s="2"/>
      <c r="L691" s="2"/>
      <c r="M691" s="2"/>
      <c r="N691" s="2"/>
      <c r="O691" s="1286"/>
      <c r="P691" s="95"/>
      <c r="Q691" s="95"/>
      <c r="AE691" s="95"/>
      <c r="AF691" s="95"/>
      <c r="AG691" s="95"/>
      <c r="AH691" s="2"/>
      <c r="AI691" s="2"/>
      <c r="AJ691" s="2"/>
      <c r="AK691" s="2"/>
    </row>
    <row r="692" spans="1:37" ht="15.75" customHeight="1" x14ac:dyDescent="0.2">
      <c r="A692" s="1"/>
      <c r="B692" s="2"/>
      <c r="C692" s="1"/>
      <c r="D692" s="1"/>
      <c r="E692" s="48"/>
      <c r="F692" s="48"/>
      <c r="G692" s="2"/>
      <c r="H692" s="48"/>
      <c r="I692" s="2"/>
      <c r="J692" s="2"/>
      <c r="K692" s="2"/>
      <c r="L692" s="2"/>
      <c r="M692" s="2"/>
      <c r="N692" s="2"/>
      <c r="O692" s="1286"/>
      <c r="P692" s="95"/>
      <c r="Q692" s="95"/>
      <c r="AE692" s="95"/>
      <c r="AF692" s="95"/>
      <c r="AG692" s="95"/>
      <c r="AH692" s="2"/>
      <c r="AI692" s="2"/>
      <c r="AJ692" s="2"/>
      <c r="AK692" s="2"/>
    </row>
    <row r="693" spans="1:37" ht="15.75" customHeight="1" x14ac:dyDescent="0.2">
      <c r="A693" s="1"/>
      <c r="B693" s="2"/>
      <c r="C693" s="1"/>
      <c r="D693" s="1"/>
      <c r="E693" s="48"/>
      <c r="F693" s="48"/>
      <c r="G693" s="2"/>
      <c r="H693" s="48"/>
      <c r="I693" s="2"/>
      <c r="J693" s="2"/>
      <c r="K693" s="2"/>
      <c r="L693" s="2"/>
      <c r="M693" s="2"/>
      <c r="N693" s="2"/>
      <c r="O693" s="1286"/>
      <c r="P693" s="95"/>
      <c r="Q693" s="95"/>
      <c r="AE693" s="95"/>
      <c r="AF693" s="95"/>
      <c r="AG693" s="95"/>
      <c r="AH693" s="2"/>
      <c r="AI693" s="2"/>
      <c r="AJ693" s="2"/>
      <c r="AK693" s="2"/>
    </row>
    <row r="694" spans="1:37" ht="15.75" customHeight="1" x14ac:dyDescent="0.2">
      <c r="A694" s="1"/>
      <c r="B694" s="2"/>
      <c r="C694" s="1"/>
      <c r="D694" s="1"/>
      <c r="E694" s="48"/>
      <c r="F694" s="48"/>
      <c r="G694" s="2"/>
      <c r="H694" s="48"/>
      <c r="I694" s="2"/>
      <c r="J694" s="2"/>
      <c r="K694" s="2"/>
      <c r="L694" s="2"/>
      <c r="M694" s="2"/>
      <c r="N694" s="2"/>
      <c r="O694" s="1286"/>
      <c r="P694" s="95"/>
      <c r="Q694" s="95"/>
      <c r="AE694" s="95"/>
      <c r="AF694" s="95"/>
      <c r="AG694" s="95"/>
      <c r="AH694" s="2"/>
      <c r="AI694" s="2"/>
      <c r="AJ694" s="2"/>
      <c r="AK694" s="2"/>
    </row>
    <row r="695" spans="1:37" ht="15.75" customHeight="1" x14ac:dyDescent="0.2">
      <c r="A695" s="1"/>
      <c r="B695" s="2"/>
      <c r="C695" s="1"/>
      <c r="D695" s="1"/>
      <c r="E695" s="48"/>
      <c r="F695" s="48"/>
      <c r="G695" s="2"/>
      <c r="H695" s="48"/>
      <c r="I695" s="2"/>
      <c r="J695" s="2"/>
      <c r="K695" s="2"/>
      <c r="L695" s="2"/>
      <c r="M695" s="2"/>
      <c r="N695" s="2"/>
      <c r="O695" s="1286"/>
      <c r="P695" s="95"/>
      <c r="Q695" s="95"/>
      <c r="AE695" s="95"/>
      <c r="AF695" s="95"/>
      <c r="AG695" s="95"/>
      <c r="AH695" s="2"/>
      <c r="AI695" s="2"/>
      <c r="AJ695" s="2"/>
      <c r="AK695" s="2"/>
    </row>
    <row r="696" spans="1:37" ht="15.75" customHeight="1" x14ac:dyDescent="0.2">
      <c r="A696" s="1"/>
      <c r="B696" s="2"/>
      <c r="C696" s="1"/>
      <c r="D696" s="1"/>
      <c r="E696" s="48"/>
      <c r="F696" s="48"/>
      <c r="G696" s="2"/>
      <c r="H696" s="48"/>
      <c r="I696" s="2"/>
      <c r="J696" s="2"/>
      <c r="K696" s="2"/>
      <c r="L696" s="2"/>
      <c r="M696" s="2"/>
      <c r="N696" s="2"/>
      <c r="O696" s="1286"/>
      <c r="P696" s="95"/>
      <c r="Q696" s="95"/>
      <c r="AE696" s="95"/>
      <c r="AF696" s="95"/>
      <c r="AG696" s="95"/>
      <c r="AH696" s="2"/>
      <c r="AI696" s="2"/>
      <c r="AJ696" s="2"/>
      <c r="AK696" s="2"/>
    </row>
    <row r="697" spans="1:37" ht="15.75" customHeight="1" x14ac:dyDescent="0.2">
      <c r="A697" s="1"/>
      <c r="B697" s="2"/>
      <c r="C697" s="1"/>
      <c r="D697" s="1"/>
      <c r="E697" s="48"/>
      <c r="F697" s="48"/>
      <c r="G697" s="2"/>
      <c r="H697" s="48"/>
      <c r="I697" s="2"/>
      <c r="J697" s="2"/>
      <c r="K697" s="2"/>
      <c r="L697" s="2"/>
      <c r="M697" s="2"/>
      <c r="N697" s="2"/>
      <c r="O697" s="1286"/>
      <c r="P697" s="95"/>
      <c r="Q697" s="95"/>
      <c r="AE697" s="95"/>
      <c r="AF697" s="95"/>
      <c r="AG697" s="95"/>
      <c r="AH697" s="2"/>
      <c r="AI697" s="2"/>
      <c r="AJ697" s="2"/>
      <c r="AK697" s="2"/>
    </row>
    <row r="698" spans="1:37" ht="15.75" customHeight="1" x14ac:dyDescent="0.2">
      <c r="A698" s="1"/>
      <c r="B698" s="2"/>
      <c r="C698" s="1"/>
      <c r="D698" s="1"/>
      <c r="E698" s="48"/>
      <c r="F698" s="48"/>
      <c r="G698" s="2"/>
      <c r="H698" s="48"/>
      <c r="I698" s="2"/>
      <c r="J698" s="2"/>
      <c r="K698" s="2"/>
      <c r="L698" s="2"/>
      <c r="M698" s="2"/>
      <c r="N698" s="2"/>
      <c r="O698" s="1286"/>
      <c r="P698" s="95"/>
      <c r="Q698" s="95"/>
      <c r="AE698" s="95"/>
      <c r="AF698" s="95"/>
      <c r="AG698" s="95"/>
      <c r="AH698" s="2"/>
      <c r="AI698" s="2"/>
      <c r="AJ698" s="2"/>
      <c r="AK698" s="2"/>
    </row>
    <row r="699" spans="1:37" ht="15.75" customHeight="1" x14ac:dyDescent="0.2">
      <c r="A699" s="1"/>
      <c r="B699" s="2"/>
      <c r="C699" s="1"/>
      <c r="D699" s="1"/>
      <c r="E699" s="48"/>
      <c r="F699" s="48"/>
      <c r="G699" s="2"/>
      <c r="H699" s="48"/>
      <c r="I699" s="2"/>
      <c r="J699" s="2"/>
      <c r="K699" s="2"/>
      <c r="L699" s="2"/>
      <c r="M699" s="2"/>
      <c r="N699" s="2"/>
      <c r="O699" s="1286"/>
      <c r="P699" s="95"/>
      <c r="Q699" s="95"/>
      <c r="AE699" s="95"/>
      <c r="AF699" s="95"/>
      <c r="AG699" s="95"/>
      <c r="AH699" s="2"/>
      <c r="AI699" s="2"/>
      <c r="AJ699" s="2"/>
      <c r="AK699" s="2"/>
    </row>
    <row r="700" spans="1:37" ht="15.75" customHeight="1" x14ac:dyDescent="0.2">
      <c r="A700" s="1"/>
      <c r="B700" s="2"/>
      <c r="C700" s="1"/>
      <c r="D700" s="1"/>
      <c r="E700" s="48"/>
      <c r="F700" s="48"/>
      <c r="G700" s="2"/>
      <c r="H700" s="48"/>
      <c r="I700" s="2"/>
      <c r="J700" s="2"/>
      <c r="K700" s="2"/>
      <c r="L700" s="2"/>
      <c r="M700" s="2"/>
      <c r="N700" s="2"/>
      <c r="O700" s="1286"/>
      <c r="P700" s="95"/>
      <c r="Q700" s="95"/>
      <c r="AE700" s="95"/>
      <c r="AF700" s="95"/>
      <c r="AG700" s="95"/>
      <c r="AH700" s="2"/>
      <c r="AI700" s="2"/>
      <c r="AJ700" s="2"/>
      <c r="AK700" s="2"/>
    </row>
    <row r="701" spans="1:37" ht="15.75" customHeight="1" x14ac:dyDescent="0.2">
      <c r="A701" s="1"/>
      <c r="B701" s="2"/>
      <c r="C701" s="1"/>
      <c r="D701" s="1"/>
      <c r="E701" s="48"/>
      <c r="F701" s="48"/>
      <c r="G701" s="2"/>
      <c r="H701" s="48"/>
      <c r="I701" s="2"/>
      <c r="J701" s="2"/>
      <c r="K701" s="2"/>
      <c r="L701" s="2"/>
      <c r="M701" s="2"/>
      <c r="N701" s="2"/>
      <c r="O701" s="1286"/>
      <c r="P701" s="95"/>
      <c r="Q701" s="95"/>
      <c r="AE701" s="95"/>
      <c r="AF701" s="95"/>
      <c r="AG701" s="95"/>
      <c r="AH701" s="2"/>
      <c r="AI701" s="2"/>
      <c r="AJ701" s="2"/>
      <c r="AK701" s="2"/>
    </row>
    <row r="702" spans="1:37" ht="15.75" customHeight="1" x14ac:dyDescent="0.2">
      <c r="A702" s="1"/>
      <c r="B702" s="2"/>
      <c r="C702" s="1"/>
      <c r="D702" s="1"/>
      <c r="E702" s="48"/>
      <c r="F702" s="48"/>
      <c r="G702" s="2"/>
      <c r="H702" s="48"/>
      <c r="I702" s="2"/>
      <c r="J702" s="2"/>
      <c r="K702" s="2"/>
      <c r="L702" s="2"/>
      <c r="M702" s="2"/>
      <c r="N702" s="2"/>
      <c r="O702" s="1286"/>
      <c r="P702" s="95"/>
      <c r="Q702" s="95"/>
      <c r="AE702" s="95"/>
      <c r="AF702" s="95"/>
      <c r="AG702" s="95"/>
      <c r="AH702" s="2"/>
      <c r="AI702" s="2"/>
      <c r="AJ702" s="2"/>
      <c r="AK702" s="2"/>
    </row>
    <row r="703" spans="1:37" ht="15.75" customHeight="1" x14ac:dyDescent="0.2">
      <c r="A703" s="1"/>
      <c r="B703" s="2"/>
      <c r="C703" s="1"/>
      <c r="D703" s="1"/>
      <c r="E703" s="48"/>
      <c r="F703" s="48"/>
      <c r="G703" s="2"/>
      <c r="H703" s="48"/>
      <c r="I703" s="2"/>
      <c r="J703" s="2"/>
      <c r="K703" s="2"/>
      <c r="L703" s="2"/>
      <c r="M703" s="2"/>
      <c r="N703" s="2"/>
      <c r="O703" s="1286"/>
      <c r="P703" s="95"/>
      <c r="Q703" s="95"/>
      <c r="AE703" s="95"/>
      <c r="AF703" s="95"/>
      <c r="AG703" s="95"/>
      <c r="AH703" s="2"/>
      <c r="AI703" s="2"/>
      <c r="AJ703" s="2"/>
      <c r="AK703" s="2"/>
    </row>
    <row r="704" spans="1:37" ht="15.75" customHeight="1" x14ac:dyDescent="0.2">
      <c r="A704" s="1"/>
      <c r="B704" s="2"/>
      <c r="C704" s="1"/>
      <c r="D704" s="1"/>
      <c r="E704" s="48"/>
      <c r="F704" s="48"/>
      <c r="G704" s="2"/>
      <c r="H704" s="48"/>
      <c r="I704" s="2"/>
      <c r="J704" s="2"/>
      <c r="K704" s="2"/>
      <c r="L704" s="2"/>
      <c r="M704" s="2"/>
      <c r="N704" s="2"/>
      <c r="O704" s="1286"/>
      <c r="P704" s="95"/>
      <c r="Q704" s="95"/>
      <c r="AE704" s="95"/>
      <c r="AF704" s="95"/>
      <c r="AG704" s="95"/>
      <c r="AH704" s="2"/>
      <c r="AI704" s="2"/>
      <c r="AJ704" s="2"/>
      <c r="AK704" s="2"/>
    </row>
    <row r="705" spans="1:37" ht="15.75" customHeight="1" x14ac:dyDescent="0.2">
      <c r="A705" s="1"/>
      <c r="B705" s="2"/>
      <c r="C705" s="1"/>
      <c r="D705" s="1"/>
      <c r="E705" s="48"/>
      <c r="F705" s="48"/>
      <c r="G705" s="2"/>
      <c r="H705" s="48"/>
      <c r="I705" s="2"/>
      <c r="J705" s="2"/>
      <c r="K705" s="2"/>
      <c r="L705" s="2"/>
      <c r="M705" s="2"/>
      <c r="N705" s="2"/>
      <c r="O705" s="1286"/>
      <c r="P705" s="95"/>
      <c r="Q705" s="95"/>
      <c r="AE705" s="95"/>
      <c r="AF705" s="95"/>
      <c r="AG705" s="95"/>
      <c r="AH705" s="2"/>
      <c r="AI705" s="2"/>
      <c r="AJ705" s="2"/>
      <c r="AK705" s="2"/>
    </row>
    <row r="706" spans="1:37" ht="15.75" customHeight="1" x14ac:dyDescent="0.2">
      <c r="A706" s="1"/>
      <c r="B706" s="2"/>
      <c r="C706" s="1"/>
      <c r="D706" s="1"/>
      <c r="E706" s="48"/>
      <c r="F706" s="48"/>
      <c r="G706" s="2"/>
      <c r="H706" s="48"/>
      <c r="I706" s="2"/>
      <c r="J706" s="2"/>
      <c r="K706" s="2"/>
      <c r="L706" s="2"/>
      <c r="M706" s="2"/>
      <c r="N706" s="2"/>
      <c r="O706" s="1286"/>
      <c r="P706" s="95"/>
      <c r="Q706" s="95"/>
      <c r="AE706" s="95"/>
      <c r="AF706" s="95"/>
      <c r="AG706" s="95"/>
      <c r="AH706" s="2"/>
      <c r="AI706" s="2"/>
      <c r="AJ706" s="2"/>
      <c r="AK706" s="2"/>
    </row>
    <row r="707" spans="1:37" ht="15.75" customHeight="1" x14ac:dyDescent="0.2">
      <c r="A707" s="1"/>
      <c r="B707" s="2"/>
      <c r="C707" s="1"/>
      <c r="D707" s="1"/>
      <c r="E707" s="48"/>
      <c r="F707" s="48"/>
      <c r="G707" s="2"/>
      <c r="H707" s="48"/>
      <c r="I707" s="2"/>
      <c r="J707" s="2"/>
      <c r="K707" s="2"/>
      <c r="L707" s="2"/>
      <c r="M707" s="2"/>
      <c r="N707" s="2"/>
      <c r="O707" s="1286"/>
      <c r="P707" s="95"/>
      <c r="Q707" s="95"/>
      <c r="AE707" s="95"/>
      <c r="AF707" s="95"/>
      <c r="AG707" s="95"/>
      <c r="AH707" s="2"/>
      <c r="AI707" s="2"/>
      <c r="AJ707" s="2"/>
      <c r="AK707" s="2"/>
    </row>
    <row r="708" spans="1:37" ht="15.75" customHeight="1" x14ac:dyDescent="0.2">
      <c r="A708" s="1"/>
      <c r="B708" s="2"/>
      <c r="C708" s="1"/>
      <c r="D708" s="1"/>
      <c r="E708" s="48"/>
      <c r="F708" s="48"/>
      <c r="G708" s="2"/>
      <c r="H708" s="48"/>
      <c r="I708" s="2"/>
      <c r="J708" s="2"/>
      <c r="K708" s="2"/>
      <c r="L708" s="2"/>
      <c r="M708" s="2"/>
      <c r="N708" s="2"/>
      <c r="O708" s="1286"/>
      <c r="P708" s="95"/>
      <c r="Q708" s="95"/>
      <c r="AE708" s="95"/>
      <c r="AF708" s="95"/>
      <c r="AG708" s="95"/>
      <c r="AH708" s="2"/>
      <c r="AI708" s="2"/>
      <c r="AJ708" s="2"/>
      <c r="AK708" s="2"/>
    </row>
    <row r="709" spans="1:37" ht="15.75" customHeight="1" x14ac:dyDescent="0.2">
      <c r="A709" s="1"/>
      <c r="B709" s="2"/>
      <c r="C709" s="1"/>
      <c r="D709" s="1"/>
      <c r="E709" s="48"/>
      <c r="F709" s="48"/>
      <c r="G709" s="2"/>
      <c r="H709" s="48"/>
      <c r="I709" s="2"/>
      <c r="J709" s="2"/>
      <c r="K709" s="2"/>
      <c r="L709" s="2"/>
      <c r="M709" s="2"/>
      <c r="N709" s="2"/>
      <c r="O709" s="1286"/>
      <c r="P709" s="95"/>
      <c r="Q709" s="95"/>
      <c r="AE709" s="95"/>
      <c r="AF709" s="95"/>
      <c r="AG709" s="95"/>
      <c r="AH709" s="2"/>
      <c r="AI709" s="2"/>
      <c r="AJ709" s="2"/>
      <c r="AK709" s="2"/>
    </row>
    <row r="710" spans="1:37" ht="15.75" customHeight="1" x14ac:dyDescent="0.2">
      <c r="A710" s="1"/>
      <c r="B710" s="2"/>
      <c r="C710" s="1"/>
      <c r="D710" s="1"/>
      <c r="E710" s="48"/>
      <c r="F710" s="48"/>
      <c r="G710" s="2"/>
      <c r="H710" s="48"/>
      <c r="I710" s="2"/>
      <c r="J710" s="2"/>
      <c r="K710" s="2"/>
      <c r="L710" s="2"/>
      <c r="M710" s="2"/>
      <c r="N710" s="2"/>
      <c r="O710" s="1286"/>
      <c r="P710" s="95"/>
      <c r="Q710" s="95"/>
      <c r="AE710" s="95"/>
      <c r="AF710" s="95"/>
      <c r="AG710" s="95"/>
      <c r="AH710" s="2"/>
      <c r="AI710" s="2"/>
      <c r="AJ710" s="2"/>
      <c r="AK710" s="2"/>
    </row>
    <row r="711" spans="1:37" ht="15.75" customHeight="1" x14ac:dyDescent="0.2">
      <c r="A711" s="1"/>
      <c r="B711" s="2"/>
      <c r="C711" s="1"/>
      <c r="D711" s="1"/>
      <c r="E711" s="48"/>
      <c r="F711" s="48"/>
      <c r="G711" s="2"/>
      <c r="H711" s="48"/>
      <c r="I711" s="2"/>
      <c r="J711" s="2"/>
      <c r="K711" s="2"/>
      <c r="L711" s="2"/>
      <c r="M711" s="2"/>
      <c r="N711" s="2"/>
      <c r="O711" s="1286"/>
      <c r="P711" s="95"/>
      <c r="Q711" s="95"/>
      <c r="AE711" s="95"/>
      <c r="AF711" s="95"/>
      <c r="AG711" s="95"/>
      <c r="AH711" s="2"/>
      <c r="AI711" s="2"/>
      <c r="AJ711" s="2"/>
      <c r="AK711" s="2"/>
    </row>
    <row r="712" spans="1:37" ht="15.75" customHeight="1" x14ac:dyDescent="0.2">
      <c r="A712" s="1"/>
      <c r="B712" s="2"/>
      <c r="C712" s="1"/>
      <c r="D712" s="1"/>
      <c r="E712" s="48"/>
      <c r="F712" s="48"/>
      <c r="G712" s="2"/>
      <c r="H712" s="48"/>
      <c r="I712" s="2"/>
      <c r="J712" s="2"/>
      <c r="K712" s="2"/>
      <c r="L712" s="2"/>
      <c r="M712" s="2"/>
      <c r="N712" s="2"/>
      <c r="O712" s="1286"/>
      <c r="P712" s="95"/>
      <c r="Q712" s="95"/>
      <c r="AE712" s="95"/>
      <c r="AF712" s="95"/>
      <c r="AG712" s="95"/>
      <c r="AH712" s="2"/>
      <c r="AI712" s="2"/>
      <c r="AJ712" s="2"/>
      <c r="AK712" s="2"/>
    </row>
    <row r="713" spans="1:37" ht="15.75" customHeight="1" x14ac:dyDescent="0.2">
      <c r="A713" s="1"/>
      <c r="B713" s="2"/>
      <c r="C713" s="1"/>
      <c r="D713" s="1"/>
      <c r="E713" s="48"/>
      <c r="F713" s="48"/>
      <c r="G713" s="2"/>
      <c r="H713" s="48"/>
      <c r="I713" s="2"/>
      <c r="J713" s="2"/>
      <c r="K713" s="2"/>
      <c r="L713" s="2"/>
      <c r="M713" s="2"/>
      <c r="N713" s="2"/>
      <c r="O713" s="1286"/>
      <c r="P713" s="95"/>
      <c r="Q713" s="95"/>
      <c r="AE713" s="95"/>
      <c r="AF713" s="95"/>
      <c r="AG713" s="95"/>
      <c r="AH713" s="2"/>
      <c r="AI713" s="2"/>
      <c r="AJ713" s="2"/>
      <c r="AK713" s="2"/>
    </row>
    <row r="714" spans="1:37" ht="15.75" customHeight="1" x14ac:dyDescent="0.2">
      <c r="A714" s="1"/>
      <c r="B714" s="2"/>
      <c r="C714" s="1"/>
      <c r="D714" s="1"/>
      <c r="E714" s="48"/>
      <c r="F714" s="48"/>
      <c r="G714" s="2"/>
      <c r="H714" s="48"/>
      <c r="I714" s="2"/>
      <c r="J714" s="2"/>
      <c r="K714" s="2"/>
      <c r="L714" s="2"/>
      <c r="M714" s="2"/>
      <c r="N714" s="2"/>
      <c r="O714" s="1286"/>
      <c r="P714" s="95"/>
      <c r="Q714" s="95"/>
      <c r="AE714" s="95"/>
      <c r="AF714" s="95"/>
      <c r="AG714" s="95"/>
      <c r="AH714" s="2"/>
      <c r="AI714" s="2"/>
      <c r="AJ714" s="2"/>
      <c r="AK714" s="2"/>
    </row>
    <row r="715" spans="1:37" ht="15.75" customHeight="1" x14ac:dyDescent="0.2">
      <c r="A715" s="1"/>
      <c r="B715" s="2"/>
      <c r="C715" s="1"/>
      <c r="D715" s="1"/>
      <c r="E715" s="48"/>
      <c r="F715" s="48"/>
      <c r="G715" s="2"/>
      <c r="H715" s="48"/>
      <c r="I715" s="2"/>
      <c r="J715" s="2"/>
      <c r="K715" s="2"/>
      <c r="L715" s="2"/>
      <c r="M715" s="2"/>
      <c r="N715" s="2"/>
      <c r="O715" s="1286"/>
      <c r="P715" s="95"/>
      <c r="Q715" s="95"/>
      <c r="AE715" s="95"/>
      <c r="AF715" s="95"/>
      <c r="AG715" s="95"/>
      <c r="AH715" s="2"/>
      <c r="AI715" s="2"/>
      <c r="AJ715" s="2"/>
      <c r="AK715" s="2"/>
    </row>
    <row r="716" spans="1:37" ht="15.75" customHeight="1" x14ac:dyDescent="0.2">
      <c r="A716" s="1"/>
      <c r="B716" s="2"/>
      <c r="C716" s="1"/>
      <c r="D716" s="1"/>
      <c r="E716" s="48"/>
      <c r="F716" s="48"/>
      <c r="G716" s="2"/>
      <c r="H716" s="48"/>
      <c r="I716" s="2"/>
      <c r="J716" s="2"/>
      <c r="K716" s="2"/>
      <c r="L716" s="2"/>
      <c r="M716" s="2"/>
      <c r="N716" s="2"/>
      <c r="O716" s="1286"/>
      <c r="P716" s="95"/>
      <c r="Q716" s="95"/>
      <c r="AE716" s="95"/>
      <c r="AF716" s="95"/>
      <c r="AG716" s="95"/>
      <c r="AH716" s="2"/>
      <c r="AI716" s="2"/>
      <c r="AJ716" s="2"/>
      <c r="AK716" s="2"/>
    </row>
    <row r="717" spans="1:37" ht="15.75" customHeight="1" x14ac:dyDescent="0.2">
      <c r="A717" s="1"/>
      <c r="B717" s="2"/>
      <c r="C717" s="1"/>
      <c r="D717" s="1"/>
      <c r="E717" s="48"/>
      <c r="F717" s="48"/>
      <c r="G717" s="2"/>
      <c r="H717" s="48"/>
      <c r="I717" s="2"/>
      <c r="J717" s="2"/>
      <c r="K717" s="2"/>
      <c r="L717" s="2"/>
      <c r="M717" s="2"/>
      <c r="N717" s="2"/>
      <c r="O717" s="1286"/>
      <c r="P717" s="95"/>
      <c r="Q717" s="95"/>
      <c r="AE717" s="95"/>
      <c r="AF717" s="95"/>
      <c r="AG717" s="95"/>
      <c r="AH717" s="2"/>
      <c r="AI717" s="2"/>
      <c r="AJ717" s="2"/>
      <c r="AK717" s="2"/>
    </row>
    <row r="718" spans="1:37" ht="15.75" customHeight="1" x14ac:dyDescent="0.2">
      <c r="A718" s="1"/>
      <c r="B718" s="2"/>
      <c r="C718" s="1"/>
      <c r="D718" s="1"/>
      <c r="E718" s="48"/>
      <c r="F718" s="48"/>
      <c r="G718" s="2"/>
      <c r="H718" s="48"/>
      <c r="I718" s="2"/>
      <c r="J718" s="2"/>
      <c r="K718" s="2"/>
      <c r="L718" s="2"/>
      <c r="M718" s="2"/>
      <c r="N718" s="2"/>
      <c r="O718" s="1286"/>
      <c r="P718" s="95"/>
      <c r="Q718" s="95"/>
      <c r="AE718" s="95"/>
      <c r="AF718" s="95"/>
      <c r="AG718" s="95"/>
      <c r="AH718" s="2"/>
      <c r="AI718" s="2"/>
      <c r="AJ718" s="2"/>
      <c r="AK718" s="2"/>
    </row>
    <row r="719" spans="1:37" ht="15.75" customHeight="1" x14ac:dyDescent="0.2">
      <c r="A719" s="1"/>
      <c r="B719" s="2"/>
      <c r="C719" s="1"/>
      <c r="D719" s="1"/>
      <c r="E719" s="48"/>
      <c r="F719" s="48"/>
      <c r="G719" s="2"/>
      <c r="H719" s="48"/>
      <c r="I719" s="2"/>
      <c r="J719" s="2"/>
      <c r="K719" s="2"/>
      <c r="L719" s="2"/>
      <c r="M719" s="2"/>
      <c r="N719" s="2"/>
      <c r="O719" s="1286"/>
      <c r="P719" s="95"/>
      <c r="Q719" s="95"/>
      <c r="AE719" s="95"/>
      <c r="AF719" s="95"/>
      <c r="AG719" s="95"/>
      <c r="AH719" s="2"/>
      <c r="AI719" s="2"/>
      <c r="AJ719" s="2"/>
      <c r="AK719" s="2"/>
    </row>
    <row r="720" spans="1:37" ht="15.75" customHeight="1" x14ac:dyDescent="0.2">
      <c r="A720" s="1"/>
      <c r="B720" s="2"/>
      <c r="C720" s="1"/>
      <c r="D720" s="1"/>
      <c r="E720" s="48"/>
      <c r="F720" s="48"/>
      <c r="G720" s="2"/>
      <c r="H720" s="48"/>
      <c r="I720" s="2"/>
      <c r="J720" s="2"/>
      <c r="K720" s="2"/>
      <c r="L720" s="2"/>
      <c r="M720" s="2"/>
      <c r="N720" s="2"/>
      <c r="O720" s="1286"/>
      <c r="P720" s="95"/>
      <c r="Q720" s="95"/>
      <c r="AE720" s="95"/>
      <c r="AF720" s="95"/>
      <c r="AG720" s="95"/>
      <c r="AH720" s="2"/>
      <c r="AI720" s="2"/>
      <c r="AJ720" s="2"/>
      <c r="AK720" s="2"/>
    </row>
    <row r="721" spans="1:37" ht="15.75" customHeight="1" x14ac:dyDescent="0.2">
      <c r="A721" s="1"/>
      <c r="B721" s="2"/>
      <c r="C721" s="1"/>
      <c r="D721" s="1"/>
      <c r="E721" s="48"/>
      <c r="F721" s="48"/>
      <c r="G721" s="2"/>
      <c r="H721" s="48"/>
      <c r="I721" s="2"/>
      <c r="J721" s="2"/>
      <c r="K721" s="2"/>
      <c r="L721" s="2"/>
      <c r="M721" s="2"/>
      <c r="N721" s="2"/>
      <c r="O721" s="1286"/>
      <c r="P721" s="95"/>
      <c r="Q721" s="95"/>
      <c r="AE721" s="95"/>
      <c r="AF721" s="95"/>
      <c r="AG721" s="95"/>
      <c r="AH721" s="2"/>
      <c r="AI721" s="2"/>
      <c r="AJ721" s="2"/>
      <c r="AK721" s="2"/>
    </row>
    <row r="722" spans="1:37" ht="15.75" customHeight="1" x14ac:dyDescent="0.2">
      <c r="A722" s="1"/>
      <c r="B722" s="2"/>
      <c r="C722" s="1"/>
      <c r="D722" s="1"/>
      <c r="E722" s="48"/>
      <c r="F722" s="48"/>
      <c r="G722" s="2"/>
      <c r="H722" s="48"/>
      <c r="I722" s="2"/>
      <c r="J722" s="2"/>
      <c r="K722" s="2"/>
      <c r="L722" s="2"/>
      <c r="M722" s="2"/>
      <c r="N722" s="2"/>
      <c r="O722" s="1286"/>
      <c r="P722" s="95"/>
      <c r="Q722" s="95"/>
      <c r="AE722" s="95"/>
      <c r="AF722" s="95"/>
      <c r="AG722" s="95"/>
      <c r="AH722" s="2"/>
      <c r="AI722" s="2"/>
      <c r="AJ722" s="2"/>
      <c r="AK722" s="2"/>
    </row>
    <row r="723" spans="1:37" ht="15.75" customHeight="1" x14ac:dyDescent="0.2">
      <c r="A723" s="1"/>
      <c r="B723" s="2"/>
      <c r="C723" s="1"/>
      <c r="D723" s="1"/>
      <c r="E723" s="48"/>
      <c r="F723" s="48"/>
      <c r="G723" s="2"/>
      <c r="H723" s="48"/>
      <c r="I723" s="2"/>
      <c r="J723" s="2"/>
      <c r="K723" s="2"/>
      <c r="L723" s="2"/>
      <c r="M723" s="2"/>
      <c r="N723" s="2"/>
      <c r="O723" s="1286"/>
      <c r="P723" s="95"/>
      <c r="Q723" s="95"/>
      <c r="AE723" s="95"/>
      <c r="AF723" s="95"/>
      <c r="AG723" s="95"/>
      <c r="AH723" s="2"/>
      <c r="AI723" s="2"/>
      <c r="AJ723" s="2"/>
      <c r="AK723" s="2"/>
    </row>
    <row r="724" spans="1:37" ht="15.75" customHeight="1" x14ac:dyDescent="0.2">
      <c r="A724" s="1"/>
      <c r="B724" s="2"/>
      <c r="C724" s="1"/>
      <c r="D724" s="1"/>
      <c r="E724" s="48"/>
      <c r="F724" s="48"/>
      <c r="G724" s="2"/>
      <c r="H724" s="48"/>
      <c r="I724" s="2"/>
      <c r="J724" s="2"/>
      <c r="K724" s="2"/>
      <c r="L724" s="2"/>
      <c r="M724" s="2"/>
      <c r="N724" s="2"/>
      <c r="O724" s="1286"/>
      <c r="P724" s="95"/>
      <c r="Q724" s="95"/>
      <c r="AE724" s="95"/>
      <c r="AF724" s="95"/>
      <c r="AG724" s="95"/>
      <c r="AH724" s="2"/>
      <c r="AI724" s="2"/>
      <c r="AJ724" s="2"/>
      <c r="AK724" s="2"/>
    </row>
    <row r="725" spans="1:37" ht="15.75" customHeight="1" x14ac:dyDescent="0.2">
      <c r="A725" s="1"/>
      <c r="B725" s="2"/>
      <c r="C725" s="1"/>
      <c r="D725" s="1"/>
      <c r="E725" s="48"/>
      <c r="F725" s="48"/>
      <c r="G725" s="2"/>
      <c r="H725" s="48"/>
      <c r="I725" s="2"/>
      <c r="J725" s="2"/>
      <c r="K725" s="2"/>
      <c r="L725" s="2"/>
      <c r="M725" s="2"/>
      <c r="N725" s="2"/>
      <c r="O725" s="1286"/>
      <c r="P725" s="95"/>
      <c r="Q725" s="95"/>
      <c r="AE725" s="95"/>
      <c r="AF725" s="95"/>
      <c r="AG725" s="95"/>
      <c r="AH725" s="2"/>
      <c r="AI725" s="2"/>
      <c r="AJ725" s="2"/>
      <c r="AK725" s="2"/>
    </row>
    <row r="726" spans="1:37" ht="15.75" customHeight="1" x14ac:dyDescent="0.2">
      <c r="A726" s="1"/>
      <c r="B726" s="2"/>
      <c r="C726" s="1"/>
      <c r="D726" s="1"/>
      <c r="E726" s="48"/>
      <c r="F726" s="48"/>
      <c r="G726" s="2"/>
      <c r="H726" s="48"/>
      <c r="I726" s="2"/>
      <c r="J726" s="2"/>
      <c r="K726" s="2"/>
      <c r="L726" s="2"/>
      <c r="M726" s="2"/>
      <c r="N726" s="2"/>
      <c r="O726" s="1286"/>
      <c r="P726" s="95"/>
      <c r="Q726" s="95"/>
      <c r="AE726" s="95"/>
      <c r="AF726" s="95"/>
      <c r="AG726" s="95"/>
      <c r="AH726" s="2"/>
      <c r="AI726" s="2"/>
      <c r="AJ726" s="2"/>
      <c r="AK726" s="2"/>
    </row>
    <row r="727" spans="1:37" ht="15.75" customHeight="1" x14ac:dyDescent="0.2">
      <c r="A727" s="1"/>
      <c r="B727" s="2"/>
      <c r="C727" s="1"/>
      <c r="D727" s="1"/>
      <c r="E727" s="48"/>
      <c r="F727" s="48"/>
      <c r="G727" s="2"/>
      <c r="H727" s="48"/>
      <c r="I727" s="2"/>
      <c r="J727" s="2"/>
      <c r="K727" s="2"/>
      <c r="L727" s="2"/>
      <c r="M727" s="2"/>
      <c r="N727" s="2"/>
      <c r="O727" s="1286"/>
      <c r="P727" s="95"/>
      <c r="Q727" s="95"/>
      <c r="AE727" s="95"/>
      <c r="AF727" s="95"/>
      <c r="AG727" s="95"/>
      <c r="AH727" s="2"/>
      <c r="AI727" s="2"/>
      <c r="AJ727" s="2"/>
      <c r="AK727" s="2"/>
    </row>
    <row r="728" spans="1:37" ht="15.75" customHeight="1" x14ac:dyDescent="0.2">
      <c r="A728" s="1"/>
      <c r="B728" s="2"/>
      <c r="C728" s="1"/>
      <c r="D728" s="1"/>
      <c r="E728" s="48"/>
      <c r="F728" s="48"/>
      <c r="G728" s="2"/>
      <c r="H728" s="48"/>
      <c r="I728" s="2"/>
      <c r="J728" s="2"/>
      <c r="K728" s="2"/>
      <c r="L728" s="2"/>
      <c r="M728" s="2"/>
      <c r="N728" s="2"/>
      <c r="O728" s="1286"/>
      <c r="P728" s="95"/>
      <c r="Q728" s="95"/>
      <c r="AE728" s="95"/>
      <c r="AF728" s="95"/>
      <c r="AG728" s="95"/>
      <c r="AH728" s="2"/>
      <c r="AI728" s="2"/>
      <c r="AJ728" s="2"/>
      <c r="AK728" s="2"/>
    </row>
    <row r="729" spans="1:37" ht="15.75" customHeight="1" x14ac:dyDescent="0.2">
      <c r="A729" s="1"/>
      <c r="B729" s="2"/>
      <c r="C729" s="1"/>
      <c r="D729" s="1"/>
      <c r="E729" s="48"/>
      <c r="F729" s="48"/>
      <c r="G729" s="2"/>
      <c r="H729" s="48"/>
      <c r="I729" s="2"/>
      <c r="J729" s="2"/>
      <c r="K729" s="2"/>
      <c r="L729" s="2"/>
      <c r="M729" s="2"/>
      <c r="N729" s="2"/>
      <c r="O729" s="1286"/>
      <c r="P729" s="95"/>
      <c r="Q729" s="95"/>
      <c r="AE729" s="95"/>
      <c r="AF729" s="95"/>
      <c r="AG729" s="95"/>
      <c r="AH729" s="2"/>
      <c r="AI729" s="2"/>
      <c r="AJ729" s="2"/>
      <c r="AK729" s="2"/>
    </row>
    <row r="730" spans="1:37" ht="15.75" customHeight="1" x14ac:dyDescent="0.2">
      <c r="A730" s="1"/>
      <c r="B730" s="2"/>
      <c r="C730" s="1"/>
      <c r="D730" s="1"/>
      <c r="E730" s="48"/>
      <c r="F730" s="48"/>
      <c r="G730" s="2"/>
      <c r="H730" s="48"/>
      <c r="I730" s="2"/>
      <c r="J730" s="2"/>
      <c r="K730" s="2"/>
      <c r="L730" s="2"/>
      <c r="M730" s="2"/>
      <c r="N730" s="2"/>
      <c r="O730" s="1286"/>
      <c r="P730" s="95"/>
      <c r="Q730" s="95"/>
      <c r="AE730" s="95"/>
      <c r="AF730" s="95"/>
      <c r="AG730" s="95"/>
      <c r="AH730" s="2"/>
      <c r="AI730" s="2"/>
      <c r="AJ730" s="2"/>
      <c r="AK730" s="2"/>
    </row>
    <row r="731" spans="1:37" ht="15.75" customHeight="1" x14ac:dyDescent="0.2">
      <c r="A731" s="1"/>
      <c r="B731" s="2"/>
      <c r="C731" s="1"/>
      <c r="D731" s="1"/>
      <c r="E731" s="48"/>
      <c r="F731" s="48"/>
      <c r="G731" s="2"/>
      <c r="H731" s="48"/>
      <c r="I731" s="2"/>
      <c r="J731" s="2"/>
      <c r="K731" s="2"/>
      <c r="L731" s="2"/>
      <c r="M731" s="2"/>
      <c r="N731" s="2"/>
      <c r="O731" s="1286"/>
      <c r="P731" s="95"/>
      <c r="Q731" s="95"/>
      <c r="AE731" s="95"/>
      <c r="AF731" s="95"/>
      <c r="AG731" s="95"/>
      <c r="AH731" s="2"/>
      <c r="AI731" s="2"/>
      <c r="AJ731" s="2"/>
      <c r="AK731" s="2"/>
    </row>
    <row r="732" spans="1:37" ht="15.75" customHeight="1" x14ac:dyDescent="0.2">
      <c r="A732" s="1"/>
      <c r="B732" s="2"/>
      <c r="C732" s="1"/>
      <c r="D732" s="1"/>
      <c r="E732" s="48"/>
      <c r="F732" s="48"/>
      <c r="G732" s="2"/>
      <c r="H732" s="48"/>
      <c r="I732" s="2"/>
      <c r="J732" s="2"/>
      <c r="K732" s="2"/>
      <c r="L732" s="2"/>
      <c r="M732" s="2"/>
      <c r="N732" s="2"/>
      <c r="O732" s="1286"/>
      <c r="P732" s="95"/>
      <c r="Q732" s="95"/>
      <c r="AE732" s="95"/>
      <c r="AF732" s="95"/>
      <c r="AG732" s="95"/>
      <c r="AH732" s="2"/>
      <c r="AI732" s="2"/>
      <c r="AJ732" s="2"/>
      <c r="AK732" s="2"/>
    </row>
    <row r="733" spans="1:37" ht="15.75" customHeight="1" x14ac:dyDescent="0.2">
      <c r="A733" s="1"/>
      <c r="B733" s="2"/>
      <c r="C733" s="1"/>
      <c r="D733" s="1"/>
      <c r="E733" s="48"/>
      <c r="F733" s="48"/>
      <c r="G733" s="2"/>
      <c r="H733" s="48"/>
      <c r="I733" s="2"/>
      <c r="J733" s="2"/>
      <c r="K733" s="2"/>
      <c r="L733" s="2"/>
      <c r="M733" s="2"/>
      <c r="N733" s="2"/>
      <c r="O733" s="1286"/>
      <c r="P733" s="95"/>
      <c r="Q733" s="95"/>
      <c r="AE733" s="95"/>
      <c r="AF733" s="95"/>
      <c r="AG733" s="95"/>
      <c r="AH733" s="2"/>
      <c r="AI733" s="2"/>
      <c r="AJ733" s="2"/>
      <c r="AK733" s="2"/>
    </row>
    <row r="734" spans="1:37" ht="15.75" customHeight="1" x14ac:dyDescent="0.2">
      <c r="A734" s="1"/>
      <c r="B734" s="2"/>
      <c r="C734" s="1"/>
      <c r="D734" s="1"/>
      <c r="E734" s="48"/>
      <c r="F734" s="48"/>
      <c r="G734" s="2"/>
      <c r="H734" s="48"/>
      <c r="I734" s="2"/>
      <c r="J734" s="2"/>
      <c r="K734" s="2"/>
      <c r="L734" s="2"/>
      <c r="M734" s="2"/>
      <c r="N734" s="2"/>
      <c r="O734" s="1286"/>
      <c r="P734" s="95"/>
      <c r="Q734" s="95"/>
      <c r="AE734" s="95"/>
      <c r="AF734" s="95"/>
      <c r="AG734" s="95"/>
      <c r="AH734" s="2"/>
      <c r="AI734" s="2"/>
      <c r="AJ734" s="2"/>
      <c r="AK734" s="2"/>
    </row>
    <row r="735" spans="1:37" ht="15.75" customHeight="1" x14ac:dyDescent="0.2">
      <c r="A735" s="1"/>
      <c r="B735" s="2"/>
      <c r="C735" s="1"/>
      <c r="D735" s="1"/>
      <c r="E735" s="48"/>
      <c r="F735" s="48"/>
      <c r="G735" s="2"/>
      <c r="H735" s="48"/>
      <c r="I735" s="2"/>
      <c r="J735" s="2"/>
      <c r="K735" s="2"/>
      <c r="L735" s="2"/>
      <c r="M735" s="2"/>
      <c r="N735" s="2"/>
      <c r="O735" s="1286"/>
      <c r="P735" s="95"/>
      <c r="Q735" s="95"/>
      <c r="AE735" s="95"/>
      <c r="AF735" s="95"/>
      <c r="AG735" s="95"/>
      <c r="AH735" s="2"/>
      <c r="AI735" s="2"/>
      <c r="AJ735" s="2"/>
      <c r="AK735" s="2"/>
    </row>
    <row r="736" spans="1:37" ht="15.75" customHeight="1" x14ac:dyDescent="0.2">
      <c r="A736" s="1"/>
      <c r="B736" s="2"/>
      <c r="C736" s="1"/>
      <c r="D736" s="1"/>
      <c r="E736" s="48"/>
      <c r="F736" s="48"/>
      <c r="G736" s="2"/>
      <c r="H736" s="48"/>
      <c r="I736" s="2"/>
      <c r="J736" s="2"/>
      <c r="K736" s="2"/>
      <c r="L736" s="2"/>
      <c r="M736" s="2"/>
      <c r="N736" s="2"/>
      <c r="O736" s="1286"/>
      <c r="P736" s="95"/>
      <c r="Q736" s="95"/>
      <c r="AE736" s="95"/>
      <c r="AF736" s="95"/>
      <c r="AG736" s="95"/>
      <c r="AH736" s="2"/>
      <c r="AI736" s="2"/>
      <c r="AJ736" s="2"/>
      <c r="AK736" s="2"/>
    </row>
    <row r="737" spans="1:37" ht="15.75" customHeight="1" x14ac:dyDescent="0.2">
      <c r="A737" s="1"/>
      <c r="B737" s="2"/>
      <c r="C737" s="1"/>
      <c r="D737" s="1"/>
      <c r="E737" s="48"/>
      <c r="F737" s="48"/>
      <c r="G737" s="2"/>
      <c r="H737" s="48"/>
      <c r="I737" s="2"/>
      <c r="J737" s="2"/>
      <c r="K737" s="2"/>
      <c r="L737" s="2"/>
      <c r="M737" s="2"/>
      <c r="N737" s="2"/>
      <c r="O737" s="1286"/>
      <c r="P737" s="95"/>
      <c r="Q737" s="95"/>
      <c r="AE737" s="95"/>
      <c r="AF737" s="95"/>
      <c r="AG737" s="95"/>
      <c r="AH737" s="2"/>
      <c r="AI737" s="2"/>
      <c r="AJ737" s="2"/>
      <c r="AK737" s="2"/>
    </row>
    <row r="738" spans="1:37" ht="15.75" customHeight="1" x14ac:dyDescent="0.2">
      <c r="A738" s="1"/>
      <c r="B738" s="2"/>
      <c r="C738" s="1"/>
      <c r="D738" s="1"/>
      <c r="E738" s="48"/>
      <c r="F738" s="48"/>
      <c r="G738" s="2"/>
      <c r="H738" s="48"/>
      <c r="I738" s="2"/>
      <c r="J738" s="2"/>
      <c r="K738" s="2"/>
      <c r="L738" s="2"/>
      <c r="M738" s="2"/>
      <c r="N738" s="2"/>
      <c r="O738" s="1286"/>
      <c r="P738" s="95"/>
      <c r="Q738" s="95"/>
      <c r="AE738" s="95"/>
      <c r="AF738" s="95"/>
      <c r="AG738" s="95"/>
      <c r="AH738" s="2"/>
      <c r="AI738" s="2"/>
      <c r="AJ738" s="2"/>
      <c r="AK738" s="2"/>
    </row>
    <row r="739" spans="1:37" ht="15.75" customHeight="1" x14ac:dyDescent="0.2">
      <c r="A739" s="1"/>
      <c r="B739" s="2"/>
      <c r="C739" s="1"/>
      <c r="D739" s="1"/>
      <c r="E739" s="48"/>
      <c r="F739" s="48"/>
      <c r="G739" s="2"/>
      <c r="H739" s="48"/>
      <c r="I739" s="2"/>
      <c r="J739" s="2"/>
      <c r="K739" s="2"/>
      <c r="L739" s="2"/>
      <c r="M739" s="2"/>
      <c r="N739" s="2"/>
      <c r="O739" s="1286"/>
      <c r="P739" s="95"/>
      <c r="Q739" s="95"/>
      <c r="AE739" s="95"/>
      <c r="AF739" s="95"/>
      <c r="AG739" s="95"/>
      <c r="AH739" s="2"/>
      <c r="AI739" s="2"/>
      <c r="AJ739" s="2"/>
      <c r="AK739" s="2"/>
    </row>
    <row r="740" spans="1:37" ht="15.75" customHeight="1" x14ac:dyDescent="0.2">
      <c r="A740" s="1"/>
      <c r="B740" s="2"/>
      <c r="C740" s="1"/>
      <c r="D740" s="1"/>
      <c r="E740" s="48"/>
      <c r="F740" s="48"/>
      <c r="G740" s="2"/>
      <c r="H740" s="48"/>
      <c r="I740" s="2"/>
      <c r="J740" s="2"/>
      <c r="K740" s="2"/>
      <c r="L740" s="2"/>
      <c r="M740" s="2"/>
      <c r="N740" s="2"/>
      <c r="O740" s="1286"/>
      <c r="P740" s="95"/>
      <c r="Q740" s="95"/>
      <c r="AE740" s="95"/>
      <c r="AF740" s="95"/>
      <c r="AG740" s="95"/>
      <c r="AH740" s="2"/>
      <c r="AI740" s="2"/>
      <c r="AJ740" s="2"/>
      <c r="AK740" s="2"/>
    </row>
    <row r="741" spans="1:37" ht="15.75" customHeight="1" x14ac:dyDescent="0.2">
      <c r="A741" s="1"/>
      <c r="B741" s="2"/>
      <c r="C741" s="1"/>
      <c r="D741" s="1"/>
      <c r="E741" s="48"/>
      <c r="F741" s="48"/>
      <c r="G741" s="2"/>
      <c r="H741" s="48"/>
      <c r="I741" s="2"/>
      <c r="J741" s="2"/>
      <c r="K741" s="2"/>
      <c r="L741" s="2"/>
      <c r="M741" s="2"/>
      <c r="N741" s="2"/>
      <c r="O741" s="1286"/>
      <c r="P741" s="95"/>
      <c r="Q741" s="95"/>
      <c r="AE741" s="95"/>
      <c r="AF741" s="95"/>
      <c r="AG741" s="95"/>
      <c r="AH741" s="2"/>
      <c r="AI741" s="2"/>
      <c r="AJ741" s="2"/>
      <c r="AK741" s="2"/>
    </row>
    <row r="742" spans="1:37" ht="15.75" customHeight="1" x14ac:dyDescent="0.2">
      <c r="A742" s="1"/>
      <c r="B742" s="2"/>
      <c r="C742" s="1"/>
      <c r="D742" s="1"/>
      <c r="E742" s="48"/>
      <c r="F742" s="48"/>
      <c r="G742" s="2"/>
      <c r="H742" s="48"/>
      <c r="I742" s="2"/>
      <c r="J742" s="2"/>
      <c r="K742" s="2"/>
      <c r="L742" s="2"/>
      <c r="M742" s="2"/>
      <c r="N742" s="2"/>
      <c r="O742" s="1286"/>
      <c r="P742" s="95"/>
      <c r="Q742" s="95"/>
      <c r="AE742" s="95"/>
      <c r="AF742" s="95"/>
      <c r="AG742" s="95"/>
      <c r="AH742" s="2"/>
      <c r="AI742" s="2"/>
      <c r="AJ742" s="2"/>
      <c r="AK742" s="2"/>
    </row>
    <row r="743" spans="1:37" ht="15.75" customHeight="1" x14ac:dyDescent="0.2">
      <c r="A743" s="1"/>
      <c r="B743" s="2"/>
      <c r="C743" s="1"/>
      <c r="D743" s="1"/>
      <c r="E743" s="48"/>
      <c r="F743" s="48"/>
      <c r="G743" s="2"/>
      <c r="H743" s="48"/>
      <c r="I743" s="2"/>
      <c r="J743" s="2"/>
      <c r="K743" s="2"/>
      <c r="L743" s="2"/>
      <c r="M743" s="2"/>
      <c r="N743" s="2"/>
      <c r="O743" s="1286"/>
      <c r="P743" s="95"/>
      <c r="Q743" s="95"/>
      <c r="AE743" s="95"/>
      <c r="AF743" s="95"/>
      <c r="AG743" s="95"/>
      <c r="AH743" s="2"/>
      <c r="AI743" s="2"/>
      <c r="AJ743" s="2"/>
      <c r="AK743" s="2"/>
    </row>
    <row r="744" spans="1:37" ht="15.75" customHeight="1" x14ac:dyDescent="0.2">
      <c r="A744" s="1"/>
      <c r="B744" s="2"/>
      <c r="C744" s="1"/>
      <c r="D744" s="1"/>
      <c r="E744" s="48"/>
      <c r="F744" s="48"/>
      <c r="G744" s="2"/>
      <c r="H744" s="48"/>
      <c r="I744" s="2"/>
      <c r="J744" s="2"/>
      <c r="K744" s="2"/>
      <c r="L744" s="2"/>
      <c r="M744" s="2"/>
      <c r="N744" s="2"/>
      <c r="O744" s="1286"/>
      <c r="P744" s="95"/>
      <c r="Q744" s="95"/>
      <c r="AE744" s="95"/>
      <c r="AF744" s="95"/>
      <c r="AG744" s="95"/>
      <c r="AH744" s="2"/>
      <c r="AI744" s="2"/>
      <c r="AJ744" s="2"/>
      <c r="AK744" s="2"/>
    </row>
    <row r="745" spans="1:37" ht="15.75" customHeight="1" x14ac:dyDescent="0.2">
      <c r="A745" s="1"/>
      <c r="B745" s="2"/>
      <c r="C745" s="1"/>
      <c r="D745" s="1"/>
      <c r="E745" s="48"/>
      <c r="F745" s="48"/>
      <c r="G745" s="2"/>
      <c r="H745" s="48"/>
      <c r="I745" s="2"/>
      <c r="J745" s="2"/>
      <c r="K745" s="2"/>
      <c r="L745" s="2"/>
      <c r="M745" s="2"/>
      <c r="N745" s="2"/>
      <c r="O745" s="1286"/>
      <c r="P745" s="95"/>
      <c r="Q745" s="95"/>
      <c r="AE745" s="95"/>
      <c r="AF745" s="95"/>
      <c r="AG745" s="95"/>
      <c r="AH745" s="2"/>
      <c r="AI745" s="2"/>
      <c r="AJ745" s="2"/>
      <c r="AK745" s="2"/>
    </row>
    <row r="746" spans="1:37" ht="15.75" customHeight="1" x14ac:dyDescent="0.2">
      <c r="A746" s="1"/>
      <c r="B746" s="2"/>
      <c r="C746" s="1"/>
      <c r="D746" s="1"/>
      <c r="E746" s="48"/>
      <c r="F746" s="48"/>
      <c r="G746" s="2"/>
      <c r="H746" s="48"/>
      <c r="I746" s="2"/>
      <c r="J746" s="2"/>
      <c r="K746" s="2"/>
      <c r="L746" s="2"/>
      <c r="M746" s="2"/>
      <c r="N746" s="2"/>
      <c r="O746" s="1286"/>
      <c r="P746" s="95"/>
      <c r="Q746" s="95"/>
      <c r="AE746" s="95"/>
      <c r="AF746" s="95"/>
      <c r="AG746" s="95"/>
      <c r="AH746" s="2"/>
      <c r="AI746" s="2"/>
      <c r="AJ746" s="2"/>
      <c r="AK746" s="2"/>
    </row>
    <row r="747" spans="1:37" ht="15.75" customHeight="1" x14ac:dyDescent="0.2">
      <c r="A747" s="1"/>
      <c r="B747" s="2"/>
      <c r="C747" s="1"/>
      <c r="D747" s="1"/>
      <c r="E747" s="48"/>
      <c r="F747" s="48"/>
      <c r="G747" s="2"/>
      <c r="H747" s="48"/>
      <c r="I747" s="2"/>
      <c r="J747" s="2"/>
      <c r="K747" s="2"/>
      <c r="L747" s="2"/>
      <c r="M747" s="2"/>
      <c r="N747" s="2"/>
      <c r="O747" s="1286"/>
      <c r="P747" s="95"/>
      <c r="Q747" s="95"/>
      <c r="AE747" s="95"/>
      <c r="AF747" s="95"/>
      <c r="AG747" s="95"/>
      <c r="AH747" s="2"/>
      <c r="AI747" s="2"/>
      <c r="AJ747" s="2"/>
      <c r="AK747" s="2"/>
    </row>
    <row r="748" spans="1:37" ht="15.75" customHeight="1" x14ac:dyDescent="0.2">
      <c r="A748" s="1"/>
      <c r="B748" s="2"/>
      <c r="C748" s="1"/>
      <c r="D748" s="1"/>
      <c r="E748" s="48"/>
      <c r="F748" s="48"/>
      <c r="G748" s="2"/>
      <c r="H748" s="48"/>
      <c r="I748" s="2"/>
      <c r="J748" s="2"/>
      <c r="K748" s="2"/>
      <c r="L748" s="2"/>
      <c r="M748" s="2"/>
      <c r="N748" s="2"/>
      <c r="O748" s="1286"/>
      <c r="P748" s="95"/>
      <c r="Q748" s="95"/>
      <c r="AE748" s="95"/>
      <c r="AF748" s="95"/>
      <c r="AG748" s="95"/>
      <c r="AH748" s="2"/>
      <c r="AI748" s="2"/>
      <c r="AJ748" s="2"/>
      <c r="AK748" s="2"/>
    </row>
    <row r="749" spans="1:37" ht="15.75" customHeight="1" x14ac:dyDescent="0.2">
      <c r="A749" s="1"/>
      <c r="B749" s="2"/>
      <c r="C749" s="1"/>
      <c r="D749" s="1"/>
      <c r="E749" s="48"/>
      <c r="F749" s="48"/>
      <c r="G749" s="2"/>
      <c r="H749" s="48"/>
      <c r="I749" s="2"/>
      <c r="J749" s="2"/>
      <c r="K749" s="2"/>
      <c r="L749" s="2"/>
      <c r="M749" s="2"/>
      <c r="N749" s="2"/>
      <c r="O749" s="1286"/>
      <c r="P749" s="95"/>
      <c r="Q749" s="95"/>
      <c r="AE749" s="95"/>
      <c r="AF749" s="95"/>
      <c r="AG749" s="95"/>
      <c r="AH749" s="2"/>
      <c r="AI749" s="2"/>
      <c r="AJ749" s="2"/>
      <c r="AK749" s="2"/>
    </row>
    <row r="750" spans="1:37" ht="15.75" customHeight="1" x14ac:dyDescent="0.2">
      <c r="A750" s="1"/>
      <c r="B750" s="2"/>
      <c r="C750" s="1"/>
      <c r="D750" s="1"/>
      <c r="E750" s="48"/>
      <c r="F750" s="48"/>
      <c r="G750" s="2"/>
      <c r="H750" s="48"/>
      <c r="I750" s="2"/>
      <c r="J750" s="2"/>
      <c r="K750" s="2"/>
      <c r="L750" s="2"/>
      <c r="M750" s="2"/>
      <c r="N750" s="2"/>
      <c r="O750" s="1286"/>
      <c r="P750" s="95"/>
      <c r="Q750" s="95"/>
      <c r="AE750" s="95"/>
      <c r="AF750" s="95"/>
      <c r="AG750" s="95"/>
      <c r="AH750" s="2"/>
      <c r="AI750" s="2"/>
      <c r="AJ750" s="2"/>
      <c r="AK750" s="2"/>
    </row>
    <row r="751" spans="1:37" ht="15.75" customHeight="1" x14ac:dyDescent="0.2">
      <c r="A751" s="1"/>
      <c r="B751" s="2"/>
      <c r="C751" s="1"/>
      <c r="D751" s="1"/>
      <c r="E751" s="48"/>
      <c r="F751" s="48"/>
      <c r="G751" s="2"/>
      <c r="H751" s="48"/>
      <c r="I751" s="2"/>
      <c r="J751" s="2"/>
      <c r="K751" s="2"/>
      <c r="L751" s="2"/>
      <c r="M751" s="2"/>
      <c r="N751" s="2"/>
      <c r="O751" s="1286"/>
      <c r="P751" s="95"/>
      <c r="Q751" s="95"/>
      <c r="AE751" s="95"/>
      <c r="AF751" s="95"/>
      <c r="AG751" s="95"/>
      <c r="AH751" s="2"/>
      <c r="AI751" s="2"/>
      <c r="AJ751" s="2"/>
      <c r="AK751" s="2"/>
    </row>
    <row r="752" spans="1:37" ht="15.75" customHeight="1" x14ac:dyDescent="0.2">
      <c r="A752" s="1"/>
      <c r="B752" s="2"/>
      <c r="C752" s="1"/>
      <c r="D752" s="1"/>
      <c r="E752" s="48"/>
      <c r="F752" s="48"/>
      <c r="G752" s="2"/>
      <c r="H752" s="48"/>
      <c r="I752" s="2"/>
      <c r="J752" s="2"/>
      <c r="K752" s="2"/>
      <c r="L752" s="2"/>
      <c r="M752" s="2"/>
      <c r="N752" s="2"/>
      <c r="O752" s="1286"/>
      <c r="P752" s="95"/>
      <c r="Q752" s="95"/>
      <c r="AE752" s="95"/>
      <c r="AF752" s="95"/>
      <c r="AG752" s="95"/>
      <c r="AH752" s="2"/>
      <c r="AI752" s="2"/>
      <c r="AJ752" s="2"/>
      <c r="AK752" s="2"/>
    </row>
    <row r="753" spans="1:37" ht="15.75" customHeight="1" x14ac:dyDescent="0.2">
      <c r="A753" s="1"/>
      <c r="B753" s="2"/>
      <c r="C753" s="1"/>
      <c r="D753" s="1"/>
      <c r="E753" s="48"/>
      <c r="F753" s="48"/>
      <c r="G753" s="2"/>
      <c r="H753" s="48"/>
      <c r="I753" s="2"/>
      <c r="J753" s="2"/>
      <c r="K753" s="2"/>
      <c r="L753" s="2"/>
      <c r="M753" s="2"/>
      <c r="N753" s="2"/>
      <c r="O753" s="1286"/>
      <c r="P753" s="95"/>
      <c r="Q753" s="95"/>
      <c r="AE753" s="95"/>
      <c r="AF753" s="95"/>
      <c r="AG753" s="95"/>
      <c r="AH753" s="2"/>
      <c r="AI753" s="2"/>
      <c r="AJ753" s="2"/>
      <c r="AK753" s="2"/>
    </row>
    <row r="754" spans="1:37" ht="15.75" customHeight="1" x14ac:dyDescent="0.2">
      <c r="A754" s="1"/>
      <c r="B754" s="2"/>
      <c r="C754" s="1"/>
      <c r="D754" s="1"/>
      <c r="E754" s="48"/>
      <c r="F754" s="48"/>
      <c r="G754" s="2"/>
      <c r="H754" s="48"/>
      <c r="I754" s="2"/>
      <c r="J754" s="2"/>
      <c r="K754" s="2"/>
      <c r="L754" s="2"/>
      <c r="M754" s="2"/>
      <c r="N754" s="2"/>
      <c r="O754" s="1286"/>
      <c r="P754" s="95"/>
      <c r="Q754" s="95"/>
      <c r="AE754" s="95"/>
      <c r="AF754" s="95"/>
      <c r="AG754" s="95"/>
      <c r="AH754" s="2"/>
      <c r="AI754" s="2"/>
      <c r="AJ754" s="2"/>
      <c r="AK754" s="2"/>
    </row>
    <row r="755" spans="1:37" ht="15.75" customHeight="1" x14ac:dyDescent="0.2">
      <c r="A755" s="1"/>
      <c r="B755" s="2"/>
      <c r="C755" s="1"/>
      <c r="D755" s="1"/>
      <c r="E755" s="48"/>
      <c r="F755" s="48"/>
      <c r="G755" s="2"/>
      <c r="H755" s="48"/>
      <c r="I755" s="2"/>
      <c r="J755" s="2"/>
      <c r="K755" s="2"/>
      <c r="L755" s="2"/>
      <c r="M755" s="2"/>
      <c r="N755" s="2"/>
      <c r="O755" s="1286"/>
      <c r="P755" s="95"/>
      <c r="Q755" s="95"/>
      <c r="AE755" s="95"/>
      <c r="AF755" s="95"/>
      <c r="AG755" s="95"/>
      <c r="AH755" s="2"/>
      <c r="AI755" s="2"/>
      <c r="AJ755" s="2"/>
      <c r="AK755" s="2"/>
    </row>
    <row r="756" spans="1:37" ht="15.75" customHeight="1" x14ac:dyDescent="0.2">
      <c r="A756" s="1"/>
      <c r="B756" s="2"/>
      <c r="C756" s="1"/>
      <c r="D756" s="1"/>
      <c r="E756" s="48"/>
      <c r="F756" s="48"/>
      <c r="G756" s="2"/>
      <c r="H756" s="48"/>
      <c r="I756" s="2"/>
      <c r="J756" s="2"/>
      <c r="K756" s="2"/>
      <c r="L756" s="2"/>
      <c r="M756" s="2"/>
      <c r="N756" s="2"/>
      <c r="O756" s="1286"/>
      <c r="P756" s="95"/>
      <c r="Q756" s="95"/>
      <c r="AE756" s="95"/>
      <c r="AF756" s="95"/>
      <c r="AG756" s="95"/>
      <c r="AH756" s="2"/>
      <c r="AI756" s="2"/>
      <c r="AJ756" s="2"/>
      <c r="AK756" s="2"/>
    </row>
    <row r="757" spans="1:37" ht="15.75" customHeight="1" x14ac:dyDescent="0.2">
      <c r="A757" s="1"/>
      <c r="B757" s="2"/>
      <c r="C757" s="1"/>
      <c r="D757" s="1"/>
      <c r="E757" s="48"/>
      <c r="F757" s="48"/>
      <c r="G757" s="2"/>
      <c r="H757" s="48"/>
      <c r="I757" s="2"/>
      <c r="J757" s="2"/>
      <c r="K757" s="2"/>
      <c r="L757" s="2"/>
      <c r="M757" s="2"/>
      <c r="N757" s="2"/>
      <c r="O757" s="1286"/>
      <c r="P757" s="95"/>
      <c r="Q757" s="95"/>
      <c r="AE757" s="95"/>
      <c r="AF757" s="95"/>
      <c r="AG757" s="95"/>
      <c r="AH757" s="2"/>
      <c r="AI757" s="2"/>
      <c r="AJ757" s="2"/>
      <c r="AK757" s="2"/>
    </row>
    <row r="758" spans="1:37" ht="15.75" customHeight="1" x14ac:dyDescent="0.2">
      <c r="A758" s="1"/>
      <c r="B758" s="2"/>
      <c r="C758" s="1"/>
      <c r="D758" s="1"/>
      <c r="E758" s="48"/>
      <c r="F758" s="48"/>
      <c r="G758" s="2"/>
      <c r="H758" s="48"/>
      <c r="I758" s="2"/>
      <c r="J758" s="2"/>
      <c r="K758" s="2"/>
      <c r="L758" s="2"/>
      <c r="M758" s="2"/>
      <c r="N758" s="2"/>
      <c r="O758" s="1286"/>
      <c r="P758" s="95"/>
      <c r="Q758" s="95"/>
      <c r="AE758" s="95"/>
      <c r="AF758" s="95"/>
      <c r="AG758" s="95"/>
      <c r="AH758" s="2"/>
      <c r="AI758" s="2"/>
      <c r="AJ758" s="2"/>
      <c r="AK758" s="2"/>
    </row>
    <row r="759" spans="1:37" ht="15.75" customHeight="1" x14ac:dyDescent="0.2">
      <c r="A759" s="1"/>
      <c r="B759" s="2"/>
      <c r="C759" s="1"/>
      <c r="D759" s="1"/>
      <c r="E759" s="48"/>
      <c r="F759" s="48"/>
      <c r="G759" s="2"/>
      <c r="H759" s="48"/>
      <c r="I759" s="2"/>
      <c r="J759" s="2"/>
      <c r="K759" s="2"/>
      <c r="L759" s="2"/>
      <c r="M759" s="2"/>
      <c r="N759" s="2"/>
      <c r="O759" s="1286"/>
      <c r="P759" s="95"/>
      <c r="Q759" s="95"/>
      <c r="AE759" s="95"/>
      <c r="AF759" s="95"/>
      <c r="AG759" s="95"/>
      <c r="AH759" s="2"/>
      <c r="AI759" s="2"/>
      <c r="AJ759" s="2"/>
      <c r="AK759" s="2"/>
    </row>
    <row r="760" spans="1:37" ht="15.75" customHeight="1" x14ac:dyDescent="0.2">
      <c r="A760" s="1"/>
      <c r="B760" s="2"/>
      <c r="C760" s="1"/>
      <c r="D760" s="1"/>
      <c r="E760" s="48"/>
      <c r="F760" s="48"/>
      <c r="G760" s="2"/>
      <c r="H760" s="48"/>
      <c r="I760" s="2"/>
      <c r="J760" s="2"/>
      <c r="K760" s="2"/>
      <c r="L760" s="2"/>
      <c r="M760" s="2"/>
      <c r="N760" s="2"/>
      <c r="O760" s="1286"/>
      <c r="P760" s="95"/>
      <c r="Q760" s="95"/>
      <c r="AE760" s="95"/>
      <c r="AF760" s="95"/>
      <c r="AG760" s="95"/>
      <c r="AH760" s="2"/>
      <c r="AI760" s="2"/>
      <c r="AJ760" s="2"/>
      <c r="AK760" s="2"/>
    </row>
    <row r="761" spans="1:37" ht="15.75" customHeight="1" x14ac:dyDescent="0.2">
      <c r="A761" s="1"/>
      <c r="B761" s="2"/>
      <c r="C761" s="1"/>
      <c r="D761" s="1"/>
      <c r="E761" s="48"/>
      <c r="F761" s="48"/>
      <c r="G761" s="2"/>
      <c r="H761" s="48"/>
      <c r="I761" s="2"/>
      <c r="J761" s="2"/>
      <c r="K761" s="2"/>
      <c r="L761" s="2"/>
      <c r="M761" s="2"/>
      <c r="N761" s="2"/>
      <c r="O761" s="1286"/>
      <c r="P761" s="95"/>
      <c r="Q761" s="95"/>
      <c r="AE761" s="95"/>
      <c r="AF761" s="95"/>
      <c r="AG761" s="95"/>
      <c r="AH761" s="2"/>
      <c r="AI761" s="2"/>
      <c r="AJ761" s="2"/>
      <c r="AK761" s="2"/>
    </row>
    <row r="762" spans="1:37" ht="15.75" customHeight="1" x14ac:dyDescent="0.2">
      <c r="A762" s="1"/>
      <c r="B762" s="2"/>
      <c r="C762" s="1"/>
      <c r="D762" s="1"/>
      <c r="E762" s="48"/>
      <c r="F762" s="48"/>
      <c r="G762" s="2"/>
      <c r="H762" s="48"/>
      <c r="I762" s="2"/>
      <c r="J762" s="2"/>
      <c r="K762" s="2"/>
      <c r="L762" s="2"/>
      <c r="M762" s="2"/>
      <c r="N762" s="2"/>
      <c r="O762" s="1286"/>
      <c r="P762" s="95"/>
      <c r="Q762" s="95"/>
      <c r="AE762" s="95"/>
      <c r="AF762" s="95"/>
      <c r="AG762" s="95"/>
      <c r="AH762" s="2"/>
      <c r="AI762" s="2"/>
      <c r="AJ762" s="2"/>
      <c r="AK762" s="2"/>
    </row>
    <row r="763" spans="1:37" ht="15.75" customHeight="1" x14ac:dyDescent="0.2">
      <c r="A763" s="1"/>
      <c r="B763" s="2"/>
      <c r="C763" s="1"/>
      <c r="D763" s="1"/>
      <c r="E763" s="48"/>
      <c r="F763" s="48"/>
      <c r="G763" s="2"/>
      <c r="H763" s="48"/>
      <c r="I763" s="2"/>
      <c r="J763" s="2"/>
      <c r="K763" s="2"/>
      <c r="L763" s="2"/>
      <c r="M763" s="2"/>
      <c r="N763" s="2"/>
      <c r="O763" s="1286"/>
      <c r="P763" s="95"/>
      <c r="Q763" s="95"/>
      <c r="AE763" s="95"/>
      <c r="AF763" s="95"/>
      <c r="AG763" s="95"/>
      <c r="AH763" s="2"/>
      <c r="AI763" s="2"/>
      <c r="AJ763" s="2"/>
      <c r="AK763" s="2"/>
    </row>
    <row r="764" spans="1:37" ht="15.75" customHeight="1" x14ac:dyDescent="0.2">
      <c r="A764" s="1"/>
      <c r="B764" s="2"/>
      <c r="C764" s="1"/>
      <c r="D764" s="1"/>
      <c r="E764" s="48"/>
      <c r="F764" s="48"/>
      <c r="G764" s="2"/>
      <c r="H764" s="48"/>
      <c r="I764" s="2"/>
      <c r="J764" s="2"/>
      <c r="K764" s="2"/>
      <c r="L764" s="2"/>
      <c r="M764" s="2"/>
      <c r="N764" s="2"/>
      <c r="O764" s="1286"/>
      <c r="P764" s="95"/>
      <c r="Q764" s="95"/>
      <c r="AE764" s="95"/>
      <c r="AF764" s="95"/>
      <c r="AG764" s="95"/>
      <c r="AH764" s="2"/>
      <c r="AI764" s="2"/>
      <c r="AJ764" s="2"/>
      <c r="AK764" s="2"/>
    </row>
    <row r="765" spans="1:37" ht="15.75" customHeight="1" x14ac:dyDescent="0.2">
      <c r="A765" s="1"/>
      <c r="B765" s="2"/>
      <c r="C765" s="1"/>
      <c r="D765" s="1"/>
      <c r="E765" s="48"/>
      <c r="F765" s="48"/>
      <c r="G765" s="2"/>
      <c r="H765" s="48"/>
      <c r="I765" s="2"/>
      <c r="J765" s="2"/>
      <c r="K765" s="2"/>
      <c r="L765" s="2"/>
      <c r="M765" s="2"/>
      <c r="N765" s="2"/>
      <c r="O765" s="1286"/>
      <c r="P765" s="95"/>
      <c r="Q765" s="95"/>
      <c r="AE765" s="95"/>
      <c r="AF765" s="95"/>
      <c r="AG765" s="95"/>
      <c r="AH765" s="2"/>
      <c r="AI765" s="2"/>
      <c r="AJ765" s="2"/>
      <c r="AK765" s="2"/>
    </row>
    <row r="766" spans="1:37" ht="15.75" customHeight="1" x14ac:dyDescent="0.2">
      <c r="A766" s="1"/>
      <c r="B766" s="2"/>
      <c r="C766" s="1"/>
      <c r="D766" s="1"/>
      <c r="E766" s="48"/>
      <c r="F766" s="48"/>
      <c r="G766" s="2"/>
      <c r="H766" s="48"/>
      <c r="I766" s="2"/>
      <c r="J766" s="2"/>
      <c r="K766" s="2"/>
      <c r="L766" s="2"/>
      <c r="M766" s="2"/>
      <c r="N766" s="2"/>
      <c r="O766" s="1286"/>
      <c r="P766" s="95"/>
      <c r="Q766" s="95"/>
      <c r="AE766" s="95"/>
      <c r="AF766" s="95"/>
      <c r="AG766" s="95"/>
      <c r="AH766" s="2"/>
      <c r="AI766" s="2"/>
      <c r="AJ766" s="2"/>
      <c r="AK766" s="2"/>
    </row>
    <row r="767" spans="1:37" ht="15.75" customHeight="1" x14ac:dyDescent="0.2">
      <c r="A767" s="1"/>
      <c r="B767" s="2"/>
      <c r="C767" s="1"/>
      <c r="D767" s="1"/>
      <c r="E767" s="48"/>
      <c r="F767" s="48"/>
      <c r="G767" s="2"/>
      <c r="H767" s="48"/>
      <c r="I767" s="2"/>
      <c r="J767" s="2"/>
      <c r="K767" s="2"/>
      <c r="L767" s="2"/>
      <c r="M767" s="2"/>
      <c r="N767" s="2"/>
      <c r="O767" s="1286"/>
      <c r="P767" s="95"/>
      <c r="Q767" s="95"/>
      <c r="AE767" s="95"/>
      <c r="AF767" s="95"/>
      <c r="AG767" s="95"/>
      <c r="AH767" s="2"/>
      <c r="AI767" s="2"/>
      <c r="AJ767" s="2"/>
      <c r="AK767" s="2"/>
    </row>
    <row r="768" spans="1:37" ht="15.75" customHeight="1" x14ac:dyDescent="0.2">
      <c r="A768" s="1"/>
      <c r="B768" s="2"/>
      <c r="C768" s="1"/>
      <c r="D768" s="1"/>
      <c r="E768" s="48"/>
      <c r="F768" s="48"/>
      <c r="G768" s="2"/>
      <c r="H768" s="48"/>
      <c r="I768" s="2"/>
      <c r="J768" s="2"/>
      <c r="K768" s="2"/>
      <c r="L768" s="2"/>
      <c r="M768" s="2"/>
      <c r="N768" s="2"/>
      <c r="O768" s="1286"/>
      <c r="P768" s="95"/>
      <c r="Q768" s="95"/>
      <c r="AE768" s="95"/>
      <c r="AF768" s="95"/>
      <c r="AG768" s="95"/>
      <c r="AH768" s="2"/>
      <c r="AI768" s="2"/>
      <c r="AJ768" s="2"/>
      <c r="AK768" s="2"/>
    </row>
    <row r="769" spans="1:37" ht="15.75" customHeight="1" x14ac:dyDescent="0.2">
      <c r="A769" s="1"/>
      <c r="B769" s="2"/>
      <c r="C769" s="1"/>
      <c r="D769" s="1"/>
      <c r="E769" s="48"/>
      <c r="F769" s="48"/>
      <c r="G769" s="2"/>
      <c r="H769" s="48"/>
      <c r="I769" s="2"/>
      <c r="J769" s="2"/>
      <c r="K769" s="2"/>
      <c r="L769" s="2"/>
      <c r="M769" s="2"/>
      <c r="N769" s="2"/>
      <c r="O769" s="1286"/>
      <c r="P769" s="95"/>
      <c r="Q769" s="95"/>
      <c r="AE769" s="95"/>
      <c r="AF769" s="95"/>
      <c r="AG769" s="95"/>
      <c r="AH769" s="2"/>
      <c r="AI769" s="2"/>
      <c r="AJ769" s="2"/>
      <c r="AK769" s="2"/>
    </row>
    <row r="770" spans="1:37" ht="15.75" customHeight="1" x14ac:dyDescent="0.2">
      <c r="A770" s="1"/>
      <c r="B770" s="2"/>
      <c r="C770" s="1"/>
      <c r="D770" s="1"/>
      <c r="E770" s="48"/>
      <c r="F770" s="48"/>
      <c r="G770" s="2"/>
      <c r="H770" s="48"/>
      <c r="I770" s="2"/>
      <c r="J770" s="2"/>
      <c r="K770" s="2"/>
      <c r="L770" s="2"/>
      <c r="M770" s="2"/>
      <c r="N770" s="2"/>
      <c r="O770" s="1286"/>
      <c r="P770" s="95"/>
      <c r="Q770" s="95"/>
      <c r="AE770" s="95"/>
      <c r="AF770" s="95"/>
      <c r="AG770" s="95"/>
      <c r="AH770" s="2"/>
      <c r="AI770" s="2"/>
      <c r="AJ770" s="2"/>
      <c r="AK770" s="2"/>
    </row>
    <row r="771" spans="1:37" ht="15.75" customHeight="1" x14ac:dyDescent="0.2">
      <c r="A771" s="1"/>
      <c r="B771" s="2"/>
      <c r="C771" s="1"/>
      <c r="D771" s="1"/>
      <c r="E771" s="48"/>
      <c r="F771" s="48"/>
      <c r="G771" s="2"/>
      <c r="H771" s="48"/>
      <c r="I771" s="2"/>
      <c r="J771" s="2"/>
      <c r="K771" s="2"/>
      <c r="L771" s="2"/>
      <c r="M771" s="2"/>
      <c r="N771" s="2"/>
      <c r="O771" s="1286"/>
      <c r="P771" s="95"/>
      <c r="Q771" s="95"/>
      <c r="AE771" s="95"/>
      <c r="AF771" s="95"/>
      <c r="AG771" s="95"/>
      <c r="AH771" s="2"/>
      <c r="AI771" s="2"/>
      <c r="AJ771" s="2"/>
      <c r="AK771" s="2"/>
    </row>
    <row r="772" spans="1:37" ht="15.75" customHeight="1" x14ac:dyDescent="0.2">
      <c r="A772" s="1"/>
      <c r="B772" s="2"/>
      <c r="C772" s="1"/>
      <c r="D772" s="1"/>
      <c r="E772" s="48"/>
      <c r="F772" s="48"/>
      <c r="G772" s="2"/>
      <c r="H772" s="48"/>
      <c r="I772" s="2"/>
      <c r="J772" s="2"/>
      <c r="K772" s="2"/>
      <c r="L772" s="2"/>
      <c r="M772" s="2"/>
      <c r="N772" s="2"/>
      <c r="O772" s="1286"/>
      <c r="P772" s="95"/>
      <c r="Q772" s="95"/>
      <c r="AE772" s="95"/>
      <c r="AF772" s="95"/>
      <c r="AG772" s="95"/>
      <c r="AH772" s="2"/>
      <c r="AI772" s="2"/>
      <c r="AJ772" s="2"/>
      <c r="AK772" s="2"/>
    </row>
    <row r="773" spans="1:37" ht="15.75" customHeight="1" x14ac:dyDescent="0.2">
      <c r="A773" s="1"/>
      <c r="B773" s="2"/>
      <c r="C773" s="1"/>
      <c r="D773" s="1"/>
      <c r="E773" s="48"/>
      <c r="F773" s="48"/>
      <c r="G773" s="2"/>
      <c r="H773" s="48"/>
      <c r="I773" s="2"/>
      <c r="J773" s="2"/>
      <c r="K773" s="2"/>
      <c r="L773" s="2"/>
      <c r="M773" s="2"/>
      <c r="N773" s="2"/>
      <c r="O773" s="1286"/>
      <c r="P773" s="95"/>
      <c r="Q773" s="95"/>
      <c r="AE773" s="95"/>
      <c r="AF773" s="95"/>
      <c r="AG773" s="95"/>
      <c r="AH773" s="2"/>
      <c r="AI773" s="2"/>
      <c r="AJ773" s="2"/>
      <c r="AK773" s="2"/>
    </row>
    <row r="774" spans="1:37" ht="15.75" customHeight="1" x14ac:dyDescent="0.2">
      <c r="A774" s="1"/>
      <c r="B774" s="2"/>
      <c r="C774" s="1"/>
      <c r="D774" s="1"/>
      <c r="E774" s="48"/>
      <c r="F774" s="48"/>
      <c r="G774" s="2"/>
      <c r="H774" s="48"/>
      <c r="I774" s="2"/>
      <c r="J774" s="2"/>
      <c r="K774" s="2"/>
      <c r="L774" s="2"/>
      <c r="M774" s="2"/>
      <c r="N774" s="2"/>
      <c r="O774" s="1286"/>
      <c r="P774" s="95"/>
      <c r="Q774" s="95"/>
      <c r="AE774" s="95"/>
      <c r="AF774" s="95"/>
      <c r="AG774" s="95"/>
      <c r="AH774" s="2"/>
      <c r="AI774" s="2"/>
      <c r="AJ774" s="2"/>
      <c r="AK774" s="2"/>
    </row>
    <row r="775" spans="1:37" ht="15.75" customHeight="1" x14ac:dyDescent="0.2">
      <c r="A775" s="1"/>
      <c r="B775" s="2"/>
      <c r="C775" s="1"/>
      <c r="D775" s="1"/>
      <c r="E775" s="48"/>
      <c r="F775" s="48"/>
      <c r="G775" s="2"/>
      <c r="H775" s="48"/>
      <c r="I775" s="2"/>
      <c r="J775" s="2"/>
      <c r="K775" s="2"/>
      <c r="L775" s="2"/>
      <c r="M775" s="2"/>
      <c r="N775" s="2"/>
      <c r="O775" s="1286"/>
      <c r="P775" s="95"/>
      <c r="Q775" s="95"/>
      <c r="AE775" s="95"/>
      <c r="AF775" s="95"/>
      <c r="AG775" s="95"/>
      <c r="AH775" s="2"/>
      <c r="AI775" s="2"/>
      <c r="AJ775" s="2"/>
      <c r="AK775" s="2"/>
    </row>
    <row r="776" spans="1:37" ht="15.75" customHeight="1" x14ac:dyDescent="0.2">
      <c r="A776" s="1"/>
      <c r="B776" s="2"/>
      <c r="C776" s="1"/>
      <c r="D776" s="1"/>
      <c r="E776" s="48"/>
      <c r="F776" s="48"/>
      <c r="G776" s="2"/>
      <c r="H776" s="48"/>
      <c r="I776" s="2"/>
      <c r="J776" s="2"/>
      <c r="K776" s="2"/>
      <c r="L776" s="2"/>
      <c r="M776" s="2"/>
      <c r="N776" s="2"/>
      <c r="O776" s="1286"/>
      <c r="P776" s="95"/>
      <c r="Q776" s="95"/>
      <c r="AE776" s="95"/>
      <c r="AF776" s="95"/>
      <c r="AG776" s="95"/>
      <c r="AH776" s="2"/>
      <c r="AI776" s="2"/>
      <c r="AJ776" s="2"/>
      <c r="AK776" s="2"/>
    </row>
    <row r="777" spans="1:37" ht="15.75" customHeight="1" x14ac:dyDescent="0.2">
      <c r="A777" s="1"/>
      <c r="B777" s="2"/>
      <c r="C777" s="1"/>
      <c r="D777" s="1"/>
      <c r="E777" s="48"/>
      <c r="F777" s="48"/>
      <c r="G777" s="2"/>
      <c r="H777" s="48"/>
      <c r="I777" s="2"/>
      <c r="J777" s="2"/>
      <c r="K777" s="2"/>
      <c r="L777" s="2"/>
      <c r="M777" s="2"/>
      <c r="N777" s="2"/>
      <c r="O777" s="1286"/>
      <c r="P777" s="95"/>
      <c r="Q777" s="95"/>
      <c r="AE777" s="95"/>
      <c r="AF777" s="95"/>
      <c r="AG777" s="95"/>
      <c r="AH777" s="2"/>
      <c r="AI777" s="2"/>
      <c r="AJ777" s="2"/>
      <c r="AK777" s="2"/>
    </row>
    <row r="778" spans="1:37" ht="15.75" customHeight="1" x14ac:dyDescent="0.2">
      <c r="A778" s="1"/>
      <c r="B778" s="2"/>
      <c r="C778" s="1"/>
      <c r="D778" s="1"/>
      <c r="E778" s="48"/>
      <c r="F778" s="48"/>
      <c r="G778" s="2"/>
      <c r="H778" s="48"/>
      <c r="I778" s="2"/>
      <c r="J778" s="2"/>
      <c r="K778" s="2"/>
      <c r="L778" s="2"/>
      <c r="M778" s="2"/>
      <c r="N778" s="2"/>
      <c r="O778" s="1286"/>
      <c r="P778" s="95"/>
      <c r="Q778" s="95"/>
      <c r="AE778" s="95"/>
      <c r="AF778" s="95"/>
      <c r="AG778" s="95"/>
      <c r="AH778" s="2"/>
      <c r="AI778" s="2"/>
      <c r="AJ778" s="2"/>
      <c r="AK778" s="2"/>
    </row>
    <row r="779" spans="1:37" ht="15.75" customHeight="1" x14ac:dyDescent="0.2">
      <c r="A779" s="1"/>
      <c r="B779" s="2"/>
      <c r="C779" s="1"/>
      <c r="D779" s="1"/>
      <c r="E779" s="48"/>
      <c r="F779" s="48"/>
      <c r="G779" s="2"/>
      <c r="H779" s="48"/>
      <c r="I779" s="2"/>
      <c r="J779" s="2"/>
      <c r="K779" s="2"/>
      <c r="L779" s="2"/>
      <c r="M779" s="2"/>
      <c r="N779" s="2"/>
      <c r="O779" s="1286"/>
      <c r="P779" s="95"/>
      <c r="Q779" s="95"/>
      <c r="AE779" s="95"/>
      <c r="AF779" s="95"/>
      <c r="AG779" s="95"/>
      <c r="AH779" s="2"/>
      <c r="AI779" s="2"/>
      <c r="AJ779" s="2"/>
      <c r="AK779" s="2"/>
    </row>
    <row r="780" spans="1:37" ht="15.75" customHeight="1" x14ac:dyDescent="0.2">
      <c r="A780" s="1"/>
      <c r="B780" s="2"/>
      <c r="C780" s="1"/>
      <c r="D780" s="1"/>
      <c r="E780" s="48"/>
      <c r="F780" s="48"/>
      <c r="G780" s="2"/>
      <c r="H780" s="48"/>
      <c r="I780" s="2"/>
      <c r="J780" s="2"/>
      <c r="K780" s="2"/>
      <c r="L780" s="2"/>
      <c r="M780" s="2"/>
      <c r="N780" s="2"/>
      <c r="O780" s="1286"/>
      <c r="P780" s="95"/>
      <c r="Q780" s="95"/>
      <c r="AE780" s="95"/>
      <c r="AF780" s="95"/>
      <c r="AG780" s="95"/>
      <c r="AH780" s="2"/>
      <c r="AI780" s="2"/>
      <c r="AJ780" s="2"/>
      <c r="AK780" s="2"/>
    </row>
    <row r="781" spans="1:37" ht="15.75" customHeight="1" x14ac:dyDescent="0.2">
      <c r="A781" s="1"/>
      <c r="B781" s="2"/>
      <c r="C781" s="1"/>
      <c r="D781" s="1"/>
      <c r="E781" s="48"/>
      <c r="F781" s="48"/>
      <c r="G781" s="2"/>
      <c r="H781" s="48"/>
      <c r="I781" s="2"/>
      <c r="J781" s="2"/>
      <c r="K781" s="2"/>
      <c r="L781" s="2"/>
      <c r="M781" s="2"/>
      <c r="N781" s="2"/>
      <c r="O781" s="1286"/>
      <c r="P781" s="95"/>
      <c r="Q781" s="95"/>
      <c r="AE781" s="95"/>
      <c r="AF781" s="95"/>
      <c r="AG781" s="95"/>
      <c r="AH781" s="2"/>
      <c r="AI781" s="2"/>
      <c r="AJ781" s="2"/>
      <c r="AK781" s="2"/>
    </row>
    <row r="782" spans="1:37" ht="15.75" customHeight="1" x14ac:dyDescent="0.2">
      <c r="A782" s="1"/>
      <c r="B782" s="2"/>
      <c r="C782" s="1"/>
      <c r="D782" s="1"/>
      <c r="E782" s="48"/>
      <c r="F782" s="48"/>
      <c r="G782" s="2"/>
      <c r="H782" s="48"/>
      <c r="I782" s="2"/>
      <c r="J782" s="2"/>
      <c r="K782" s="2"/>
      <c r="L782" s="2"/>
      <c r="M782" s="2"/>
      <c r="N782" s="2"/>
      <c r="O782" s="1286"/>
      <c r="P782" s="95"/>
      <c r="Q782" s="95"/>
      <c r="AE782" s="95"/>
      <c r="AF782" s="95"/>
      <c r="AG782" s="95"/>
      <c r="AH782" s="2"/>
      <c r="AI782" s="2"/>
      <c r="AJ782" s="2"/>
      <c r="AK782" s="2"/>
    </row>
    <row r="783" spans="1:37" ht="15.75" customHeight="1" x14ac:dyDescent="0.2">
      <c r="A783" s="1"/>
      <c r="B783" s="2"/>
      <c r="C783" s="1"/>
      <c r="D783" s="1"/>
      <c r="E783" s="48"/>
      <c r="F783" s="48"/>
      <c r="G783" s="2"/>
      <c r="H783" s="48"/>
      <c r="I783" s="2"/>
      <c r="J783" s="2"/>
      <c r="K783" s="2"/>
      <c r="L783" s="2"/>
      <c r="M783" s="2"/>
      <c r="N783" s="2"/>
      <c r="O783" s="1286"/>
      <c r="P783" s="95"/>
      <c r="Q783" s="95"/>
      <c r="AE783" s="95"/>
      <c r="AF783" s="95"/>
      <c r="AG783" s="95"/>
      <c r="AH783" s="2"/>
      <c r="AI783" s="2"/>
      <c r="AJ783" s="2"/>
      <c r="AK783" s="2"/>
    </row>
    <row r="784" spans="1:37" ht="15.75" customHeight="1" x14ac:dyDescent="0.2">
      <c r="A784" s="1"/>
      <c r="B784" s="2"/>
      <c r="C784" s="1"/>
      <c r="D784" s="1"/>
      <c r="E784" s="48"/>
      <c r="F784" s="48"/>
      <c r="G784" s="2"/>
      <c r="H784" s="48"/>
      <c r="I784" s="2"/>
      <c r="J784" s="2"/>
      <c r="K784" s="2"/>
      <c r="L784" s="2"/>
      <c r="M784" s="2"/>
      <c r="N784" s="2"/>
      <c r="O784" s="1286"/>
      <c r="P784" s="95"/>
      <c r="Q784" s="95"/>
      <c r="AE784" s="95"/>
      <c r="AF784" s="95"/>
      <c r="AG784" s="95"/>
      <c r="AH784" s="2"/>
      <c r="AI784" s="2"/>
      <c r="AJ784" s="2"/>
      <c r="AK784" s="2"/>
    </row>
    <row r="785" spans="1:37" ht="15.75" customHeight="1" x14ac:dyDescent="0.2">
      <c r="A785" s="1"/>
      <c r="B785" s="2"/>
      <c r="C785" s="1"/>
      <c r="D785" s="1"/>
      <c r="E785" s="48"/>
      <c r="F785" s="48"/>
      <c r="G785" s="2"/>
      <c r="H785" s="48"/>
      <c r="I785" s="2"/>
      <c r="J785" s="2"/>
      <c r="K785" s="2"/>
      <c r="L785" s="2"/>
      <c r="M785" s="2"/>
      <c r="N785" s="2"/>
      <c r="O785" s="1286"/>
      <c r="P785" s="95"/>
      <c r="Q785" s="95"/>
      <c r="AE785" s="95"/>
      <c r="AF785" s="95"/>
      <c r="AG785" s="95"/>
      <c r="AH785" s="2"/>
      <c r="AI785" s="2"/>
      <c r="AJ785" s="2"/>
      <c r="AK785" s="2"/>
    </row>
    <row r="786" spans="1:37" ht="15.75" customHeight="1" x14ac:dyDescent="0.2">
      <c r="A786" s="1"/>
      <c r="B786" s="2"/>
      <c r="C786" s="1"/>
      <c r="D786" s="1"/>
      <c r="E786" s="48"/>
      <c r="F786" s="48"/>
      <c r="G786" s="2"/>
      <c r="H786" s="48"/>
      <c r="I786" s="2"/>
      <c r="J786" s="2"/>
      <c r="K786" s="2"/>
      <c r="L786" s="2"/>
      <c r="M786" s="2"/>
      <c r="N786" s="2"/>
      <c r="O786" s="1286"/>
      <c r="P786" s="95"/>
      <c r="Q786" s="95"/>
      <c r="AE786" s="95"/>
      <c r="AF786" s="95"/>
      <c r="AG786" s="95"/>
      <c r="AH786" s="2"/>
      <c r="AI786" s="2"/>
      <c r="AJ786" s="2"/>
      <c r="AK786" s="2"/>
    </row>
    <row r="787" spans="1:37" ht="15.75" customHeight="1" x14ac:dyDescent="0.2">
      <c r="A787" s="1"/>
      <c r="B787" s="2"/>
      <c r="C787" s="1"/>
      <c r="D787" s="1"/>
      <c r="E787" s="48"/>
      <c r="F787" s="48"/>
      <c r="G787" s="2"/>
      <c r="H787" s="48"/>
      <c r="I787" s="2"/>
      <c r="J787" s="2"/>
      <c r="K787" s="2"/>
      <c r="L787" s="2"/>
      <c r="M787" s="2"/>
      <c r="N787" s="2"/>
      <c r="O787" s="1286"/>
      <c r="P787" s="95"/>
      <c r="Q787" s="95"/>
      <c r="AE787" s="95"/>
      <c r="AF787" s="95"/>
      <c r="AG787" s="95"/>
      <c r="AH787" s="2"/>
      <c r="AI787" s="2"/>
      <c r="AJ787" s="2"/>
      <c r="AK787" s="2"/>
    </row>
    <row r="788" spans="1:37" ht="15.75" customHeight="1" x14ac:dyDescent="0.2">
      <c r="A788" s="1"/>
      <c r="B788" s="2"/>
      <c r="C788" s="1"/>
      <c r="D788" s="1"/>
      <c r="E788" s="48"/>
      <c r="F788" s="48"/>
      <c r="G788" s="2"/>
      <c r="H788" s="48"/>
      <c r="I788" s="2"/>
      <c r="J788" s="2"/>
      <c r="K788" s="2"/>
      <c r="L788" s="2"/>
      <c r="M788" s="2"/>
      <c r="N788" s="2"/>
      <c r="O788" s="1286"/>
      <c r="P788" s="95"/>
      <c r="Q788" s="95"/>
      <c r="AE788" s="95"/>
      <c r="AF788" s="95"/>
      <c r="AG788" s="95"/>
      <c r="AH788" s="2"/>
      <c r="AI788" s="2"/>
      <c r="AJ788" s="2"/>
      <c r="AK788" s="2"/>
    </row>
    <row r="789" spans="1:37" ht="15.75" customHeight="1" x14ac:dyDescent="0.2">
      <c r="A789" s="1"/>
      <c r="B789" s="2"/>
      <c r="C789" s="1"/>
      <c r="D789" s="1"/>
      <c r="E789" s="48"/>
      <c r="F789" s="48"/>
      <c r="G789" s="2"/>
      <c r="H789" s="48"/>
      <c r="I789" s="2"/>
      <c r="J789" s="2"/>
      <c r="K789" s="2"/>
      <c r="L789" s="2"/>
      <c r="M789" s="2"/>
      <c r="N789" s="2"/>
      <c r="O789" s="1286"/>
      <c r="P789" s="95"/>
      <c r="Q789" s="95"/>
      <c r="AE789" s="95"/>
      <c r="AF789" s="95"/>
      <c r="AG789" s="95"/>
      <c r="AH789" s="2"/>
      <c r="AI789" s="2"/>
      <c r="AJ789" s="2"/>
      <c r="AK789" s="2"/>
    </row>
    <row r="790" spans="1:37" ht="15.75" customHeight="1" x14ac:dyDescent="0.2">
      <c r="A790" s="1"/>
      <c r="B790" s="2"/>
      <c r="C790" s="1"/>
      <c r="D790" s="1"/>
      <c r="E790" s="48"/>
      <c r="F790" s="48"/>
      <c r="G790" s="2"/>
      <c r="H790" s="48"/>
      <c r="I790" s="2"/>
      <c r="J790" s="2"/>
      <c r="K790" s="2"/>
      <c r="L790" s="2"/>
      <c r="M790" s="2"/>
      <c r="N790" s="2"/>
      <c r="O790" s="1286"/>
      <c r="P790" s="95"/>
      <c r="Q790" s="95"/>
      <c r="AE790" s="95"/>
      <c r="AF790" s="95"/>
      <c r="AG790" s="95"/>
      <c r="AH790" s="2"/>
      <c r="AI790" s="2"/>
      <c r="AJ790" s="2"/>
      <c r="AK790" s="2"/>
    </row>
    <row r="791" spans="1:37" ht="15.75" customHeight="1" x14ac:dyDescent="0.2">
      <c r="A791" s="1"/>
      <c r="B791" s="2"/>
      <c r="C791" s="1"/>
      <c r="D791" s="1"/>
      <c r="E791" s="48"/>
      <c r="F791" s="48"/>
      <c r="G791" s="2"/>
      <c r="H791" s="48"/>
      <c r="I791" s="2"/>
      <c r="J791" s="2"/>
      <c r="K791" s="2"/>
      <c r="L791" s="2"/>
      <c r="M791" s="2"/>
      <c r="N791" s="2"/>
      <c r="O791" s="1286"/>
      <c r="P791" s="95"/>
      <c r="Q791" s="95"/>
      <c r="AE791" s="95"/>
      <c r="AF791" s="95"/>
      <c r="AG791" s="95"/>
      <c r="AH791" s="2"/>
      <c r="AI791" s="2"/>
      <c r="AJ791" s="2"/>
      <c r="AK791" s="2"/>
    </row>
    <row r="792" spans="1:37" ht="15.75" customHeight="1" x14ac:dyDescent="0.2">
      <c r="A792" s="1"/>
      <c r="B792" s="2"/>
      <c r="C792" s="1"/>
      <c r="D792" s="1"/>
      <c r="E792" s="48"/>
      <c r="F792" s="48"/>
      <c r="G792" s="2"/>
      <c r="H792" s="48"/>
      <c r="I792" s="2"/>
      <c r="J792" s="2"/>
      <c r="K792" s="2"/>
      <c r="L792" s="2"/>
      <c r="M792" s="2"/>
      <c r="N792" s="2"/>
      <c r="O792" s="1286"/>
      <c r="P792" s="95"/>
      <c r="Q792" s="95"/>
      <c r="AE792" s="95"/>
      <c r="AF792" s="95"/>
      <c r="AG792" s="95"/>
      <c r="AH792" s="2"/>
      <c r="AI792" s="2"/>
      <c r="AJ792" s="2"/>
      <c r="AK792" s="2"/>
    </row>
    <row r="793" spans="1:37" ht="15.75" customHeight="1" x14ac:dyDescent="0.2">
      <c r="A793" s="1"/>
      <c r="B793" s="2"/>
      <c r="C793" s="1"/>
      <c r="D793" s="1"/>
      <c r="E793" s="48"/>
      <c r="F793" s="48"/>
      <c r="G793" s="2"/>
      <c r="H793" s="48"/>
      <c r="I793" s="2"/>
      <c r="J793" s="2"/>
      <c r="K793" s="2"/>
      <c r="L793" s="2"/>
      <c r="M793" s="2"/>
      <c r="N793" s="2"/>
      <c r="O793" s="1286"/>
      <c r="P793" s="95"/>
      <c r="Q793" s="95"/>
      <c r="AE793" s="95"/>
      <c r="AF793" s="95"/>
      <c r="AG793" s="95"/>
      <c r="AH793" s="2"/>
      <c r="AI793" s="2"/>
      <c r="AJ793" s="2"/>
      <c r="AK793" s="2"/>
    </row>
    <row r="794" spans="1:37" ht="15.75" customHeight="1" x14ac:dyDescent="0.2">
      <c r="A794" s="1"/>
      <c r="B794" s="2"/>
      <c r="C794" s="1"/>
      <c r="D794" s="1"/>
      <c r="E794" s="48"/>
      <c r="F794" s="48"/>
      <c r="G794" s="2"/>
      <c r="H794" s="48"/>
      <c r="I794" s="2"/>
      <c r="J794" s="2"/>
      <c r="K794" s="2"/>
      <c r="L794" s="2"/>
      <c r="M794" s="2"/>
      <c r="N794" s="2"/>
      <c r="O794" s="1286"/>
      <c r="P794" s="95"/>
      <c r="Q794" s="95"/>
      <c r="AE794" s="95"/>
      <c r="AF794" s="95"/>
      <c r="AG794" s="95"/>
      <c r="AH794" s="2"/>
      <c r="AI794" s="2"/>
      <c r="AJ794" s="2"/>
      <c r="AK794" s="2"/>
    </row>
    <row r="795" spans="1:37" ht="15.75" customHeight="1" x14ac:dyDescent="0.2">
      <c r="A795" s="1"/>
      <c r="B795" s="2"/>
      <c r="C795" s="1"/>
      <c r="D795" s="1"/>
      <c r="E795" s="48"/>
      <c r="F795" s="48"/>
      <c r="G795" s="2"/>
      <c r="H795" s="48"/>
      <c r="I795" s="2"/>
      <c r="J795" s="2"/>
      <c r="K795" s="2"/>
      <c r="L795" s="2"/>
      <c r="M795" s="2"/>
      <c r="N795" s="2"/>
      <c r="O795" s="1286"/>
      <c r="P795" s="95"/>
      <c r="Q795" s="95"/>
      <c r="AE795" s="95"/>
      <c r="AF795" s="95"/>
      <c r="AG795" s="95"/>
      <c r="AH795" s="2"/>
      <c r="AI795" s="2"/>
      <c r="AJ795" s="2"/>
      <c r="AK795" s="2"/>
    </row>
    <row r="796" spans="1:37" ht="15.75" customHeight="1" x14ac:dyDescent="0.2">
      <c r="A796" s="1"/>
      <c r="B796" s="2"/>
      <c r="C796" s="1"/>
      <c r="D796" s="1"/>
      <c r="E796" s="48"/>
      <c r="F796" s="48"/>
      <c r="G796" s="2"/>
      <c r="H796" s="48"/>
      <c r="I796" s="2"/>
      <c r="J796" s="2"/>
      <c r="K796" s="2"/>
      <c r="L796" s="2"/>
      <c r="M796" s="2"/>
      <c r="N796" s="2"/>
      <c r="O796" s="1286"/>
      <c r="P796" s="95"/>
      <c r="Q796" s="95"/>
      <c r="AE796" s="95"/>
      <c r="AF796" s="95"/>
      <c r="AG796" s="95"/>
      <c r="AH796" s="2"/>
      <c r="AI796" s="2"/>
      <c r="AJ796" s="2"/>
      <c r="AK796" s="2"/>
    </row>
    <row r="797" spans="1:37" ht="15.75" customHeight="1" x14ac:dyDescent="0.2">
      <c r="A797" s="1"/>
      <c r="B797" s="2"/>
      <c r="C797" s="1"/>
      <c r="D797" s="1"/>
      <c r="E797" s="48"/>
      <c r="F797" s="48"/>
      <c r="G797" s="2"/>
      <c r="H797" s="48"/>
      <c r="I797" s="2"/>
      <c r="J797" s="2"/>
      <c r="K797" s="2"/>
      <c r="L797" s="2"/>
      <c r="M797" s="2"/>
      <c r="N797" s="2"/>
      <c r="O797" s="1286"/>
      <c r="P797" s="95"/>
      <c r="Q797" s="95"/>
      <c r="AE797" s="95"/>
      <c r="AF797" s="95"/>
      <c r="AG797" s="95"/>
      <c r="AH797" s="2"/>
      <c r="AI797" s="2"/>
      <c r="AJ797" s="2"/>
      <c r="AK797" s="2"/>
    </row>
    <row r="798" spans="1:37" ht="15.75" customHeight="1" x14ac:dyDescent="0.2">
      <c r="A798" s="1"/>
      <c r="B798" s="2"/>
      <c r="C798" s="1"/>
      <c r="D798" s="1"/>
      <c r="E798" s="48"/>
      <c r="F798" s="48"/>
      <c r="G798" s="2"/>
      <c r="H798" s="48"/>
      <c r="I798" s="2"/>
      <c r="J798" s="2"/>
      <c r="K798" s="2"/>
      <c r="L798" s="2"/>
      <c r="M798" s="2"/>
      <c r="N798" s="2"/>
      <c r="O798" s="1286"/>
      <c r="P798" s="95"/>
      <c r="Q798" s="95"/>
      <c r="AE798" s="95"/>
      <c r="AF798" s="95"/>
      <c r="AG798" s="95"/>
      <c r="AH798" s="2"/>
      <c r="AI798" s="2"/>
      <c r="AJ798" s="2"/>
      <c r="AK798" s="2"/>
    </row>
    <row r="799" spans="1:37" ht="15.75" customHeight="1" x14ac:dyDescent="0.2">
      <c r="A799" s="1"/>
      <c r="B799" s="2"/>
      <c r="C799" s="1"/>
      <c r="D799" s="1"/>
      <c r="E799" s="48"/>
      <c r="F799" s="48"/>
      <c r="G799" s="2"/>
      <c r="H799" s="48"/>
      <c r="I799" s="2"/>
      <c r="J799" s="2"/>
      <c r="K799" s="2"/>
      <c r="L799" s="2"/>
      <c r="M799" s="2"/>
      <c r="N799" s="2"/>
      <c r="O799" s="1286"/>
      <c r="P799" s="95"/>
      <c r="Q799" s="95"/>
      <c r="AE799" s="95"/>
      <c r="AF799" s="95"/>
      <c r="AG799" s="95"/>
      <c r="AH799" s="2"/>
      <c r="AI799" s="2"/>
      <c r="AJ799" s="2"/>
      <c r="AK799" s="2"/>
    </row>
    <row r="800" spans="1:37" ht="15.75" customHeight="1" x14ac:dyDescent="0.2">
      <c r="A800" s="1"/>
      <c r="B800" s="2"/>
      <c r="C800" s="1"/>
      <c r="D800" s="1"/>
      <c r="E800" s="48"/>
      <c r="F800" s="48"/>
      <c r="G800" s="2"/>
      <c r="H800" s="48"/>
      <c r="I800" s="2"/>
      <c r="J800" s="2"/>
      <c r="K800" s="2"/>
      <c r="L800" s="2"/>
      <c r="M800" s="2"/>
      <c r="N800" s="2"/>
      <c r="O800" s="1286"/>
      <c r="P800" s="95"/>
      <c r="Q800" s="95"/>
      <c r="AE800" s="95"/>
      <c r="AF800" s="95"/>
      <c r="AG800" s="95"/>
      <c r="AH800" s="2"/>
      <c r="AI800" s="2"/>
      <c r="AJ800" s="2"/>
      <c r="AK800" s="2"/>
    </row>
    <row r="801" spans="1:37" ht="15.75" customHeight="1" x14ac:dyDescent="0.2">
      <c r="A801" s="1"/>
      <c r="B801" s="2"/>
      <c r="C801" s="1"/>
      <c r="D801" s="1"/>
      <c r="E801" s="48"/>
      <c r="F801" s="48"/>
      <c r="G801" s="2"/>
      <c r="H801" s="48"/>
      <c r="I801" s="2"/>
      <c r="J801" s="2"/>
      <c r="K801" s="2"/>
      <c r="L801" s="2"/>
      <c r="M801" s="2"/>
      <c r="N801" s="2"/>
      <c r="O801" s="1286"/>
      <c r="P801" s="95"/>
      <c r="Q801" s="95"/>
      <c r="AE801" s="95"/>
      <c r="AF801" s="95"/>
      <c r="AG801" s="95"/>
      <c r="AH801" s="2"/>
      <c r="AI801" s="2"/>
      <c r="AJ801" s="2"/>
      <c r="AK801" s="2"/>
    </row>
    <row r="802" spans="1:37" ht="15.75" customHeight="1" x14ac:dyDescent="0.2">
      <c r="A802" s="1"/>
      <c r="B802" s="2"/>
      <c r="C802" s="1"/>
      <c r="D802" s="1"/>
      <c r="E802" s="48"/>
      <c r="F802" s="48"/>
      <c r="G802" s="2"/>
      <c r="H802" s="48"/>
      <c r="I802" s="2"/>
      <c r="J802" s="2"/>
      <c r="K802" s="2"/>
      <c r="L802" s="2"/>
      <c r="M802" s="2"/>
      <c r="N802" s="2"/>
      <c r="O802" s="1286"/>
      <c r="P802" s="95"/>
      <c r="Q802" s="95"/>
      <c r="AE802" s="95"/>
      <c r="AF802" s="95"/>
      <c r="AG802" s="95"/>
      <c r="AH802" s="2"/>
      <c r="AI802" s="2"/>
      <c r="AJ802" s="2"/>
      <c r="AK802" s="2"/>
    </row>
    <row r="803" spans="1:37" ht="15.75" customHeight="1" x14ac:dyDescent="0.2">
      <c r="A803" s="1"/>
      <c r="B803" s="2"/>
      <c r="C803" s="1"/>
      <c r="D803" s="1"/>
      <c r="E803" s="48"/>
      <c r="F803" s="48"/>
      <c r="G803" s="2"/>
      <c r="H803" s="48"/>
      <c r="I803" s="2"/>
      <c r="J803" s="2"/>
      <c r="K803" s="2"/>
      <c r="L803" s="2"/>
      <c r="M803" s="2"/>
      <c r="N803" s="2"/>
      <c r="O803" s="1286"/>
      <c r="P803" s="95"/>
      <c r="Q803" s="95"/>
      <c r="AE803" s="95"/>
      <c r="AF803" s="95"/>
      <c r="AG803" s="95"/>
      <c r="AH803" s="2"/>
      <c r="AI803" s="2"/>
      <c r="AJ803" s="2"/>
      <c r="AK803" s="2"/>
    </row>
    <row r="804" spans="1:37" ht="15.75" customHeight="1" x14ac:dyDescent="0.2">
      <c r="A804" s="1"/>
      <c r="B804" s="2"/>
      <c r="C804" s="1"/>
      <c r="D804" s="1"/>
      <c r="E804" s="48"/>
      <c r="F804" s="48"/>
      <c r="G804" s="2"/>
      <c r="H804" s="48"/>
      <c r="I804" s="2"/>
      <c r="J804" s="2"/>
      <c r="K804" s="2"/>
      <c r="L804" s="2"/>
      <c r="M804" s="2"/>
      <c r="N804" s="2"/>
      <c r="O804" s="1286"/>
      <c r="P804" s="95"/>
      <c r="Q804" s="95"/>
      <c r="AE804" s="95"/>
      <c r="AF804" s="95"/>
      <c r="AG804" s="95"/>
      <c r="AH804" s="2"/>
      <c r="AI804" s="2"/>
      <c r="AJ804" s="2"/>
      <c r="AK804" s="2"/>
    </row>
    <row r="805" spans="1:37" ht="15.75" customHeight="1" x14ac:dyDescent="0.2">
      <c r="A805" s="1"/>
      <c r="B805" s="2"/>
      <c r="C805" s="1"/>
      <c r="D805" s="1"/>
      <c r="E805" s="48"/>
      <c r="F805" s="48"/>
      <c r="G805" s="2"/>
      <c r="H805" s="48"/>
      <c r="I805" s="2"/>
      <c r="J805" s="2"/>
      <c r="K805" s="2"/>
      <c r="L805" s="2"/>
      <c r="M805" s="2"/>
      <c r="N805" s="2"/>
      <c r="O805" s="1286"/>
      <c r="P805" s="95"/>
      <c r="Q805" s="95"/>
      <c r="AE805" s="95"/>
      <c r="AF805" s="95"/>
      <c r="AG805" s="95"/>
      <c r="AH805" s="2"/>
      <c r="AI805" s="2"/>
      <c r="AJ805" s="2"/>
      <c r="AK805" s="2"/>
    </row>
    <row r="806" spans="1:37" ht="15.75" customHeight="1" x14ac:dyDescent="0.2">
      <c r="A806" s="1"/>
      <c r="B806" s="2"/>
      <c r="C806" s="1"/>
      <c r="D806" s="1"/>
      <c r="E806" s="48"/>
      <c r="F806" s="48"/>
      <c r="G806" s="2"/>
      <c r="H806" s="48"/>
      <c r="I806" s="2"/>
      <c r="J806" s="2"/>
      <c r="K806" s="2"/>
      <c r="L806" s="2"/>
      <c r="M806" s="2"/>
      <c r="N806" s="2"/>
      <c r="O806" s="1286"/>
      <c r="P806" s="95"/>
      <c r="Q806" s="95"/>
      <c r="AE806" s="95"/>
      <c r="AF806" s="95"/>
      <c r="AG806" s="95"/>
      <c r="AH806" s="2"/>
      <c r="AI806" s="2"/>
      <c r="AJ806" s="2"/>
      <c r="AK806" s="2"/>
    </row>
    <row r="807" spans="1:37" ht="15.75" customHeight="1" x14ac:dyDescent="0.2">
      <c r="A807" s="1"/>
      <c r="B807" s="2"/>
      <c r="C807" s="1"/>
      <c r="D807" s="1"/>
      <c r="E807" s="48"/>
      <c r="F807" s="48"/>
      <c r="G807" s="2"/>
      <c r="H807" s="48"/>
      <c r="I807" s="2"/>
      <c r="J807" s="2"/>
      <c r="K807" s="2"/>
      <c r="L807" s="2"/>
      <c r="M807" s="2"/>
      <c r="N807" s="2"/>
      <c r="O807" s="1286"/>
      <c r="P807" s="95"/>
      <c r="Q807" s="95"/>
      <c r="AE807" s="95"/>
      <c r="AF807" s="95"/>
      <c r="AG807" s="95"/>
      <c r="AH807" s="2"/>
      <c r="AI807" s="2"/>
      <c r="AJ807" s="2"/>
      <c r="AK807" s="2"/>
    </row>
    <row r="808" spans="1:37" ht="15.75" customHeight="1" x14ac:dyDescent="0.2">
      <c r="A808" s="1"/>
      <c r="B808" s="2"/>
      <c r="C808" s="1"/>
      <c r="D808" s="1"/>
      <c r="E808" s="48"/>
      <c r="F808" s="48"/>
      <c r="G808" s="2"/>
      <c r="H808" s="48"/>
      <c r="I808" s="2"/>
      <c r="J808" s="2"/>
      <c r="K808" s="2"/>
      <c r="L808" s="2"/>
      <c r="M808" s="2"/>
      <c r="N808" s="2"/>
      <c r="O808" s="1286"/>
      <c r="P808" s="95"/>
      <c r="Q808" s="95"/>
      <c r="AE808" s="95"/>
      <c r="AF808" s="95"/>
      <c r="AG808" s="95"/>
      <c r="AH808" s="2"/>
      <c r="AI808" s="2"/>
      <c r="AJ808" s="2"/>
      <c r="AK808" s="2"/>
    </row>
    <row r="809" spans="1:37" ht="15.75" customHeight="1" x14ac:dyDescent="0.2">
      <c r="A809" s="1"/>
      <c r="B809" s="2"/>
      <c r="C809" s="1"/>
      <c r="D809" s="1"/>
      <c r="E809" s="48"/>
      <c r="F809" s="48"/>
      <c r="G809" s="2"/>
      <c r="H809" s="48"/>
      <c r="I809" s="2"/>
      <c r="J809" s="2"/>
      <c r="K809" s="2"/>
      <c r="L809" s="2"/>
      <c r="M809" s="2"/>
      <c r="N809" s="2"/>
      <c r="O809" s="1286"/>
      <c r="P809" s="95"/>
      <c r="Q809" s="95"/>
      <c r="AE809" s="95"/>
      <c r="AF809" s="95"/>
      <c r="AG809" s="95"/>
      <c r="AH809" s="2"/>
      <c r="AI809" s="2"/>
      <c r="AJ809" s="2"/>
      <c r="AK809" s="2"/>
    </row>
    <row r="810" spans="1:37" ht="15.75" customHeight="1" x14ac:dyDescent="0.2">
      <c r="A810" s="1"/>
      <c r="B810" s="2"/>
      <c r="C810" s="1"/>
      <c r="D810" s="1"/>
      <c r="E810" s="48"/>
      <c r="F810" s="48"/>
      <c r="G810" s="2"/>
      <c r="H810" s="48"/>
      <c r="I810" s="2"/>
      <c r="J810" s="2"/>
      <c r="K810" s="2"/>
      <c r="L810" s="2"/>
      <c r="M810" s="2"/>
      <c r="N810" s="2"/>
      <c r="O810" s="1286"/>
      <c r="P810" s="95"/>
      <c r="Q810" s="95"/>
      <c r="AE810" s="95"/>
      <c r="AF810" s="95"/>
      <c r="AG810" s="95"/>
      <c r="AH810" s="2"/>
      <c r="AI810" s="2"/>
      <c r="AJ810" s="2"/>
      <c r="AK810" s="2"/>
    </row>
    <row r="811" spans="1:37" ht="15.75" customHeight="1" x14ac:dyDescent="0.2">
      <c r="A811" s="1"/>
      <c r="B811" s="2"/>
      <c r="C811" s="1"/>
      <c r="D811" s="1"/>
      <c r="E811" s="48"/>
      <c r="F811" s="48"/>
      <c r="G811" s="2"/>
      <c r="H811" s="48"/>
      <c r="I811" s="2"/>
      <c r="J811" s="2"/>
      <c r="K811" s="2"/>
      <c r="L811" s="2"/>
      <c r="M811" s="2"/>
      <c r="N811" s="2"/>
      <c r="O811" s="1286"/>
      <c r="P811" s="95"/>
      <c r="Q811" s="95"/>
      <c r="AE811" s="95"/>
      <c r="AF811" s="95"/>
      <c r="AG811" s="95"/>
      <c r="AH811" s="2"/>
      <c r="AI811" s="2"/>
      <c r="AJ811" s="2"/>
      <c r="AK811" s="2"/>
    </row>
    <row r="812" spans="1:37" ht="15.75" customHeight="1" x14ac:dyDescent="0.2">
      <c r="A812" s="1"/>
      <c r="B812" s="2"/>
      <c r="C812" s="1"/>
      <c r="D812" s="1"/>
      <c r="E812" s="48"/>
      <c r="F812" s="48"/>
      <c r="G812" s="2"/>
      <c r="H812" s="48"/>
      <c r="I812" s="2"/>
      <c r="J812" s="2"/>
      <c r="K812" s="2"/>
      <c r="L812" s="2"/>
      <c r="M812" s="2"/>
      <c r="N812" s="2"/>
      <c r="O812" s="1286"/>
      <c r="P812" s="95"/>
      <c r="Q812" s="95"/>
      <c r="AE812" s="95"/>
      <c r="AF812" s="95"/>
      <c r="AG812" s="95"/>
      <c r="AH812" s="2"/>
      <c r="AI812" s="2"/>
      <c r="AJ812" s="2"/>
      <c r="AK812" s="2"/>
    </row>
    <row r="813" spans="1:37" ht="15.75" customHeight="1" x14ac:dyDescent="0.2">
      <c r="A813" s="1"/>
      <c r="B813" s="2"/>
      <c r="C813" s="1"/>
      <c r="D813" s="1"/>
      <c r="E813" s="48"/>
      <c r="F813" s="48"/>
      <c r="G813" s="2"/>
      <c r="H813" s="48"/>
      <c r="I813" s="2"/>
      <c r="J813" s="2"/>
      <c r="K813" s="2"/>
      <c r="L813" s="2"/>
      <c r="M813" s="2"/>
      <c r="N813" s="2"/>
      <c r="O813" s="1286"/>
      <c r="P813" s="95"/>
      <c r="Q813" s="95"/>
      <c r="AE813" s="95"/>
      <c r="AF813" s="95"/>
      <c r="AG813" s="95"/>
      <c r="AH813" s="2"/>
      <c r="AI813" s="2"/>
      <c r="AJ813" s="2"/>
      <c r="AK813" s="2"/>
    </row>
    <row r="814" spans="1:37" ht="15.75" customHeight="1" x14ac:dyDescent="0.2">
      <c r="A814" s="1"/>
      <c r="B814" s="2"/>
      <c r="C814" s="1"/>
      <c r="D814" s="1"/>
      <c r="E814" s="48"/>
      <c r="F814" s="48"/>
      <c r="G814" s="2"/>
      <c r="H814" s="48"/>
      <c r="I814" s="2"/>
      <c r="J814" s="2"/>
      <c r="K814" s="2"/>
      <c r="L814" s="2"/>
      <c r="M814" s="2"/>
      <c r="N814" s="2"/>
      <c r="O814" s="1286"/>
      <c r="P814" s="95"/>
      <c r="Q814" s="95"/>
      <c r="AE814" s="95"/>
      <c r="AF814" s="95"/>
      <c r="AG814" s="95"/>
      <c r="AH814" s="2"/>
      <c r="AI814" s="2"/>
      <c r="AJ814" s="2"/>
      <c r="AK814" s="2"/>
    </row>
    <row r="815" spans="1:37" ht="15.75" customHeight="1" x14ac:dyDescent="0.2">
      <c r="A815" s="1"/>
      <c r="B815" s="2"/>
      <c r="C815" s="1"/>
      <c r="D815" s="1"/>
      <c r="E815" s="48"/>
      <c r="F815" s="48"/>
      <c r="G815" s="2"/>
      <c r="H815" s="48"/>
      <c r="I815" s="2"/>
      <c r="J815" s="2"/>
      <c r="K815" s="2"/>
      <c r="L815" s="2"/>
      <c r="M815" s="2"/>
      <c r="N815" s="2"/>
      <c r="O815" s="1286"/>
      <c r="P815" s="95"/>
      <c r="Q815" s="95"/>
      <c r="AE815" s="95"/>
      <c r="AF815" s="95"/>
      <c r="AG815" s="95"/>
      <c r="AH815" s="2"/>
      <c r="AI815" s="2"/>
      <c r="AJ815" s="2"/>
      <c r="AK815" s="2"/>
    </row>
    <row r="816" spans="1:37" ht="15.75" customHeight="1" x14ac:dyDescent="0.2">
      <c r="A816" s="1"/>
      <c r="B816" s="2"/>
      <c r="C816" s="1"/>
      <c r="D816" s="1"/>
      <c r="E816" s="48"/>
      <c r="F816" s="48"/>
      <c r="G816" s="2"/>
      <c r="H816" s="48"/>
      <c r="I816" s="2"/>
      <c r="J816" s="2"/>
      <c r="K816" s="2"/>
      <c r="L816" s="2"/>
      <c r="M816" s="2"/>
      <c r="N816" s="2"/>
      <c r="O816" s="1286"/>
      <c r="P816" s="95"/>
      <c r="Q816" s="95"/>
      <c r="AE816" s="95"/>
      <c r="AF816" s="95"/>
      <c r="AG816" s="95"/>
      <c r="AH816" s="2"/>
      <c r="AI816" s="2"/>
      <c r="AJ816" s="2"/>
      <c r="AK816" s="2"/>
    </row>
    <row r="817" spans="1:37" ht="15.75" customHeight="1" x14ac:dyDescent="0.2">
      <c r="A817" s="1"/>
      <c r="B817" s="2"/>
      <c r="C817" s="1"/>
      <c r="D817" s="1"/>
      <c r="E817" s="48"/>
      <c r="F817" s="48"/>
      <c r="G817" s="2"/>
      <c r="H817" s="48"/>
      <c r="I817" s="2"/>
      <c r="J817" s="2"/>
      <c r="K817" s="2"/>
      <c r="L817" s="2"/>
      <c r="M817" s="2"/>
      <c r="N817" s="2"/>
      <c r="O817" s="1286"/>
      <c r="P817" s="95"/>
      <c r="Q817" s="95"/>
      <c r="AE817" s="95"/>
      <c r="AF817" s="95"/>
      <c r="AG817" s="95"/>
      <c r="AH817" s="2"/>
      <c r="AI817" s="2"/>
      <c r="AJ817" s="2"/>
      <c r="AK817" s="2"/>
    </row>
    <row r="818" spans="1:37" ht="15.75" customHeight="1" x14ac:dyDescent="0.2">
      <c r="A818" s="1"/>
      <c r="B818" s="2"/>
      <c r="C818" s="1"/>
      <c r="D818" s="1"/>
      <c r="E818" s="48"/>
      <c r="F818" s="48"/>
      <c r="G818" s="2"/>
      <c r="H818" s="48"/>
      <c r="I818" s="2"/>
      <c r="J818" s="2"/>
      <c r="K818" s="2"/>
      <c r="L818" s="2"/>
      <c r="M818" s="2"/>
      <c r="N818" s="2"/>
      <c r="O818" s="1286"/>
      <c r="P818" s="95"/>
      <c r="Q818" s="95"/>
      <c r="AE818" s="95"/>
      <c r="AF818" s="95"/>
      <c r="AG818" s="95"/>
      <c r="AH818" s="2"/>
      <c r="AI818" s="2"/>
      <c r="AJ818" s="2"/>
      <c r="AK818" s="2"/>
    </row>
    <row r="819" spans="1:37" ht="15.75" customHeight="1" x14ac:dyDescent="0.2">
      <c r="A819" s="1"/>
      <c r="B819" s="2"/>
      <c r="C819" s="1"/>
      <c r="D819" s="1"/>
      <c r="E819" s="48"/>
      <c r="F819" s="48"/>
      <c r="G819" s="2"/>
      <c r="H819" s="48"/>
      <c r="I819" s="2"/>
      <c r="J819" s="2"/>
      <c r="K819" s="2"/>
      <c r="L819" s="2"/>
      <c r="M819" s="2"/>
      <c r="N819" s="2"/>
      <c r="O819" s="1286"/>
      <c r="P819" s="95"/>
      <c r="Q819" s="95"/>
      <c r="AE819" s="95"/>
      <c r="AF819" s="95"/>
      <c r="AG819" s="95"/>
      <c r="AH819" s="2"/>
      <c r="AI819" s="2"/>
      <c r="AJ819" s="2"/>
      <c r="AK819" s="2"/>
    </row>
    <row r="820" spans="1:37" ht="15.75" customHeight="1" x14ac:dyDescent="0.2">
      <c r="A820" s="1"/>
      <c r="B820" s="2"/>
      <c r="C820" s="1"/>
      <c r="D820" s="1"/>
      <c r="E820" s="48"/>
      <c r="F820" s="48"/>
      <c r="G820" s="2"/>
      <c r="H820" s="48"/>
      <c r="I820" s="2"/>
      <c r="J820" s="2"/>
      <c r="K820" s="2"/>
      <c r="L820" s="2"/>
      <c r="M820" s="2"/>
      <c r="N820" s="2"/>
      <c r="O820" s="1286"/>
      <c r="P820" s="95"/>
      <c r="Q820" s="95"/>
      <c r="AE820" s="95"/>
      <c r="AF820" s="95"/>
      <c r="AG820" s="95"/>
      <c r="AH820" s="2"/>
      <c r="AI820" s="2"/>
      <c r="AJ820" s="2"/>
      <c r="AK820" s="2"/>
    </row>
    <row r="821" spans="1:37" ht="15.75" customHeight="1" x14ac:dyDescent="0.2">
      <c r="A821" s="1"/>
      <c r="B821" s="2"/>
      <c r="C821" s="1"/>
      <c r="D821" s="1"/>
      <c r="E821" s="48"/>
      <c r="F821" s="48"/>
      <c r="G821" s="2"/>
      <c r="H821" s="48"/>
      <c r="I821" s="2"/>
      <c r="J821" s="2"/>
      <c r="K821" s="2"/>
      <c r="L821" s="2"/>
      <c r="M821" s="2"/>
      <c r="N821" s="2"/>
      <c r="O821" s="1286"/>
      <c r="P821" s="95"/>
      <c r="Q821" s="95"/>
      <c r="AE821" s="95"/>
      <c r="AF821" s="95"/>
      <c r="AG821" s="95"/>
      <c r="AH821" s="2"/>
      <c r="AI821" s="2"/>
      <c r="AJ821" s="2"/>
      <c r="AK821" s="2"/>
    </row>
    <row r="822" spans="1:37" ht="15.75" customHeight="1" x14ac:dyDescent="0.2">
      <c r="A822" s="1"/>
      <c r="B822" s="2"/>
      <c r="C822" s="1"/>
      <c r="D822" s="1"/>
      <c r="E822" s="48"/>
      <c r="F822" s="48"/>
      <c r="G822" s="2"/>
      <c r="H822" s="48"/>
      <c r="I822" s="2"/>
      <c r="J822" s="2"/>
      <c r="K822" s="2"/>
      <c r="L822" s="2"/>
      <c r="M822" s="2"/>
      <c r="N822" s="2"/>
      <c r="O822" s="1286"/>
      <c r="P822" s="95"/>
      <c r="Q822" s="95"/>
      <c r="AE822" s="95"/>
      <c r="AF822" s="95"/>
      <c r="AG822" s="95"/>
      <c r="AH822" s="2"/>
      <c r="AI822" s="2"/>
      <c r="AJ822" s="2"/>
      <c r="AK822" s="2"/>
    </row>
    <row r="823" spans="1:37" ht="15.75" customHeight="1" x14ac:dyDescent="0.2">
      <c r="A823" s="1"/>
      <c r="B823" s="2"/>
      <c r="C823" s="1"/>
      <c r="D823" s="1"/>
      <c r="E823" s="48"/>
      <c r="F823" s="48"/>
      <c r="G823" s="2"/>
      <c r="H823" s="48"/>
      <c r="I823" s="2"/>
      <c r="J823" s="2"/>
      <c r="K823" s="2"/>
      <c r="L823" s="2"/>
      <c r="M823" s="2"/>
      <c r="N823" s="2"/>
      <c r="O823" s="1286"/>
      <c r="P823" s="95"/>
      <c r="Q823" s="95"/>
      <c r="AE823" s="95"/>
      <c r="AF823" s="95"/>
      <c r="AG823" s="95"/>
      <c r="AH823" s="2"/>
      <c r="AI823" s="2"/>
      <c r="AJ823" s="2"/>
      <c r="AK823" s="2"/>
    </row>
    <row r="824" spans="1:37" ht="15.75" customHeight="1" x14ac:dyDescent="0.2">
      <c r="A824" s="1"/>
      <c r="B824" s="2"/>
      <c r="C824" s="1"/>
      <c r="D824" s="1"/>
      <c r="E824" s="48"/>
      <c r="F824" s="48"/>
      <c r="G824" s="2"/>
      <c r="H824" s="48"/>
      <c r="I824" s="2"/>
      <c r="J824" s="2"/>
      <c r="K824" s="2"/>
      <c r="L824" s="2"/>
      <c r="M824" s="2"/>
      <c r="N824" s="2"/>
      <c r="O824" s="1286"/>
      <c r="P824" s="95"/>
      <c r="Q824" s="95"/>
      <c r="AE824" s="95"/>
      <c r="AF824" s="95"/>
      <c r="AG824" s="95"/>
      <c r="AH824" s="2"/>
      <c r="AI824" s="2"/>
      <c r="AJ824" s="2"/>
      <c r="AK824" s="2"/>
    </row>
    <row r="825" spans="1:37" ht="15.75" customHeight="1" x14ac:dyDescent="0.2">
      <c r="A825" s="1"/>
      <c r="B825" s="2"/>
      <c r="C825" s="1"/>
      <c r="D825" s="1"/>
      <c r="E825" s="48"/>
      <c r="F825" s="48"/>
      <c r="G825" s="2"/>
      <c r="H825" s="48"/>
      <c r="I825" s="2"/>
      <c r="J825" s="2"/>
      <c r="K825" s="2"/>
      <c r="L825" s="2"/>
      <c r="M825" s="2"/>
      <c r="N825" s="2"/>
      <c r="O825" s="1286"/>
      <c r="P825" s="95"/>
      <c r="Q825" s="95"/>
      <c r="AE825" s="95"/>
      <c r="AF825" s="95"/>
      <c r="AG825" s="95"/>
      <c r="AH825" s="2"/>
      <c r="AI825" s="2"/>
      <c r="AJ825" s="2"/>
      <c r="AK825" s="2"/>
    </row>
    <row r="826" spans="1:37" ht="15.75" customHeight="1" x14ac:dyDescent="0.2">
      <c r="A826" s="1"/>
      <c r="B826" s="2"/>
      <c r="C826" s="1"/>
      <c r="D826" s="1"/>
      <c r="E826" s="48"/>
      <c r="F826" s="48"/>
      <c r="G826" s="2"/>
      <c r="H826" s="48"/>
      <c r="I826" s="2"/>
      <c r="J826" s="2"/>
      <c r="K826" s="2"/>
      <c r="L826" s="2"/>
      <c r="M826" s="2"/>
      <c r="N826" s="2"/>
      <c r="O826" s="1286"/>
      <c r="P826" s="95"/>
      <c r="Q826" s="95"/>
      <c r="AE826" s="95"/>
      <c r="AF826" s="95"/>
      <c r="AG826" s="95"/>
      <c r="AH826" s="2"/>
      <c r="AI826" s="2"/>
      <c r="AJ826" s="2"/>
      <c r="AK826" s="2"/>
    </row>
    <row r="827" spans="1:37" ht="15.75" customHeight="1" x14ac:dyDescent="0.2">
      <c r="A827" s="1"/>
      <c r="B827" s="2"/>
      <c r="C827" s="1"/>
      <c r="D827" s="1"/>
      <c r="E827" s="48"/>
      <c r="F827" s="48"/>
      <c r="G827" s="2"/>
      <c r="H827" s="48"/>
      <c r="I827" s="2"/>
      <c r="J827" s="2"/>
      <c r="K827" s="2"/>
      <c r="L827" s="2"/>
      <c r="M827" s="2"/>
      <c r="N827" s="2"/>
      <c r="O827" s="1286"/>
      <c r="P827" s="95"/>
      <c r="Q827" s="95"/>
      <c r="AE827" s="95"/>
      <c r="AF827" s="95"/>
      <c r="AG827" s="95"/>
      <c r="AH827" s="2"/>
      <c r="AI827" s="2"/>
      <c r="AJ827" s="2"/>
      <c r="AK827" s="2"/>
    </row>
    <row r="828" spans="1:37" ht="15.75" customHeight="1" x14ac:dyDescent="0.2">
      <c r="A828" s="1"/>
      <c r="B828" s="2"/>
      <c r="C828" s="1"/>
      <c r="D828" s="1"/>
      <c r="E828" s="48"/>
      <c r="F828" s="48"/>
      <c r="G828" s="2"/>
      <c r="H828" s="48"/>
      <c r="I828" s="2"/>
      <c r="J828" s="2"/>
      <c r="K828" s="2"/>
      <c r="L828" s="2"/>
      <c r="M828" s="2"/>
      <c r="N828" s="2"/>
      <c r="O828" s="1286"/>
      <c r="P828" s="95"/>
      <c r="Q828" s="95"/>
      <c r="AE828" s="95"/>
      <c r="AF828" s="95"/>
      <c r="AG828" s="95"/>
      <c r="AH828" s="2"/>
      <c r="AI828" s="2"/>
      <c r="AJ828" s="2"/>
      <c r="AK828" s="2"/>
    </row>
    <row r="829" spans="1:37" ht="15.75" customHeight="1" x14ac:dyDescent="0.2">
      <c r="A829" s="1"/>
      <c r="B829" s="2"/>
      <c r="C829" s="1"/>
      <c r="D829" s="1"/>
      <c r="E829" s="48"/>
      <c r="F829" s="48"/>
      <c r="G829" s="2"/>
      <c r="H829" s="48"/>
      <c r="I829" s="2"/>
      <c r="J829" s="2"/>
      <c r="K829" s="2"/>
      <c r="L829" s="2"/>
      <c r="M829" s="2"/>
      <c r="N829" s="2"/>
      <c r="O829" s="1286"/>
      <c r="P829" s="95"/>
      <c r="Q829" s="95"/>
      <c r="AE829" s="95"/>
      <c r="AF829" s="95"/>
      <c r="AG829" s="95"/>
      <c r="AH829" s="2"/>
      <c r="AI829" s="2"/>
      <c r="AJ829" s="2"/>
      <c r="AK829" s="2"/>
    </row>
    <row r="830" spans="1:37" ht="15.75" customHeight="1" x14ac:dyDescent="0.2">
      <c r="A830" s="1"/>
      <c r="B830" s="2"/>
      <c r="C830" s="1"/>
      <c r="D830" s="1"/>
      <c r="E830" s="48"/>
      <c r="F830" s="48"/>
      <c r="G830" s="2"/>
      <c r="H830" s="48"/>
      <c r="I830" s="2"/>
      <c r="J830" s="2"/>
      <c r="K830" s="2"/>
      <c r="L830" s="2"/>
      <c r="M830" s="2"/>
      <c r="N830" s="2"/>
      <c r="O830" s="1286"/>
      <c r="P830" s="95"/>
      <c r="Q830" s="95"/>
      <c r="AE830" s="95"/>
      <c r="AF830" s="95"/>
      <c r="AG830" s="95"/>
      <c r="AH830" s="2"/>
      <c r="AI830" s="2"/>
      <c r="AJ830" s="2"/>
      <c r="AK830" s="2"/>
    </row>
    <row r="831" spans="1:37" ht="15.75" customHeight="1" x14ac:dyDescent="0.2">
      <c r="A831" s="1"/>
      <c r="B831" s="2"/>
      <c r="C831" s="1"/>
      <c r="D831" s="1"/>
      <c r="E831" s="48"/>
      <c r="F831" s="48"/>
      <c r="G831" s="2"/>
      <c r="H831" s="48"/>
      <c r="I831" s="2"/>
      <c r="J831" s="2"/>
      <c r="K831" s="2"/>
      <c r="L831" s="2"/>
      <c r="M831" s="2"/>
      <c r="N831" s="2"/>
      <c r="O831" s="1286"/>
      <c r="P831" s="95"/>
      <c r="Q831" s="95"/>
      <c r="AE831" s="95"/>
      <c r="AF831" s="95"/>
      <c r="AG831" s="95"/>
      <c r="AH831" s="2"/>
      <c r="AI831" s="2"/>
      <c r="AJ831" s="2"/>
      <c r="AK831" s="2"/>
    </row>
    <row r="832" spans="1:37" ht="15.75" customHeight="1" x14ac:dyDescent="0.2">
      <c r="A832" s="1"/>
      <c r="B832" s="2"/>
      <c r="C832" s="1"/>
      <c r="D832" s="1"/>
      <c r="E832" s="48"/>
      <c r="F832" s="48"/>
      <c r="G832" s="2"/>
      <c r="H832" s="48"/>
      <c r="I832" s="2"/>
      <c r="J832" s="2"/>
      <c r="K832" s="2"/>
      <c r="L832" s="2"/>
      <c r="M832" s="2"/>
      <c r="N832" s="2"/>
      <c r="O832" s="1286"/>
      <c r="P832" s="95"/>
      <c r="Q832" s="95"/>
      <c r="AE832" s="95"/>
      <c r="AF832" s="95"/>
      <c r="AG832" s="95"/>
      <c r="AH832" s="2"/>
      <c r="AI832" s="2"/>
      <c r="AJ832" s="2"/>
      <c r="AK832" s="2"/>
    </row>
    <row r="833" spans="1:37" ht="15.75" customHeight="1" x14ac:dyDescent="0.2">
      <c r="A833" s="1"/>
      <c r="B833" s="2"/>
      <c r="C833" s="1"/>
      <c r="D833" s="1"/>
      <c r="E833" s="48"/>
      <c r="F833" s="48"/>
      <c r="G833" s="2"/>
      <c r="H833" s="48"/>
      <c r="I833" s="2"/>
      <c r="J833" s="2"/>
      <c r="K833" s="2"/>
      <c r="L833" s="2"/>
      <c r="M833" s="2"/>
      <c r="N833" s="2"/>
      <c r="O833" s="1286"/>
      <c r="P833" s="95"/>
      <c r="Q833" s="95"/>
      <c r="AE833" s="95"/>
      <c r="AF833" s="95"/>
      <c r="AG833" s="95"/>
      <c r="AH833" s="2"/>
      <c r="AI833" s="2"/>
      <c r="AJ833" s="2"/>
      <c r="AK833" s="2"/>
    </row>
    <row r="834" spans="1:37" ht="15.75" customHeight="1" x14ac:dyDescent="0.2">
      <c r="A834" s="1"/>
      <c r="B834" s="2"/>
      <c r="C834" s="1"/>
      <c r="D834" s="1"/>
      <c r="E834" s="48"/>
      <c r="F834" s="48"/>
      <c r="G834" s="2"/>
      <c r="H834" s="48"/>
      <c r="I834" s="2"/>
      <c r="J834" s="2"/>
      <c r="K834" s="2"/>
      <c r="L834" s="2"/>
      <c r="M834" s="2"/>
      <c r="N834" s="2"/>
      <c r="O834" s="1286"/>
      <c r="P834" s="95"/>
      <c r="Q834" s="95"/>
      <c r="AE834" s="95"/>
      <c r="AF834" s="95"/>
      <c r="AG834" s="95"/>
      <c r="AH834" s="2"/>
      <c r="AI834" s="2"/>
      <c r="AJ834" s="2"/>
      <c r="AK834" s="2"/>
    </row>
    <row r="835" spans="1:37" ht="15.75" customHeight="1" x14ac:dyDescent="0.2">
      <c r="A835" s="1"/>
      <c r="B835" s="2"/>
      <c r="C835" s="1"/>
      <c r="D835" s="1"/>
      <c r="E835" s="48"/>
      <c r="F835" s="48"/>
      <c r="G835" s="2"/>
      <c r="H835" s="48"/>
      <c r="I835" s="2"/>
      <c r="J835" s="2"/>
      <c r="K835" s="2"/>
      <c r="L835" s="2"/>
      <c r="M835" s="2"/>
      <c r="N835" s="2"/>
      <c r="O835" s="1286"/>
      <c r="P835" s="95"/>
      <c r="Q835" s="95"/>
      <c r="AE835" s="95"/>
      <c r="AF835" s="95"/>
      <c r="AG835" s="95"/>
      <c r="AH835" s="2"/>
      <c r="AI835" s="2"/>
      <c r="AJ835" s="2"/>
      <c r="AK835" s="2"/>
    </row>
    <row r="836" spans="1:37" ht="15.75" customHeight="1" x14ac:dyDescent="0.2">
      <c r="A836" s="1"/>
      <c r="B836" s="2"/>
      <c r="C836" s="1"/>
      <c r="D836" s="1"/>
      <c r="E836" s="48"/>
      <c r="F836" s="48"/>
      <c r="G836" s="2"/>
      <c r="H836" s="48"/>
      <c r="I836" s="2"/>
      <c r="J836" s="2"/>
      <c r="K836" s="2"/>
      <c r="L836" s="2"/>
      <c r="M836" s="2"/>
      <c r="N836" s="2"/>
      <c r="O836" s="1286"/>
      <c r="P836" s="95"/>
      <c r="Q836" s="95"/>
      <c r="AE836" s="95"/>
      <c r="AF836" s="95"/>
      <c r="AG836" s="95"/>
      <c r="AH836" s="2"/>
      <c r="AI836" s="2"/>
      <c r="AJ836" s="2"/>
      <c r="AK836" s="2"/>
    </row>
    <row r="837" spans="1:37" ht="15.75" customHeight="1" x14ac:dyDescent="0.2">
      <c r="A837" s="1"/>
      <c r="B837" s="2"/>
      <c r="C837" s="1"/>
      <c r="D837" s="1"/>
      <c r="E837" s="48"/>
      <c r="F837" s="48"/>
      <c r="G837" s="2"/>
      <c r="H837" s="48"/>
      <c r="I837" s="2"/>
      <c r="J837" s="2"/>
      <c r="K837" s="2"/>
      <c r="L837" s="2"/>
      <c r="M837" s="2"/>
      <c r="N837" s="2"/>
      <c r="O837" s="1286"/>
      <c r="P837" s="95"/>
      <c r="Q837" s="95"/>
      <c r="AE837" s="95"/>
      <c r="AF837" s="95"/>
      <c r="AG837" s="95"/>
      <c r="AH837" s="2"/>
      <c r="AI837" s="2"/>
      <c r="AJ837" s="2"/>
      <c r="AK837" s="2"/>
    </row>
    <row r="838" spans="1:37" ht="15.75" customHeight="1" x14ac:dyDescent="0.2">
      <c r="A838" s="1"/>
      <c r="B838" s="2"/>
      <c r="C838" s="1"/>
      <c r="D838" s="1"/>
      <c r="E838" s="48"/>
      <c r="F838" s="48"/>
      <c r="G838" s="2"/>
      <c r="H838" s="48"/>
      <c r="I838" s="2"/>
      <c r="J838" s="2"/>
      <c r="K838" s="2"/>
      <c r="L838" s="2"/>
      <c r="M838" s="2"/>
      <c r="N838" s="2"/>
      <c r="O838" s="1286"/>
      <c r="P838" s="95"/>
      <c r="Q838" s="95"/>
      <c r="AE838" s="95"/>
      <c r="AF838" s="95"/>
      <c r="AG838" s="95"/>
      <c r="AH838" s="2"/>
      <c r="AI838" s="2"/>
      <c r="AJ838" s="2"/>
      <c r="AK838" s="2"/>
    </row>
    <row r="839" spans="1:37" ht="15.75" customHeight="1" x14ac:dyDescent="0.2">
      <c r="A839" s="1"/>
      <c r="B839" s="2"/>
      <c r="C839" s="1"/>
      <c r="D839" s="1"/>
      <c r="E839" s="48"/>
      <c r="F839" s="48"/>
      <c r="G839" s="2"/>
      <c r="H839" s="48"/>
      <c r="I839" s="2"/>
      <c r="J839" s="2"/>
      <c r="K839" s="2"/>
      <c r="L839" s="2"/>
      <c r="M839" s="2"/>
      <c r="N839" s="2"/>
      <c r="O839" s="1286"/>
      <c r="P839" s="95"/>
      <c r="Q839" s="95"/>
      <c r="AE839" s="95"/>
      <c r="AF839" s="95"/>
      <c r="AG839" s="95"/>
      <c r="AH839" s="2"/>
      <c r="AI839" s="2"/>
      <c r="AJ839" s="2"/>
      <c r="AK839" s="2"/>
    </row>
    <row r="840" spans="1:37" ht="15.75" customHeight="1" x14ac:dyDescent="0.2">
      <c r="A840" s="1"/>
      <c r="B840" s="2"/>
      <c r="C840" s="1"/>
      <c r="D840" s="1"/>
      <c r="E840" s="48"/>
      <c r="F840" s="48"/>
      <c r="G840" s="2"/>
      <c r="H840" s="48"/>
      <c r="I840" s="2"/>
      <c r="J840" s="2"/>
      <c r="K840" s="2"/>
      <c r="L840" s="2"/>
      <c r="M840" s="2"/>
      <c r="N840" s="2"/>
      <c r="O840" s="1286"/>
      <c r="P840" s="95"/>
      <c r="Q840" s="95"/>
      <c r="AE840" s="95"/>
      <c r="AF840" s="95"/>
      <c r="AG840" s="95"/>
      <c r="AH840" s="2"/>
      <c r="AI840" s="2"/>
      <c r="AJ840" s="2"/>
      <c r="AK840" s="2"/>
    </row>
    <row r="841" spans="1:37" ht="15.75" customHeight="1" x14ac:dyDescent="0.2">
      <c r="A841" s="1"/>
      <c r="B841" s="2"/>
      <c r="C841" s="1"/>
      <c r="D841" s="1"/>
      <c r="E841" s="48"/>
      <c r="F841" s="48"/>
      <c r="G841" s="2"/>
      <c r="H841" s="48"/>
      <c r="I841" s="2"/>
      <c r="J841" s="2"/>
      <c r="K841" s="2"/>
      <c r="L841" s="2"/>
      <c r="M841" s="2"/>
      <c r="N841" s="2"/>
      <c r="O841" s="1286"/>
      <c r="P841" s="95"/>
      <c r="Q841" s="95"/>
      <c r="AE841" s="95"/>
      <c r="AF841" s="95"/>
      <c r="AG841" s="95"/>
      <c r="AH841" s="2"/>
      <c r="AI841" s="2"/>
      <c r="AJ841" s="2"/>
      <c r="AK841" s="2"/>
    </row>
    <row r="842" spans="1:37" ht="15.75" customHeight="1" x14ac:dyDescent="0.2">
      <c r="A842" s="1"/>
      <c r="B842" s="2"/>
      <c r="C842" s="1"/>
      <c r="D842" s="1"/>
      <c r="E842" s="48"/>
      <c r="F842" s="48"/>
      <c r="G842" s="2"/>
      <c r="H842" s="48"/>
      <c r="I842" s="2"/>
      <c r="J842" s="2"/>
      <c r="K842" s="2"/>
      <c r="L842" s="2"/>
      <c r="M842" s="2"/>
      <c r="N842" s="2"/>
      <c r="O842" s="1286"/>
      <c r="P842" s="95"/>
      <c r="Q842" s="95"/>
      <c r="AE842" s="95"/>
      <c r="AF842" s="95"/>
      <c r="AG842" s="95"/>
      <c r="AH842" s="2"/>
      <c r="AI842" s="2"/>
      <c r="AJ842" s="2"/>
      <c r="AK842" s="2"/>
    </row>
    <row r="843" spans="1:37" ht="15.75" customHeight="1" x14ac:dyDescent="0.2">
      <c r="A843" s="1"/>
      <c r="B843" s="2"/>
      <c r="C843" s="1"/>
      <c r="D843" s="1"/>
      <c r="E843" s="48"/>
      <c r="F843" s="48"/>
      <c r="G843" s="2"/>
      <c r="H843" s="48"/>
      <c r="I843" s="2"/>
      <c r="J843" s="2"/>
      <c r="K843" s="2"/>
      <c r="L843" s="2"/>
      <c r="M843" s="2"/>
      <c r="N843" s="2"/>
      <c r="O843" s="1286"/>
      <c r="P843" s="95"/>
      <c r="Q843" s="95"/>
      <c r="AE843" s="95"/>
      <c r="AF843" s="95"/>
      <c r="AG843" s="95"/>
      <c r="AH843" s="2"/>
      <c r="AI843" s="2"/>
      <c r="AJ843" s="2"/>
      <c r="AK843" s="2"/>
    </row>
    <row r="844" spans="1:37" ht="15.75" customHeight="1" x14ac:dyDescent="0.2">
      <c r="A844" s="1"/>
      <c r="B844" s="2"/>
      <c r="C844" s="1"/>
      <c r="D844" s="1"/>
      <c r="E844" s="48"/>
      <c r="F844" s="48"/>
      <c r="G844" s="2"/>
      <c r="H844" s="48"/>
      <c r="I844" s="2"/>
      <c r="J844" s="2"/>
      <c r="K844" s="2"/>
      <c r="L844" s="2"/>
      <c r="M844" s="2"/>
      <c r="N844" s="2"/>
      <c r="O844" s="1286"/>
      <c r="P844" s="95"/>
      <c r="Q844" s="95"/>
      <c r="AE844" s="95"/>
      <c r="AF844" s="95"/>
      <c r="AG844" s="95"/>
      <c r="AH844" s="2"/>
      <c r="AI844" s="2"/>
      <c r="AJ844" s="2"/>
      <c r="AK844" s="2"/>
    </row>
    <row r="845" spans="1:37" ht="15.75" customHeight="1" x14ac:dyDescent="0.2">
      <c r="A845" s="1"/>
      <c r="B845" s="2"/>
      <c r="C845" s="1"/>
      <c r="D845" s="1"/>
      <c r="E845" s="48"/>
      <c r="F845" s="48"/>
      <c r="G845" s="2"/>
      <c r="H845" s="48"/>
      <c r="I845" s="2"/>
      <c r="J845" s="2"/>
      <c r="K845" s="2"/>
      <c r="L845" s="2"/>
      <c r="M845" s="2"/>
      <c r="N845" s="2"/>
      <c r="O845" s="1286"/>
      <c r="P845" s="95"/>
      <c r="Q845" s="95"/>
      <c r="AE845" s="95"/>
      <c r="AF845" s="95"/>
      <c r="AG845" s="95"/>
      <c r="AH845" s="2"/>
      <c r="AI845" s="2"/>
      <c r="AJ845" s="2"/>
      <c r="AK845" s="2"/>
    </row>
    <row r="846" spans="1:37" ht="15.75" customHeight="1" x14ac:dyDescent="0.2">
      <c r="A846" s="1"/>
      <c r="B846" s="2"/>
      <c r="C846" s="1"/>
      <c r="D846" s="1"/>
      <c r="E846" s="48"/>
      <c r="F846" s="48"/>
      <c r="G846" s="2"/>
      <c r="H846" s="48"/>
      <c r="I846" s="2"/>
      <c r="J846" s="2"/>
      <c r="K846" s="2"/>
      <c r="L846" s="2"/>
      <c r="M846" s="2"/>
      <c r="N846" s="2"/>
      <c r="O846" s="1286"/>
      <c r="P846" s="95"/>
      <c r="Q846" s="95"/>
      <c r="AE846" s="95"/>
      <c r="AF846" s="95"/>
      <c r="AG846" s="95"/>
      <c r="AH846" s="2"/>
      <c r="AI846" s="2"/>
      <c r="AJ846" s="2"/>
      <c r="AK846" s="2"/>
    </row>
    <row r="847" spans="1:37" ht="15.75" customHeight="1" x14ac:dyDescent="0.2">
      <c r="A847" s="1"/>
      <c r="B847" s="2"/>
      <c r="C847" s="1"/>
      <c r="D847" s="1"/>
      <c r="E847" s="48"/>
      <c r="F847" s="48"/>
      <c r="G847" s="2"/>
      <c r="H847" s="48"/>
      <c r="I847" s="2"/>
      <c r="J847" s="2"/>
      <c r="K847" s="2"/>
      <c r="L847" s="2"/>
      <c r="M847" s="2"/>
      <c r="N847" s="2"/>
      <c r="O847" s="1286"/>
      <c r="P847" s="95"/>
      <c r="Q847" s="95"/>
      <c r="AE847" s="95"/>
      <c r="AF847" s="95"/>
      <c r="AG847" s="95"/>
      <c r="AH847" s="2"/>
      <c r="AI847" s="2"/>
      <c r="AJ847" s="2"/>
      <c r="AK847" s="2"/>
    </row>
    <row r="848" spans="1:37" ht="15.75" customHeight="1" x14ac:dyDescent="0.2">
      <c r="A848" s="1"/>
      <c r="B848" s="2"/>
      <c r="C848" s="1"/>
      <c r="D848" s="1"/>
      <c r="E848" s="48"/>
      <c r="F848" s="48"/>
      <c r="G848" s="2"/>
      <c r="H848" s="48"/>
      <c r="I848" s="2"/>
      <c r="J848" s="2"/>
      <c r="K848" s="2"/>
      <c r="L848" s="2"/>
      <c r="M848" s="2"/>
      <c r="N848" s="2"/>
      <c r="O848" s="1286"/>
      <c r="P848" s="95"/>
      <c r="Q848" s="95"/>
      <c r="AE848" s="95"/>
      <c r="AF848" s="95"/>
      <c r="AG848" s="95"/>
      <c r="AH848" s="2"/>
      <c r="AI848" s="2"/>
      <c r="AJ848" s="2"/>
      <c r="AK848" s="2"/>
    </row>
    <row r="849" spans="1:37" ht="15.75" customHeight="1" x14ac:dyDescent="0.2">
      <c r="A849" s="1"/>
      <c r="B849" s="2"/>
      <c r="C849" s="1"/>
      <c r="D849" s="1"/>
      <c r="E849" s="48"/>
      <c r="F849" s="48"/>
      <c r="G849" s="2"/>
      <c r="H849" s="48"/>
      <c r="I849" s="2"/>
      <c r="J849" s="2"/>
      <c r="K849" s="2"/>
      <c r="L849" s="2"/>
      <c r="M849" s="2"/>
      <c r="N849" s="2"/>
      <c r="O849" s="1286"/>
      <c r="P849" s="95"/>
      <c r="Q849" s="95"/>
      <c r="AE849" s="95"/>
      <c r="AF849" s="95"/>
      <c r="AG849" s="95"/>
      <c r="AH849" s="2"/>
      <c r="AI849" s="2"/>
      <c r="AJ849" s="2"/>
      <c r="AK849" s="2"/>
    </row>
    <row r="850" spans="1:37" ht="15.75" customHeight="1" x14ac:dyDescent="0.2">
      <c r="A850" s="1"/>
      <c r="B850" s="2"/>
      <c r="C850" s="1"/>
      <c r="D850" s="1"/>
      <c r="E850" s="48"/>
      <c r="F850" s="48"/>
      <c r="G850" s="2"/>
      <c r="H850" s="48"/>
      <c r="I850" s="2"/>
      <c r="J850" s="2"/>
      <c r="K850" s="2"/>
      <c r="L850" s="2"/>
      <c r="M850" s="2"/>
      <c r="N850" s="2"/>
      <c r="O850" s="1286"/>
      <c r="P850" s="95"/>
      <c r="Q850" s="95"/>
      <c r="AE850" s="95"/>
      <c r="AF850" s="95"/>
      <c r="AG850" s="95"/>
      <c r="AH850" s="2"/>
      <c r="AI850" s="2"/>
      <c r="AJ850" s="2"/>
      <c r="AK850" s="2"/>
    </row>
    <row r="851" spans="1:37" ht="15.75" customHeight="1" x14ac:dyDescent="0.2">
      <c r="A851" s="1"/>
      <c r="B851" s="2"/>
      <c r="C851" s="1"/>
      <c r="D851" s="1"/>
      <c r="E851" s="48"/>
      <c r="F851" s="48"/>
      <c r="G851" s="2"/>
      <c r="H851" s="48"/>
      <c r="I851" s="2"/>
      <c r="J851" s="2"/>
      <c r="K851" s="2"/>
      <c r="L851" s="2"/>
      <c r="M851" s="2"/>
      <c r="N851" s="2"/>
      <c r="O851" s="1286"/>
      <c r="P851" s="95"/>
      <c r="Q851" s="95"/>
      <c r="AE851" s="95"/>
      <c r="AF851" s="95"/>
      <c r="AG851" s="95"/>
      <c r="AH851" s="2"/>
      <c r="AI851" s="2"/>
      <c r="AJ851" s="2"/>
      <c r="AK851" s="2"/>
    </row>
    <row r="852" spans="1:37" ht="15.75" customHeight="1" x14ac:dyDescent="0.2">
      <c r="A852" s="1"/>
      <c r="B852" s="2"/>
      <c r="C852" s="1"/>
      <c r="D852" s="1"/>
      <c r="E852" s="48"/>
      <c r="F852" s="48"/>
      <c r="G852" s="2"/>
      <c r="H852" s="48"/>
      <c r="I852" s="2"/>
      <c r="J852" s="2"/>
      <c r="K852" s="2"/>
      <c r="L852" s="2"/>
      <c r="M852" s="2"/>
      <c r="N852" s="2"/>
      <c r="O852" s="1286"/>
      <c r="P852" s="95"/>
      <c r="Q852" s="95"/>
      <c r="AE852" s="95"/>
      <c r="AF852" s="95"/>
      <c r="AG852" s="95"/>
      <c r="AH852" s="2"/>
      <c r="AI852" s="2"/>
      <c r="AJ852" s="2"/>
      <c r="AK852" s="2"/>
    </row>
    <row r="853" spans="1:37" ht="15.75" customHeight="1" x14ac:dyDescent="0.2">
      <c r="A853" s="1"/>
      <c r="B853" s="2"/>
      <c r="C853" s="1"/>
      <c r="D853" s="1"/>
      <c r="E853" s="48"/>
      <c r="F853" s="48"/>
      <c r="G853" s="2"/>
      <c r="H853" s="48"/>
      <c r="I853" s="2"/>
      <c r="J853" s="2"/>
      <c r="K853" s="2"/>
      <c r="L853" s="2"/>
      <c r="M853" s="2"/>
      <c r="N853" s="2"/>
      <c r="O853" s="1286"/>
      <c r="P853" s="95"/>
      <c r="Q853" s="95"/>
      <c r="AE853" s="95"/>
      <c r="AF853" s="95"/>
      <c r="AG853" s="95"/>
      <c r="AH853" s="2"/>
      <c r="AI853" s="2"/>
      <c r="AJ853" s="2"/>
      <c r="AK853" s="2"/>
    </row>
    <row r="854" spans="1:37" ht="15.75" customHeight="1" x14ac:dyDescent="0.2">
      <c r="A854" s="1"/>
      <c r="B854" s="2"/>
      <c r="C854" s="1"/>
      <c r="D854" s="1"/>
      <c r="E854" s="48"/>
      <c r="F854" s="48"/>
      <c r="G854" s="2"/>
      <c r="H854" s="48"/>
      <c r="I854" s="2"/>
      <c r="J854" s="2"/>
      <c r="K854" s="2"/>
      <c r="L854" s="2"/>
      <c r="M854" s="2"/>
      <c r="N854" s="2"/>
      <c r="O854" s="1286"/>
      <c r="P854" s="95"/>
      <c r="Q854" s="95"/>
      <c r="AE854" s="95"/>
      <c r="AF854" s="95"/>
      <c r="AG854" s="95"/>
      <c r="AH854" s="2"/>
      <c r="AI854" s="2"/>
      <c r="AJ854" s="2"/>
      <c r="AK854" s="2"/>
    </row>
    <row r="855" spans="1:37" ht="15.75" customHeight="1" x14ac:dyDescent="0.2">
      <c r="A855" s="1"/>
      <c r="B855" s="2"/>
      <c r="C855" s="1"/>
      <c r="D855" s="1"/>
      <c r="E855" s="48"/>
      <c r="F855" s="48"/>
      <c r="G855" s="2"/>
      <c r="H855" s="48"/>
      <c r="I855" s="2"/>
      <c r="J855" s="2"/>
      <c r="K855" s="2"/>
      <c r="L855" s="2"/>
      <c r="M855" s="2"/>
      <c r="N855" s="2"/>
      <c r="O855" s="1286"/>
      <c r="P855" s="95"/>
      <c r="Q855" s="95"/>
      <c r="AE855" s="95"/>
      <c r="AF855" s="95"/>
      <c r="AG855" s="95"/>
      <c r="AH855" s="2"/>
      <c r="AI855" s="2"/>
      <c r="AJ855" s="2"/>
      <c r="AK855" s="2"/>
    </row>
    <row r="856" spans="1:37" ht="15.75" customHeight="1" x14ac:dyDescent="0.2">
      <c r="A856" s="1"/>
      <c r="B856" s="2"/>
      <c r="C856" s="1"/>
      <c r="D856" s="1"/>
      <c r="E856" s="48"/>
      <c r="F856" s="48"/>
      <c r="G856" s="2"/>
      <c r="H856" s="48"/>
      <c r="I856" s="2"/>
      <c r="J856" s="2"/>
      <c r="K856" s="2"/>
      <c r="L856" s="2"/>
      <c r="M856" s="2"/>
      <c r="N856" s="2"/>
      <c r="O856" s="1286"/>
      <c r="P856" s="95"/>
      <c r="Q856" s="95"/>
      <c r="AE856" s="95"/>
      <c r="AF856" s="95"/>
      <c r="AG856" s="95"/>
      <c r="AH856" s="2"/>
      <c r="AI856" s="2"/>
      <c r="AJ856" s="2"/>
      <c r="AK856" s="2"/>
    </row>
    <row r="857" spans="1:37" ht="15.75" customHeight="1" x14ac:dyDescent="0.2">
      <c r="A857" s="1"/>
      <c r="B857" s="2"/>
      <c r="C857" s="1"/>
      <c r="D857" s="1"/>
      <c r="E857" s="48"/>
      <c r="F857" s="48"/>
      <c r="G857" s="2"/>
      <c r="H857" s="48"/>
      <c r="I857" s="2"/>
      <c r="J857" s="2"/>
      <c r="K857" s="2"/>
      <c r="L857" s="2"/>
      <c r="M857" s="2"/>
      <c r="N857" s="2"/>
      <c r="O857" s="1286"/>
      <c r="P857" s="95"/>
      <c r="Q857" s="95"/>
      <c r="AE857" s="95"/>
      <c r="AF857" s="95"/>
      <c r="AG857" s="95"/>
      <c r="AH857" s="2"/>
      <c r="AI857" s="2"/>
      <c r="AJ857" s="2"/>
      <c r="AK857" s="2"/>
    </row>
    <row r="858" spans="1:37" ht="15.75" customHeight="1" x14ac:dyDescent="0.2">
      <c r="A858" s="1"/>
      <c r="B858" s="2"/>
      <c r="C858" s="1"/>
      <c r="D858" s="1"/>
      <c r="E858" s="48"/>
      <c r="F858" s="48"/>
      <c r="G858" s="2"/>
      <c r="H858" s="48"/>
      <c r="I858" s="2"/>
      <c r="J858" s="2"/>
      <c r="K858" s="2"/>
      <c r="L858" s="2"/>
      <c r="M858" s="2"/>
      <c r="N858" s="2"/>
      <c r="O858" s="1286"/>
      <c r="P858" s="95"/>
      <c r="Q858" s="95"/>
      <c r="AE858" s="95"/>
      <c r="AF858" s="95"/>
      <c r="AG858" s="95"/>
      <c r="AH858" s="2"/>
      <c r="AI858" s="2"/>
      <c r="AJ858" s="2"/>
      <c r="AK858" s="2"/>
    </row>
    <row r="859" spans="1:37" ht="15.75" customHeight="1" x14ac:dyDescent="0.2">
      <c r="A859" s="1"/>
      <c r="B859" s="2"/>
      <c r="C859" s="1"/>
      <c r="D859" s="1"/>
      <c r="E859" s="48"/>
      <c r="F859" s="48"/>
      <c r="G859" s="2"/>
      <c r="H859" s="48"/>
      <c r="I859" s="2"/>
      <c r="J859" s="2"/>
      <c r="K859" s="2"/>
      <c r="L859" s="2"/>
      <c r="M859" s="2"/>
      <c r="N859" s="2"/>
      <c r="O859" s="1286"/>
      <c r="P859" s="95"/>
      <c r="Q859" s="95"/>
      <c r="AE859" s="95"/>
      <c r="AF859" s="95"/>
      <c r="AG859" s="95"/>
      <c r="AH859" s="2"/>
      <c r="AI859" s="2"/>
      <c r="AJ859" s="2"/>
      <c r="AK859" s="2"/>
    </row>
    <row r="860" spans="1:37" ht="15.75" customHeight="1" x14ac:dyDescent="0.2">
      <c r="A860" s="1"/>
      <c r="B860" s="2"/>
      <c r="C860" s="1"/>
      <c r="D860" s="1"/>
      <c r="E860" s="48"/>
      <c r="F860" s="48"/>
      <c r="G860" s="2"/>
      <c r="H860" s="48"/>
      <c r="I860" s="2"/>
      <c r="J860" s="2"/>
      <c r="K860" s="2"/>
      <c r="L860" s="2"/>
      <c r="M860" s="2"/>
      <c r="N860" s="2"/>
      <c r="O860" s="1286"/>
      <c r="P860" s="95"/>
      <c r="Q860" s="95"/>
      <c r="AE860" s="95"/>
      <c r="AF860" s="95"/>
      <c r="AG860" s="95"/>
      <c r="AH860" s="2"/>
      <c r="AI860" s="2"/>
      <c r="AJ860" s="2"/>
      <c r="AK860" s="2"/>
    </row>
    <row r="861" spans="1:37" ht="15.75" customHeight="1" x14ac:dyDescent="0.2">
      <c r="A861" s="1"/>
      <c r="B861" s="2"/>
      <c r="C861" s="1"/>
      <c r="D861" s="1"/>
      <c r="E861" s="48"/>
      <c r="F861" s="48"/>
      <c r="G861" s="2"/>
      <c r="H861" s="48"/>
      <c r="I861" s="2"/>
      <c r="J861" s="2"/>
      <c r="K861" s="2"/>
      <c r="L861" s="2"/>
      <c r="M861" s="2"/>
      <c r="N861" s="2"/>
      <c r="O861" s="1286"/>
      <c r="P861" s="95"/>
      <c r="Q861" s="95"/>
      <c r="AE861" s="95"/>
      <c r="AF861" s="95"/>
      <c r="AG861" s="95"/>
      <c r="AH861" s="2"/>
      <c r="AI861" s="2"/>
      <c r="AJ861" s="2"/>
      <c r="AK861" s="2"/>
    </row>
    <row r="862" spans="1:37" ht="15.75" customHeight="1" x14ac:dyDescent="0.2">
      <c r="A862" s="1"/>
      <c r="B862" s="2"/>
      <c r="C862" s="1"/>
      <c r="D862" s="1"/>
      <c r="E862" s="48"/>
      <c r="F862" s="48"/>
      <c r="G862" s="2"/>
      <c r="H862" s="48"/>
      <c r="I862" s="2"/>
      <c r="J862" s="2"/>
      <c r="K862" s="2"/>
      <c r="L862" s="2"/>
      <c r="M862" s="2"/>
      <c r="N862" s="2"/>
      <c r="O862" s="1286"/>
      <c r="P862" s="95"/>
      <c r="Q862" s="95"/>
      <c r="AE862" s="95"/>
      <c r="AF862" s="95"/>
      <c r="AG862" s="95"/>
      <c r="AH862" s="2"/>
      <c r="AI862" s="2"/>
      <c r="AJ862" s="2"/>
      <c r="AK862" s="2"/>
    </row>
    <row r="863" spans="1:37" ht="15.75" customHeight="1" x14ac:dyDescent="0.2">
      <c r="A863" s="1"/>
      <c r="B863" s="2"/>
      <c r="C863" s="1"/>
      <c r="D863" s="1"/>
      <c r="E863" s="48"/>
      <c r="F863" s="48"/>
      <c r="G863" s="2"/>
      <c r="H863" s="48"/>
      <c r="I863" s="2"/>
      <c r="J863" s="2"/>
      <c r="K863" s="2"/>
      <c r="L863" s="2"/>
      <c r="M863" s="2"/>
      <c r="N863" s="2"/>
      <c r="O863" s="1286"/>
      <c r="P863" s="95"/>
      <c r="Q863" s="95"/>
      <c r="AE863" s="95"/>
      <c r="AF863" s="95"/>
      <c r="AG863" s="95"/>
      <c r="AH863" s="2"/>
      <c r="AI863" s="2"/>
      <c r="AJ863" s="2"/>
      <c r="AK863" s="2"/>
    </row>
    <row r="864" spans="1:37" ht="15.75" customHeight="1" x14ac:dyDescent="0.2">
      <c r="A864" s="1"/>
      <c r="B864" s="2"/>
      <c r="C864" s="1"/>
      <c r="D864" s="1"/>
      <c r="E864" s="48"/>
      <c r="F864" s="48"/>
      <c r="G864" s="2"/>
      <c r="H864" s="48"/>
      <c r="I864" s="2"/>
      <c r="J864" s="2"/>
      <c r="K864" s="2"/>
      <c r="L864" s="2"/>
      <c r="M864" s="2"/>
      <c r="N864" s="2"/>
      <c r="O864" s="1286"/>
      <c r="P864" s="95"/>
      <c r="Q864" s="95"/>
      <c r="AE864" s="95"/>
      <c r="AF864" s="95"/>
      <c r="AG864" s="95"/>
      <c r="AH864" s="2"/>
      <c r="AI864" s="2"/>
      <c r="AJ864" s="2"/>
      <c r="AK864" s="2"/>
    </row>
    <row r="865" spans="1:37" ht="15.75" customHeight="1" x14ac:dyDescent="0.2">
      <c r="A865" s="1"/>
      <c r="B865" s="2"/>
      <c r="C865" s="1"/>
      <c r="D865" s="1"/>
      <c r="E865" s="48"/>
      <c r="F865" s="48"/>
      <c r="G865" s="2"/>
      <c r="H865" s="48"/>
      <c r="I865" s="2"/>
      <c r="J865" s="2"/>
      <c r="K865" s="2"/>
      <c r="L865" s="2"/>
      <c r="M865" s="2"/>
      <c r="N865" s="2"/>
      <c r="O865" s="1286"/>
      <c r="P865" s="95"/>
      <c r="Q865" s="95"/>
      <c r="AE865" s="95"/>
      <c r="AF865" s="95"/>
      <c r="AG865" s="95"/>
      <c r="AH865" s="2"/>
      <c r="AI865" s="2"/>
      <c r="AJ865" s="2"/>
      <c r="AK865" s="2"/>
    </row>
    <row r="866" spans="1:37" ht="15.75" customHeight="1" x14ac:dyDescent="0.2">
      <c r="A866" s="1"/>
      <c r="B866" s="2"/>
      <c r="C866" s="1"/>
      <c r="D866" s="1"/>
      <c r="E866" s="48"/>
      <c r="F866" s="48"/>
      <c r="G866" s="2"/>
      <c r="H866" s="48"/>
      <c r="I866" s="2"/>
      <c r="J866" s="2"/>
      <c r="K866" s="2"/>
      <c r="L866" s="2"/>
      <c r="M866" s="2"/>
      <c r="N866" s="2"/>
      <c r="O866" s="1286"/>
      <c r="P866" s="95"/>
      <c r="Q866" s="95"/>
      <c r="AE866" s="95"/>
      <c r="AF866" s="95"/>
      <c r="AG866" s="95"/>
      <c r="AH866" s="2"/>
      <c r="AI866" s="2"/>
      <c r="AJ866" s="2"/>
      <c r="AK866" s="2"/>
    </row>
    <row r="867" spans="1:37" ht="15.75" customHeight="1" x14ac:dyDescent="0.2">
      <c r="A867" s="1"/>
      <c r="B867" s="2"/>
      <c r="C867" s="1"/>
      <c r="D867" s="1"/>
      <c r="E867" s="48"/>
      <c r="F867" s="48"/>
      <c r="G867" s="2"/>
      <c r="H867" s="48"/>
      <c r="I867" s="2"/>
      <c r="J867" s="2"/>
      <c r="K867" s="2"/>
      <c r="L867" s="2"/>
      <c r="M867" s="2"/>
      <c r="N867" s="2"/>
      <c r="O867" s="1286"/>
      <c r="P867" s="95"/>
      <c r="Q867" s="95"/>
      <c r="AE867" s="95"/>
      <c r="AF867" s="95"/>
      <c r="AG867" s="95"/>
      <c r="AH867" s="2"/>
      <c r="AI867" s="2"/>
      <c r="AJ867" s="2"/>
      <c r="AK867" s="2"/>
    </row>
    <row r="868" spans="1:37" ht="15.75" customHeight="1" x14ac:dyDescent="0.2">
      <c r="A868" s="1"/>
      <c r="B868" s="2"/>
      <c r="C868" s="1"/>
      <c r="D868" s="1"/>
      <c r="E868" s="48"/>
      <c r="F868" s="48"/>
      <c r="G868" s="2"/>
      <c r="H868" s="48"/>
      <c r="I868" s="2"/>
      <c r="J868" s="2"/>
      <c r="K868" s="2"/>
      <c r="L868" s="2"/>
      <c r="M868" s="2"/>
      <c r="N868" s="2"/>
      <c r="O868" s="1286"/>
      <c r="P868" s="95"/>
      <c r="Q868" s="95"/>
      <c r="AE868" s="95"/>
      <c r="AF868" s="95"/>
      <c r="AG868" s="95"/>
      <c r="AH868" s="2"/>
      <c r="AI868" s="2"/>
      <c r="AJ868" s="2"/>
      <c r="AK868" s="2"/>
    </row>
    <row r="869" spans="1:37" ht="15.75" customHeight="1" x14ac:dyDescent="0.2">
      <c r="A869" s="1"/>
      <c r="B869" s="2"/>
      <c r="C869" s="1"/>
      <c r="D869" s="1"/>
      <c r="E869" s="48"/>
      <c r="F869" s="48"/>
      <c r="G869" s="2"/>
      <c r="H869" s="48"/>
      <c r="I869" s="2"/>
      <c r="J869" s="2"/>
      <c r="K869" s="2"/>
      <c r="L869" s="2"/>
      <c r="M869" s="2"/>
      <c r="N869" s="2"/>
      <c r="O869" s="1286"/>
      <c r="P869" s="95"/>
      <c r="Q869" s="95"/>
      <c r="AE869" s="95"/>
      <c r="AF869" s="95"/>
      <c r="AG869" s="95"/>
      <c r="AH869" s="2"/>
      <c r="AI869" s="2"/>
      <c r="AJ869" s="2"/>
      <c r="AK869" s="2"/>
    </row>
    <row r="870" spans="1:37" ht="15.75" customHeight="1" x14ac:dyDescent="0.2">
      <c r="A870" s="1"/>
      <c r="B870" s="2"/>
      <c r="C870" s="1"/>
      <c r="D870" s="1"/>
      <c r="E870" s="48"/>
      <c r="F870" s="48"/>
      <c r="G870" s="2"/>
      <c r="H870" s="48"/>
      <c r="I870" s="2"/>
      <c r="J870" s="2"/>
      <c r="K870" s="2"/>
      <c r="L870" s="2"/>
      <c r="M870" s="2"/>
      <c r="N870" s="2"/>
      <c r="O870" s="1286"/>
      <c r="P870" s="95"/>
      <c r="Q870" s="95"/>
      <c r="AE870" s="95"/>
      <c r="AF870" s="95"/>
      <c r="AG870" s="95"/>
      <c r="AH870" s="2"/>
      <c r="AI870" s="2"/>
      <c r="AJ870" s="2"/>
      <c r="AK870" s="2"/>
    </row>
    <row r="871" spans="1:37" ht="15.75" customHeight="1" x14ac:dyDescent="0.2">
      <c r="A871" s="1"/>
      <c r="B871" s="2"/>
      <c r="C871" s="1"/>
      <c r="D871" s="1"/>
      <c r="E871" s="48"/>
      <c r="F871" s="48"/>
      <c r="G871" s="2"/>
      <c r="H871" s="48"/>
      <c r="I871" s="2"/>
      <c r="J871" s="2"/>
      <c r="K871" s="2"/>
      <c r="L871" s="2"/>
      <c r="M871" s="2"/>
      <c r="N871" s="2"/>
      <c r="O871" s="1286"/>
      <c r="P871" s="95"/>
      <c r="Q871" s="95"/>
      <c r="AE871" s="95"/>
      <c r="AF871" s="95"/>
      <c r="AG871" s="95"/>
      <c r="AH871" s="2"/>
      <c r="AI871" s="2"/>
      <c r="AJ871" s="2"/>
      <c r="AK871" s="2"/>
    </row>
    <row r="872" spans="1:37" ht="15.75" customHeight="1" x14ac:dyDescent="0.2">
      <c r="A872" s="1"/>
      <c r="B872" s="2"/>
      <c r="C872" s="1"/>
      <c r="D872" s="1"/>
      <c r="E872" s="48"/>
      <c r="F872" s="48"/>
      <c r="G872" s="2"/>
      <c r="H872" s="48"/>
      <c r="I872" s="2"/>
      <c r="J872" s="2"/>
      <c r="K872" s="2"/>
      <c r="L872" s="2"/>
      <c r="M872" s="2"/>
      <c r="N872" s="2"/>
      <c r="O872" s="1286"/>
      <c r="P872" s="95"/>
      <c r="Q872" s="95"/>
      <c r="AE872" s="95"/>
      <c r="AF872" s="95"/>
      <c r="AG872" s="95"/>
      <c r="AH872" s="2"/>
      <c r="AI872" s="2"/>
      <c r="AJ872" s="2"/>
      <c r="AK872" s="2"/>
    </row>
    <row r="873" spans="1:37" ht="15.75" customHeight="1" x14ac:dyDescent="0.2">
      <c r="A873" s="1"/>
      <c r="B873" s="2"/>
      <c r="C873" s="1"/>
      <c r="D873" s="1"/>
      <c r="E873" s="48"/>
      <c r="F873" s="48"/>
      <c r="G873" s="2"/>
      <c r="H873" s="48"/>
      <c r="I873" s="2"/>
      <c r="J873" s="2"/>
      <c r="K873" s="2"/>
      <c r="L873" s="2"/>
      <c r="M873" s="2"/>
      <c r="N873" s="2"/>
      <c r="O873" s="1286"/>
      <c r="P873" s="95"/>
      <c r="Q873" s="95"/>
      <c r="AE873" s="95"/>
      <c r="AF873" s="95"/>
      <c r="AG873" s="95"/>
      <c r="AH873" s="2"/>
      <c r="AI873" s="2"/>
      <c r="AJ873" s="2"/>
      <c r="AK873" s="2"/>
    </row>
    <row r="874" spans="1:37" ht="15.75" customHeight="1" x14ac:dyDescent="0.2">
      <c r="A874" s="1"/>
      <c r="B874" s="2"/>
      <c r="C874" s="1"/>
      <c r="D874" s="1"/>
      <c r="E874" s="48"/>
      <c r="F874" s="48"/>
      <c r="G874" s="2"/>
      <c r="H874" s="48"/>
      <c r="I874" s="2"/>
      <c r="J874" s="2"/>
      <c r="K874" s="2"/>
      <c r="L874" s="2"/>
      <c r="M874" s="2"/>
      <c r="N874" s="2"/>
      <c r="O874" s="1286"/>
      <c r="P874" s="95"/>
      <c r="Q874" s="95"/>
      <c r="AE874" s="95"/>
      <c r="AF874" s="95"/>
      <c r="AG874" s="95"/>
      <c r="AH874" s="2"/>
      <c r="AI874" s="2"/>
      <c r="AJ874" s="2"/>
      <c r="AK874" s="2"/>
    </row>
    <row r="875" spans="1:37" ht="15.75" customHeight="1" x14ac:dyDescent="0.2">
      <c r="A875" s="1"/>
      <c r="B875" s="2"/>
      <c r="C875" s="1"/>
      <c r="D875" s="1"/>
      <c r="E875" s="48"/>
      <c r="F875" s="48"/>
      <c r="G875" s="2"/>
      <c r="H875" s="48"/>
      <c r="I875" s="2"/>
      <c r="J875" s="2"/>
      <c r="K875" s="2"/>
      <c r="L875" s="2"/>
      <c r="M875" s="2"/>
      <c r="N875" s="2"/>
      <c r="O875" s="1286"/>
      <c r="P875" s="95"/>
      <c r="Q875" s="95"/>
      <c r="AE875" s="95"/>
      <c r="AF875" s="95"/>
      <c r="AG875" s="95"/>
      <c r="AH875" s="2"/>
      <c r="AI875" s="2"/>
      <c r="AJ875" s="2"/>
      <c r="AK875" s="2"/>
    </row>
    <row r="876" spans="1:37" ht="15.75" customHeight="1" x14ac:dyDescent="0.2">
      <c r="A876" s="1"/>
      <c r="B876" s="2"/>
      <c r="C876" s="1"/>
      <c r="D876" s="1"/>
      <c r="E876" s="48"/>
      <c r="F876" s="48"/>
      <c r="G876" s="2"/>
      <c r="H876" s="48"/>
      <c r="I876" s="2"/>
      <c r="J876" s="2"/>
      <c r="K876" s="2"/>
      <c r="L876" s="2"/>
      <c r="M876" s="2"/>
      <c r="N876" s="2"/>
      <c r="O876" s="1286"/>
      <c r="P876" s="95"/>
      <c r="Q876" s="95"/>
      <c r="AE876" s="95"/>
      <c r="AF876" s="95"/>
      <c r="AG876" s="95"/>
      <c r="AH876" s="2"/>
      <c r="AI876" s="2"/>
      <c r="AJ876" s="2"/>
      <c r="AK876" s="2"/>
    </row>
    <row r="877" spans="1:37" ht="15.75" customHeight="1" x14ac:dyDescent="0.2">
      <c r="A877" s="1"/>
      <c r="B877" s="2"/>
      <c r="C877" s="1"/>
      <c r="D877" s="1"/>
      <c r="E877" s="48"/>
      <c r="F877" s="48"/>
      <c r="G877" s="2"/>
      <c r="H877" s="48"/>
      <c r="I877" s="2"/>
      <c r="J877" s="2"/>
      <c r="K877" s="2"/>
      <c r="L877" s="2"/>
      <c r="M877" s="2"/>
      <c r="N877" s="2"/>
      <c r="O877" s="1286"/>
      <c r="P877" s="95"/>
      <c r="Q877" s="95"/>
      <c r="AE877" s="95"/>
      <c r="AF877" s="95"/>
      <c r="AG877" s="95"/>
      <c r="AH877" s="2"/>
      <c r="AI877" s="2"/>
      <c r="AJ877" s="2"/>
      <c r="AK877" s="2"/>
    </row>
    <row r="878" spans="1:37" ht="15.75" customHeight="1" x14ac:dyDescent="0.2">
      <c r="A878" s="1"/>
      <c r="B878" s="2"/>
      <c r="C878" s="1"/>
      <c r="D878" s="1"/>
      <c r="E878" s="48"/>
      <c r="F878" s="48"/>
      <c r="G878" s="2"/>
      <c r="H878" s="48"/>
      <c r="I878" s="2"/>
      <c r="J878" s="2"/>
      <c r="K878" s="2"/>
      <c r="L878" s="2"/>
      <c r="M878" s="2"/>
      <c r="N878" s="2"/>
      <c r="O878" s="1286"/>
      <c r="P878" s="95"/>
      <c r="Q878" s="95"/>
      <c r="AE878" s="95"/>
      <c r="AF878" s="95"/>
      <c r="AG878" s="95"/>
      <c r="AH878" s="2"/>
      <c r="AI878" s="2"/>
      <c r="AJ878" s="2"/>
      <c r="AK878" s="2"/>
    </row>
    <row r="879" spans="1:37" ht="15.75" customHeight="1" x14ac:dyDescent="0.2">
      <c r="A879" s="1"/>
      <c r="B879" s="2"/>
      <c r="C879" s="1"/>
      <c r="D879" s="1"/>
      <c r="E879" s="48"/>
      <c r="F879" s="48"/>
      <c r="G879" s="2"/>
      <c r="H879" s="48"/>
      <c r="I879" s="2"/>
      <c r="J879" s="2"/>
      <c r="K879" s="2"/>
      <c r="L879" s="2"/>
      <c r="M879" s="2"/>
      <c r="N879" s="2"/>
      <c r="O879" s="1286"/>
      <c r="P879" s="95"/>
      <c r="Q879" s="95"/>
      <c r="AE879" s="95"/>
      <c r="AF879" s="95"/>
      <c r="AG879" s="95"/>
      <c r="AH879" s="2"/>
      <c r="AI879" s="2"/>
      <c r="AJ879" s="2"/>
      <c r="AK879" s="2"/>
    </row>
    <row r="880" spans="1:37" ht="15.75" customHeight="1" x14ac:dyDescent="0.2">
      <c r="A880" s="1"/>
      <c r="B880" s="2"/>
      <c r="C880" s="1"/>
      <c r="D880" s="1"/>
      <c r="E880" s="48"/>
      <c r="F880" s="48"/>
      <c r="G880" s="2"/>
      <c r="H880" s="48"/>
      <c r="I880" s="2"/>
      <c r="J880" s="2"/>
      <c r="K880" s="2"/>
      <c r="L880" s="2"/>
      <c r="M880" s="2"/>
      <c r="N880" s="2"/>
      <c r="O880" s="1286"/>
      <c r="P880" s="95"/>
      <c r="Q880" s="95"/>
      <c r="AE880" s="95"/>
      <c r="AF880" s="95"/>
      <c r="AG880" s="95"/>
      <c r="AH880" s="2"/>
      <c r="AI880" s="2"/>
      <c r="AJ880" s="2"/>
      <c r="AK880" s="2"/>
    </row>
    <row r="881" spans="1:37" ht="15.75" customHeight="1" x14ac:dyDescent="0.2">
      <c r="A881" s="1"/>
      <c r="B881" s="2"/>
      <c r="C881" s="1"/>
      <c r="D881" s="1"/>
      <c r="E881" s="48"/>
      <c r="F881" s="48"/>
      <c r="G881" s="2"/>
      <c r="H881" s="48"/>
      <c r="I881" s="2"/>
      <c r="J881" s="2"/>
      <c r="K881" s="2"/>
      <c r="L881" s="2"/>
      <c r="M881" s="2"/>
      <c r="N881" s="2"/>
      <c r="O881" s="1286"/>
      <c r="P881" s="95"/>
      <c r="Q881" s="95"/>
      <c r="AE881" s="95"/>
      <c r="AF881" s="95"/>
      <c r="AG881" s="95"/>
      <c r="AH881" s="2"/>
      <c r="AI881" s="2"/>
      <c r="AJ881" s="2"/>
      <c r="AK881" s="2"/>
    </row>
    <row r="882" spans="1:37" ht="15.75" customHeight="1" x14ac:dyDescent="0.2">
      <c r="A882" s="1"/>
      <c r="B882" s="2"/>
      <c r="C882" s="1"/>
      <c r="D882" s="1"/>
      <c r="E882" s="48"/>
      <c r="F882" s="48"/>
      <c r="G882" s="2"/>
      <c r="H882" s="48"/>
      <c r="I882" s="2"/>
      <c r="J882" s="2"/>
      <c r="K882" s="2"/>
      <c r="L882" s="2"/>
      <c r="M882" s="2"/>
      <c r="N882" s="2"/>
      <c r="O882" s="1286"/>
      <c r="P882" s="95"/>
      <c r="Q882" s="95"/>
      <c r="AE882" s="95"/>
      <c r="AF882" s="95"/>
      <c r="AG882" s="95"/>
      <c r="AH882" s="2"/>
      <c r="AI882" s="2"/>
      <c r="AJ882" s="2"/>
      <c r="AK882" s="2"/>
    </row>
    <row r="883" spans="1:37" ht="15.75" customHeight="1" x14ac:dyDescent="0.2">
      <c r="A883" s="1"/>
      <c r="B883" s="2"/>
      <c r="C883" s="1"/>
      <c r="D883" s="1"/>
      <c r="E883" s="48"/>
      <c r="F883" s="48"/>
      <c r="G883" s="2"/>
      <c r="H883" s="48"/>
      <c r="I883" s="2"/>
      <c r="J883" s="2"/>
      <c r="K883" s="2"/>
      <c r="L883" s="2"/>
      <c r="M883" s="2"/>
      <c r="N883" s="2"/>
      <c r="O883" s="1286"/>
      <c r="P883" s="95"/>
      <c r="Q883" s="95"/>
      <c r="AE883" s="95"/>
      <c r="AF883" s="95"/>
      <c r="AG883" s="95"/>
      <c r="AH883" s="2"/>
      <c r="AI883" s="2"/>
      <c r="AJ883" s="2"/>
      <c r="AK883" s="2"/>
    </row>
    <row r="884" spans="1:37" ht="15.75" customHeight="1" x14ac:dyDescent="0.2">
      <c r="A884" s="1"/>
      <c r="B884" s="2"/>
      <c r="C884" s="1"/>
      <c r="D884" s="1"/>
      <c r="E884" s="48"/>
      <c r="F884" s="48"/>
      <c r="G884" s="2"/>
      <c r="H884" s="48"/>
      <c r="I884" s="2"/>
      <c r="J884" s="2"/>
      <c r="K884" s="2"/>
      <c r="L884" s="2"/>
      <c r="M884" s="2"/>
      <c r="N884" s="2"/>
      <c r="O884" s="1286"/>
      <c r="P884" s="95"/>
      <c r="Q884" s="95"/>
      <c r="AE884" s="95"/>
      <c r="AF884" s="95"/>
      <c r="AG884" s="95"/>
      <c r="AH884" s="2"/>
      <c r="AI884" s="2"/>
      <c r="AJ884" s="2"/>
      <c r="AK884" s="2"/>
    </row>
    <row r="885" spans="1:37" ht="15.75" customHeight="1" x14ac:dyDescent="0.2">
      <c r="A885" s="1"/>
      <c r="B885" s="2"/>
      <c r="C885" s="1"/>
      <c r="D885" s="1"/>
      <c r="E885" s="48"/>
      <c r="F885" s="48"/>
      <c r="G885" s="2"/>
      <c r="H885" s="48"/>
      <c r="I885" s="2"/>
      <c r="J885" s="2"/>
      <c r="K885" s="2"/>
      <c r="L885" s="2"/>
      <c r="M885" s="2"/>
      <c r="N885" s="2"/>
      <c r="O885" s="1286"/>
      <c r="P885" s="95"/>
      <c r="Q885" s="95"/>
      <c r="AE885" s="95"/>
      <c r="AF885" s="95"/>
      <c r="AG885" s="95"/>
      <c r="AH885" s="2"/>
      <c r="AI885" s="2"/>
      <c r="AJ885" s="2"/>
      <c r="AK885" s="2"/>
    </row>
    <row r="886" spans="1:37" ht="15.75" customHeight="1" x14ac:dyDescent="0.2">
      <c r="A886" s="1"/>
      <c r="B886" s="2"/>
      <c r="C886" s="1"/>
      <c r="D886" s="1"/>
      <c r="E886" s="48"/>
      <c r="F886" s="48"/>
      <c r="G886" s="2"/>
      <c r="H886" s="48"/>
      <c r="I886" s="2"/>
      <c r="J886" s="2"/>
      <c r="K886" s="2"/>
      <c r="L886" s="2"/>
      <c r="M886" s="2"/>
      <c r="N886" s="2"/>
      <c r="O886" s="1286"/>
      <c r="P886" s="95"/>
      <c r="Q886" s="95"/>
      <c r="AE886" s="95"/>
      <c r="AF886" s="95"/>
      <c r="AG886" s="95"/>
      <c r="AH886" s="2"/>
      <c r="AI886" s="2"/>
      <c r="AJ886" s="2"/>
      <c r="AK886" s="2"/>
    </row>
    <row r="887" spans="1:37" ht="15.75" customHeight="1" x14ac:dyDescent="0.2">
      <c r="A887" s="1"/>
      <c r="B887" s="2"/>
      <c r="C887" s="1"/>
      <c r="D887" s="1"/>
      <c r="E887" s="48"/>
      <c r="F887" s="48"/>
      <c r="G887" s="2"/>
      <c r="H887" s="48"/>
      <c r="I887" s="2"/>
      <c r="J887" s="2"/>
      <c r="K887" s="2"/>
      <c r="L887" s="2"/>
      <c r="M887" s="2"/>
      <c r="N887" s="2"/>
      <c r="O887" s="1286"/>
      <c r="P887" s="95"/>
      <c r="Q887" s="95"/>
      <c r="AE887" s="95"/>
      <c r="AF887" s="95"/>
      <c r="AG887" s="95"/>
      <c r="AH887" s="2"/>
      <c r="AI887" s="2"/>
      <c r="AJ887" s="2"/>
      <c r="AK887" s="2"/>
    </row>
    <row r="888" spans="1:37" ht="15.75" customHeight="1" x14ac:dyDescent="0.2">
      <c r="A888" s="1"/>
      <c r="B888" s="2"/>
      <c r="C888" s="1"/>
      <c r="D888" s="1"/>
      <c r="E888" s="48"/>
      <c r="F888" s="48"/>
      <c r="G888" s="2"/>
      <c r="H888" s="48"/>
      <c r="I888" s="2"/>
      <c r="J888" s="2"/>
      <c r="K888" s="2"/>
      <c r="L888" s="2"/>
      <c r="M888" s="2"/>
      <c r="N888" s="2"/>
      <c r="O888" s="1286"/>
      <c r="P888" s="95"/>
      <c r="Q888" s="95"/>
      <c r="AE888" s="95"/>
      <c r="AF888" s="95"/>
      <c r="AG888" s="95"/>
      <c r="AH888" s="2"/>
      <c r="AI888" s="2"/>
      <c r="AJ888" s="2"/>
      <c r="AK888" s="2"/>
    </row>
    <row r="889" spans="1:37" ht="15.75" customHeight="1" x14ac:dyDescent="0.2">
      <c r="A889" s="1"/>
      <c r="B889" s="2"/>
      <c r="C889" s="1"/>
      <c r="D889" s="1"/>
      <c r="E889" s="48"/>
      <c r="F889" s="48"/>
      <c r="G889" s="2"/>
      <c r="H889" s="48"/>
      <c r="I889" s="2"/>
      <c r="J889" s="2"/>
      <c r="K889" s="2"/>
      <c r="L889" s="2"/>
      <c r="M889" s="2"/>
      <c r="N889" s="2"/>
      <c r="O889" s="1286"/>
      <c r="P889" s="95"/>
      <c r="Q889" s="95"/>
      <c r="AE889" s="95"/>
      <c r="AF889" s="95"/>
      <c r="AG889" s="95"/>
      <c r="AH889" s="2"/>
      <c r="AI889" s="2"/>
      <c r="AJ889" s="2"/>
      <c r="AK889" s="2"/>
    </row>
    <row r="890" spans="1:37" ht="15.75" customHeight="1" x14ac:dyDescent="0.2">
      <c r="A890" s="1"/>
      <c r="B890" s="2"/>
      <c r="C890" s="1"/>
      <c r="D890" s="1"/>
      <c r="E890" s="48"/>
      <c r="F890" s="48"/>
      <c r="G890" s="2"/>
      <c r="H890" s="48"/>
      <c r="I890" s="2"/>
      <c r="J890" s="2"/>
      <c r="K890" s="2"/>
      <c r="L890" s="2"/>
      <c r="M890" s="2"/>
      <c r="N890" s="2"/>
      <c r="O890" s="1286"/>
      <c r="P890" s="95"/>
      <c r="Q890" s="95"/>
      <c r="AE890" s="95"/>
      <c r="AF890" s="95"/>
      <c r="AG890" s="95"/>
      <c r="AH890" s="2"/>
      <c r="AI890" s="2"/>
      <c r="AJ890" s="2"/>
      <c r="AK890" s="2"/>
    </row>
    <row r="891" spans="1:37" ht="15.75" customHeight="1" x14ac:dyDescent="0.2">
      <c r="A891" s="1"/>
      <c r="B891" s="2"/>
      <c r="C891" s="1"/>
      <c r="D891" s="1"/>
      <c r="E891" s="48"/>
      <c r="F891" s="48"/>
      <c r="G891" s="2"/>
      <c r="H891" s="48"/>
      <c r="I891" s="2"/>
      <c r="J891" s="2"/>
      <c r="K891" s="2"/>
      <c r="L891" s="2"/>
      <c r="M891" s="2"/>
      <c r="N891" s="2"/>
      <c r="O891" s="1286"/>
      <c r="P891" s="95"/>
      <c r="Q891" s="95"/>
      <c r="AE891" s="95"/>
      <c r="AF891" s="95"/>
      <c r="AG891" s="95"/>
      <c r="AH891" s="2"/>
      <c r="AI891" s="2"/>
      <c r="AJ891" s="2"/>
      <c r="AK891" s="2"/>
    </row>
    <row r="892" spans="1:37" ht="15.75" customHeight="1" x14ac:dyDescent="0.2">
      <c r="A892" s="1"/>
      <c r="B892" s="2"/>
      <c r="C892" s="1"/>
      <c r="D892" s="1"/>
      <c r="E892" s="48"/>
      <c r="F892" s="48"/>
      <c r="G892" s="2"/>
      <c r="H892" s="48"/>
      <c r="I892" s="2"/>
      <c r="J892" s="2"/>
      <c r="K892" s="2"/>
      <c r="L892" s="2"/>
      <c r="M892" s="2"/>
      <c r="N892" s="2"/>
      <c r="O892" s="1286"/>
      <c r="P892" s="95"/>
      <c r="Q892" s="95"/>
      <c r="AE892" s="95"/>
      <c r="AF892" s="95"/>
      <c r="AG892" s="95"/>
      <c r="AH892" s="2"/>
      <c r="AI892" s="2"/>
      <c r="AJ892" s="2"/>
      <c r="AK892" s="2"/>
    </row>
    <row r="893" spans="1:37" ht="15.75" customHeight="1" x14ac:dyDescent="0.2">
      <c r="A893" s="1"/>
      <c r="B893" s="2"/>
      <c r="C893" s="1"/>
      <c r="D893" s="1"/>
      <c r="E893" s="48"/>
      <c r="F893" s="48"/>
      <c r="G893" s="2"/>
      <c r="H893" s="48"/>
      <c r="I893" s="2"/>
      <c r="J893" s="2"/>
      <c r="K893" s="2"/>
      <c r="L893" s="2"/>
      <c r="M893" s="2"/>
      <c r="N893" s="2"/>
      <c r="O893" s="1286"/>
      <c r="P893" s="95"/>
      <c r="Q893" s="95"/>
      <c r="AE893" s="95"/>
      <c r="AF893" s="95"/>
      <c r="AG893" s="95"/>
      <c r="AH893" s="2"/>
      <c r="AI893" s="2"/>
      <c r="AJ893" s="2"/>
      <c r="AK893" s="2"/>
    </row>
    <row r="894" spans="1:37" ht="15.75" customHeight="1" x14ac:dyDescent="0.2">
      <c r="A894" s="1"/>
      <c r="B894" s="2"/>
      <c r="C894" s="1"/>
      <c r="D894" s="1"/>
      <c r="E894" s="48"/>
      <c r="F894" s="48"/>
      <c r="G894" s="2"/>
      <c r="H894" s="48"/>
      <c r="I894" s="2"/>
      <c r="J894" s="2"/>
      <c r="K894" s="2"/>
      <c r="L894" s="2"/>
      <c r="M894" s="2"/>
      <c r="N894" s="2"/>
      <c r="O894" s="1286"/>
      <c r="P894" s="95"/>
      <c r="Q894" s="95"/>
      <c r="AE894" s="95"/>
      <c r="AF894" s="95"/>
      <c r="AG894" s="95"/>
      <c r="AH894" s="2"/>
      <c r="AI894" s="2"/>
      <c r="AJ894" s="2"/>
      <c r="AK894" s="2"/>
    </row>
    <row r="895" spans="1:37" ht="15.75" customHeight="1" x14ac:dyDescent="0.2">
      <c r="A895" s="1"/>
      <c r="B895" s="2"/>
      <c r="C895" s="1"/>
      <c r="D895" s="1"/>
      <c r="E895" s="48"/>
      <c r="F895" s="48"/>
      <c r="G895" s="2"/>
      <c r="H895" s="48"/>
      <c r="I895" s="2"/>
      <c r="J895" s="2"/>
      <c r="K895" s="2"/>
      <c r="L895" s="2"/>
      <c r="M895" s="2"/>
      <c r="N895" s="2"/>
      <c r="O895" s="1286"/>
      <c r="P895" s="95"/>
      <c r="Q895" s="95"/>
      <c r="AE895" s="95"/>
      <c r="AF895" s="95"/>
      <c r="AG895" s="95"/>
      <c r="AH895" s="2"/>
      <c r="AI895" s="2"/>
      <c r="AJ895" s="2"/>
      <c r="AK895" s="2"/>
    </row>
    <row r="896" spans="1:37" ht="15.75" customHeight="1" x14ac:dyDescent="0.2">
      <c r="A896" s="1"/>
      <c r="B896" s="2"/>
      <c r="C896" s="1"/>
      <c r="D896" s="1"/>
      <c r="E896" s="48"/>
      <c r="F896" s="48"/>
      <c r="G896" s="2"/>
      <c r="H896" s="48"/>
      <c r="I896" s="2"/>
      <c r="J896" s="2"/>
      <c r="K896" s="2"/>
      <c r="L896" s="2"/>
      <c r="M896" s="2"/>
      <c r="N896" s="2"/>
      <c r="O896" s="1286"/>
      <c r="P896" s="95"/>
      <c r="Q896" s="95"/>
      <c r="AE896" s="95"/>
      <c r="AF896" s="95"/>
      <c r="AG896" s="95"/>
      <c r="AH896" s="2"/>
      <c r="AI896" s="2"/>
      <c r="AJ896" s="2"/>
      <c r="AK896" s="2"/>
    </row>
    <row r="897" spans="1:37" ht="15.75" customHeight="1" x14ac:dyDescent="0.2">
      <c r="A897" s="1"/>
      <c r="B897" s="2"/>
      <c r="C897" s="1"/>
      <c r="D897" s="1"/>
      <c r="E897" s="48"/>
      <c r="F897" s="48"/>
      <c r="G897" s="2"/>
      <c r="H897" s="48"/>
      <c r="I897" s="2"/>
      <c r="J897" s="2"/>
      <c r="K897" s="2"/>
      <c r="L897" s="2"/>
      <c r="M897" s="2"/>
      <c r="N897" s="2"/>
      <c r="O897" s="1286"/>
      <c r="P897" s="95"/>
      <c r="Q897" s="95"/>
      <c r="AE897" s="95"/>
      <c r="AF897" s="95"/>
      <c r="AG897" s="95"/>
      <c r="AH897" s="2"/>
      <c r="AI897" s="2"/>
      <c r="AJ897" s="2"/>
      <c r="AK897" s="2"/>
    </row>
    <row r="898" spans="1:37" ht="15.75" customHeight="1" x14ac:dyDescent="0.2">
      <c r="A898" s="1"/>
      <c r="B898" s="2"/>
      <c r="C898" s="1"/>
      <c r="D898" s="1"/>
      <c r="E898" s="48"/>
      <c r="F898" s="48"/>
      <c r="G898" s="2"/>
      <c r="H898" s="48"/>
      <c r="I898" s="2"/>
      <c r="J898" s="2"/>
      <c r="K898" s="2"/>
      <c r="L898" s="2"/>
      <c r="M898" s="2"/>
      <c r="N898" s="2"/>
      <c r="O898" s="1286"/>
      <c r="P898" s="95"/>
      <c r="Q898" s="95"/>
      <c r="AE898" s="95"/>
      <c r="AF898" s="95"/>
      <c r="AG898" s="95"/>
      <c r="AH898" s="2"/>
      <c r="AI898" s="2"/>
      <c r="AJ898" s="2"/>
      <c r="AK898" s="2"/>
    </row>
    <row r="899" spans="1:37" ht="15.75" customHeight="1" x14ac:dyDescent="0.2">
      <c r="A899" s="1"/>
      <c r="B899" s="2"/>
      <c r="C899" s="1"/>
      <c r="D899" s="1"/>
      <c r="E899" s="48"/>
      <c r="F899" s="48"/>
      <c r="G899" s="2"/>
      <c r="H899" s="48"/>
      <c r="I899" s="2"/>
      <c r="J899" s="2"/>
      <c r="K899" s="2"/>
      <c r="L899" s="2"/>
      <c r="M899" s="2"/>
      <c r="N899" s="2"/>
      <c r="O899" s="1286"/>
      <c r="P899" s="95"/>
      <c r="Q899" s="95"/>
      <c r="AE899" s="95"/>
      <c r="AF899" s="95"/>
      <c r="AG899" s="95"/>
      <c r="AH899" s="2"/>
      <c r="AI899" s="2"/>
      <c r="AJ899" s="2"/>
      <c r="AK899" s="2"/>
    </row>
    <row r="900" spans="1:37" ht="15.75" customHeight="1" x14ac:dyDescent="0.2">
      <c r="A900" s="1"/>
      <c r="B900" s="2"/>
      <c r="C900" s="1"/>
      <c r="D900" s="1"/>
      <c r="E900" s="48"/>
      <c r="F900" s="48"/>
      <c r="G900" s="2"/>
      <c r="H900" s="48"/>
      <c r="I900" s="2"/>
      <c r="J900" s="2"/>
      <c r="K900" s="2"/>
      <c r="L900" s="2"/>
      <c r="M900" s="2"/>
      <c r="N900" s="2"/>
      <c r="O900" s="1286"/>
      <c r="P900" s="95"/>
      <c r="Q900" s="95"/>
      <c r="AE900" s="95"/>
      <c r="AF900" s="95"/>
      <c r="AG900" s="95"/>
      <c r="AH900" s="2"/>
      <c r="AI900" s="2"/>
      <c r="AJ900" s="2"/>
      <c r="AK900" s="2"/>
    </row>
    <row r="901" spans="1:37" ht="15.75" customHeight="1" x14ac:dyDescent="0.2">
      <c r="A901" s="1"/>
      <c r="B901" s="2"/>
      <c r="C901" s="1"/>
      <c r="D901" s="1"/>
      <c r="E901" s="48"/>
      <c r="F901" s="48"/>
      <c r="G901" s="2"/>
      <c r="H901" s="48"/>
      <c r="I901" s="2"/>
      <c r="J901" s="2"/>
      <c r="K901" s="2"/>
      <c r="L901" s="2"/>
      <c r="M901" s="2"/>
      <c r="N901" s="2"/>
      <c r="O901" s="1286"/>
      <c r="P901" s="95"/>
      <c r="Q901" s="95"/>
      <c r="AE901" s="95"/>
      <c r="AF901" s="95"/>
      <c r="AG901" s="95"/>
      <c r="AH901" s="2"/>
      <c r="AI901" s="2"/>
      <c r="AJ901" s="2"/>
      <c r="AK901" s="2"/>
    </row>
    <row r="902" spans="1:37" ht="15.75" customHeight="1" x14ac:dyDescent="0.2">
      <c r="A902" s="1"/>
      <c r="B902" s="2"/>
      <c r="C902" s="1"/>
      <c r="D902" s="1"/>
      <c r="E902" s="48"/>
      <c r="F902" s="48"/>
      <c r="G902" s="2"/>
      <c r="H902" s="48"/>
      <c r="I902" s="2"/>
      <c r="J902" s="2"/>
      <c r="K902" s="2"/>
      <c r="L902" s="2"/>
      <c r="M902" s="2"/>
      <c r="N902" s="2"/>
      <c r="O902" s="1286"/>
      <c r="P902" s="95"/>
      <c r="Q902" s="95"/>
      <c r="AE902" s="95"/>
      <c r="AF902" s="95"/>
      <c r="AG902" s="95"/>
      <c r="AH902" s="2"/>
      <c r="AI902" s="2"/>
      <c r="AJ902" s="2"/>
      <c r="AK902" s="2"/>
    </row>
    <row r="903" spans="1:37" ht="15.75" customHeight="1" x14ac:dyDescent="0.2">
      <c r="A903" s="1"/>
      <c r="B903" s="2"/>
      <c r="C903" s="1"/>
      <c r="D903" s="1"/>
      <c r="E903" s="48"/>
      <c r="F903" s="48"/>
      <c r="G903" s="2"/>
      <c r="H903" s="48"/>
      <c r="I903" s="2"/>
      <c r="J903" s="2"/>
      <c r="K903" s="2"/>
      <c r="L903" s="2"/>
      <c r="M903" s="2"/>
      <c r="N903" s="2"/>
      <c r="O903" s="1286"/>
      <c r="P903" s="95"/>
      <c r="Q903" s="95"/>
      <c r="AE903" s="95"/>
      <c r="AF903" s="95"/>
      <c r="AG903" s="95"/>
      <c r="AH903" s="2"/>
      <c r="AI903" s="2"/>
      <c r="AJ903" s="2"/>
      <c r="AK903" s="2"/>
    </row>
    <row r="904" spans="1:37" ht="15.75" customHeight="1" x14ac:dyDescent="0.2">
      <c r="A904" s="1"/>
      <c r="B904" s="2"/>
      <c r="C904" s="1"/>
      <c r="D904" s="1"/>
      <c r="E904" s="48"/>
      <c r="F904" s="48"/>
      <c r="G904" s="2"/>
      <c r="H904" s="48"/>
      <c r="I904" s="2"/>
      <c r="J904" s="2"/>
      <c r="K904" s="2"/>
      <c r="L904" s="2"/>
      <c r="M904" s="2"/>
      <c r="N904" s="2"/>
      <c r="O904" s="1286"/>
      <c r="P904" s="95"/>
      <c r="Q904" s="95"/>
      <c r="AE904" s="95"/>
      <c r="AF904" s="95"/>
      <c r="AG904" s="95"/>
      <c r="AH904" s="2"/>
      <c r="AI904" s="2"/>
      <c r="AJ904" s="2"/>
      <c r="AK904" s="2"/>
    </row>
    <row r="905" spans="1:37" ht="15.75" customHeight="1" x14ac:dyDescent="0.2">
      <c r="A905" s="1"/>
      <c r="B905" s="2"/>
      <c r="C905" s="1"/>
      <c r="D905" s="1"/>
      <c r="E905" s="48"/>
      <c r="F905" s="48"/>
      <c r="G905" s="2"/>
      <c r="H905" s="48"/>
      <c r="I905" s="2"/>
      <c r="J905" s="2"/>
      <c r="K905" s="2"/>
      <c r="L905" s="2"/>
      <c r="M905" s="2"/>
      <c r="N905" s="2"/>
      <c r="O905" s="1286"/>
      <c r="P905" s="95"/>
      <c r="Q905" s="95"/>
      <c r="AE905" s="95"/>
      <c r="AF905" s="95"/>
      <c r="AG905" s="95"/>
      <c r="AH905" s="2"/>
      <c r="AI905" s="2"/>
      <c r="AJ905" s="2"/>
      <c r="AK905" s="2"/>
    </row>
    <row r="906" spans="1:37" ht="15.75" customHeight="1" x14ac:dyDescent="0.2">
      <c r="A906" s="1"/>
      <c r="B906" s="2"/>
      <c r="C906" s="1"/>
      <c r="D906" s="1"/>
      <c r="E906" s="48"/>
      <c r="F906" s="48"/>
      <c r="G906" s="2"/>
      <c r="H906" s="48"/>
      <c r="I906" s="2"/>
      <c r="J906" s="2"/>
      <c r="K906" s="2"/>
      <c r="L906" s="2"/>
      <c r="M906" s="2"/>
      <c r="N906" s="2"/>
      <c r="O906" s="1286"/>
      <c r="P906" s="95"/>
      <c r="Q906" s="95"/>
      <c r="AE906" s="95"/>
      <c r="AF906" s="95"/>
      <c r="AG906" s="95"/>
      <c r="AH906" s="2"/>
      <c r="AI906" s="2"/>
      <c r="AJ906" s="2"/>
      <c r="AK906" s="2"/>
    </row>
    <row r="907" spans="1:37" ht="15.75" customHeight="1" x14ac:dyDescent="0.2">
      <c r="A907" s="1"/>
      <c r="B907" s="2"/>
      <c r="C907" s="1"/>
      <c r="D907" s="1"/>
      <c r="E907" s="48"/>
      <c r="F907" s="48"/>
      <c r="G907" s="2"/>
      <c r="H907" s="48"/>
      <c r="I907" s="2"/>
      <c r="J907" s="2"/>
      <c r="K907" s="2"/>
      <c r="L907" s="2"/>
      <c r="M907" s="2"/>
      <c r="N907" s="2"/>
      <c r="O907" s="1286"/>
      <c r="P907" s="95"/>
      <c r="Q907" s="95"/>
      <c r="AE907" s="95"/>
      <c r="AF907" s="95"/>
      <c r="AG907" s="95"/>
      <c r="AH907" s="2"/>
      <c r="AI907" s="2"/>
      <c r="AJ907" s="2"/>
      <c r="AK907" s="2"/>
    </row>
    <row r="908" spans="1:37" ht="15.75" customHeight="1" x14ac:dyDescent="0.2">
      <c r="A908" s="1"/>
      <c r="B908" s="2"/>
      <c r="C908" s="1"/>
      <c r="D908" s="1"/>
      <c r="E908" s="48"/>
      <c r="F908" s="48"/>
      <c r="G908" s="2"/>
      <c r="H908" s="48"/>
      <c r="I908" s="2"/>
      <c r="J908" s="2"/>
      <c r="K908" s="2"/>
      <c r="L908" s="2"/>
      <c r="M908" s="2"/>
      <c r="N908" s="2"/>
      <c r="O908" s="1286"/>
      <c r="P908" s="95"/>
      <c r="Q908" s="95"/>
      <c r="AE908" s="95"/>
      <c r="AF908" s="95"/>
      <c r="AG908" s="95"/>
      <c r="AH908" s="2"/>
      <c r="AI908" s="2"/>
      <c r="AJ908" s="2"/>
      <c r="AK908" s="2"/>
    </row>
    <row r="909" spans="1:37" ht="15.75" customHeight="1" x14ac:dyDescent="0.2">
      <c r="A909" s="1"/>
      <c r="B909" s="2"/>
      <c r="C909" s="1"/>
      <c r="D909" s="1"/>
      <c r="E909" s="48"/>
      <c r="F909" s="48"/>
      <c r="G909" s="2"/>
      <c r="H909" s="48"/>
      <c r="I909" s="2"/>
      <c r="J909" s="2"/>
      <c r="K909" s="2"/>
      <c r="L909" s="2"/>
      <c r="M909" s="2"/>
      <c r="N909" s="2"/>
      <c r="O909" s="1286"/>
      <c r="P909" s="95"/>
      <c r="Q909" s="95"/>
      <c r="AE909" s="95"/>
      <c r="AF909" s="95"/>
      <c r="AG909" s="95"/>
      <c r="AH909" s="2"/>
      <c r="AI909" s="2"/>
      <c r="AJ909" s="2"/>
      <c r="AK909" s="2"/>
    </row>
    <row r="910" spans="1:37" ht="15.75" customHeight="1" x14ac:dyDescent="0.2">
      <c r="A910" s="1"/>
      <c r="B910" s="2"/>
      <c r="C910" s="1"/>
      <c r="D910" s="1"/>
      <c r="E910" s="48"/>
      <c r="F910" s="48"/>
      <c r="G910" s="2"/>
      <c r="H910" s="48"/>
      <c r="I910" s="2"/>
      <c r="J910" s="2"/>
      <c r="K910" s="2"/>
      <c r="L910" s="2"/>
      <c r="M910" s="2"/>
      <c r="N910" s="2"/>
      <c r="O910" s="1286"/>
      <c r="P910" s="95"/>
      <c r="Q910" s="95"/>
      <c r="AE910" s="95"/>
      <c r="AF910" s="95"/>
      <c r="AG910" s="95"/>
      <c r="AH910" s="2"/>
      <c r="AI910" s="2"/>
      <c r="AJ910" s="2"/>
      <c r="AK910" s="2"/>
    </row>
    <row r="911" spans="1:37" ht="15.75" customHeight="1" x14ac:dyDescent="0.2">
      <c r="A911" s="1"/>
      <c r="B911" s="2"/>
      <c r="C911" s="1"/>
      <c r="D911" s="1"/>
      <c r="E911" s="48"/>
      <c r="F911" s="48"/>
      <c r="G911" s="2"/>
      <c r="H911" s="48"/>
      <c r="I911" s="2"/>
      <c r="J911" s="2"/>
      <c r="K911" s="2"/>
      <c r="L911" s="2"/>
      <c r="M911" s="2"/>
      <c r="N911" s="2"/>
      <c r="O911" s="1286"/>
      <c r="P911" s="95"/>
      <c r="Q911" s="95"/>
      <c r="AE911" s="95"/>
      <c r="AF911" s="95"/>
      <c r="AG911" s="95"/>
      <c r="AH911" s="2"/>
      <c r="AI911" s="2"/>
      <c r="AJ911" s="2"/>
      <c r="AK911" s="2"/>
    </row>
    <row r="912" spans="1:37" ht="15.75" customHeight="1" x14ac:dyDescent="0.2">
      <c r="A912" s="1"/>
      <c r="B912" s="2"/>
      <c r="C912" s="1"/>
      <c r="D912" s="1"/>
      <c r="E912" s="48"/>
      <c r="F912" s="48"/>
      <c r="G912" s="2"/>
      <c r="H912" s="48"/>
      <c r="I912" s="2"/>
      <c r="J912" s="2"/>
      <c r="K912" s="2"/>
      <c r="L912" s="2"/>
      <c r="M912" s="2"/>
      <c r="N912" s="2"/>
      <c r="O912" s="1286"/>
      <c r="P912" s="95"/>
      <c r="Q912" s="95"/>
      <c r="AE912" s="95"/>
      <c r="AF912" s="95"/>
      <c r="AG912" s="95"/>
      <c r="AH912" s="2"/>
      <c r="AI912" s="2"/>
      <c r="AJ912" s="2"/>
      <c r="AK912" s="2"/>
    </row>
    <row r="913" spans="1:37" ht="15.75" customHeight="1" x14ac:dyDescent="0.2">
      <c r="A913" s="1"/>
      <c r="B913" s="2"/>
      <c r="C913" s="1"/>
      <c r="D913" s="1"/>
      <c r="E913" s="48"/>
      <c r="F913" s="48"/>
      <c r="G913" s="2"/>
      <c r="H913" s="48"/>
      <c r="I913" s="2"/>
      <c r="J913" s="2"/>
      <c r="K913" s="2"/>
      <c r="L913" s="2"/>
      <c r="M913" s="2"/>
      <c r="N913" s="2"/>
      <c r="O913" s="1286"/>
      <c r="P913" s="95"/>
      <c r="Q913" s="95"/>
      <c r="AE913" s="95"/>
      <c r="AF913" s="95"/>
      <c r="AG913" s="95"/>
      <c r="AH913" s="2"/>
      <c r="AI913" s="2"/>
      <c r="AJ913" s="2"/>
      <c r="AK913" s="2"/>
    </row>
    <row r="914" spans="1:37" ht="15.75" customHeight="1" x14ac:dyDescent="0.2">
      <c r="A914" s="1"/>
      <c r="B914" s="2"/>
      <c r="C914" s="1"/>
      <c r="D914" s="1"/>
      <c r="E914" s="48"/>
      <c r="F914" s="48"/>
      <c r="G914" s="2"/>
      <c r="H914" s="48"/>
      <c r="I914" s="2"/>
      <c r="J914" s="2"/>
      <c r="K914" s="2"/>
      <c r="L914" s="2"/>
      <c r="M914" s="2"/>
      <c r="N914" s="2"/>
      <c r="O914" s="1286"/>
      <c r="P914" s="95"/>
      <c r="Q914" s="95"/>
      <c r="AE914" s="95"/>
      <c r="AF914" s="95"/>
      <c r="AG914" s="95"/>
      <c r="AH914" s="2"/>
      <c r="AI914" s="2"/>
      <c r="AJ914" s="2"/>
      <c r="AK914" s="2"/>
    </row>
    <row r="915" spans="1:37" ht="15.75" customHeight="1" x14ac:dyDescent="0.2">
      <c r="A915" s="1"/>
      <c r="B915" s="2"/>
      <c r="C915" s="1"/>
      <c r="D915" s="1"/>
      <c r="E915" s="48"/>
      <c r="F915" s="48"/>
      <c r="G915" s="2"/>
      <c r="H915" s="48"/>
      <c r="I915" s="2"/>
      <c r="J915" s="2"/>
      <c r="K915" s="2"/>
      <c r="L915" s="2"/>
      <c r="M915" s="2"/>
      <c r="N915" s="2"/>
      <c r="O915" s="1286"/>
      <c r="P915" s="95"/>
      <c r="Q915" s="95"/>
      <c r="AE915" s="95"/>
      <c r="AF915" s="95"/>
      <c r="AG915" s="95"/>
      <c r="AH915" s="2"/>
      <c r="AI915" s="2"/>
      <c r="AJ915" s="2"/>
      <c r="AK915" s="2"/>
    </row>
    <row r="916" spans="1:37" ht="15.75" customHeight="1" x14ac:dyDescent="0.2">
      <c r="A916" s="1"/>
      <c r="B916" s="2"/>
      <c r="C916" s="1"/>
      <c r="D916" s="1"/>
      <c r="E916" s="48"/>
      <c r="F916" s="48"/>
      <c r="G916" s="2"/>
      <c r="H916" s="48"/>
      <c r="I916" s="2"/>
      <c r="J916" s="2"/>
      <c r="K916" s="2"/>
      <c r="L916" s="2"/>
      <c r="M916" s="2"/>
      <c r="N916" s="2"/>
      <c r="O916" s="1286"/>
      <c r="P916" s="95"/>
      <c r="Q916" s="95"/>
      <c r="AE916" s="95"/>
      <c r="AF916" s="95"/>
      <c r="AG916" s="95"/>
      <c r="AH916" s="2"/>
      <c r="AI916" s="2"/>
      <c r="AJ916" s="2"/>
      <c r="AK916" s="2"/>
    </row>
    <row r="917" spans="1:37" ht="15.75" customHeight="1" x14ac:dyDescent="0.2">
      <c r="A917" s="1"/>
      <c r="B917" s="2"/>
      <c r="C917" s="1"/>
      <c r="D917" s="1"/>
      <c r="E917" s="48"/>
      <c r="F917" s="48"/>
      <c r="G917" s="2"/>
      <c r="H917" s="48"/>
      <c r="I917" s="2"/>
      <c r="J917" s="2"/>
      <c r="K917" s="2"/>
      <c r="L917" s="2"/>
      <c r="M917" s="2"/>
      <c r="N917" s="2"/>
      <c r="O917" s="1286"/>
      <c r="P917" s="95"/>
      <c r="Q917" s="95"/>
      <c r="AE917" s="95"/>
      <c r="AF917" s="95"/>
      <c r="AG917" s="95"/>
      <c r="AH917" s="2"/>
      <c r="AI917" s="2"/>
      <c r="AJ917" s="2"/>
      <c r="AK917" s="2"/>
    </row>
    <row r="918" spans="1:37" ht="15.75" customHeight="1" x14ac:dyDescent="0.2">
      <c r="A918" s="1"/>
      <c r="B918" s="2"/>
      <c r="C918" s="1"/>
      <c r="D918" s="1"/>
      <c r="E918" s="48"/>
      <c r="F918" s="48"/>
      <c r="G918" s="2"/>
      <c r="H918" s="48"/>
      <c r="I918" s="2"/>
      <c r="J918" s="2"/>
      <c r="K918" s="2"/>
      <c r="L918" s="2"/>
      <c r="M918" s="2"/>
      <c r="N918" s="2"/>
      <c r="O918" s="1286"/>
      <c r="P918" s="95"/>
      <c r="Q918" s="95"/>
      <c r="AE918" s="95"/>
      <c r="AF918" s="95"/>
      <c r="AG918" s="95"/>
      <c r="AH918" s="2"/>
      <c r="AI918" s="2"/>
      <c r="AJ918" s="2"/>
      <c r="AK918" s="2"/>
    </row>
    <row r="919" spans="1:37" ht="15.75" customHeight="1" x14ac:dyDescent="0.2">
      <c r="A919" s="1"/>
      <c r="B919" s="2"/>
      <c r="C919" s="1"/>
      <c r="D919" s="1"/>
      <c r="E919" s="48"/>
      <c r="F919" s="48"/>
      <c r="G919" s="2"/>
      <c r="H919" s="48"/>
      <c r="I919" s="2"/>
      <c r="J919" s="2"/>
      <c r="K919" s="2"/>
      <c r="L919" s="2"/>
      <c r="M919" s="2"/>
      <c r="N919" s="2"/>
      <c r="O919" s="1286"/>
      <c r="P919" s="95"/>
      <c r="Q919" s="95"/>
      <c r="AE919" s="95"/>
      <c r="AF919" s="95"/>
      <c r="AG919" s="95"/>
      <c r="AH919" s="2"/>
      <c r="AI919" s="2"/>
      <c r="AJ919" s="2"/>
      <c r="AK919" s="2"/>
    </row>
    <row r="920" spans="1:37" ht="15.75" customHeight="1" x14ac:dyDescent="0.2">
      <c r="A920" s="1"/>
      <c r="B920" s="2"/>
      <c r="C920" s="1"/>
      <c r="D920" s="1"/>
      <c r="E920" s="48"/>
      <c r="F920" s="48"/>
      <c r="G920" s="2"/>
      <c r="H920" s="48"/>
      <c r="I920" s="2"/>
      <c r="J920" s="2"/>
      <c r="K920" s="2"/>
      <c r="L920" s="2"/>
      <c r="M920" s="2"/>
      <c r="N920" s="2"/>
      <c r="O920" s="1286"/>
      <c r="P920" s="95"/>
      <c r="Q920" s="95"/>
      <c r="AE920" s="95"/>
      <c r="AF920" s="95"/>
      <c r="AG920" s="95"/>
      <c r="AH920" s="2"/>
      <c r="AI920" s="2"/>
      <c r="AJ920" s="2"/>
      <c r="AK920" s="2"/>
    </row>
    <row r="921" spans="1:37" ht="15.75" customHeight="1" x14ac:dyDescent="0.2">
      <c r="A921" s="1"/>
      <c r="B921" s="2"/>
      <c r="C921" s="1"/>
      <c r="D921" s="1"/>
      <c r="E921" s="48"/>
      <c r="F921" s="48"/>
      <c r="G921" s="2"/>
      <c r="H921" s="48"/>
      <c r="I921" s="2"/>
      <c r="J921" s="2"/>
      <c r="K921" s="2"/>
      <c r="L921" s="2"/>
      <c r="M921" s="2"/>
      <c r="N921" s="2"/>
      <c r="O921" s="1286"/>
      <c r="P921" s="95"/>
      <c r="Q921" s="95"/>
      <c r="AE921" s="95"/>
      <c r="AF921" s="95"/>
      <c r="AG921" s="95"/>
      <c r="AH921" s="2"/>
      <c r="AI921" s="2"/>
      <c r="AJ921" s="2"/>
      <c r="AK921" s="2"/>
    </row>
    <row r="922" spans="1:37" ht="15.75" customHeight="1" x14ac:dyDescent="0.2">
      <c r="A922" s="1"/>
      <c r="B922" s="2"/>
      <c r="C922" s="1"/>
      <c r="D922" s="1"/>
      <c r="E922" s="48"/>
      <c r="F922" s="48"/>
      <c r="G922" s="2"/>
      <c r="H922" s="48"/>
      <c r="I922" s="2"/>
      <c r="J922" s="2"/>
      <c r="K922" s="2"/>
      <c r="L922" s="2"/>
      <c r="M922" s="2"/>
      <c r="N922" s="2"/>
      <c r="O922" s="1286"/>
      <c r="P922" s="95"/>
      <c r="Q922" s="95"/>
      <c r="AE922" s="95"/>
      <c r="AF922" s="95"/>
      <c r="AG922" s="95"/>
      <c r="AH922" s="2"/>
      <c r="AI922" s="2"/>
      <c r="AJ922" s="2"/>
      <c r="AK922" s="2"/>
    </row>
    <row r="923" spans="1:37" ht="15.75" customHeight="1" x14ac:dyDescent="0.2">
      <c r="A923" s="1"/>
      <c r="B923" s="2"/>
      <c r="C923" s="1"/>
      <c r="D923" s="1"/>
      <c r="E923" s="48"/>
      <c r="F923" s="48"/>
      <c r="G923" s="2"/>
      <c r="H923" s="48"/>
      <c r="I923" s="2"/>
      <c r="J923" s="2"/>
      <c r="K923" s="2"/>
      <c r="L923" s="2"/>
      <c r="M923" s="2"/>
      <c r="N923" s="2"/>
      <c r="O923" s="1286"/>
      <c r="P923" s="95"/>
      <c r="Q923" s="95"/>
      <c r="AE923" s="95"/>
      <c r="AF923" s="95"/>
      <c r="AG923" s="95"/>
      <c r="AH923" s="2"/>
      <c r="AI923" s="2"/>
      <c r="AJ923" s="2"/>
      <c r="AK923" s="2"/>
    </row>
    <row r="924" spans="1:37" ht="15.75" customHeight="1" x14ac:dyDescent="0.2">
      <c r="A924" s="1"/>
      <c r="B924" s="2"/>
      <c r="C924" s="1"/>
      <c r="D924" s="1"/>
      <c r="E924" s="48"/>
      <c r="F924" s="48"/>
      <c r="G924" s="2"/>
      <c r="H924" s="48"/>
      <c r="I924" s="2"/>
      <c r="J924" s="2"/>
      <c r="K924" s="2"/>
      <c r="L924" s="2"/>
      <c r="M924" s="2"/>
      <c r="N924" s="2"/>
      <c r="O924" s="1286"/>
      <c r="P924" s="95"/>
      <c r="Q924" s="95"/>
      <c r="AE924" s="95"/>
      <c r="AF924" s="95"/>
      <c r="AG924" s="95"/>
      <c r="AH924" s="2"/>
      <c r="AI924" s="2"/>
      <c r="AJ924" s="2"/>
      <c r="AK924" s="2"/>
    </row>
    <row r="925" spans="1:37" ht="15.75" customHeight="1" x14ac:dyDescent="0.2">
      <c r="A925" s="1"/>
      <c r="B925" s="2"/>
      <c r="C925" s="1"/>
      <c r="D925" s="1"/>
      <c r="E925" s="48"/>
      <c r="F925" s="48"/>
      <c r="G925" s="2"/>
      <c r="H925" s="48"/>
      <c r="I925" s="2"/>
      <c r="J925" s="2"/>
      <c r="K925" s="2"/>
      <c r="L925" s="2"/>
      <c r="M925" s="2"/>
      <c r="N925" s="2"/>
      <c r="O925" s="1286"/>
      <c r="P925" s="95"/>
      <c r="Q925" s="95"/>
      <c r="AE925" s="95"/>
      <c r="AF925" s="95"/>
      <c r="AG925" s="95"/>
      <c r="AH925" s="2"/>
      <c r="AI925" s="2"/>
      <c r="AJ925" s="2"/>
      <c r="AK925" s="2"/>
    </row>
    <row r="926" spans="1:37" ht="15.75" customHeight="1" x14ac:dyDescent="0.2">
      <c r="A926" s="1"/>
      <c r="B926" s="2"/>
      <c r="C926" s="1"/>
      <c r="D926" s="1"/>
      <c r="E926" s="48"/>
      <c r="F926" s="48"/>
      <c r="G926" s="2"/>
      <c r="H926" s="48"/>
      <c r="I926" s="2"/>
      <c r="J926" s="2"/>
      <c r="K926" s="2"/>
      <c r="L926" s="2"/>
      <c r="M926" s="2"/>
      <c r="N926" s="2"/>
      <c r="O926" s="1286"/>
      <c r="P926" s="95"/>
      <c r="Q926" s="95"/>
      <c r="AE926" s="95"/>
      <c r="AF926" s="95"/>
      <c r="AG926" s="95"/>
      <c r="AH926" s="2"/>
      <c r="AI926" s="2"/>
      <c r="AJ926" s="2"/>
      <c r="AK926" s="2"/>
    </row>
    <row r="927" spans="1:37" ht="15.75" customHeight="1" x14ac:dyDescent="0.2">
      <c r="A927" s="1"/>
      <c r="B927" s="2"/>
      <c r="C927" s="1"/>
      <c r="D927" s="1"/>
      <c r="E927" s="48"/>
      <c r="F927" s="48"/>
      <c r="G927" s="2"/>
      <c r="H927" s="48"/>
      <c r="I927" s="2"/>
      <c r="J927" s="2"/>
      <c r="K927" s="2"/>
      <c r="L927" s="2"/>
      <c r="M927" s="2"/>
      <c r="N927" s="2"/>
      <c r="O927" s="1286"/>
      <c r="P927" s="95"/>
      <c r="Q927" s="95"/>
      <c r="AE927" s="95"/>
      <c r="AF927" s="95"/>
      <c r="AG927" s="95"/>
      <c r="AH927" s="2"/>
      <c r="AI927" s="2"/>
      <c r="AJ927" s="2"/>
      <c r="AK927" s="2"/>
    </row>
    <row r="928" spans="1:37" ht="15.75" customHeight="1" x14ac:dyDescent="0.2">
      <c r="A928" s="1"/>
      <c r="B928" s="2"/>
      <c r="C928" s="1"/>
      <c r="D928" s="1"/>
      <c r="E928" s="48"/>
      <c r="F928" s="48"/>
      <c r="G928" s="2"/>
      <c r="H928" s="48"/>
      <c r="I928" s="2"/>
      <c r="J928" s="2"/>
      <c r="K928" s="2"/>
      <c r="L928" s="2"/>
      <c r="M928" s="2"/>
      <c r="N928" s="2"/>
      <c r="O928" s="1286"/>
      <c r="P928" s="95"/>
      <c r="Q928" s="95"/>
      <c r="AE928" s="95"/>
      <c r="AF928" s="95"/>
      <c r="AG928" s="95"/>
      <c r="AH928" s="2"/>
      <c r="AI928" s="2"/>
      <c r="AJ928" s="2"/>
      <c r="AK928" s="2"/>
    </row>
    <row r="929" spans="1:37" ht="15.75" customHeight="1" x14ac:dyDescent="0.2">
      <c r="A929" s="1"/>
      <c r="B929" s="2"/>
      <c r="C929" s="1"/>
      <c r="D929" s="1"/>
      <c r="E929" s="48"/>
      <c r="F929" s="48"/>
      <c r="G929" s="2"/>
      <c r="H929" s="48"/>
      <c r="I929" s="2"/>
      <c r="J929" s="2"/>
      <c r="K929" s="2"/>
      <c r="L929" s="2"/>
      <c r="M929" s="2"/>
      <c r="N929" s="2"/>
      <c r="O929" s="1286"/>
      <c r="P929" s="95"/>
      <c r="Q929" s="95"/>
      <c r="AE929" s="95"/>
      <c r="AF929" s="95"/>
      <c r="AG929" s="95"/>
      <c r="AH929" s="2"/>
      <c r="AI929" s="2"/>
      <c r="AJ929" s="2"/>
      <c r="AK929" s="2"/>
    </row>
    <row r="930" spans="1:37" ht="15.75" customHeight="1" x14ac:dyDescent="0.2">
      <c r="A930" s="1"/>
      <c r="B930" s="2"/>
      <c r="C930" s="1"/>
      <c r="D930" s="1"/>
      <c r="E930" s="48"/>
      <c r="F930" s="48"/>
      <c r="G930" s="2"/>
      <c r="H930" s="48"/>
      <c r="I930" s="2"/>
      <c r="J930" s="2"/>
      <c r="K930" s="2"/>
      <c r="L930" s="2"/>
      <c r="M930" s="2"/>
      <c r="N930" s="2"/>
      <c r="O930" s="1286"/>
      <c r="P930" s="95"/>
      <c r="Q930" s="95"/>
      <c r="AE930" s="95"/>
      <c r="AF930" s="95"/>
      <c r="AG930" s="95"/>
      <c r="AH930" s="2"/>
      <c r="AI930" s="2"/>
      <c r="AJ930" s="2"/>
      <c r="AK930" s="2"/>
    </row>
    <row r="931" spans="1:37" ht="15.75" customHeight="1" x14ac:dyDescent="0.2">
      <c r="A931" s="1"/>
      <c r="B931" s="2"/>
      <c r="C931" s="1"/>
      <c r="D931" s="1"/>
      <c r="E931" s="48"/>
      <c r="F931" s="48"/>
      <c r="G931" s="2"/>
      <c r="H931" s="48"/>
      <c r="I931" s="2"/>
      <c r="J931" s="2"/>
      <c r="K931" s="2"/>
      <c r="L931" s="2"/>
      <c r="M931" s="2"/>
      <c r="N931" s="2"/>
      <c r="O931" s="1286"/>
      <c r="P931" s="95"/>
      <c r="Q931" s="95"/>
      <c r="AE931" s="95"/>
      <c r="AF931" s="95"/>
      <c r="AG931" s="95"/>
      <c r="AH931" s="2"/>
      <c r="AI931" s="2"/>
      <c r="AJ931" s="2"/>
      <c r="AK931" s="2"/>
    </row>
    <row r="932" spans="1:37" ht="15.75" customHeight="1" x14ac:dyDescent="0.2">
      <c r="A932" s="1"/>
      <c r="B932" s="2"/>
      <c r="C932" s="1"/>
      <c r="D932" s="1"/>
      <c r="E932" s="48"/>
      <c r="F932" s="48"/>
      <c r="G932" s="2"/>
      <c r="H932" s="48"/>
      <c r="I932" s="2"/>
      <c r="J932" s="2"/>
      <c r="K932" s="2"/>
      <c r="L932" s="2"/>
      <c r="M932" s="2"/>
      <c r="N932" s="2"/>
      <c r="O932" s="1286"/>
      <c r="P932" s="95"/>
      <c r="Q932" s="95"/>
      <c r="AE932" s="95"/>
      <c r="AF932" s="95"/>
      <c r="AG932" s="95"/>
      <c r="AH932" s="2"/>
      <c r="AI932" s="2"/>
      <c r="AJ932" s="2"/>
      <c r="AK932" s="2"/>
    </row>
    <row r="933" spans="1:37" ht="15.75" customHeight="1" x14ac:dyDescent="0.2">
      <c r="A933" s="1"/>
      <c r="B933" s="2"/>
      <c r="C933" s="1"/>
      <c r="D933" s="1"/>
      <c r="E933" s="48"/>
      <c r="F933" s="48"/>
      <c r="G933" s="2"/>
      <c r="H933" s="48"/>
      <c r="I933" s="2"/>
      <c r="J933" s="2"/>
      <c r="K933" s="2"/>
      <c r="L933" s="2"/>
      <c r="M933" s="2"/>
      <c r="N933" s="2"/>
      <c r="O933" s="1286"/>
      <c r="P933" s="95"/>
      <c r="Q933" s="95"/>
      <c r="AE933" s="95"/>
      <c r="AF933" s="95"/>
      <c r="AG933" s="95"/>
      <c r="AH933" s="2"/>
      <c r="AI933" s="2"/>
      <c r="AJ933" s="2"/>
      <c r="AK933" s="2"/>
    </row>
    <row r="934" spans="1:37" ht="15.75" customHeight="1" x14ac:dyDescent="0.2">
      <c r="A934" s="1"/>
      <c r="B934" s="2"/>
      <c r="C934" s="1"/>
      <c r="D934" s="1"/>
      <c r="E934" s="48"/>
      <c r="F934" s="48"/>
      <c r="G934" s="2"/>
      <c r="H934" s="48"/>
      <c r="I934" s="2"/>
      <c r="J934" s="2"/>
      <c r="K934" s="2"/>
      <c r="L934" s="2"/>
      <c r="M934" s="2"/>
      <c r="N934" s="2"/>
      <c r="O934" s="1286"/>
      <c r="P934" s="95"/>
      <c r="Q934" s="95"/>
      <c r="AE934" s="95"/>
      <c r="AF934" s="95"/>
      <c r="AG934" s="95"/>
      <c r="AH934" s="2"/>
      <c r="AI934" s="2"/>
      <c r="AJ934" s="2"/>
      <c r="AK934" s="2"/>
    </row>
    <row r="935" spans="1:37" ht="15.75" customHeight="1" x14ac:dyDescent="0.2">
      <c r="A935" s="1"/>
      <c r="B935" s="2"/>
      <c r="C935" s="1"/>
      <c r="D935" s="1"/>
      <c r="E935" s="48"/>
      <c r="F935" s="48"/>
      <c r="G935" s="2"/>
      <c r="H935" s="48"/>
      <c r="I935" s="2"/>
      <c r="J935" s="2"/>
      <c r="K935" s="2"/>
      <c r="L935" s="2"/>
      <c r="M935" s="2"/>
      <c r="N935" s="2"/>
      <c r="O935" s="1286"/>
      <c r="P935" s="95"/>
      <c r="Q935" s="95"/>
      <c r="AE935" s="95"/>
      <c r="AF935" s="95"/>
      <c r="AG935" s="95"/>
      <c r="AH935" s="2"/>
      <c r="AI935" s="2"/>
      <c r="AJ935" s="2"/>
      <c r="AK935" s="2"/>
    </row>
    <row r="936" spans="1:37" ht="15.75" customHeight="1" x14ac:dyDescent="0.2">
      <c r="A936" s="1"/>
      <c r="B936" s="2"/>
      <c r="C936" s="1"/>
      <c r="D936" s="1"/>
      <c r="E936" s="48"/>
      <c r="F936" s="48"/>
      <c r="G936" s="2"/>
      <c r="H936" s="48"/>
      <c r="I936" s="2"/>
      <c r="J936" s="2"/>
      <c r="K936" s="2"/>
      <c r="L936" s="2"/>
      <c r="M936" s="2"/>
      <c r="N936" s="2"/>
      <c r="O936" s="1286"/>
      <c r="P936" s="95"/>
      <c r="Q936" s="95"/>
      <c r="AE936" s="95"/>
      <c r="AF936" s="95"/>
      <c r="AG936" s="95"/>
      <c r="AH936" s="2"/>
      <c r="AI936" s="2"/>
      <c r="AJ936" s="2"/>
      <c r="AK936" s="2"/>
    </row>
    <row r="937" spans="1:37" ht="15.75" customHeight="1" x14ac:dyDescent="0.2">
      <c r="A937" s="1"/>
      <c r="B937" s="2"/>
      <c r="C937" s="1"/>
      <c r="D937" s="1"/>
      <c r="E937" s="48"/>
      <c r="F937" s="48"/>
      <c r="G937" s="2"/>
      <c r="H937" s="48"/>
      <c r="I937" s="2"/>
      <c r="J937" s="2"/>
      <c r="K937" s="2"/>
      <c r="L937" s="2"/>
      <c r="M937" s="2"/>
      <c r="N937" s="2"/>
      <c r="O937" s="1286"/>
      <c r="P937" s="95"/>
      <c r="Q937" s="95"/>
      <c r="AE937" s="95"/>
      <c r="AF937" s="95"/>
      <c r="AG937" s="95"/>
      <c r="AH937" s="2"/>
      <c r="AI937" s="2"/>
      <c r="AJ937" s="2"/>
      <c r="AK937" s="2"/>
    </row>
    <row r="938" spans="1:37" ht="15.75" customHeight="1" x14ac:dyDescent="0.2">
      <c r="A938" s="1"/>
      <c r="B938" s="2"/>
      <c r="C938" s="1"/>
      <c r="D938" s="1"/>
      <c r="E938" s="48"/>
      <c r="F938" s="48"/>
      <c r="G938" s="2"/>
      <c r="H938" s="48"/>
      <c r="I938" s="2"/>
      <c r="J938" s="2"/>
      <c r="K938" s="2"/>
      <c r="L938" s="2"/>
      <c r="M938" s="2"/>
      <c r="N938" s="2"/>
      <c r="O938" s="1286"/>
      <c r="P938" s="95"/>
      <c r="Q938" s="95"/>
      <c r="AE938" s="95"/>
      <c r="AF938" s="95"/>
      <c r="AG938" s="95"/>
      <c r="AH938" s="2"/>
      <c r="AI938" s="2"/>
      <c r="AJ938" s="2"/>
      <c r="AK938" s="2"/>
    </row>
    <row r="939" spans="1:37" ht="15.75" customHeight="1" x14ac:dyDescent="0.2">
      <c r="A939" s="1"/>
      <c r="B939" s="2"/>
      <c r="C939" s="1"/>
      <c r="D939" s="1"/>
      <c r="E939" s="48"/>
      <c r="F939" s="48"/>
      <c r="G939" s="2"/>
      <c r="H939" s="48"/>
      <c r="I939" s="2"/>
      <c r="J939" s="2"/>
      <c r="K939" s="2"/>
      <c r="L939" s="2"/>
      <c r="M939" s="2"/>
      <c r="N939" s="2"/>
      <c r="O939" s="1286"/>
      <c r="P939" s="95"/>
      <c r="Q939" s="95"/>
      <c r="AE939" s="95"/>
      <c r="AF939" s="95"/>
      <c r="AG939" s="95"/>
      <c r="AH939" s="2"/>
      <c r="AI939" s="2"/>
      <c r="AJ939" s="2"/>
      <c r="AK939" s="2"/>
    </row>
    <row r="940" spans="1:37" ht="15.75" customHeight="1" x14ac:dyDescent="0.2">
      <c r="A940" s="1"/>
      <c r="B940" s="2"/>
      <c r="C940" s="1"/>
      <c r="D940" s="1"/>
      <c r="E940" s="48"/>
      <c r="F940" s="48"/>
      <c r="G940" s="2"/>
      <c r="H940" s="48"/>
      <c r="I940" s="2"/>
      <c r="J940" s="2"/>
      <c r="K940" s="2"/>
      <c r="L940" s="2"/>
      <c r="M940" s="2"/>
      <c r="N940" s="2"/>
      <c r="O940" s="1286"/>
      <c r="P940" s="95"/>
      <c r="Q940" s="95"/>
      <c r="AE940" s="95"/>
      <c r="AF940" s="95"/>
      <c r="AG940" s="95"/>
      <c r="AH940" s="2"/>
      <c r="AI940" s="2"/>
      <c r="AJ940" s="2"/>
      <c r="AK940" s="2"/>
    </row>
    <row r="941" spans="1:37" ht="15.75" customHeight="1" x14ac:dyDescent="0.2">
      <c r="A941" s="1"/>
      <c r="B941" s="2"/>
      <c r="C941" s="1"/>
      <c r="D941" s="1"/>
      <c r="E941" s="48"/>
      <c r="F941" s="48"/>
      <c r="G941" s="2"/>
      <c r="H941" s="48"/>
      <c r="I941" s="2"/>
      <c r="J941" s="2"/>
      <c r="K941" s="2"/>
      <c r="L941" s="2"/>
      <c r="M941" s="2"/>
      <c r="N941" s="2"/>
      <c r="O941" s="1286"/>
      <c r="P941" s="95"/>
      <c r="Q941" s="95"/>
      <c r="AE941" s="95"/>
      <c r="AF941" s="95"/>
      <c r="AG941" s="95"/>
      <c r="AH941" s="2"/>
      <c r="AI941" s="2"/>
      <c r="AJ941" s="2"/>
      <c r="AK941" s="2"/>
    </row>
    <row r="942" spans="1:37" ht="15.75" customHeight="1" x14ac:dyDescent="0.2">
      <c r="A942" s="1"/>
      <c r="B942" s="2"/>
      <c r="C942" s="1"/>
      <c r="D942" s="1"/>
      <c r="E942" s="48"/>
      <c r="F942" s="48"/>
      <c r="G942" s="2"/>
      <c r="H942" s="48"/>
      <c r="I942" s="2"/>
      <c r="J942" s="2"/>
      <c r="K942" s="2"/>
      <c r="L942" s="2"/>
      <c r="M942" s="2"/>
      <c r="N942" s="2"/>
      <c r="O942" s="1286"/>
      <c r="P942" s="95"/>
      <c r="Q942" s="95"/>
      <c r="AE942" s="95"/>
      <c r="AF942" s="95"/>
      <c r="AG942" s="95"/>
      <c r="AH942" s="2"/>
      <c r="AI942" s="2"/>
      <c r="AJ942" s="2"/>
      <c r="AK942" s="2"/>
    </row>
    <row r="943" spans="1:37" ht="15.75" customHeight="1" x14ac:dyDescent="0.2">
      <c r="A943" s="1"/>
      <c r="B943" s="2"/>
      <c r="C943" s="1"/>
      <c r="D943" s="1"/>
      <c r="E943" s="48"/>
      <c r="F943" s="48"/>
      <c r="G943" s="2"/>
      <c r="H943" s="48"/>
      <c r="I943" s="2"/>
      <c r="J943" s="2"/>
      <c r="K943" s="2"/>
      <c r="L943" s="2"/>
      <c r="M943" s="2"/>
      <c r="N943" s="2"/>
      <c r="O943" s="1286"/>
      <c r="P943" s="95"/>
      <c r="Q943" s="95"/>
      <c r="AE943" s="95"/>
      <c r="AF943" s="95"/>
      <c r="AG943" s="95"/>
      <c r="AH943" s="2"/>
      <c r="AI943" s="2"/>
      <c r="AJ943" s="2"/>
      <c r="AK943" s="2"/>
    </row>
    <row r="944" spans="1:37" ht="15.75" customHeight="1" x14ac:dyDescent="0.2">
      <c r="A944" s="1"/>
      <c r="B944" s="2"/>
      <c r="C944" s="1"/>
      <c r="D944" s="1"/>
      <c r="E944" s="48"/>
      <c r="F944" s="48"/>
      <c r="G944" s="2"/>
      <c r="H944" s="48"/>
      <c r="I944" s="2"/>
      <c r="J944" s="2"/>
      <c r="K944" s="2"/>
      <c r="L944" s="2"/>
      <c r="M944" s="2"/>
      <c r="N944" s="2"/>
      <c r="O944" s="1286"/>
      <c r="P944" s="95"/>
      <c r="Q944" s="95"/>
      <c r="AE944" s="95"/>
      <c r="AF944" s="95"/>
      <c r="AG944" s="95"/>
      <c r="AH944" s="2"/>
      <c r="AI944" s="2"/>
      <c r="AJ944" s="2"/>
      <c r="AK944" s="2"/>
    </row>
    <row r="945" spans="1:37" ht="15.75" customHeight="1" x14ac:dyDescent="0.2">
      <c r="A945" s="1"/>
      <c r="B945" s="2"/>
      <c r="C945" s="1"/>
      <c r="D945" s="1"/>
      <c r="E945" s="48"/>
      <c r="F945" s="48"/>
      <c r="G945" s="2"/>
      <c r="H945" s="48"/>
      <c r="I945" s="2"/>
      <c r="J945" s="2"/>
      <c r="K945" s="2"/>
      <c r="L945" s="2"/>
      <c r="M945" s="2"/>
      <c r="N945" s="2"/>
      <c r="O945" s="1286"/>
      <c r="P945" s="95"/>
      <c r="Q945" s="95"/>
      <c r="AE945" s="95"/>
      <c r="AF945" s="95"/>
      <c r="AG945" s="95"/>
      <c r="AH945" s="2"/>
      <c r="AI945" s="2"/>
      <c r="AJ945" s="2"/>
      <c r="AK945" s="2"/>
    </row>
    <row r="946" spans="1:37" ht="15.75" customHeight="1" x14ac:dyDescent="0.2">
      <c r="A946" s="1"/>
      <c r="B946" s="2"/>
      <c r="C946" s="1"/>
      <c r="D946" s="1"/>
      <c r="E946" s="48"/>
      <c r="F946" s="48"/>
      <c r="G946" s="2"/>
      <c r="H946" s="48"/>
      <c r="I946" s="2"/>
      <c r="J946" s="2"/>
      <c r="K946" s="2"/>
      <c r="L946" s="2"/>
      <c r="M946" s="2"/>
      <c r="N946" s="2"/>
      <c r="O946" s="1286"/>
      <c r="P946" s="95"/>
      <c r="Q946" s="95"/>
      <c r="AE946" s="95"/>
      <c r="AF946" s="95"/>
      <c r="AG946" s="95"/>
      <c r="AH946" s="2"/>
      <c r="AI946" s="2"/>
      <c r="AJ946" s="2"/>
      <c r="AK946" s="2"/>
    </row>
    <row r="947" spans="1:37" ht="15.75" customHeight="1" x14ac:dyDescent="0.2">
      <c r="A947" s="1"/>
      <c r="B947" s="2"/>
      <c r="C947" s="1"/>
      <c r="D947" s="1"/>
      <c r="E947" s="48"/>
      <c r="F947" s="48"/>
      <c r="G947" s="2"/>
      <c r="H947" s="48"/>
      <c r="I947" s="2"/>
      <c r="J947" s="2"/>
      <c r="K947" s="2"/>
      <c r="L947" s="2"/>
      <c r="M947" s="2"/>
      <c r="N947" s="2"/>
      <c r="O947" s="1286"/>
      <c r="P947" s="95"/>
      <c r="Q947" s="95"/>
      <c r="AE947" s="95"/>
      <c r="AF947" s="95"/>
      <c r="AG947" s="95"/>
      <c r="AH947" s="2"/>
      <c r="AI947" s="2"/>
      <c r="AJ947" s="2"/>
      <c r="AK947" s="2"/>
    </row>
    <row r="948" spans="1:37" ht="15.75" customHeight="1" x14ac:dyDescent="0.2">
      <c r="A948" s="1"/>
      <c r="B948" s="2"/>
      <c r="C948" s="1"/>
      <c r="D948" s="1"/>
      <c r="E948" s="48"/>
      <c r="F948" s="48"/>
      <c r="G948" s="2"/>
      <c r="H948" s="48"/>
      <c r="I948" s="2"/>
      <c r="J948" s="2"/>
      <c r="K948" s="2"/>
      <c r="L948" s="2"/>
      <c r="M948" s="2"/>
      <c r="N948" s="2"/>
      <c r="O948" s="1286"/>
      <c r="P948" s="95"/>
      <c r="Q948" s="95"/>
      <c r="AE948" s="95"/>
      <c r="AF948" s="95"/>
      <c r="AG948" s="95"/>
      <c r="AH948" s="2"/>
      <c r="AI948" s="2"/>
      <c r="AJ948" s="2"/>
      <c r="AK948" s="2"/>
    </row>
    <row r="949" spans="1:37" ht="15.75" customHeight="1" x14ac:dyDescent="0.2">
      <c r="A949" s="1"/>
      <c r="B949" s="2"/>
      <c r="C949" s="1"/>
      <c r="D949" s="1"/>
      <c r="E949" s="48"/>
      <c r="F949" s="48"/>
      <c r="G949" s="2"/>
      <c r="H949" s="48"/>
      <c r="I949" s="2"/>
      <c r="J949" s="2"/>
      <c r="K949" s="2"/>
      <c r="L949" s="2"/>
      <c r="M949" s="2"/>
      <c r="N949" s="2"/>
      <c r="O949" s="1286"/>
      <c r="P949" s="95"/>
      <c r="Q949" s="95"/>
      <c r="AE949" s="95"/>
      <c r="AF949" s="95"/>
      <c r="AG949" s="95"/>
      <c r="AH949" s="2"/>
      <c r="AI949" s="2"/>
      <c r="AJ949" s="2"/>
      <c r="AK949" s="2"/>
    </row>
    <row r="950" spans="1:37" ht="15.75" customHeight="1" x14ac:dyDescent="0.2">
      <c r="A950" s="1"/>
      <c r="B950" s="2"/>
      <c r="C950" s="1"/>
      <c r="D950" s="1"/>
      <c r="E950" s="48"/>
      <c r="F950" s="48"/>
      <c r="G950" s="2"/>
      <c r="H950" s="48"/>
      <c r="I950" s="2"/>
      <c r="J950" s="2"/>
      <c r="K950" s="2"/>
      <c r="L950" s="2"/>
      <c r="M950" s="2"/>
      <c r="N950" s="2"/>
      <c r="O950" s="1286"/>
      <c r="P950" s="95"/>
      <c r="Q950" s="95"/>
      <c r="AE950" s="95"/>
      <c r="AF950" s="95"/>
      <c r="AG950" s="95"/>
      <c r="AH950" s="2"/>
      <c r="AI950" s="2"/>
      <c r="AJ950" s="2"/>
      <c r="AK950" s="2"/>
    </row>
    <row r="951" spans="1:37" ht="15.75" customHeight="1" x14ac:dyDescent="0.2">
      <c r="A951" s="1"/>
      <c r="B951" s="2"/>
      <c r="C951" s="1"/>
      <c r="D951" s="1"/>
      <c r="E951" s="48"/>
      <c r="F951" s="48"/>
      <c r="G951" s="2"/>
      <c r="H951" s="48"/>
      <c r="I951" s="2"/>
      <c r="J951" s="2"/>
      <c r="K951" s="2"/>
      <c r="L951" s="2"/>
      <c r="M951" s="2"/>
      <c r="N951" s="2"/>
      <c r="O951" s="1286"/>
      <c r="P951" s="95"/>
      <c r="Q951" s="95"/>
      <c r="AE951" s="95"/>
      <c r="AF951" s="95"/>
      <c r="AG951" s="95"/>
      <c r="AH951" s="2"/>
      <c r="AI951" s="2"/>
      <c r="AJ951" s="2"/>
      <c r="AK951" s="2"/>
    </row>
    <row r="952" spans="1:37" ht="15.75" customHeight="1" x14ac:dyDescent="0.2">
      <c r="A952" s="1"/>
      <c r="B952" s="2"/>
      <c r="C952" s="1"/>
      <c r="D952" s="1"/>
      <c r="E952" s="48"/>
      <c r="F952" s="48"/>
      <c r="G952" s="2"/>
      <c r="H952" s="48"/>
      <c r="I952" s="2"/>
      <c r="J952" s="2"/>
      <c r="K952" s="2"/>
      <c r="L952" s="2"/>
      <c r="M952" s="2"/>
      <c r="N952" s="2"/>
      <c r="O952" s="1286"/>
      <c r="P952" s="95"/>
      <c r="Q952" s="95"/>
      <c r="AE952" s="95"/>
      <c r="AF952" s="95"/>
      <c r="AG952" s="95"/>
      <c r="AH952" s="2"/>
      <c r="AI952" s="2"/>
      <c r="AJ952" s="2"/>
      <c r="AK952" s="2"/>
    </row>
    <row r="953" spans="1:37" ht="15.75" customHeight="1" x14ac:dyDescent="0.2">
      <c r="A953" s="1"/>
      <c r="B953" s="2"/>
      <c r="C953" s="1"/>
      <c r="D953" s="1"/>
      <c r="E953" s="48"/>
      <c r="F953" s="48"/>
      <c r="G953" s="2"/>
      <c r="H953" s="48"/>
      <c r="I953" s="2"/>
      <c r="J953" s="2"/>
      <c r="K953" s="2"/>
      <c r="L953" s="2"/>
      <c r="M953" s="2"/>
      <c r="N953" s="2"/>
      <c r="O953" s="1286"/>
      <c r="P953" s="95"/>
      <c r="Q953" s="95"/>
      <c r="AE953" s="95"/>
      <c r="AF953" s="95"/>
      <c r="AG953" s="95"/>
      <c r="AH953" s="2"/>
      <c r="AI953" s="2"/>
      <c r="AJ953" s="2"/>
      <c r="AK953" s="2"/>
    </row>
    <row r="954" spans="1:37" ht="15.75" customHeight="1" x14ac:dyDescent="0.2">
      <c r="A954" s="1"/>
      <c r="B954" s="2"/>
      <c r="C954" s="1"/>
      <c r="D954" s="1"/>
      <c r="E954" s="48"/>
      <c r="F954" s="48"/>
      <c r="G954" s="2"/>
      <c r="H954" s="48"/>
      <c r="I954" s="2"/>
      <c r="J954" s="2"/>
      <c r="K954" s="2"/>
      <c r="L954" s="2"/>
      <c r="M954" s="2"/>
      <c r="N954" s="2"/>
      <c r="O954" s="1286"/>
      <c r="P954" s="95"/>
      <c r="Q954" s="95"/>
      <c r="AE954" s="95"/>
      <c r="AF954" s="95"/>
      <c r="AG954" s="95"/>
      <c r="AH954" s="2"/>
      <c r="AI954" s="2"/>
      <c r="AJ954" s="2"/>
      <c r="AK954" s="2"/>
    </row>
    <row r="955" spans="1:37" ht="15.75" customHeight="1" x14ac:dyDescent="0.2">
      <c r="A955" s="1"/>
      <c r="B955" s="2"/>
      <c r="C955" s="1"/>
      <c r="D955" s="1"/>
      <c r="E955" s="48"/>
      <c r="F955" s="48"/>
      <c r="G955" s="2"/>
      <c r="H955" s="48"/>
      <c r="I955" s="2"/>
      <c r="J955" s="2"/>
      <c r="K955" s="2"/>
      <c r="L955" s="2"/>
      <c r="M955" s="2"/>
      <c r="N955" s="2"/>
      <c r="O955" s="1286"/>
      <c r="P955" s="95"/>
      <c r="Q955" s="95"/>
      <c r="AE955" s="95"/>
      <c r="AF955" s="95"/>
      <c r="AG955" s="95"/>
      <c r="AH955" s="2"/>
      <c r="AI955" s="2"/>
      <c r="AJ955" s="2"/>
      <c r="AK955" s="2"/>
    </row>
    <row r="956" spans="1:37" ht="15.75" customHeight="1" x14ac:dyDescent="0.2">
      <c r="A956" s="1"/>
      <c r="B956" s="2"/>
      <c r="C956" s="1"/>
      <c r="D956" s="1"/>
      <c r="E956" s="48"/>
      <c r="F956" s="48"/>
      <c r="G956" s="2"/>
      <c r="H956" s="48"/>
      <c r="I956" s="2"/>
      <c r="J956" s="2"/>
      <c r="K956" s="2"/>
      <c r="L956" s="2"/>
      <c r="M956" s="2"/>
      <c r="N956" s="2"/>
      <c r="O956" s="1286"/>
      <c r="P956" s="95"/>
      <c r="Q956" s="95"/>
      <c r="AE956" s="95"/>
      <c r="AF956" s="95"/>
      <c r="AG956" s="95"/>
      <c r="AH956" s="2"/>
      <c r="AI956" s="2"/>
      <c r="AJ956" s="2"/>
      <c r="AK956" s="2"/>
    </row>
    <row r="957" spans="1:37" ht="15.75" customHeight="1" x14ac:dyDescent="0.2">
      <c r="A957" s="1"/>
      <c r="B957" s="2"/>
      <c r="C957" s="1"/>
      <c r="D957" s="1"/>
      <c r="E957" s="48"/>
      <c r="F957" s="48"/>
      <c r="G957" s="2"/>
      <c r="H957" s="48"/>
      <c r="I957" s="2"/>
      <c r="J957" s="2"/>
      <c r="K957" s="2"/>
      <c r="L957" s="2"/>
      <c r="M957" s="2"/>
      <c r="N957" s="2"/>
      <c r="O957" s="1286"/>
      <c r="P957" s="95"/>
      <c r="Q957" s="95"/>
      <c r="AE957" s="95"/>
      <c r="AF957" s="95"/>
      <c r="AG957" s="95"/>
      <c r="AH957" s="2"/>
      <c r="AI957" s="2"/>
      <c r="AJ957" s="2"/>
      <c r="AK957" s="2"/>
    </row>
    <row r="958" spans="1:37" ht="15.75" customHeight="1" x14ac:dyDescent="0.2">
      <c r="A958" s="1"/>
      <c r="B958" s="2"/>
      <c r="C958" s="1"/>
      <c r="D958" s="1"/>
      <c r="E958" s="48"/>
      <c r="F958" s="48"/>
      <c r="G958" s="2"/>
      <c r="H958" s="48"/>
      <c r="I958" s="2"/>
      <c r="J958" s="2"/>
      <c r="K958" s="2"/>
      <c r="L958" s="2"/>
      <c r="M958" s="2"/>
      <c r="N958" s="2"/>
      <c r="O958" s="1286"/>
      <c r="P958" s="95"/>
      <c r="Q958" s="95"/>
      <c r="AE958" s="95"/>
      <c r="AF958" s="95"/>
      <c r="AG958" s="95"/>
      <c r="AH958" s="2"/>
      <c r="AI958" s="2"/>
      <c r="AJ958" s="2"/>
      <c r="AK958" s="2"/>
    </row>
    <row r="959" spans="1:37" ht="15.75" customHeight="1" x14ac:dyDescent="0.2">
      <c r="A959" s="1"/>
      <c r="B959" s="2"/>
      <c r="C959" s="1"/>
      <c r="D959" s="1"/>
      <c r="E959" s="48"/>
      <c r="F959" s="48"/>
      <c r="G959" s="2"/>
      <c r="H959" s="48"/>
      <c r="I959" s="2"/>
      <c r="J959" s="2"/>
      <c r="K959" s="2"/>
      <c r="L959" s="2"/>
      <c r="M959" s="2"/>
      <c r="N959" s="2"/>
      <c r="O959" s="1286"/>
      <c r="P959" s="95"/>
      <c r="Q959" s="95"/>
      <c r="AE959" s="95"/>
      <c r="AF959" s="95"/>
      <c r="AG959" s="95"/>
      <c r="AH959" s="2"/>
      <c r="AI959" s="2"/>
      <c r="AJ959" s="2"/>
      <c r="AK959" s="2"/>
    </row>
    <row r="960" spans="1:37" ht="15.75" customHeight="1" x14ac:dyDescent="0.2">
      <c r="A960" s="1"/>
      <c r="B960" s="2"/>
      <c r="C960" s="1"/>
      <c r="D960" s="1"/>
      <c r="E960" s="48"/>
      <c r="F960" s="48"/>
      <c r="G960" s="2"/>
      <c r="H960" s="48"/>
      <c r="I960" s="2"/>
      <c r="J960" s="2"/>
      <c r="K960" s="2"/>
      <c r="L960" s="2"/>
      <c r="M960" s="2"/>
      <c r="N960" s="2"/>
      <c r="O960" s="1286"/>
      <c r="P960" s="95"/>
      <c r="Q960" s="95"/>
      <c r="AE960" s="95"/>
      <c r="AF960" s="95"/>
      <c r="AG960" s="95"/>
      <c r="AH960" s="2"/>
      <c r="AI960" s="2"/>
      <c r="AJ960" s="2"/>
      <c r="AK960" s="2"/>
    </row>
    <row r="961" spans="1:37" ht="15.75" customHeight="1" x14ac:dyDescent="0.2">
      <c r="A961" s="1"/>
      <c r="B961" s="2"/>
      <c r="C961" s="1"/>
      <c r="D961" s="1"/>
      <c r="E961" s="48"/>
      <c r="F961" s="48"/>
      <c r="G961" s="2"/>
      <c r="H961" s="48"/>
      <c r="I961" s="2"/>
      <c r="J961" s="2"/>
      <c r="K961" s="2"/>
      <c r="L961" s="2"/>
      <c r="M961" s="2"/>
      <c r="N961" s="2"/>
      <c r="O961" s="1286"/>
      <c r="P961" s="95"/>
      <c r="Q961" s="95"/>
      <c r="AE961" s="95"/>
      <c r="AF961" s="95"/>
      <c r="AG961" s="95"/>
      <c r="AH961" s="2"/>
      <c r="AI961" s="2"/>
      <c r="AJ961" s="2"/>
      <c r="AK961" s="2"/>
    </row>
    <row r="962" spans="1:37" ht="15.75" customHeight="1" x14ac:dyDescent="0.2">
      <c r="A962" s="1"/>
      <c r="B962" s="2"/>
      <c r="C962" s="1"/>
      <c r="D962" s="1"/>
      <c r="E962" s="48"/>
      <c r="F962" s="48"/>
      <c r="G962" s="2"/>
      <c r="H962" s="48"/>
      <c r="I962" s="2"/>
      <c r="J962" s="2"/>
      <c r="K962" s="2"/>
      <c r="L962" s="2"/>
      <c r="M962" s="2"/>
      <c r="N962" s="2"/>
      <c r="O962" s="1286"/>
      <c r="P962" s="95"/>
      <c r="Q962" s="95"/>
      <c r="AE962" s="95"/>
      <c r="AF962" s="95"/>
      <c r="AG962" s="95"/>
      <c r="AH962" s="2"/>
      <c r="AI962" s="2"/>
      <c r="AJ962" s="2"/>
      <c r="AK962" s="2"/>
    </row>
    <row r="963" spans="1:37" ht="15.75" customHeight="1" x14ac:dyDescent="0.2">
      <c r="A963" s="1"/>
      <c r="B963" s="2"/>
      <c r="C963" s="1"/>
      <c r="D963" s="1"/>
      <c r="E963" s="48"/>
      <c r="F963" s="48"/>
      <c r="G963" s="2"/>
      <c r="H963" s="48"/>
      <c r="I963" s="2"/>
      <c r="J963" s="2"/>
      <c r="K963" s="2"/>
      <c r="L963" s="2"/>
      <c r="M963" s="2"/>
      <c r="N963" s="2"/>
      <c r="O963" s="1286"/>
      <c r="P963" s="95"/>
      <c r="Q963" s="95"/>
      <c r="AE963" s="95"/>
      <c r="AF963" s="95"/>
      <c r="AG963" s="95"/>
      <c r="AH963" s="2"/>
      <c r="AI963" s="2"/>
      <c r="AJ963" s="2"/>
      <c r="AK963" s="2"/>
    </row>
    <row r="964" spans="1:37" ht="15.75" customHeight="1" x14ac:dyDescent="0.2">
      <c r="A964" s="1"/>
      <c r="B964" s="2"/>
      <c r="C964" s="1"/>
      <c r="D964" s="1"/>
      <c r="E964" s="48"/>
      <c r="F964" s="48"/>
      <c r="G964" s="2"/>
      <c r="H964" s="48"/>
      <c r="I964" s="2"/>
      <c r="J964" s="2"/>
      <c r="K964" s="2"/>
      <c r="L964" s="2"/>
      <c r="M964" s="2"/>
      <c r="N964" s="2"/>
      <c r="O964" s="1286"/>
      <c r="P964" s="95"/>
      <c r="Q964" s="95"/>
      <c r="AE964" s="95"/>
      <c r="AF964" s="95"/>
      <c r="AG964" s="95"/>
      <c r="AH964" s="2"/>
      <c r="AI964" s="2"/>
      <c r="AJ964" s="2"/>
      <c r="AK964" s="2"/>
    </row>
    <row r="965" spans="1:37" ht="15.75" customHeight="1" x14ac:dyDescent="0.2">
      <c r="A965" s="1"/>
      <c r="B965" s="2"/>
      <c r="C965" s="1"/>
      <c r="D965" s="1"/>
      <c r="E965" s="48"/>
      <c r="F965" s="48"/>
      <c r="G965" s="2"/>
      <c r="H965" s="48"/>
      <c r="I965" s="2"/>
      <c r="J965" s="2"/>
      <c r="K965" s="2"/>
      <c r="L965" s="2"/>
      <c r="M965" s="2"/>
      <c r="N965" s="2"/>
      <c r="O965" s="1286"/>
      <c r="P965" s="95"/>
      <c r="Q965" s="95"/>
      <c r="AE965" s="95"/>
      <c r="AF965" s="95"/>
      <c r="AG965" s="95"/>
      <c r="AH965" s="2"/>
      <c r="AI965" s="2"/>
      <c r="AJ965" s="2"/>
      <c r="AK965" s="2"/>
    </row>
    <row r="966" spans="1:37" ht="15.75" customHeight="1" x14ac:dyDescent="0.2">
      <c r="A966" s="1"/>
      <c r="B966" s="2"/>
      <c r="C966" s="1"/>
      <c r="D966" s="1"/>
      <c r="E966" s="48"/>
      <c r="F966" s="48"/>
      <c r="G966" s="2"/>
      <c r="H966" s="48"/>
      <c r="I966" s="2"/>
      <c r="J966" s="2"/>
      <c r="K966" s="2"/>
      <c r="L966" s="2"/>
      <c r="M966" s="2"/>
      <c r="N966" s="2"/>
      <c r="O966" s="1286"/>
      <c r="P966" s="95"/>
      <c r="Q966" s="95"/>
      <c r="AE966" s="95"/>
      <c r="AF966" s="95"/>
      <c r="AG966" s="95"/>
      <c r="AH966" s="2"/>
      <c r="AI966" s="2"/>
      <c r="AJ966" s="2"/>
      <c r="AK966" s="2"/>
    </row>
    <row r="967" spans="1:37" ht="15.75" customHeight="1" x14ac:dyDescent="0.2">
      <c r="A967" s="1"/>
      <c r="B967" s="2"/>
      <c r="C967" s="1"/>
      <c r="D967" s="1"/>
      <c r="E967" s="48"/>
      <c r="F967" s="48"/>
      <c r="G967" s="2"/>
      <c r="H967" s="48"/>
      <c r="I967" s="2"/>
      <c r="J967" s="2"/>
      <c r="K967" s="2"/>
      <c r="L967" s="2"/>
      <c r="M967" s="2"/>
      <c r="N967" s="2"/>
      <c r="O967" s="1286"/>
      <c r="P967" s="95"/>
      <c r="Q967" s="95"/>
      <c r="AE967" s="95"/>
      <c r="AF967" s="95"/>
      <c r="AG967" s="95"/>
      <c r="AH967" s="2"/>
      <c r="AI967" s="2"/>
      <c r="AJ967" s="2"/>
      <c r="AK967" s="2"/>
    </row>
    <row r="968" spans="1:37" ht="15.75" customHeight="1" x14ac:dyDescent="0.2">
      <c r="A968" s="1"/>
      <c r="B968" s="2"/>
      <c r="C968" s="1"/>
      <c r="D968" s="1"/>
      <c r="E968" s="48"/>
      <c r="F968" s="48"/>
      <c r="G968" s="2"/>
      <c r="H968" s="48"/>
      <c r="I968" s="2"/>
      <c r="J968" s="2"/>
      <c r="K968" s="2"/>
      <c r="L968" s="2"/>
      <c r="M968" s="2"/>
      <c r="N968" s="2"/>
      <c r="O968" s="1286"/>
      <c r="P968" s="95"/>
      <c r="Q968" s="95"/>
      <c r="AE968" s="95"/>
      <c r="AF968" s="95"/>
      <c r="AG968" s="95"/>
      <c r="AH968" s="2"/>
      <c r="AI968" s="2"/>
      <c r="AJ968" s="2"/>
      <c r="AK968" s="2"/>
    </row>
    <row r="969" spans="1:37" ht="15.75" customHeight="1" x14ac:dyDescent="0.2">
      <c r="A969" s="1"/>
      <c r="B969" s="2"/>
      <c r="C969" s="1"/>
      <c r="D969" s="1"/>
      <c r="E969" s="48"/>
      <c r="F969" s="48"/>
      <c r="G969" s="2"/>
      <c r="H969" s="48"/>
      <c r="I969" s="2"/>
      <c r="J969" s="2"/>
      <c r="K969" s="2"/>
      <c r="L969" s="2"/>
      <c r="M969" s="2"/>
      <c r="N969" s="2"/>
      <c r="O969" s="1286"/>
      <c r="P969" s="95"/>
      <c r="Q969" s="95"/>
      <c r="AE969" s="95"/>
      <c r="AF969" s="95"/>
      <c r="AG969" s="95"/>
      <c r="AH969" s="2"/>
      <c r="AI969" s="2"/>
      <c r="AJ969" s="2"/>
      <c r="AK969" s="2"/>
    </row>
    <row r="970" spans="1:37" ht="15.75" customHeight="1" x14ac:dyDescent="0.2">
      <c r="A970" s="1"/>
      <c r="B970" s="2"/>
      <c r="C970" s="1"/>
      <c r="D970" s="1"/>
      <c r="E970" s="48"/>
      <c r="F970" s="48"/>
      <c r="G970" s="2"/>
      <c r="H970" s="48"/>
      <c r="I970" s="2"/>
      <c r="J970" s="2"/>
      <c r="K970" s="2"/>
      <c r="L970" s="2"/>
      <c r="M970" s="2"/>
      <c r="N970" s="2"/>
      <c r="O970" s="1286"/>
      <c r="P970" s="95"/>
      <c r="Q970" s="95"/>
      <c r="AE970" s="95"/>
      <c r="AF970" s="95"/>
      <c r="AG970" s="95"/>
      <c r="AH970" s="2"/>
      <c r="AI970" s="2"/>
      <c r="AJ970" s="2"/>
      <c r="AK970" s="2"/>
    </row>
    <row r="971" spans="1:37" ht="15.75" customHeight="1" x14ac:dyDescent="0.2">
      <c r="A971" s="1"/>
      <c r="B971" s="2"/>
      <c r="C971" s="1"/>
      <c r="D971" s="1"/>
      <c r="E971" s="48"/>
      <c r="F971" s="48"/>
      <c r="G971" s="2"/>
      <c r="H971" s="48"/>
      <c r="I971" s="2"/>
      <c r="J971" s="2"/>
      <c r="K971" s="2"/>
      <c r="L971" s="2"/>
      <c r="M971" s="2"/>
      <c r="N971" s="2"/>
      <c r="O971" s="1286"/>
      <c r="P971" s="95"/>
      <c r="Q971" s="95"/>
      <c r="AE971" s="95"/>
      <c r="AF971" s="95"/>
      <c r="AG971" s="95"/>
      <c r="AH971" s="2"/>
      <c r="AI971" s="2"/>
      <c r="AJ971" s="2"/>
      <c r="AK971" s="2"/>
    </row>
    <row r="972" spans="1:37" ht="15.75" customHeight="1" x14ac:dyDescent="0.2">
      <c r="A972" s="1"/>
      <c r="B972" s="2"/>
      <c r="C972" s="1"/>
      <c r="D972" s="1"/>
      <c r="E972" s="48"/>
      <c r="F972" s="48"/>
      <c r="G972" s="2"/>
      <c r="H972" s="48"/>
      <c r="I972" s="2"/>
      <c r="J972" s="2"/>
      <c r="K972" s="2"/>
      <c r="L972" s="2"/>
      <c r="M972" s="2"/>
      <c r="N972" s="2"/>
      <c r="O972" s="1286"/>
      <c r="P972" s="95"/>
      <c r="Q972" s="95"/>
      <c r="AE972" s="95"/>
      <c r="AF972" s="95"/>
      <c r="AG972" s="95"/>
      <c r="AH972" s="2"/>
      <c r="AI972" s="2"/>
      <c r="AJ972" s="2"/>
      <c r="AK972" s="2"/>
    </row>
    <row r="973" spans="1:37" ht="15.75" customHeight="1" x14ac:dyDescent="0.2">
      <c r="A973" s="1"/>
      <c r="B973" s="2"/>
      <c r="C973" s="1"/>
      <c r="D973" s="1"/>
      <c r="E973" s="48"/>
      <c r="F973" s="48"/>
      <c r="G973" s="2"/>
      <c r="H973" s="48"/>
      <c r="I973" s="2"/>
      <c r="J973" s="2"/>
      <c r="K973" s="2"/>
      <c r="L973" s="2"/>
      <c r="M973" s="2"/>
      <c r="N973" s="2"/>
      <c r="O973" s="1286"/>
      <c r="P973" s="95"/>
      <c r="Q973" s="95"/>
      <c r="AE973" s="95"/>
      <c r="AF973" s="95"/>
      <c r="AG973" s="95"/>
      <c r="AH973" s="2"/>
      <c r="AI973" s="2"/>
      <c r="AJ973" s="2"/>
      <c r="AK973" s="2"/>
    </row>
    <row r="974" spans="1:37" ht="15.75" customHeight="1" x14ac:dyDescent="0.2">
      <c r="A974" s="1"/>
      <c r="B974" s="2"/>
      <c r="C974" s="1"/>
      <c r="D974" s="1"/>
      <c r="E974" s="48"/>
      <c r="F974" s="48"/>
      <c r="G974" s="2"/>
      <c r="H974" s="48"/>
      <c r="I974" s="2"/>
      <c r="J974" s="2"/>
      <c r="K974" s="2"/>
      <c r="L974" s="2"/>
      <c r="M974" s="2"/>
      <c r="N974" s="2"/>
      <c r="O974" s="1286"/>
      <c r="P974" s="95"/>
      <c r="Q974" s="95"/>
      <c r="AE974" s="95"/>
      <c r="AF974" s="95"/>
      <c r="AG974" s="95"/>
      <c r="AH974" s="2"/>
      <c r="AI974" s="2"/>
      <c r="AJ974" s="2"/>
      <c r="AK974" s="2"/>
    </row>
    <row r="975" spans="1:37" ht="15.75" customHeight="1" x14ac:dyDescent="0.2">
      <c r="A975" s="1"/>
      <c r="B975" s="2"/>
      <c r="C975" s="1"/>
      <c r="D975" s="1"/>
      <c r="E975" s="48"/>
      <c r="F975" s="48"/>
      <c r="G975" s="2"/>
      <c r="H975" s="48"/>
      <c r="I975" s="2"/>
      <c r="J975" s="2"/>
      <c r="K975" s="2"/>
      <c r="L975" s="2"/>
      <c r="M975" s="2"/>
      <c r="N975" s="2"/>
      <c r="O975" s="1286"/>
      <c r="P975" s="95"/>
      <c r="Q975" s="95"/>
      <c r="AE975" s="95"/>
      <c r="AF975" s="95"/>
      <c r="AG975" s="95"/>
      <c r="AH975" s="2"/>
      <c r="AI975" s="2"/>
      <c r="AJ975" s="2"/>
      <c r="AK975" s="2"/>
    </row>
    <row r="976" spans="1:37" ht="15.75" customHeight="1" x14ac:dyDescent="0.2">
      <c r="A976" s="1"/>
      <c r="B976" s="2"/>
      <c r="C976" s="1"/>
      <c r="D976" s="1"/>
      <c r="E976" s="48"/>
      <c r="F976" s="48"/>
      <c r="G976" s="2"/>
      <c r="H976" s="48"/>
      <c r="I976" s="2"/>
      <c r="J976" s="2"/>
      <c r="K976" s="2"/>
      <c r="L976" s="2"/>
      <c r="M976" s="2"/>
      <c r="N976" s="2"/>
      <c r="O976" s="1286"/>
      <c r="P976" s="95"/>
      <c r="Q976" s="95"/>
      <c r="AE976" s="95"/>
      <c r="AF976" s="95"/>
      <c r="AG976" s="95"/>
      <c r="AH976" s="2"/>
      <c r="AI976" s="2"/>
      <c r="AJ976" s="2"/>
      <c r="AK976" s="2"/>
    </row>
    <row r="977" spans="1:37" ht="15.75" customHeight="1" x14ac:dyDescent="0.2">
      <c r="A977" s="1"/>
      <c r="B977" s="2"/>
      <c r="C977" s="1"/>
      <c r="D977" s="1"/>
      <c r="E977" s="48"/>
      <c r="F977" s="48"/>
      <c r="G977" s="2"/>
      <c r="H977" s="48"/>
      <c r="I977" s="2"/>
      <c r="J977" s="2"/>
      <c r="K977" s="2"/>
      <c r="L977" s="2"/>
      <c r="M977" s="2"/>
      <c r="N977" s="2"/>
      <c r="O977" s="1286"/>
      <c r="P977" s="95"/>
      <c r="Q977" s="95"/>
      <c r="AE977" s="95"/>
      <c r="AF977" s="95"/>
      <c r="AG977" s="95"/>
      <c r="AH977" s="2"/>
      <c r="AI977" s="2"/>
      <c r="AJ977" s="2"/>
      <c r="AK977" s="2"/>
    </row>
    <row r="978" spans="1:37" ht="15.75" customHeight="1" x14ac:dyDescent="0.2">
      <c r="A978" s="1"/>
      <c r="B978" s="2"/>
      <c r="C978" s="1"/>
      <c r="D978" s="1"/>
      <c r="E978" s="48"/>
      <c r="F978" s="48"/>
      <c r="G978" s="2"/>
      <c r="H978" s="48"/>
      <c r="I978" s="2"/>
      <c r="J978" s="2"/>
      <c r="K978" s="2"/>
      <c r="L978" s="2"/>
      <c r="M978" s="2"/>
      <c r="N978" s="2"/>
      <c r="O978" s="1286"/>
      <c r="P978" s="95"/>
      <c r="Q978" s="95"/>
      <c r="AE978" s="95"/>
      <c r="AF978" s="95"/>
      <c r="AG978" s="95"/>
      <c r="AH978" s="2"/>
      <c r="AI978" s="2"/>
      <c r="AJ978" s="2"/>
      <c r="AK978" s="2"/>
    </row>
    <row r="979" spans="1:37" ht="15.75" customHeight="1" x14ac:dyDescent="0.2">
      <c r="A979" s="1"/>
      <c r="B979" s="2"/>
      <c r="C979" s="1"/>
      <c r="D979" s="1"/>
      <c r="E979" s="48"/>
      <c r="F979" s="48"/>
      <c r="G979" s="2"/>
      <c r="H979" s="48"/>
      <c r="I979" s="2"/>
      <c r="J979" s="2"/>
      <c r="K979" s="2"/>
      <c r="L979" s="2"/>
      <c r="M979" s="2"/>
      <c r="N979" s="2"/>
      <c r="O979" s="1286"/>
      <c r="P979" s="95"/>
      <c r="Q979" s="95"/>
      <c r="AE979" s="95"/>
      <c r="AF979" s="95"/>
      <c r="AG979" s="95"/>
      <c r="AH979" s="2"/>
      <c r="AI979" s="2"/>
      <c r="AJ979" s="2"/>
      <c r="AK979" s="2"/>
    </row>
    <row r="980" spans="1:37" ht="15.75" customHeight="1" x14ac:dyDescent="0.2">
      <c r="A980" s="1"/>
      <c r="B980" s="2"/>
      <c r="C980" s="1"/>
      <c r="D980" s="1"/>
      <c r="E980" s="48"/>
      <c r="F980" s="48"/>
      <c r="G980" s="2"/>
      <c r="H980" s="48"/>
      <c r="I980" s="2"/>
      <c r="J980" s="2"/>
      <c r="K980" s="2"/>
      <c r="L980" s="2"/>
      <c r="M980" s="2"/>
      <c r="N980" s="2"/>
      <c r="O980" s="1286"/>
      <c r="P980" s="95"/>
      <c r="Q980" s="95"/>
      <c r="AE980" s="95"/>
      <c r="AF980" s="95"/>
      <c r="AG980" s="95"/>
      <c r="AH980" s="2"/>
      <c r="AI980" s="2"/>
      <c r="AJ980" s="2"/>
      <c r="AK980" s="2"/>
    </row>
    <row r="981" spans="1:37" ht="15.75" customHeight="1" x14ac:dyDescent="0.2">
      <c r="A981" s="1"/>
      <c r="B981" s="2"/>
      <c r="C981" s="1"/>
      <c r="D981" s="1"/>
      <c r="E981" s="48"/>
      <c r="F981" s="48"/>
      <c r="G981" s="2"/>
      <c r="H981" s="48"/>
      <c r="I981" s="2"/>
      <c r="J981" s="2"/>
      <c r="K981" s="2"/>
      <c r="L981" s="2"/>
      <c r="M981" s="2"/>
      <c r="N981" s="2"/>
      <c r="O981" s="1286"/>
      <c r="P981" s="95"/>
      <c r="Q981" s="95"/>
      <c r="AE981" s="95"/>
      <c r="AF981" s="95"/>
      <c r="AG981" s="95"/>
      <c r="AH981" s="2"/>
      <c r="AI981" s="2"/>
      <c r="AJ981" s="2"/>
      <c r="AK981" s="2"/>
    </row>
    <row r="982" spans="1:37" ht="15.75" customHeight="1" x14ac:dyDescent="0.2">
      <c r="A982" s="1"/>
      <c r="B982" s="2"/>
      <c r="C982" s="1"/>
      <c r="D982" s="1"/>
      <c r="E982" s="48"/>
      <c r="F982" s="48"/>
      <c r="G982" s="2"/>
      <c r="H982" s="48"/>
      <c r="I982" s="2"/>
      <c r="J982" s="2"/>
      <c r="K982" s="2"/>
      <c r="L982" s="2"/>
      <c r="M982" s="2"/>
      <c r="N982" s="2"/>
      <c r="O982" s="1286"/>
      <c r="P982" s="95"/>
      <c r="Q982" s="95"/>
      <c r="AE982" s="95"/>
      <c r="AF982" s="95"/>
      <c r="AG982" s="95"/>
      <c r="AH982" s="2"/>
      <c r="AI982" s="2"/>
      <c r="AJ982" s="2"/>
      <c r="AK982" s="2"/>
    </row>
    <row r="983" spans="1:37" ht="15.75" customHeight="1" x14ac:dyDescent="0.2">
      <c r="A983" s="1"/>
      <c r="B983" s="2"/>
      <c r="C983" s="1"/>
      <c r="D983" s="1"/>
      <c r="E983" s="48"/>
      <c r="F983" s="48"/>
      <c r="G983" s="2"/>
      <c r="H983" s="48"/>
      <c r="I983" s="2"/>
      <c r="J983" s="2"/>
      <c r="K983" s="2"/>
      <c r="L983" s="2"/>
      <c r="M983" s="2"/>
      <c r="N983" s="2"/>
      <c r="O983" s="1286"/>
      <c r="P983" s="95"/>
      <c r="Q983" s="95"/>
      <c r="AE983" s="95"/>
      <c r="AF983" s="95"/>
      <c r="AG983" s="95"/>
      <c r="AH983" s="2"/>
      <c r="AI983" s="2"/>
      <c r="AJ983" s="2"/>
      <c r="AK983" s="2"/>
    </row>
    <row r="984" spans="1:37" ht="15.75" customHeight="1" x14ac:dyDescent="0.2">
      <c r="A984" s="1"/>
      <c r="B984" s="2"/>
      <c r="C984" s="1"/>
      <c r="D984" s="1"/>
      <c r="E984" s="48"/>
      <c r="F984" s="48"/>
      <c r="G984" s="2"/>
      <c r="H984" s="48"/>
      <c r="I984" s="2"/>
      <c r="J984" s="2"/>
      <c r="K984" s="2"/>
      <c r="L984" s="2"/>
      <c r="M984" s="2"/>
      <c r="N984" s="2"/>
      <c r="O984" s="1286"/>
      <c r="P984" s="95"/>
      <c r="Q984" s="95"/>
      <c r="AE984" s="95"/>
      <c r="AF984" s="95"/>
      <c r="AG984" s="95"/>
      <c r="AH984" s="2"/>
      <c r="AI984" s="2"/>
      <c r="AJ984" s="2"/>
      <c r="AK984" s="2"/>
    </row>
    <row r="985" spans="1:37" ht="15.75" customHeight="1" x14ac:dyDescent="0.2">
      <c r="A985" s="1"/>
      <c r="B985" s="2"/>
      <c r="C985" s="1"/>
      <c r="D985" s="1"/>
      <c r="E985" s="48"/>
      <c r="F985" s="48"/>
      <c r="G985" s="2"/>
      <c r="H985" s="48"/>
      <c r="I985" s="2"/>
      <c r="J985" s="2"/>
      <c r="K985" s="2"/>
      <c r="L985" s="2"/>
      <c r="M985" s="2"/>
      <c r="N985" s="2"/>
      <c r="O985" s="1286"/>
      <c r="P985" s="95"/>
      <c r="Q985" s="95"/>
      <c r="AE985" s="95"/>
      <c r="AF985" s="95"/>
      <c r="AG985" s="95"/>
      <c r="AH985" s="2"/>
      <c r="AI985" s="2"/>
      <c r="AJ985" s="2"/>
      <c r="AK985" s="2"/>
    </row>
    <row r="986" spans="1:37" ht="15.75" customHeight="1" x14ac:dyDescent="0.2">
      <c r="A986" s="1"/>
      <c r="B986" s="2"/>
      <c r="C986" s="1"/>
      <c r="D986" s="1"/>
      <c r="E986" s="48"/>
      <c r="F986" s="48"/>
      <c r="G986" s="2"/>
      <c r="H986" s="48"/>
      <c r="I986" s="2"/>
      <c r="J986" s="2"/>
      <c r="K986" s="2"/>
      <c r="L986" s="2"/>
      <c r="M986" s="2"/>
      <c r="N986" s="2"/>
      <c r="O986" s="1286"/>
      <c r="P986" s="95"/>
      <c r="Q986" s="95"/>
      <c r="AE986" s="95"/>
      <c r="AF986" s="95"/>
      <c r="AG986" s="95"/>
      <c r="AH986" s="2"/>
      <c r="AI986" s="2"/>
      <c r="AJ986" s="2"/>
      <c r="AK986" s="2"/>
    </row>
    <row r="987" spans="1:37" ht="15.75" customHeight="1" x14ac:dyDescent="0.2">
      <c r="A987" s="1"/>
      <c r="B987" s="2"/>
      <c r="C987" s="1"/>
      <c r="D987" s="1"/>
      <c r="E987" s="48"/>
      <c r="F987" s="48"/>
      <c r="G987" s="2"/>
      <c r="H987" s="48"/>
      <c r="I987" s="2"/>
      <c r="J987" s="2"/>
      <c r="K987" s="2"/>
      <c r="L987" s="2"/>
      <c r="M987" s="2"/>
      <c r="N987" s="2"/>
      <c r="O987" s="1286"/>
      <c r="P987" s="95"/>
      <c r="Q987" s="95"/>
      <c r="AE987" s="95"/>
      <c r="AF987" s="95"/>
      <c r="AG987" s="95"/>
      <c r="AH987" s="2"/>
      <c r="AI987" s="2"/>
      <c r="AJ987" s="2"/>
      <c r="AK987" s="2"/>
    </row>
    <row r="988" spans="1:37" ht="15.75" customHeight="1" x14ac:dyDescent="0.2">
      <c r="A988" s="1"/>
      <c r="B988" s="2"/>
      <c r="C988" s="1"/>
      <c r="D988" s="1"/>
      <c r="E988" s="48"/>
      <c r="F988" s="48"/>
      <c r="G988" s="2"/>
      <c r="H988" s="48"/>
      <c r="I988" s="2"/>
      <c r="J988" s="2"/>
      <c r="K988" s="2"/>
      <c r="L988" s="2"/>
      <c r="M988" s="2"/>
      <c r="N988" s="2"/>
      <c r="O988" s="1286"/>
      <c r="P988" s="95"/>
      <c r="Q988" s="95"/>
      <c r="AE988" s="95"/>
      <c r="AF988" s="95"/>
      <c r="AG988" s="95"/>
      <c r="AH988" s="2"/>
      <c r="AI988" s="2"/>
      <c r="AJ988" s="2"/>
      <c r="AK988" s="2"/>
    </row>
    <row r="989" spans="1:37" ht="15.75" customHeight="1" x14ac:dyDescent="0.2">
      <c r="A989" s="1"/>
      <c r="B989" s="2"/>
      <c r="C989" s="1"/>
      <c r="D989" s="1"/>
      <c r="E989" s="48"/>
      <c r="F989" s="48"/>
      <c r="G989" s="2"/>
      <c r="H989" s="48"/>
      <c r="I989" s="2"/>
      <c r="J989" s="2"/>
      <c r="K989" s="2"/>
      <c r="L989" s="2"/>
      <c r="M989" s="2"/>
      <c r="N989" s="2"/>
      <c r="O989" s="1286"/>
      <c r="P989" s="95"/>
      <c r="Q989" s="95"/>
      <c r="AE989" s="95"/>
      <c r="AF989" s="95"/>
      <c r="AG989" s="95"/>
      <c r="AH989" s="2"/>
      <c r="AI989" s="2"/>
      <c r="AJ989" s="2"/>
      <c r="AK989" s="2"/>
    </row>
    <row r="990" spans="1:37" ht="15.75" customHeight="1" x14ac:dyDescent="0.2">
      <c r="A990" s="1"/>
      <c r="B990" s="2"/>
      <c r="C990" s="1"/>
      <c r="D990" s="1"/>
      <c r="E990" s="48"/>
      <c r="F990" s="48"/>
      <c r="G990" s="2"/>
      <c r="H990" s="48"/>
      <c r="I990" s="2"/>
      <c r="J990" s="2"/>
      <c r="K990" s="2"/>
      <c r="L990" s="2"/>
      <c r="M990" s="2"/>
      <c r="N990" s="2"/>
      <c r="O990" s="1286"/>
      <c r="P990" s="95"/>
      <c r="Q990" s="95"/>
      <c r="AE990" s="95"/>
      <c r="AF990" s="95"/>
      <c r="AG990" s="95"/>
      <c r="AH990" s="2"/>
      <c r="AI990" s="2"/>
      <c r="AJ990" s="2"/>
      <c r="AK990" s="2"/>
    </row>
    <row r="991" spans="1:37" ht="15.75" customHeight="1" x14ac:dyDescent="0.2">
      <c r="A991" s="1"/>
      <c r="B991" s="2"/>
      <c r="C991" s="1"/>
      <c r="D991" s="1"/>
      <c r="E991" s="48"/>
      <c r="F991" s="48"/>
      <c r="G991" s="2"/>
      <c r="H991" s="48"/>
      <c r="I991" s="2"/>
      <c r="J991" s="2"/>
      <c r="K991" s="2"/>
      <c r="L991" s="2"/>
      <c r="M991" s="2"/>
      <c r="N991" s="2"/>
      <c r="O991" s="1286"/>
      <c r="P991" s="95"/>
      <c r="Q991" s="95"/>
      <c r="AE991" s="95"/>
      <c r="AF991" s="95"/>
      <c r="AG991" s="95"/>
      <c r="AH991" s="2"/>
      <c r="AI991" s="2"/>
      <c r="AJ991" s="2"/>
      <c r="AK991" s="2"/>
    </row>
    <row r="992" spans="1:37" ht="15.75" customHeight="1" x14ac:dyDescent="0.2">
      <c r="A992" s="1"/>
      <c r="B992" s="2"/>
      <c r="C992" s="1"/>
      <c r="D992" s="1"/>
      <c r="E992" s="48"/>
      <c r="F992" s="48"/>
      <c r="G992" s="2"/>
      <c r="H992" s="48"/>
      <c r="I992" s="2"/>
      <c r="J992" s="2"/>
      <c r="K992" s="2"/>
      <c r="L992" s="2"/>
      <c r="M992" s="2"/>
      <c r="N992" s="2"/>
      <c r="O992" s="1286"/>
      <c r="P992" s="95"/>
      <c r="Q992" s="95"/>
      <c r="AE992" s="95"/>
      <c r="AF992" s="95"/>
      <c r="AG992" s="95"/>
      <c r="AH992" s="2"/>
      <c r="AI992" s="2"/>
      <c r="AJ992" s="2"/>
      <c r="AK992" s="2"/>
    </row>
    <row r="993" spans="1:37" ht="15.75" customHeight="1" x14ac:dyDescent="0.2">
      <c r="A993" s="1"/>
      <c r="B993" s="2"/>
      <c r="C993" s="1"/>
      <c r="D993" s="1"/>
      <c r="E993" s="48"/>
      <c r="F993" s="48"/>
      <c r="G993" s="2"/>
      <c r="H993" s="48"/>
      <c r="I993" s="2"/>
      <c r="J993" s="2"/>
      <c r="K993" s="2"/>
      <c r="L993" s="2"/>
      <c r="M993" s="2"/>
      <c r="N993" s="2"/>
      <c r="O993" s="1286"/>
      <c r="P993" s="95"/>
      <c r="Q993" s="95"/>
      <c r="AE993" s="95"/>
      <c r="AF993" s="95"/>
      <c r="AG993" s="95"/>
      <c r="AH993" s="2"/>
      <c r="AI993" s="2"/>
      <c r="AJ993" s="2"/>
      <c r="AK993" s="2"/>
    </row>
    <row r="994" spans="1:37" ht="15.75" customHeight="1" x14ac:dyDescent="0.2">
      <c r="A994" s="1"/>
      <c r="B994" s="2"/>
      <c r="C994" s="1"/>
      <c r="D994" s="1"/>
      <c r="E994" s="48"/>
      <c r="F994" s="48"/>
      <c r="G994" s="2"/>
      <c r="H994" s="48"/>
      <c r="I994" s="2"/>
      <c r="J994" s="2"/>
      <c r="K994" s="2"/>
      <c r="L994" s="2"/>
      <c r="M994" s="2"/>
      <c r="N994" s="2"/>
      <c r="O994" s="1286"/>
      <c r="P994" s="95"/>
      <c r="Q994" s="95"/>
      <c r="AE994" s="95"/>
      <c r="AF994" s="95"/>
      <c r="AG994" s="95"/>
      <c r="AH994" s="2"/>
      <c r="AI994" s="2"/>
      <c r="AJ994" s="2"/>
      <c r="AK994" s="2"/>
    </row>
    <row r="995" spans="1:37" ht="15.75" customHeight="1" x14ac:dyDescent="0.2">
      <c r="A995" s="1"/>
      <c r="B995" s="2"/>
      <c r="C995" s="1"/>
      <c r="D995" s="1"/>
      <c r="E995" s="48"/>
      <c r="F995" s="48"/>
      <c r="G995" s="2"/>
      <c r="H995" s="48"/>
      <c r="I995" s="2"/>
      <c r="J995" s="2"/>
      <c r="K995" s="2"/>
      <c r="L995" s="2"/>
      <c r="M995" s="2"/>
      <c r="N995" s="2"/>
      <c r="O995" s="1286"/>
      <c r="P995" s="95"/>
      <c r="Q995" s="95"/>
      <c r="AE995" s="95"/>
      <c r="AF995" s="95"/>
      <c r="AG995" s="95"/>
      <c r="AH995" s="2"/>
      <c r="AI995" s="2"/>
      <c r="AJ995" s="2"/>
      <c r="AK995" s="2"/>
    </row>
    <row r="996" spans="1:37" ht="15.75" customHeight="1" x14ac:dyDescent="0.2">
      <c r="A996" s="1"/>
      <c r="B996" s="2"/>
      <c r="C996" s="1"/>
      <c r="D996" s="1"/>
      <c r="E996" s="48"/>
      <c r="F996" s="48"/>
      <c r="G996" s="2"/>
      <c r="H996" s="48"/>
      <c r="I996" s="2"/>
      <c r="J996" s="2"/>
      <c r="K996" s="2"/>
      <c r="L996" s="2"/>
      <c r="M996" s="2"/>
      <c r="N996" s="2"/>
      <c r="O996" s="1286"/>
      <c r="P996" s="95"/>
      <c r="Q996" s="95"/>
      <c r="AE996" s="95"/>
      <c r="AF996" s="95"/>
      <c r="AG996" s="95"/>
      <c r="AH996" s="2"/>
      <c r="AI996" s="2"/>
      <c r="AJ996" s="2"/>
      <c r="AK996" s="2"/>
    </row>
    <row r="997" spans="1:37" ht="15.75" customHeight="1" x14ac:dyDescent="0.2">
      <c r="A997" s="1"/>
      <c r="B997" s="2"/>
      <c r="C997" s="1"/>
      <c r="D997" s="1"/>
      <c r="E997" s="48"/>
      <c r="F997" s="48"/>
      <c r="G997" s="2"/>
      <c r="H997" s="48"/>
      <c r="I997" s="2"/>
      <c r="J997" s="2"/>
      <c r="K997" s="2"/>
      <c r="L997" s="2"/>
      <c r="M997" s="2"/>
      <c r="N997" s="2"/>
      <c r="O997" s="1286"/>
      <c r="P997" s="95"/>
      <c r="Q997" s="95"/>
      <c r="AE997" s="95"/>
      <c r="AF997" s="95"/>
      <c r="AG997" s="95"/>
      <c r="AH997" s="2"/>
      <c r="AI997" s="2"/>
      <c r="AJ997" s="2"/>
      <c r="AK997" s="2"/>
    </row>
    <row r="998" spans="1:37" ht="15.75" customHeight="1" x14ac:dyDescent="0.2">
      <c r="A998" s="1"/>
      <c r="B998" s="2"/>
      <c r="C998" s="1"/>
      <c r="D998" s="1"/>
      <c r="E998" s="48"/>
      <c r="F998" s="48"/>
      <c r="G998" s="2"/>
      <c r="H998" s="48"/>
      <c r="I998" s="2"/>
      <c r="J998" s="2"/>
      <c r="K998" s="2"/>
      <c r="L998" s="2"/>
      <c r="M998" s="2"/>
      <c r="N998" s="2"/>
      <c r="O998" s="1286"/>
      <c r="P998" s="95"/>
      <c r="Q998" s="95"/>
      <c r="AE998" s="95"/>
      <c r="AF998" s="95"/>
      <c r="AG998" s="95"/>
      <c r="AH998" s="2"/>
      <c r="AI998" s="2"/>
      <c r="AJ998" s="2"/>
      <c r="AK998" s="2"/>
    </row>
    <row r="999" spans="1:37" ht="15.75" customHeight="1" x14ac:dyDescent="0.2">
      <c r="A999" s="1"/>
      <c r="B999" s="2"/>
      <c r="C999" s="1"/>
      <c r="D999" s="1"/>
      <c r="E999" s="48"/>
      <c r="F999" s="48"/>
      <c r="G999" s="2"/>
      <c r="H999" s="48"/>
      <c r="I999" s="2"/>
      <c r="J999" s="2"/>
      <c r="K999" s="2"/>
      <c r="L999" s="2"/>
      <c r="M999" s="2"/>
      <c r="N999" s="2"/>
      <c r="O999" s="1286"/>
      <c r="P999" s="95"/>
      <c r="Q999" s="95"/>
      <c r="AE999" s="95"/>
      <c r="AF999" s="95"/>
      <c r="AG999" s="95"/>
      <c r="AH999" s="2"/>
      <c r="AI999" s="2"/>
      <c r="AJ999" s="2"/>
      <c r="AK999" s="2"/>
    </row>
    <row r="1000" spans="1:37" ht="15.75" customHeight="1" x14ac:dyDescent="0.2">
      <c r="A1000" s="1"/>
      <c r="B1000" s="2"/>
      <c r="C1000" s="1"/>
      <c r="D1000" s="1"/>
      <c r="E1000" s="48"/>
      <c r="F1000" s="48"/>
      <c r="G1000" s="2"/>
      <c r="H1000" s="48"/>
      <c r="I1000" s="2"/>
      <c r="J1000" s="2"/>
      <c r="K1000" s="2"/>
      <c r="L1000" s="2"/>
      <c r="M1000" s="2"/>
      <c r="N1000" s="2"/>
      <c r="O1000" s="1286"/>
      <c r="P1000" s="95"/>
      <c r="Q1000" s="95"/>
      <c r="AE1000" s="95"/>
      <c r="AF1000" s="95"/>
      <c r="AG1000" s="95"/>
      <c r="AH1000" s="2"/>
      <c r="AI1000" s="2"/>
      <c r="AJ1000" s="2"/>
      <c r="AK1000" s="2"/>
    </row>
    <row r="1001" spans="1:37" ht="15.75" customHeight="1" x14ac:dyDescent="0.2">
      <c r="A1001" s="1"/>
      <c r="B1001" s="2"/>
      <c r="C1001" s="1"/>
      <c r="D1001" s="1"/>
      <c r="E1001" s="48"/>
      <c r="F1001" s="48"/>
      <c r="G1001" s="2"/>
      <c r="H1001" s="48"/>
      <c r="I1001" s="2"/>
      <c r="J1001" s="2"/>
      <c r="K1001" s="2"/>
      <c r="L1001" s="2"/>
      <c r="M1001" s="2"/>
      <c r="N1001" s="2"/>
      <c r="O1001" s="1286"/>
      <c r="P1001" s="95"/>
      <c r="Q1001" s="95"/>
      <c r="AE1001" s="95"/>
      <c r="AF1001" s="95"/>
      <c r="AG1001" s="95"/>
      <c r="AH1001" s="2"/>
      <c r="AI1001" s="2"/>
      <c r="AJ1001" s="2"/>
      <c r="AK1001" s="2"/>
    </row>
    <row r="1002" spans="1:37" ht="15.75" customHeight="1" x14ac:dyDescent="0.2">
      <c r="A1002" s="1"/>
      <c r="B1002" s="2"/>
      <c r="C1002" s="1"/>
      <c r="D1002" s="1"/>
      <c r="E1002" s="48"/>
      <c r="F1002" s="48"/>
      <c r="G1002" s="2"/>
      <c r="H1002" s="48"/>
      <c r="I1002" s="2"/>
      <c r="J1002" s="2"/>
      <c r="K1002" s="2"/>
      <c r="L1002" s="2"/>
      <c r="M1002" s="2"/>
      <c r="N1002" s="2"/>
      <c r="O1002" s="1286"/>
      <c r="P1002" s="95"/>
      <c r="Q1002" s="95"/>
      <c r="AE1002" s="95"/>
      <c r="AF1002" s="95"/>
      <c r="AG1002" s="95"/>
      <c r="AH1002" s="2"/>
      <c r="AI1002" s="2"/>
      <c r="AJ1002" s="2"/>
      <c r="AK1002" s="2"/>
    </row>
    <row r="1003" spans="1:37" ht="15.75" customHeight="1" x14ac:dyDescent="0.2">
      <c r="A1003" s="1"/>
      <c r="B1003" s="2"/>
      <c r="C1003" s="1"/>
      <c r="D1003" s="1"/>
      <c r="E1003" s="48"/>
      <c r="F1003" s="48"/>
      <c r="G1003" s="2"/>
      <c r="H1003" s="48"/>
      <c r="I1003" s="2"/>
      <c r="J1003" s="2"/>
      <c r="K1003" s="2"/>
      <c r="L1003" s="2"/>
      <c r="M1003" s="2"/>
      <c r="N1003" s="2"/>
      <c r="O1003" s="1286"/>
      <c r="P1003" s="95"/>
      <c r="Q1003" s="95"/>
      <c r="AE1003" s="95"/>
      <c r="AF1003" s="95"/>
      <c r="AG1003" s="95"/>
      <c r="AH1003" s="2"/>
      <c r="AI1003" s="2"/>
      <c r="AJ1003" s="2"/>
      <c r="AK1003" s="2"/>
    </row>
    <row r="1004" spans="1:37" ht="15.75" customHeight="1" x14ac:dyDescent="0.2">
      <c r="A1004" s="1"/>
      <c r="B1004" s="2"/>
      <c r="C1004" s="1"/>
      <c r="D1004" s="1"/>
      <c r="E1004" s="48"/>
      <c r="F1004" s="48"/>
      <c r="G1004" s="2"/>
      <c r="H1004" s="48"/>
      <c r="I1004" s="2"/>
      <c r="J1004" s="2"/>
      <c r="K1004" s="2"/>
      <c r="L1004" s="2"/>
      <c r="M1004" s="2"/>
      <c r="N1004" s="2"/>
      <c r="O1004" s="1286"/>
      <c r="P1004" s="95"/>
      <c r="Q1004" s="95"/>
      <c r="AE1004" s="95"/>
      <c r="AF1004" s="95"/>
      <c r="AG1004" s="95"/>
      <c r="AH1004" s="2"/>
      <c r="AI1004" s="2"/>
      <c r="AJ1004" s="2"/>
      <c r="AK1004" s="2"/>
    </row>
    <row r="1005" spans="1:37" ht="15.75" customHeight="1" x14ac:dyDescent="0.2">
      <c r="A1005" s="1"/>
      <c r="B1005" s="2"/>
      <c r="C1005" s="1"/>
      <c r="D1005" s="1"/>
      <c r="E1005" s="48"/>
      <c r="F1005" s="48"/>
      <c r="G1005" s="2"/>
      <c r="H1005" s="48"/>
      <c r="I1005" s="2"/>
      <c r="J1005" s="2"/>
      <c r="K1005" s="2"/>
      <c r="L1005" s="2"/>
      <c r="M1005" s="2"/>
      <c r="N1005" s="2"/>
      <c r="O1005" s="1286"/>
      <c r="P1005" s="95"/>
      <c r="Q1005" s="95"/>
      <c r="AE1005" s="95"/>
      <c r="AF1005" s="95"/>
      <c r="AG1005" s="95"/>
      <c r="AH1005" s="2"/>
      <c r="AI1005" s="2"/>
      <c r="AJ1005" s="2"/>
      <c r="AK1005" s="2"/>
    </row>
    <row r="1006" spans="1:37" ht="15.75" customHeight="1" x14ac:dyDescent="0.2">
      <c r="A1006" s="1"/>
      <c r="B1006" s="2"/>
      <c r="C1006" s="1"/>
      <c r="D1006" s="1"/>
      <c r="E1006" s="48"/>
      <c r="F1006" s="48"/>
      <c r="G1006" s="2"/>
      <c r="H1006" s="48"/>
      <c r="I1006" s="2"/>
      <c r="J1006" s="2"/>
      <c r="K1006" s="2"/>
      <c r="L1006" s="2"/>
      <c r="M1006" s="2"/>
      <c r="N1006" s="2"/>
      <c r="O1006" s="1286"/>
      <c r="P1006" s="95"/>
      <c r="Q1006" s="95"/>
      <c r="AE1006" s="95"/>
      <c r="AF1006" s="95"/>
      <c r="AG1006" s="95"/>
      <c r="AH1006" s="2"/>
      <c r="AI1006" s="2"/>
      <c r="AJ1006" s="2"/>
      <c r="AK1006" s="2"/>
    </row>
    <row r="1007" spans="1:37" ht="15.75" customHeight="1" x14ac:dyDescent="0.2">
      <c r="A1007" s="1"/>
      <c r="B1007" s="2"/>
      <c r="C1007" s="1"/>
      <c r="D1007" s="1"/>
      <c r="E1007" s="48"/>
      <c r="F1007" s="48"/>
      <c r="G1007" s="2"/>
      <c r="H1007" s="48"/>
      <c r="I1007" s="2"/>
      <c r="J1007" s="2"/>
      <c r="K1007" s="2"/>
      <c r="L1007" s="2"/>
      <c r="M1007" s="2"/>
      <c r="N1007" s="2"/>
      <c r="O1007" s="1286"/>
      <c r="P1007" s="95"/>
      <c r="Q1007" s="95"/>
      <c r="AE1007" s="95"/>
      <c r="AF1007" s="95"/>
      <c r="AG1007" s="95"/>
      <c r="AH1007" s="2"/>
      <c r="AI1007" s="2"/>
      <c r="AJ1007" s="2"/>
      <c r="AK1007" s="2"/>
    </row>
    <row r="1008" spans="1:37" ht="15.75" customHeight="1" x14ac:dyDescent="0.2">
      <c r="A1008" s="1"/>
      <c r="B1008" s="2"/>
      <c r="C1008" s="1"/>
      <c r="D1008" s="1"/>
      <c r="E1008" s="48"/>
      <c r="F1008" s="48"/>
      <c r="G1008" s="2"/>
      <c r="H1008" s="48"/>
      <c r="I1008" s="2"/>
      <c r="J1008" s="2"/>
      <c r="K1008" s="2"/>
      <c r="L1008" s="2"/>
      <c r="M1008" s="2"/>
      <c r="N1008" s="2"/>
      <c r="O1008" s="1286"/>
      <c r="P1008" s="95"/>
      <c r="Q1008" s="95"/>
      <c r="AE1008" s="95"/>
      <c r="AF1008" s="95"/>
      <c r="AG1008" s="95"/>
      <c r="AH1008" s="2"/>
      <c r="AI1008" s="2"/>
      <c r="AJ1008" s="2"/>
      <c r="AK1008" s="2"/>
    </row>
    <row r="1009" spans="1:37" ht="15.75" customHeight="1" x14ac:dyDescent="0.2">
      <c r="A1009" s="1"/>
      <c r="B1009" s="2"/>
      <c r="C1009" s="1"/>
      <c r="D1009" s="1"/>
      <c r="E1009" s="48"/>
      <c r="F1009" s="48"/>
      <c r="G1009" s="2"/>
      <c r="H1009" s="48"/>
      <c r="I1009" s="2"/>
      <c r="J1009" s="2"/>
      <c r="K1009" s="2"/>
      <c r="L1009" s="2"/>
      <c r="M1009" s="2"/>
      <c r="N1009" s="2"/>
      <c r="O1009" s="1286"/>
      <c r="P1009" s="95"/>
      <c r="Q1009" s="95"/>
      <c r="AE1009" s="95"/>
      <c r="AF1009" s="95"/>
      <c r="AG1009" s="95"/>
      <c r="AH1009" s="2"/>
      <c r="AI1009" s="2"/>
      <c r="AJ1009" s="2"/>
      <c r="AK1009" s="2"/>
    </row>
    <row r="1010" spans="1:37" ht="15.75" customHeight="1" x14ac:dyDescent="0.2">
      <c r="A1010" s="1"/>
      <c r="B1010" s="2"/>
      <c r="C1010" s="1"/>
      <c r="D1010" s="1"/>
      <c r="E1010" s="48"/>
      <c r="F1010" s="48"/>
      <c r="G1010" s="2"/>
      <c r="H1010" s="48"/>
      <c r="I1010" s="2"/>
      <c r="J1010" s="2"/>
      <c r="K1010" s="2"/>
      <c r="L1010" s="2"/>
      <c r="M1010" s="2"/>
      <c r="N1010" s="2"/>
      <c r="O1010" s="1286"/>
      <c r="P1010" s="95"/>
      <c r="Q1010" s="95"/>
      <c r="AE1010" s="95"/>
      <c r="AF1010" s="95"/>
      <c r="AG1010" s="95"/>
      <c r="AH1010" s="2"/>
      <c r="AI1010" s="2"/>
      <c r="AJ1010" s="2"/>
      <c r="AK1010" s="2"/>
    </row>
    <row r="1011" spans="1:37" ht="15.75" customHeight="1" x14ac:dyDescent="0.2">
      <c r="A1011" s="1"/>
      <c r="B1011" s="2"/>
      <c r="C1011" s="1"/>
      <c r="D1011" s="1"/>
      <c r="E1011" s="48"/>
      <c r="F1011" s="48"/>
      <c r="G1011" s="2"/>
      <c r="H1011" s="48"/>
      <c r="I1011" s="2"/>
      <c r="J1011" s="2"/>
      <c r="K1011" s="2"/>
      <c r="L1011" s="2"/>
      <c r="M1011" s="2"/>
      <c r="N1011" s="2"/>
      <c r="O1011" s="1286"/>
      <c r="P1011" s="95"/>
      <c r="Q1011" s="95"/>
      <c r="AE1011" s="95"/>
      <c r="AF1011" s="95"/>
      <c r="AG1011" s="95"/>
      <c r="AH1011" s="2"/>
      <c r="AI1011" s="2"/>
      <c r="AJ1011" s="2"/>
      <c r="AK1011" s="2"/>
    </row>
    <row r="1012" spans="1:37" ht="15.75" customHeight="1" x14ac:dyDescent="0.2">
      <c r="A1012" s="1"/>
      <c r="B1012" s="2"/>
      <c r="C1012" s="1"/>
      <c r="D1012" s="1"/>
      <c r="E1012" s="48"/>
      <c r="F1012" s="48"/>
      <c r="G1012" s="2"/>
      <c r="H1012" s="48"/>
      <c r="I1012" s="2"/>
      <c r="J1012" s="2"/>
      <c r="K1012" s="2"/>
      <c r="L1012" s="2"/>
      <c r="M1012" s="2"/>
      <c r="N1012" s="2"/>
      <c r="O1012" s="1286"/>
      <c r="P1012" s="95"/>
      <c r="Q1012" s="95"/>
      <c r="AE1012" s="95"/>
      <c r="AF1012" s="95"/>
      <c r="AG1012" s="95"/>
      <c r="AH1012" s="2"/>
      <c r="AI1012" s="2"/>
      <c r="AJ1012" s="2"/>
      <c r="AK1012" s="2"/>
    </row>
    <row r="1013" spans="1:37" ht="15.75" customHeight="1" x14ac:dyDescent="0.2">
      <c r="A1013" s="1"/>
      <c r="B1013" s="2"/>
      <c r="C1013" s="1"/>
      <c r="D1013" s="1"/>
      <c r="E1013" s="48"/>
      <c r="F1013" s="48"/>
      <c r="G1013" s="2"/>
      <c r="H1013" s="48"/>
      <c r="I1013" s="2"/>
      <c r="J1013" s="2"/>
      <c r="K1013" s="2"/>
      <c r="L1013" s="2"/>
      <c r="M1013" s="2"/>
      <c r="N1013" s="2"/>
      <c r="O1013" s="1286"/>
      <c r="P1013" s="95"/>
      <c r="Q1013" s="95"/>
      <c r="AE1013" s="95"/>
      <c r="AF1013" s="95"/>
      <c r="AG1013" s="95"/>
      <c r="AH1013" s="2"/>
      <c r="AI1013" s="2"/>
      <c r="AJ1013" s="2"/>
      <c r="AK1013" s="2"/>
    </row>
    <row r="1014" spans="1:37" ht="15.75" customHeight="1" x14ac:dyDescent="0.2">
      <c r="A1014" s="1"/>
      <c r="B1014" s="2"/>
      <c r="C1014" s="1"/>
      <c r="D1014" s="1"/>
      <c r="E1014" s="48"/>
      <c r="F1014" s="48"/>
      <c r="G1014" s="2"/>
      <c r="H1014" s="48"/>
      <c r="I1014" s="2"/>
      <c r="J1014" s="2"/>
      <c r="K1014" s="2"/>
      <c r="L1014" s="2"/>
      <c r="M1014" s="2"/>
      <c r="N1014" s="2"/>
      <c r="O1014" s="1286"/>
      <c r="P1014" s="95"/>
      <c r="Q1014" s="95"/>
      <c r="AE1014" s="95"/>
      <c r="AF1014" s="95"/>
      <c r="AG1014" s="95"/>
      <c r="AH1014" s="2"/>
      <c r="AI1014" s="2"/>
      <c r="AJ1014" s="2"/>
      <c r="AK1014" s="2"/>
    </row>
    <row r="1015" spans="1:37" ht="15.75" customHeight="1" x14ac:dyDescent="0.2">
      <c r="A1015" s="1"/>
      <c r="B1015" s="2"/>
      <c r="C1015" s="1"/>
      <c r="D1015" s="1"/>
      <c r="E1015" s="48"/>
      <c r="F1015" s="48"/>
      <c r="G1015" s="2"/>
      <c r="H1015" s="48"/>
      <c r="I1015" s="2"/>
      <c r="J1015" s="2"/>
      <c r="K1015" s="2"/>
      <c r="L1015" s="2"/>
      <c r="M1015" s="2"/>
      <c r="N1015" s="2"/>
      <c r="O1015" s="1286"/>
      <c r="P1015" s="95"/>
      <c r="Q1015" s="95"/>
      <c r="AE1015" s="95"/>
      <c r="AF1015" s="95"/>
      <c r="AG1015" s="95"/>
      <c r="AH1015" s="2"/>
      <c r="AI1015" s="2"/>
      <c r="AJ1015" s="2"/>
      <c r="AK1015" s="2"/>
    </row>
    <row r="1016" spans="1:37" ht="15.75" customHeight="1" x14ac:dyDescent="0.2">
      <c r="A1016" s="1"/>
      <c r="B1016" s="2"/>
      <c r="C1016" s="1"/>
      <c r="D1016" s="1"/>
      <c r="E1016" s="48"/>
      <c r="F1016" s="48"/>
      <c r="G1016" s="2"/>
      <c r="H1016" s="48"/>
      <c r="I1016" s="2"/>
      <c r="J1016" s="2"/>
      <c r="K1016" s="2"/>
      <c r="L1016" s="2"/>
      <c r="M1016" s="2"/>
      <c r="N1016" s="2"/>
      <c r="O1016" s="1286"/>
      <c r="P1016" s="95"/>
      <c r="Q1016" s="95"/>
      <c r="AE1016" s="95"/>
      <c r="AF1016" s="95"/>
      <c r="AG1016" s="95"/>
      <c r="AH1016" s="2"/>
      <c r="AI1016" s="2"/>
      <c r="AJ1016" s="2"/>
      <c r="AK1016" s="2"/>
    </row>
    <row r="1017" spans="1:37" ht="15.75" customHeight="1" x14ac:dyDescent="0.2">
      <c r="A1017" s="1"/>
      <c r="B1017" s="2"/>
      <c r="C1017" s="1"/>
      <c r="D1017" s="1"/>
      <c r="E1017" s="48"/>
      <c r="F1017" s="48"/>
      <c r="G1017" s="2"/>
      <c r="H1017" s="48"/>
      <c r="I1017" s="2"/>
      <c r="J1017" s="2"/>
      <c r="K1017" s="2"/>
      <c r="L1017" s="2"/>
      <c r="M1017" s="2"/>
      <c r="N1017" s="2"/>
      <c r="O1017" s="1286"/>
      <c r="P1017" s="95"/>
      <c r="Q1017" s="95"/>
      <c r="AE1017" s="95"/>
      <c r="AF1017" s="95"/>
      <c r="AG1017" s="95"/>
      <c r="AH1017" s="2"/>
      <c r="AI1017" s="2"/>
      <c r="AJ1017" s="2"/>
      <c r="AK1017" s="2"/>
    </row>
    <row r="1018" spans="1:37" ht="15.75" customHeight="1" x14ac:dyDescent="0.2">
      <c r="A1018" s="1"/>
      <c r="B1018" s="2"/>
      <c r="C1018" s="1"/>
      <c r="D1018" s="1"/>
      <c r="E1018" s="48"/>
      <c r="F1018" s="48"/>
      <c r="G1018" s="2"/>
      <c r="H1018" s="48"/>
      <c r="I1018" s="2"/>
      <c r="J1018" s="2"/>
      <c r="K1018" s="2"/>
      <c r="L1018" s="2"/>
      <c r="M1018" s="2"/>
      <c r="N1018" s="2"/>
      <c r="O1018" s="1286"/>
      <c r="P1018" s="95"/>
      <c r="Q1018" s="95"/>
      <c r="AE1018" s="95"/>
      <c r="AF1018" s="95"/>
      <c r="AG1018" s="95"/>
      <c r="AH1018" s="2"/>
      <c r="AI1018" s="2"/>
      <c r="AJ1018" s="2"/>
      <c r="AK1018" s="2"/>
    </row>
    <row r="1019" spans="1:37" ht="15.75" customHeight="1" x14ac:dyDescent="0.2">
      <c r="A1019" s="1"/>
      <c r="B1019" s="2"/>
      <c r="C1019" s="1"/>
      <c r="D1019" s="1"/>
      <c r="E1019" s="48"/>
      <c r="F1019" s="48"/>
      <c r="G1019" s="2"/>
      <c r="H1019" s="48"/>
      <c r="I1019" s="2"/>
      <c r="J1019" s="2"/>
      <c r="K1019" s="2"/>
      <c r="L1019" s="2"/>
      <c r="M1019" s="2"/>
      <c r="N1019" s="2"/>
      <c r="O1019" s="1286"/>
      <c r="P1019" s="95"/>
      <c r="Q1019" s="95"/>
      <c r="AE1019" s="95"/>
      <c r="AF1019" s="95"/>
      <c r="AG1019" s="95"/>
      <c r="AH1019" s="2"/>
      <c r="AI1019" s="2"/>
      <c r="AJ1019" s="2"/>
      <c r="AK1019" s="2"/>
    </row>
    <row r="1020" spans="1:37" ht="15.75" customHeight="1" x14ac:dyDescent="0.2">
      <c r="A1020" s="1"/>
      <c r="B1020" s="2"/>
      <c r="C1020" s="1"/>
      <c r="D1020" s="1"/>
      <c r="E1020" s="48"/>
      <c r="F1020" s="48"/>
      <c r="G1020" s="2"/>
      <c r="H1020" s="48"/>
      <c r="I1020" s="2"/>
      <c r="J1020" s="2"/>
      <c r="K1020" s="2"/>
      <c r="L1020" s="2"/>
      <c r="M1020" s="2"/>
      <c r="N1020" s="2"/>
      <c r="O1020" s="1286"/>
      <c r="P1020" s="95"/>
      <c r="Q1020" s="95"/>
      <c r="AE1020" s="95"/>
      <c r="AF1020" s="95"/>
      <c r="AG1020" s="95"/>
      <c r="AH1020" s="2"/>
      <c r="AI1020" s="2"/>
      <c r="AJ1020" s="2"/>
      <c r="AK1020" s="2"/>
    </row>
    <row r="1021" spans="1:37" ht="15.75" customHeight="1" x14ac:dyDescent="0.2">
      <c r="A1021" s="1"/>
      <c r="B1021" s="2"/>
      <c r="C1021" s="1"/>
      <c r="D1021" s="1"/>
      <c r="E1021" s="48"/>
      <c r="F1021" s="48"/>
      <c r="G1021" s="2"/>
      <c r="H1021" s="48"/>
      <c r="I1021" s="2"/>
      <c r="J1021" s="2"/>
      <c r="K1021" s="2"/>
      <c r="L1021" s="2"/>
      <c r="M1021" s="2"/>
      <c r="N1021" s="2"/>
      <c r="O1021" s="1286"/>
      <c r="P1021" s="95"/>
      <c r="Q1021" s="95"/>
      <c r="AE1021" s="95"/>
      <c r="AF1021" s="95"/>
      <c r="AG1021" s="95"/>
      <c r="AH1021" s="2"/>
      <c r="AI1021" s="2"/>
      <c r="AJ1021" s="2"/>
      <c r="AK1021" s="2"/>
    </row>
    <row r="1022" spans="1:37" ht="15.75" customHeight="1" x14ac:dyDescent="0.2">
      <c r="A1022" s="1"/>
      <c r="B1022" s="2"/>
      <c r="C1022" s="1"/>
      <c r="D1022" s="1"/>
      <c r="E1022" s="48"/>
      <c r="F1022" s="48"/>
      <c r="G1022" s="2"/>
      <c r="H1022" s="48"/>
      <c r="I1022" s="2"/>
      <c r="J1022" s="2"/>
      <c r="K1022" s="2"/>
      <c r="L1022" s="2"/>
      <c r="M1022" s="2"/>
      <c r="N1022" s="2"/>
      <c r="O1022" s="1286"/>
      <c r="P1022" s="95"/>
      <c r="Q1022" s="95"/>
      <c r="AE1022" s="95"/>
      <c r="AF1022" s="95"/>
      <c r="AG1022" s="95"/>
      <c r="AH1022" s="2"/>
      <c r="AI1022" s="2"/>
      <c r="AJ1022" s="2"/>
      <c r="AK1022" s="2"/>
    </row>
    <row r="1023" spans="1:37" ht="15.75" customHeight="1" x14ac:dyDescent="0.2">
      <c r="A1023" s="1"/>
      <c r="B1023" s="2"/>
      <c r="C1023" s="1"/>
      <c r="D1023" s="1"/>
      <c r="E1023" s="48"/>
      <c r="F1023" s="48"/>
      <c r="G1023" s="2"/>
      <c r="H1023" s="48"/>
      <c r="I1023" s="2"/>
      <c r="J1023" s="2"/>
      <c r="K1023" s="2"/>
      <c r="L1023" s="2"/>
      <c r="M1023" s="2"/>
      <c r="N1023" s="2"/>
      <c r="O1023" s="1286"/>
      <c r="P1023" s="95"/>
      <c r="Q1023" s="95"/>
      <c r="AE1023" s="95"/>
      <c r="AF1023" s="95"/>
      <c r="AG1023" s="95"/>
      <c r="AH1023" s="2"/>
      <c r="AI1023" s="2"/>
      <c r="AJ1023" s="2"/>
      <c r="AK1023" s="2"/>
    </row>
    <row r="1024" spans="1:37" ht="15.75" customHeight="1" x14ac:dyDescent="0.2">
      <c r="A1024" s="1"/>
      <c r="B1024" s="2"/>
      <c r="C1024" s="1"/>
      <c r="D1024" s="1"/>
      <c r="E1024" s="48"/>
      <c r="F1024" s="48"/>
      <c r="G1024" s="2"/>
      <c r="H1024" s="48"/>
      <c r="I1024" s="2"/>
      <c r="J1024" s="2"/>
      <c r="K1024" s="2"/>
      <c r="L1024" s="2"/>
      <c r="M1024" s="2"/>
      <c r="N1024" s="2"/>
      <c r="O1024" s="1286"/>
      <c r="P1024" s="95"/>
      <c r="Q1024" s="95"/>
      <c r="AE1024" s="95"/>
      <c r="AF1024" s="95"/>
      <c r="AG1024" s="95"/>
      <c r="AH1024" s="2"/>
      <c r="AI1024" s="2"/>
      <c r="AJ1024" s="2"/>
      <c r="AK1024" s="2"/>
    </row>
    <row r="1025" spans="1:37" ht="15.75" customHeight="1" x14ac:dyDescent="0.2">
      <c r="A1025" s="1"/>
      <c r="B1025" s="2"/>
      <c r="C1025" s="1"/>
      <c r="D1025" s="1"/>
      <c r="E1025" s="48"/>
      <c r="F1025" s="48"/>
      <c r="G1025" s="2"/>
      <c r="H1025" s="48"/>
      <c r="I1025" s="2"/>
      <c r="J1025" s="2"/>
      <c r="K1025" s="2"/>
      <c r="L1025" s="2"/>
      <c r="M1025" s="2"/>
      <c r="N1025" s="2"/>
      <c r="O1025" s="1286"/>
      <c r="P1025" s="95"/>
      <c r="Q1025" s="95"/>
      <c r="AE1025" s="95"/>
      <c r="AF1025" s="95"/>
      <c r="AG1025" s="95"/>
      <c r="AH1025" s="2"/>
      <c r="AI1025" s="2"/>
      <c r="AJ1025" s="2"/>
      <c r="AK1025" s="2"/>
    </row>
    <row r="1026" spans="1:37" ht="15.75" customHeight="1" x14ac:dyDescent="0.2">
      <c r="A1026" s="1"/>
      <c r="B1026" s="2"/>
      <c r="C1026" s="1"/>
      <c r="D1026" s="1"/>
      <c r="E1026" s="48"/>
      <c r="F1026" s="48"/>
      <c r="G1026" s="2"/>
      <c r="H1026" s="48"/>
      <c r="I1026" s="2"/>
      <c r="J1026" s="2"/>
      <c r="K1026" s="2"/>
      <c r="L1026" s="2"/>
      <c r="M1026" s="2"/>
      <c r="N1026" s="2"/>
      <c r="O1026" s="1286"/>
      <c r="P1026" s="95"/>
      <c r="Q1026" s="95"/>
      <c r="AE1026" s="95"/>
      <c r="AF1026" s="95"/>
      <c r="AG1026" s="95"/>
      <c r="AH1026" s="2"/>
      <c r="AI1026" s="2"/>
      <c r="AJ1026" s="2"/>
      <c r="AK1026" s="2"/>
    </row>
    <row r="1027" spans="1:37" ht="15.75" customHeight="1" x14ac:dyDescent="0.2">
      <c r="A1027" s="1"/>
      <c r="B1027" s="2"/>
      <c r="C1027" s="1"/>
      <c r="D1027" s="1"/>
      <c r="E1027" s="48"/>
      <c r="F1027" s="48"/>
      <c r="G1027" s="2"/>
      <c r="H1027" s="48"/>
      <c r="I1027" s="2"/>
      <c r="J1027" s="2"/>
      <c r="K1027" s="2"/>
      <c r="L1027" s="2"/>
      <c r="M1027" s="2"/>
      <c r="N1027" s="2"/>
      <c r="O1027" s="1286"/>
      <c r="P1027" s="95"/>
      <c r="Q1027" s="95"/>
      <c r="AE1027" s="95"/>
      <c r="AF1027" s="95"/>
      <c r="AG1027" s="95"/>
      <c r="AH1027" s="2"/>
      <c r="AI1027" s="2"/>
      <c r="AJ1027" s="2"/>
      <c r="AK1027" s="2"/>
    </row>
    <row r="1028" spans="1:37" ht="15.75" customHeight="1" x14ac:dyDescent="0.2">
      <c r="A1028" s="1"/>
      <c r="B1028" s="2"/>
      <c r="C1028" s="1"/>
      <c r="D1028" s="1"/>
      <c r="E1028" s="48"/>
      <c r="F1028" s="48"/>
      <c r="G1028" s="2"/>
      <c r="H1028" s="48"/>
      <c r="I1028" s="2"/>
      <c r="J1028" s="2"/>
      <c r="K1028" s="2"/>
      <c r="L1028" s="2"/>
      <c r="M1028" s="2"/>
      <c r="N1028" s="2"/>
      <c r="O1028" s="1286"/>
      <c r="P1028" s="95"/>
      <c r="Q1028" s="95"/>
      <c r="AE1028" s="95"/>
      <c r="AF1028" s="95"/>
      <c r="AG1028" s="95"/>
      <c r="AH1028" s="2"/>
      <c r="AI1028" s="2"/>
      <c r="AJ1028" s="2"/>
      <c r="AK1028" s="2"/>
    </row>
    <row r="1029" spans="1:37" ht="15.75" customHeight="1" x14ac:dyDescent="0.2">
      <c r="A1029" s="1"/>
      <c r="B1029" s="2"/>
      <c r="C1029" s="1"/>
      <c r="D1029" s="1"/>
      <c r="E1029" s="48"/>
      <c r="F1029" s="48"/>
      <c r="G1029" s="2"/>
      <c r="H1029" s="48"/>
      <c r="I1029" s="2"/>
      <c r="J1029" s="2"/>
      <c r="K1029" s="2"/>
      <c r="L1029" s="2"/>
      <c r="M1029" s="2"/>
      <c r="N1029" s="2"/>
      <c r="O1029" s="1286"/>
      <c r="P1029" s="95"/>
      <c r="Q1029" s="95"/>
      <c r="AE1029" s="95"/>
      <c r="AF1029" s="95"/>
      <c r="AG1029" s="95"/>
      <c r="AH1029" s="2"/>
      <c r="AI1029" s="2"/>
      <c r="AJ1029" s="2"/>
      <c r="AK1029" s="2"/>
    </row>
    <row r="1030" spans="1:37" ht="15.75" customHeight="1" x14ac:dyDescent="0.2">
      <c r="A1030" s="1"/>
      <c r="B1030" s="2"/>
      <c r="C1030" s="1"/>
      <c r="D1030" s="1"/>
      <c r="E1030" s="48"/>
      <c r="F1030" s="48"/>
      <c r="G1030" s="2"/>
      <c r="H1030" s="48"/>
      <c r="I1030" s="2"/>
      <c r="J1030" s="2"/>
      <c r="K1030" s="2"/>
      <c r="L1030" s="2"/>
      <c r="M1030" s="2"/>
      <c r="N1030" s="2"/>
      <c r="O1030" s="1286"/>
      <c r="P1030" s="95"/>
      <c r="Q1030" s="95"/>
      <c r="AE1030" s="95"/>
      <c r="AF1030" s="95"/>
      <c r="AG1030" s="95"/>
      <c r="AH1030" s="2"/>
      <c r="AI1030" s="2"/>
      <c r="AJ1030" s="2"/>
      <c r="AK1030" s="2"/>
    </row>
    <row r="1031" spans="1:37" ht="15.75" customHeight="1" x14ac:dyDescent="0.2">
      <c r="A1031" s="1"/>
      <c r="B1031" s="2"/>
      <c r="C1031" s="1"/>
      <c r="D1031" s="1"/>
      <c r="E1031" s="48"/>
      <c r="F1031" s="48"/>
      <c r="G1031" s="2"/>
      <c r="H1031" s="48"/>
      <c r="I1031" s="2"/>
      <c r="J1031" s="2"/>
      <c r="K1031" s="2"/>
      <c r="L1031" s="2"/>
      <c r="M1031" s="2"/>
      <c r="N1031" s="2"/>
      <c r="O1031" s="1286"/>
      <c r="P1031" s="95"/>
      <c r="Q1031" s="95"/>
      <c r="AE1031" s="95"/>
      <c r="AF1031" s="95"/>
      <c r="AG1031" s="95"/>
      <c r="AH1031" s="2"/>
      <c r="AI1031" s="2"/>
      <c r="AJ1031" s="2"/>
      <c r="AK1031" s="2"/>
    </row>
    <row r="1032" spans="1:37" ht="15.75" customHeight="1" x14ac:dyDescent="0.2">
      <c r="A1032" s="1"/>
      <c r="B1032" s="2"/>
      <c r="C1032" s="1"/>
      <c r="D1032" s="1"/>
      <c r="E1032" s="48"/>
      <c r="F1032" s="48"/>
      <c r="G1032" s="2"/>
      <c r="H1032" s="48"/>
      <c r="I1032" s="2"/>
      <c r="J1032" s="2"/>
      <c r="K1032" s="2"/>
      <c r="L1032" s="2"/>
      <c r="M1032" s="2"/>
      <c r="N1032" s="2"/>
      <c r="O1032" s="1286"/>
      <c r="P1032" s="95"/>
      <c r="Q1032" s="95"/>
      <c r="AE1032" s="95"/>
      <c r="AF1032" s="95"/>
      <c r="AG1032" s="95"/>
      <c r="AH1032" s="2"/>
      <c r="AI1032" s="2"/>
      <c r="AJ1032" s="2"/>
      <c r="AK1032" s="2"/>
    </row>
    <row r="1033" spans="1:37" ht="15.75" customHeight="1" x14ac:dyDescent="0.2">
      <c r="A1033" s="1"/>
      <c r="B1033" s="2"/>
      <c r="C1033" s="1"/>
      <c r="D1033" s="1"/>
      <c r="E1033" s="48"/>
      <c r="F1033" s="48"/>
      <c r="G1033" s="2"/>
      <c r="H1033" s="48"/>
      <c r="I1033" s="2"/>
      <c r="J1033" s="2"/>
      <c r="K1033" s="2"/>
      <c r="L1033" s="2"/>
      <c r="M1033" s="2"/>
      <c r="N1033" s="2"/>
      <c r="O1033" s="1286"/>
      <c r="P1033" s="95"/>
      <c r="Q1033" s="95"/>
      <c r="AE1033" s="95"/>
      <c r="AF1033" s="95"/>
      <c r="AG1033" s="95"/>
      <c r="AH1033" s="2"/>
      <c r="AI1033" s="2"/>
      <c r="AJ1033" s="2"/>
      <c r="AK1033" s="2"/>
    </row>
    <row r="1034" spans="1:37" ht="15.75" customHeight="1" x14ac:dyDescent="0.2">
      <c r="A1034" s="1"/>
      <c r="B1034" s="2"/>
      <c r="C1034" s="1"/>
      <c r="D1034" s="1"/>
      <c r="E1034" s="48"/>
      <c r="F1034" s="48"/>
      <c r="G1034" s="2"/>
      <c r="H1034" s="48"/>
      <c r="I1034" s="2"/>
      <c r="J1034" s="2"/>
      <c r="K1034" s="2"/>
      <c r="L1034" s="2"/>
      <c r="M1034" s="2"/>
      <c r="N1034" s="2"/>
      <c r="O1034" s="1286"/>
      <c r="P1034" s="95"/>
      <c r="Q1034" s="95"/>
      <c r="AE1034" s="95"/>
      <c r="AF1034" s="95"/>
      <c r="AG1034" s="95"/>
      <c r="AH1034" s="2"/>
      <c r="AI1034" s="2"/>
      <c r="AJ1034" s="2"/>
      <c r="AK1034" s="2"/>
    </row>
    <row r="1035" spans="1:37" ht="15.75" customHeight="1" x14ac:dyDescent="0.2">
      <c r="A1035" s="1"/>
      <c r="B1035" s="2"/>
      <c r="C1035" s="1"/>
      <c r="D1035" s="1"/>
      <c r="E1035" s="48"/>
      <c r="F1035" s="48"/>
      <c r="G1035" s="2"/>
      <c r="H1035" s="48"/>
      <c r="I1035" s="2"/>
      <c r="J1035" s="2"/>
      <c r="K1035" s="2"/>
      <c r="L1035" s="2"/>
      <c r="M1035" s="2"/>
      <c r="N1035" s="2"/>
      <c r="O1035" s="1286"/>
      <c r="P1035" s="95"/>
      <c r="Q1035" s="95"/>
      <c r="AE1035" s="95"/>
      <c r="AF1035" s="95"/>
      <c r="AG1035" s="95"/>
      <c r="AH1035" s="2"/>
      <c r="AI1035" s="2"/>
      <c r="AJ1035" s="2"/>
      <c r="AK1035" s="2"/>
    </row>
    <row r="1036" spans="1:37" ht="15.75" customHeight="1" x14ac:dyDescent="0.2">
      <c r="A1036" s="1"/>
      <c r="B1036" s="2"/>
      <c r="C1036" s="1"/>
      <c r="D1036" s="1"/>
      <c r="E1036" s="48"/>
      <c r="F1036" s="48"/>
      <c r="G1036" s="2"/>
      <c r="H1036" s="48"/>
      <c r="I1036" s="2"/>
      <c r="J1036" s="2"/>
      <c r="K1036" s="2"/>
      <c r="L1036" s="2"/>
      <c r="M1036" s="2"/>
      <c r="N1036" s="2"/>
      <c r="O1036" s="1286"/>
      <c r="P1036" s="95"/>
      <c r="Q1036" s="95"/>
      <c r="AE1036" s="95"/>
      <c r="AF1036" s="95"/>
      <c r="AG1036" s="95"/>
      <c r="AH1036" s="2"/>
      <c r="AI1036" s="2"/>
      <c r="AJ1036" s="2"/>
      <c r="AK1036" s="2"/>
    </row>
    <row r="1037" spans="1:37" ht="15.75" customHeight="1" x14ac:dyDescent="0.2">
      <c r="A1037" s="1"/>
      <c r="B1037" s="2"/>
      <c r="C1037" s="1"/>
      <c r="D1037" s="1"/>
      <c r="E1037" s="48"/>
      <c r="F1037" s="48"/>
      <c r="G1037" s="2"/>
      <c r="H1037" s="48"/>
      <c r="I1037" s="2"/>
      <c r="J1037" s="2"/>
      <c r="K1037" s="2"/>
      <c r="L1037" s="2"/>
      <c r="M1037" s="2"/>
      <c r="N1037" s="2"/>
      <c r="O1037" s="1286"/>
      <c r="P1037" s="95"/>
      <c r="Q1037" s="95"/>
      <c r="AE1037" s="95"/>
      <c r="AF1037" s="95"/>
      <c r="AG1037" s="95"/>
      <c r="AH1037" s="2"/>
      <c r="AI1037" s="2"/>
      <c r="AJ1037" s="2"/>
      <c r="AK1037" s="2"/>
    </row>
    <row r="1038" spans="1:37" ht="15.75" customHeight="1" x14ac:dyDescent="0.2">
      <c r="A1038" s="1"/>
      <c r="B1038" s="2"/>
      <c r="C1038" s="1"/>
      <c r="D1038" s="1"/>
      <c r="E1038" s="48"/>
      <c r="F1038" s="48"/>
      <c r="G1038" s="2"/>
      <c r="H1038" s="48"/>
      <c r="I1038" s="2"/>
      <c r="J1038" s="2"/>
      <c r="K1038" s="2"/>
      <c r="L1038" s="2"/>
      <c r="M1038" s="2"/>
      <c r="N1038" s="2"/>
      <c r="O1038" s="1286"/>
      <c r="P1038" s="95"/>
      <c r="Q1038" s="95"/>
      <c r="AE1038" s="95"/>
      <c r="AF1038" s="95"/>
      <c r="AG1038" s="95"/>
      <c r="AH1038" s="2"/>
      <c r="AI1038" s="2"/>
      <c r="AJ1038" s="2"/>
      <c r="AK1038" s="2"/>
    </row>
    <row r="1039" spans="1:37" ht="15.75" customHeight="1" x14ac:dyDescent="0.2">
      <c r="A1039" s="1"/>
      <c r="B1039" s="2"/>
      <c r="C1039" s="1"/>
      <c r="D1039" s="1"/>
      <c r="E1039" s="48"/>
      <c r="F1039" s="48"/>
      <c r="G1039" s="2"/>
      <c r="H1039" s="48"/>
      <c r="I1039" s="2"/>
      <c r="J1039" s="2"/>
      <c r="K1039" s="2"/>
      <c r="L1039" s="2"/>
      <c r="M1039" s="2"/>
      <c r="N1039" s="2"/>
      <c r="O1039" s="1286"/>
      <c r="P1039" s="95"/>
      <c r="Q1039" s="95"/>
      <c r="AE1039" s="95"/>
      <c r="AF1039" s="95"/>
      <c r="AG1039" s="95"/>
      <c r="AH1039" s="2"/>
      <c r="AI1039" s="2"/>
      <c r="AJ1039" s="2"/>
      <c r="AK1039" s="2"/>
    </row>
    <row r="1040" spans="1:37" ht="15.75" customHeight="1" x14ac:dyDescent="0.2">
      <c r="A1040" s="1"/>
      <c r="B1040" s="2"/>
      <c r="C1040" s="1"/>
      <c r="D1040" s="1"/>
      <c r="E1040" s="48"/>
      <c r="F1040" s="48"/>
      <c r="G1040" s="2"/>
      <c r="H1040" s="48"/>
      <c r="I1040" s="2"/>
      <c r="J1040" s="2"/>
      <c r="K1040" s="2"/>
      <c r="L1040" s="2"/>
      <c r="M1040" s="2"/>
      <c r="N1040" s="2"/>
      <c r="O1040" s="1286"/>
      <c r="P1040" s="95"/>
      <c r="Q1040" s="95"/>
      <c r="AE1040" s="95"/>
      <c r="AF1040" s="95"/>
      <c r="AG1040" s="95"/>
      <c r="AH1040" s="2"/>
      <c r="AI1040" s="2"/>
      <c r="AJ1040" s="2"/>
      <c r="AK1040" s="2"/>
    </row>
    <row r="1041" spans="1:37" ht="15.75" customHeight="1" x14ac:dyDescent="0.2">
      <c r="A1041" s="1"/>
      <c r="B1041" s="2"/>
      <c r="C1041" s="1"/>
      <c r="D1041" s="1"/>
      <c r="E1041" s="48"/>
      <c r="F1041" s="48"/>
      <c r="G1041" s="2"/>
      <c r="H1041" s="48"/>
      <c r="I1041" s="2"/>
      <c r="J1041" s="2"/>
      <c r="K1041" s="2"/>
      <c r="L1041" s="2"/>
      <c r="M1041" s="2"/>
      <c r="N1041" s="2"/>
      <c r="O1041" s="1286"/>
      <c r="P1041" s="95"/>
      <c r="Q1041" s="95"/>
      <c r="AE1041" s="95"/>
      <c r="AF1041" s="95"/>
      <c r="AG1041" s="95"/>
      <c r="AH1041" s="2"/>
      <c r="AI1041" s="2"/>
      <c r="AJ1041" s="2"/>
      <c r="AK1041" s="2"/>
    </row>
    <row r="1042" spans="1:37" ht="15.75" customHeight="1" x14ac:dyDescent="0.2">
      <c r="A1042" s="1"/>
      <c r="B1042" s="2"/>
      <c r="C1042" s="1"/>
      <c r="D1042" s="1"/>
      <c r="E1042" s="48"/>
      <c r="F1042" s="48"/>
      <c r="G1042" s="2"/>
      <c r="H1042" s="48"/>
      <c r="I1042" s="2"/>
      <c r="J1042" s="2"/>
      <c r="K1042" s="2"/>
      <c r="L1042" s="2"/>
      <c r="M1042" s="2"/>
      <c r="N1042" s="2"/>
      <c r="O1042" s="1286"/>
      <c r="P1042" s="95"/>
      <c r="Q1042" s="95"/>
      <c r="AE1042" s="95"/>
      <c r="AF1042" s="95"/>
      <c r="AG1042" s="95"/>
      <c r="AH1042" s="2"/>
      <c r="AI1042" s="2"/>
      <c r="AJ1042" s="2"/>
      <c r="AK1042" s="2"/>
    </row>
    <row r="1043" spans="1:37" ht="15.75" customHeight="1" x14ac:dyDescent="0.2">
      <c r="A1043" s="1"/>
      <c r="B1043" s="2"/>
      <c r="C1043" s="1"/>
      <c r="D1043" s="1"/>
      <c r="E1043" s="48"/>
      <c r="F1043" s="48"/>
      <c r="G1043" s="2"/>
      <c r="H1043" s="48"/>
      <c r="I1043" s="2"/>
      <c r="J1043" s="2"/>
      <c r="K1043" s="2"/>
      <c r="L1043" s="2"/>
      <c r="M1043" s="2"/>
      <c r="N1043" s="2"/>
      <c r="O1043" s="1286"/>
      <c r="P1043" s="95"/>
      <c r="Q1043" s="95"/>
      <c r="AE1043" s="95"/>
      <c r="AF1043" s="95"/>
      <c r="AG1043" s="95"/>
      <c r="AH1043" s="2"/>
      <c r="AI1043" s="2"/>
      <c r="AJ1043" s="2"/>
      <c r="AK1043" s="2"/>
    </row>
    <row r="1044" spans="1:37" ht="15.75" customHeight="1" x14ac:dyDescent="0.2">
      <c r="A1044" s="1"/>
      <c r="B1044" s="2"/>
      <c r="C1044" s="1"/>
      <c r="D1044" s="1"/>
      <c r="E1044" s="48"/>
      <c r="F1044" s="48"/>
      <c r="G1044" s="2"/>
      <c r="H1044" s="48"/>
      <c r="I1044" s="2"/>
      <c r="J1044" s="2"/>
      <c r="K1044" s="2"/>
      <c r="L1044" s="2"/>
      <c r="M1044" s="2"/>
      <c r="N1044" s="2"/>
      <c r="O1044" s="1286"/>
      <c r="P1044" s="95"/>
      <c r="Q1044" s="95"/>
      <c r="AE1044" s="95"/>
      <c r="AF1044" s="95"/>
      <c r="AG1044" s="95"/>
      <c r="AH1044" s="2"/>
      <c r="AI1044" s="2"/>
      <c r="AJ1044" s="2"/>
      <c r="AK1044" s="2"/>
    </row>
    <row r="1045" spans="1:37" ht="15.75" customHeight="1" x14ac:dyDescent="0.2">
      <c r="A1045" s="1"/>
      <c r="B1045" s="2"/>
      <c r="C1045" s="1"/>
      <c r="D1045" s="1"/>
      <c r="E1045" s="48"/>
      <c r="F1045" s="48"/>
      <c r="G1045" s="2"/>
      <c r="H1045" s="48"/>
      <c r="I1045" s="2"/>
      <c r="J1045" s="2"/>
      <c r="K1045" s="2"/>
      <c r="L1045" s="2"/>
      <c r="M1045" s="2"/>
      <c r="N1045" s="2"/>
      <c r="O1045" s="1286"/>
      <c r="P1045" s="95"/>
      <c r="Q1045" s="95"/>
      <c r="AE1045" s="95"/>
      <c r="AF1045" s="95"/>
      <c r="AG1045" s="95"/>
      <c r="AH1045" s="2"/>
      <c r="AI1045" s="2"/>
      <c r="AJ1045" s="2"/>
      <c r="AK1045" s="2"/>
    </row>
    <row r="1046" spans="1:37" ht="15.75" customHeight="1" x14ac:dyDescent="0.2">
      <c r="A1046" s="1"/>
      <c r="B1046" s="2"/>
      <c r="C1046" s="1"/>
      <c r="D1046" s="1"/>
      <c r="E1046" s="48"/>
      <c r="F1046" s="48"/>
      <c r="G1046" s="2"/>
      <c r="H1046" s="48"/>
      <c r="I1046" s="2"/>
      <c r="J1046" s="2"/>
      <c r="K1046" s="2"/>
      <c r="L1046" s="2"/>
      <c r="M1046" s="2"/>
      <c r="N1046" s="2"/>
      <c r="O1046" s="1286"/>
      <c r="P1046" s="95"/>
      <c r="Q1046" s="95"/>
      <c r="AE1046" s="95"/>
      <c r="AF1046" s="95"/>
      <c r="AG1046" s="95"/>
      <c r="AH1046" s="2"/>
      <c r="AI1046" s="2"/>
      <c r="AJ1046" s="2"/>
      <c r="AK1046" s="2"/>
    </row>
    <row r="1047" spans="1:37" ht="15.75" customHeight="1" x14ac:dyDescent="0.2">
      <c r="A1047" s="1"/>
      <c r="B1047" s="2"/>
      <c r="C1047" s="1"/>
      <c r="D1047" s="1"/>
      <c r="E1047" s="48"/>
      <c r="F1047" s="48"/>
      <c r="G1047" s="2"/>
      <c r="H1047" s="48"/>
      <c r="I1047" s="2"/>
      <c r="J1047" s="2"/>
      <c r="K1047" s="2"/>
      <c r="L1047" s="2"/>
      <c r="M1047" s="2"/>
      <c r="N1047" s="2"/>
      <c r="O1047" s="1286"/>
      <c r="P1047" s="95"/>
      <c r="Q1047" s="95"/>
      <c r="AE1047" s="95"/>
      <c r="AF1047" s="95"/>
      <c r="AG1047" s="95"/>
      <c r="AH1047" s="2"/>
      <c r="AI1047" s="2"/>
      <c r="AJ1047" s="2"/>
      <c r="AK1047" s="2"/>
    </row>
    <row r="1048" spans="1:37" ht="15.75" customHeight="1" x14ac:dyDescent="0.2">
      <c r="A1048" s="1"/>
      <c r="B1048" s="2"/>
      <c r="C1048" s="1"/>
      <c r="D1048" s="1"/>
      <c r="E1048" s="48"/>
      <c r="F1048" s="48"/>
      <c r="G1048" s="2"/>
      <c r="H1048" s="48"/>
      <c r="I1048" s="2"/>
      <c r="J1048" s="2"/>
      <c r="K1048" s="2"/>
      <c r="L1048" s="2"/>
      <c r="M1048" s="2"/>
      <c r="N1048" s="2"/>
      <c r="O1048" s="1286"/>
      <c r="P1048" s="95"/>
      <c r="Q1048" s="95"/>
      <c r="AE1048" s="95"/>
      <c r="AF1048" s="95"/>
      <c r="AG1048" s="95"/>
      <c r="AH1048" s="2"/>
      <c r="AI1048" s="2"/>
      <c r="AJ1048" s="2"/>
      <c r="AK1048" s="2"/>
    </row>
    <row r="1049" spans="1:37" ht="15.75" customHeight="1" x14ac:dyDescent="0.2">
      <c r="A1049" s="1"/>
      <c r="B1049" s="2"/>
      <c r="C1049" s="1"/>
      <c r="D1049" s="1"/>
      <c r="E1049" s="48"/>
      <c r="F1049" s="48"/>
      <c r="G1049" s="2"/>
      <c r="H1049" s="48"/>
      <c r="I1049" s="2"/>
      <c r="J1049" s="2"/>
      <c r="K1049" s="2"/>
      <c r="L1049" s="2"/>
      <c r="M1049" s="2"/>
      <c r="N1049" s="2"/>
      <c r="O1049" s="1286"/>
      <c r="P1049" s="95"/>
      <c r="Q1049" s="95"/>
      <c r="AE1049" s="95"/>
      <c r="AF1049" s="95"/>
      <c r="AG1049" s="95"/>
      <c r="AH1049" s="2"/>
      <c r="AI1049" s="2"/>
      <c r="AJ1049" s="2"/>
      <c r="AK1049" s="2"/>
    </row>
    <row r="1050" spans="1:37" ht="15.75" customHeight="1" x14ac:dyDescent="0.2">
      <c r="A1050" s="1"/>
      <c r="B1050" s="2"/>
      <c r="C1050" s="1"/>
      <c r="D1050" s="1"/>
      <c r="E1050" s="48"/>
      <c r="F1050" s="48"/>
      <c r="G1050" s="2"/>
      <c r="H1050" s="48"/>
      <c r="I1050" s="2"/>
      <c r="J1050" s="2"/>
      <c r="K1050" s="2"/>
      <c r="L1050" s="2"/>
      <c r="M1050" s="2"/>
      <c r="N1050" s="2"/>
      <c r="O1050" s="1286"/>
      <c r="P1050" s="95"/>
      <c r="Q1050" s="95"/>
      <c r="AE1050" s="95"/>
      <c r="AF1050" s="95"/>
      <c r="AG1050" s="95"/>
      <c r="AH1050" s="2"/>
      <c r="AI1050" s="2"/>
      <c r="AJ1050" s="2"/>
      <c r="AK1050" s="2"/>
    </row>
    <row r="1051" spans="1:37" ht="15.75" customHeight="1" x14ac:dyDescent="0.2">
      <c r="A1051" s="1"/>
      <c r="B1051" s="2"/>
      <c r="C1051" s="1"/>
      <c r="D1051" s="1"/>
      <c r="E1051" s="48"/>
      <c r="F1051" s="48"/>
      <c r="G1051" s="2"/>
      <c r="H1051" s="48"/>
      <c r="I1051" s="2"/>
      <c r="J1051" s="2"/>
      <c r="K1051" s="2"/>
      <c r="L1051" s="2"/>
      <c r="M1051" s="2"/>
      <c r="N1051" s="2"/>
      <c r="O1051" s="1286"/>
      <c r="P1051" s="95"/>
      <c r="Q1051" s="95"/>
      <c r="AE1051" s="95"/>
      <c r="AF1051" s="95"/>
      <c r="AG1051" s="95"/>
      <c r="AH1051" s="2"/>
      <c r="AI1051" s="2"/>
      <c r="AJ1051" s="2"/>
      <c r="AK1051" s="2"/>
    </row>
    <row r="1052" spans="1:37" ht="15.75" customHeight="1" x14ac:dyDescent="0.2">
      <c r="A1052" s="1"/>
      <c r="B1052" s="2"/>
      <c r="C1052" s="1"/>
      <c r="D1052" s="1"/>
      <c r="E1052" s="48"/>
      <c r="F1052" s="48"/>
      <c r="G1052" s="2"/>
      <c r="H1052" s="48"/>
      <c r="I1052" s="2"/>
      <c r="J1052" s="2"/>
      <c r="K1052" s="2"/>
      <c r="L1052" s="2"/>
      <c r="M1052" s="2"/>
      <c r="N1052" s="2"/>
      <c r="O1052" s="1286"/>
      <c r="P1052" s="95"/>
      <c r="Q1052" s="95"/>
      <c r="AE1052" s="95"/>
      <c r="AF1052" s="95"/>
      <c r="AG1052" s="95"/>
      <c r="AH1052" s="2"/>
      <c r="AI1052" s="2"/>
      <c r="AJ1052" s="2"/>
      <c r="AK1052" s="2"/>
    </row>
    <row r="1053" spans="1:37" ht="15.75" customHeight="1" x14ac:dyDescent="0.2">
      <c r="A1053" s="1"/>
      <c r="B1053" s="2"/>
      <c r="C1053" s="1"/>
      <c r="D1053" s="1"/>
      <c r="E1053" s="48"/>
      <c r="F1053" s="48"/>
      <c r="G1053" s="2"/>
      <c r="H1053" s="48"/>
      <c r="I1053" s="2"/>
      <c r="J1053" s="2"/>
      <c r="K1053" s="2"/>
      <c r="L1053" s="2"/>
      <c r="M1053" s="2"/>
      <c r="N1053" s="2"/>
      <c r="O1053" s="1286"/>
      <c r="P1053" s="95"/>
      <c r="Q1053" s="95"/>
      <c r="AE1053" s="95"/>
      <c r="AF1053" s="95"/>
      <c r="AG1053" s="95"/>
      <c r="AH1053" s="2"/>
      <c r="AI1053" s="2"/>
      <c r="AJ1053" s="2"/>
      <c r="AK1053" s="2"/>
    </row>
    <row r="1054" spans="1:37" ht="15.75" customHeight="1" x14ac:dyDescent="0.2">
      <c r="A1054" s="1"/>
      <c r="B1054" s="2"/>
      <c r="C1054" s="1"/>
      <c r="D1054" s="1"/>
      <c r="E1054" s="48"/>
      <c r="F1054" s="48"/>
      <c r="G1054" s="2"/>
      <c r="H1054" s="48"/>
      <c r="I1054" s="2"/>
      <c r="J1054" s="2"/>
      <c r="K1054" s="2"/>
      <c r="L1054" s="2"/>
      <c r="M1054" s="2"/>
      <c r="N1054" s="2"/>
      <c r="O1054" s="1286"/>
      <c r="P1054" s="95"/>
      <c r="Q1054" s="95"/>
      <c r="AE1054" s="95"/>
      <c r="AF1054" s="95"/>
      <c r="AG1054" s="95"/>
      <c r="AH1054" s="2"/>
      <c r="AI1054" s="2"/>
      <c r="AJ1054" s="2"/>
      <c r="AK1054" s="2"/>
    </row>
    <row r="1055" spans="1:37" ht="15.75" customHeight="1" x14ac:dyDescent="0.2">
      <c r="A1055" s="1"/>
      <c r="B1055" s="2"/>
      <c r="C1055" s="1"/>
      <c r="D1055" s="1"/>
      <c r="E1055" s="48"/>
      <c r="F1055" s="48"/>
      <c r="G1055" s="2"/>
      <c r="H1055" s="48"/>
      <c r="I1055" s="2"/>
      <c r="J1055" s="2"/>
      <c r="K1055" s="2"/>
      <c r="L1055" s="2"/>
      <c r="M1055" s="2"/>
      <c r="N1055" s="2"/>
      <c r="O1055" s="1286"/>
      <c r="P1055" s="95"/>
      <c r="Q1055" s="95"/>
      <c r="AE1055" s="95"/>
      <c r="AF1055" s="95"/>
      <c r="AG1055" s="95"/>
      <c r="AH1055" s="2"/>
      <c r="AI1055" s="2"/>
      <c r="AJ1055" s="2"/>
      <c r="AK1055" s="2"/>
    </row>
    <row r="1056" spans="1:37" ht="15.75" customHeight="1" x14ac:dyDescent="0.2">
      <c r="A1056" s="1"/>
      <c r="B1056" s="2"/>
      <c r="C1056" s="1"/>
      <c r="D1056" s="1"/>
      <c r="E1056" s="48"/>
      <c r="F1056" s="48"/>
      <c r="G1056" s="2"/>
      <c r="H1056" s="48"/>
      <c r="I1056" s="2"/>
      <c r="J1056" s="2"/>
      <c r="K1056" s="2"/>
      <c r="L1056" s="2"/>
      <c r="M1056" s="2"/>
      <c r="N1056" s="2"/>
      <c r="O1056" s="1286"/>
      <c r="P1056" s="95"/>
      <c r="Q1056" s="95"/>
      <c r="AE1056" s="95"/>
      <c r="AF1056" s="95"/>
      <c r="AG1056" s="95"/>
      <c r="AH1056" s="2"/>
      <c r="AI1056" s="2"/>
      <c r="AJ1056" s="2"/>
      <c r="AK1056" s="2"/>
    </row>
    <row r="1057" spans="1:37" ht="15.75" customHeight="1" x14ac:dyDescent="0.2">
      <c r="A1057" s="1"/>
      <c r="B1057" s="2"/>
      <c r="C1057" s="1"/>
      <c r="D1057" s="1"/>
      <c r="E1057" s="48"/>
      <c r="F1057" s="48"/>
      <c r="G1057" s="2"/>
      <c r="H1057" s="48"/>
      <c r="I1057" s="2"/>
      <c r="J1057" s="2"/>
      <c r="K1057" s="2"/>
      <c r="L1057" s="2"/>
      <c r="M1057" s="2"/>
      <c r="N1057" s="2"/>
      <c r="O1057" s="1286"/>
      <c r="P1057" s="95"/>
      <c r="Q1057" s="95"/>
      <c r="AE1057" s="95"/>
      <c r="AF1057" s="95"/>
      <c r="AG1057" s="95"/>
      <c r="AH1057" s="2"/>
      <c r="AI1057" s="2"/>
      <c r="AJ1057" s="2"/>
      <c r="AK1057" s="2"/>
    </row>
    <row r="1058" spans="1:37" ht="15.75" customHeight="1" x14ac:dyDescent="0.2">
      <c r="A1058" s="1"/>
      <c r="B1058" s="2"/>
      <c r="C1058" s="1"/>
      <c r="D1058" s="1"/>
      <c r="E1058" s="48"/>
      <c r="F1058" s="48"/>
      <c r="G1058" s="2"/>
      <c r="H1058" s="48"/>
      <c r="I1058" s="2"/>
      <c r="J1058" s="2"/>
      <c r="K1058" s="2"/>
      <c r="L1058" s="2"/>
      <c r="M1058" s="2"/>
      <c r="N1058" s="2"/>
      <c r="O1058" s="1286"/>
      <c r="P1058" s="95"/>
      <c r="Q1058" s="95"/>
      <c r="AE1058" s="95"/>
      <c r="AF1058" s="95"/>
      <c r="AG1058" s="95"/>
      <c r="AH1058" s="2"/>
      <c r="AI1058" s="2"/>
      <c r="AJ1058" s="2"/>
      <c r="AK1058" s="2"/>
    </row>
    <row r="1059" spans="1:37" ht="15.75" customHeight="1" x14ac:dyDescent="0.2">
      <c r="A1059" s="1"/>
      <c r="B1059" s="2"/>
      <c r="C1059" s="1"/>
      <c r="D1059" s="1"/>
      <c r="E1059" s="48"/>
      <c r="F1059" s="48"/>
      <c r="G1059" s="2"/>
      <c r="H1059" s="48"/>
      <c r="I1059" s="2"/>
      <c r="J1059" s="2"/>
      <c r="K1059" s="2"/>
      <c r="L1059" s="2"/>
      <c r="M1059" s="2"/>
      <c r="N1059" s="2"/>
      <c r="O1059" s="1286"/>
      <c r="P1059" s="95"/>
      <c r="Q1059" s="95"/>
      <c r="AE1059" s="95"/>
      <c r="AF1059" s="95"/>
      <c r="AG1059" s="95"/>
      <c r="AH1059" s="2"/>
      <c r="AI1059" s="2"/>
      <c r="AJ1059" s="2"/>
      <c r="AK1059" s="2"/>
    </row>
    <row r="1060" spans="1:37" ht="15.75" customHeight="1" x14ac:dyDescent="0.2">
      <c r="A1060" s="1"/>
      <c r="B1060" s="2"/>
      <c r="C1060" s="1"/>
      <c r="D1060" s="1"/>
      <c r="E1060" s="48"/>
      <c r="F1060" s="48"/>
      <c r="G1060" s="2"/>
      <c r="H1060" s="48"/>
      <c r="I1060" s="2"/>
      <c r="J1060" s="2"/>
      <c r="K1060" s="2"/>
      <c r="L1060" s="2"/>
      <c r="M1060" s="2"/>
      <c r="N1060" s="2"/>
      <c r="O1060" s="1286"/>
      <c r="P1060" s="95"/>
      <c r="Q1060" s="95"/>
      <c r="AE1060" s="95"/>
      <c r="AF1060" s="95"/>
      <c r="AG1060" s="95"/>
      <c r="AH1060" s="2"/>
      <c r="AI1060" s="2"/>
      <c r="AJ1060" s="2"/>
      <c r="AK1060" s="2"/>
    </row>
    <row r="1061" spans="1:37" ht="15.75" customHeight="1" x14ac:dyDescent="0.2">
      <c r="A1061" s="1"/>
      <c r="B1061" s="2"/>
      <c r="C1061" s="1"/>
      <c r="D1061" s="1"/>
      <c r="E1061" s="48"/>
      <c r="F1061" s="48"/>
      <c r="G1061" s="2"/>
      <c r="H1061" s="48"/>
      <c r="I1061" s="2"/>
      <c r="J1061" s="2"/>
      <c r="K1061" s="2"/>
      <c r="L1061" s="2"/>
      <c r="M1061" s="2"/>
      <c r="N1061" s="2"/>
      <c r="O1061" s="1286"/>
      <c r="P1061" s="95"/>
      <c r="Q1061" s="95"/>
      <c r="AE1061" s="95"/>
      <c r="AF1061" s="95"/>
      <c r="AG1061" s="95"/>
      <c r="AH1061" s="2"/>
      <c r="AI1061" s="2"/>
      <c r="AJ1061" s="2"/>
      <c r="AK1061" s="2"/>
    </row>
    <row r="1062" spans="1:37" ht="15.75" customHeight="1" x14ac:dyDescent="0.2">
      <c r="A1062" s="1"/>
      <c r="B1062" s="2"/>
      <c r="C1062" s="1"/>
      <c r="D1062" s="1"/>
      <c r="E1062" s="48"/>
      <c r="F1062" s="48"/>
      <c r="G1062" s="2"/>
      <c r="H1062" s="48"/>
      <c r="I1062" s="2"/>
      <c r="J1062" s="2"/>
      <c r="K1062" s="2"/>
      <c r="L1062" s="2"/>
      <c r="M1062" s="2"/>
      <c r="N1062" s="2"/>
      <c r="O1062" s="1286"/>
      <c r="P1062" s="95"/>
      <c r="Q1062" s="95"/>
      <c r="AE1062" s="95"/>
      <c r="AF1062" s="95"/>
      <c r="AG1062" s="95"/>
      <c r="AH1062" s="2"/>
      <c r="AI1062" s="2"/>
      <c r="AJ1062" s="2"/>
      <c r="AK1062" s="2"/>
    </row>
    <row r="1063" spans="1:37" ht="15.75" customHeight="1" x14ac:dyDescent="0.2">
      <c r="A1063" s="1"/>
      <c r="B1063" s="2"/>
      <c r="C1063" s="1"/>
      <c r="D1063" s="1"/>
      <c r="E1063" s="48"/>
      <c r="F1063" s="48"/>
      <c r="G1063" s="2"/>
      <c r="H1063" s="48"/>
      <c r="I1063" s="2"/>
      <c r="J1063" s="2"/>
      <c r="K1063" s="2"/>
      <c r="L1063" s="2"/>
      <c r="M1063" s="2"/>
      <c r="N1063" s="2"/>
      <c r="O1063" s="1286"/>
      <c r="P1063" s="95"/>
      <c r="Q1063" s="95"/>
      <c r="AE1063" s="95"/>
      <c r="AF1063" s="95"/>
      <c r="AG1063" s="95"/>
      <c r="AH1063" s="2"/>
      <c r="AI1063" s="2"/>
      <c r="AJ1063" s="2"/>
      <c r="AK1063" s="2"/>
    </row>
    <row r="1064" spans="1:37" ht="15.75" customHeight="1" x14ac:dyDescent="0.2">
      <c r="A1064" s="1"/>
      <c r="B1064" s="2"/>
      <c r="C1064" s="1"/>
      <c r="D1064" s="1"/>
      <c r="E1064" s="48"/>
      <c r="F1064" s="48"/>
      <c r="G1064" s="2"/>
      <c r="H1064" s="48"/>
      <c r="I1064" s="2"/>
      <c r="J1064" s="2"/>
      <c r="K1064" s="2"/>
      <c r="L1064" s="2"/>
      <c r="M1064" s="2"/>
      <c r="N1064" s="2"/>
      <c r="O1064" s="1286"/>
      <c r="P1064" s="95"/>
      <c r="Q1064" s="95"/>
      <c r="AE1064" s="95"/>
      <c r="AF1064" s="95"/>
      <c r="AG1064" s="95"/>
      <c r="AH1064" s="2"/>
      <c r="AI1064" s="2"/>
      <c r="AJ1064" s="2"/>
      <c r="AK1064" s="2"/>
    </row>
    <row r="1065" spans="1:37" ht="15.75" customHeight="1" x14ac:dyDescent="0.2">
      <c r="A1065" s="1"/>
      <c r="B1065" s="2"/>
      <c r="C1065" s="1"/>
      <c r="D1065" s="1"/>
      <c r="E1065" s="48"/>
      <c r="F1065" s="48"/>
      <c r="G1065" s="2"/>
      <c r="H1065" s="48"/>
      <c r="I1065" s="2"/>
      <c r="J1065" s="2"/>
      <c r="K1065" s="2"/>
      <c r="L1065" s="2"/>
      <c r="M1065" s="2"/>
      <c r="N1065" s="2"/>
      <c r="O1065" s="1286"/>
      <c r="P1065" s="95"/>
      <c r="Q1065" s="95"/>
      <c r="AE1065" s="95"/>
      <c r="AF1065" s="95"/>
      <c r="AG1065" s="95"/>
      <c r="AH1065" s="2"/>
      <c r="AI1065" s="2"/>
      <c r="AJ1065" s="2"/>
      <c r="AK1065" s="2"/>
    </row>
    <row r="1066" spans="1:37" ht="15.75" customHeight="1" x14ac:dyDescent="0.2">
      <c r="A1066" s="1"/>
      <c r="B1066" s="2"/>
      <c r="C1066" s="1"/>
      <c r="D1066" s="1"/>
      <c r="E1066" s="48"/>
      <c r="F1066" s="48"/>
      <c r="G1066" s="2"/>
      <c r="H1066" s="48"/>
      <c r="I1066" s="2"/>
      <c r="J1066" s="2"/>
      <c r="K1066" s="2"/>
      <c r="L1066" s="2"/>
      <c r="M1066" s="2"/>
      <c r="N1066" s="2"/>
      <c r="O1066" s="1286"/>
      <c r="P1066" s="95"/>
      <c r="Q1066" s="95"/>
      <c r="AE1066" s="95"/>
      <c r="AF1066" s="95"/>
      <c r="AG1066" s="95"/>
      <c r="AH1066" s="2"/>
      <c r="AI1066" s="2"/>
      <c r="AJ1066" s="2"/>
      <c r="AK1066" s="2"/>
    </row>
    <row r="1067" spans="1:37" ht="15.75" customHeight="1" x14ac:dyDescent="0.2">
      <c r="A1067" s="1"/>
      <c r="B1067" s="2"/>
      <c r="C1067" s="1"/>
      <c r="D1067" s="1"/>
      <c r="E1067" s="48"/>
      <c r="F1067" s="48"/>
      <c r="G1067" s="2"/>
      <c r="H1067" s="48"/>
      <c r="I1067" s="2"/>
      <c r="J1067" s="2"/>
      <c r="K1067" s="2"/>
      <c r="L1067" s="2"/>
      <c r="M1067" s="2"/>
      <c r="N1067" s="2"/>
      <c r="O1067" s="1286"/>
      <c r="P1067" s="95"/>
      <c r="Q1067" s="95"/>
      <c r="AE1067" s="95"/>
      <c r="AF1067" s="95"/>
      <c r="AG1067" s="95"/>
      <c r="AH1067" s="2"/>
      <c r="AI1067" s="2"/>
      <c r="AJ1067" s="2"/>
      <c r="AK1067" s="2"/>
    </row>
    <row r="1068" spans="1:37" ht="15.75" customHeight="1" x14ac:dyDescent="0.2">
      <c r="A1068" s="1"/>
      <c r="B1068" s="2"/>
      <c r="C1068" s="1"/>
      <c r="D1068" s="1"/>
      <c r="E1068" s="48"/>
      <c r="F1068" s="48"/>
      <c r="G1068" s="2"/>
      <c r="H1068" s="48"/>
      <c r="I1068" s="2"/>
      <c r="J1068" s="2"/>
      <c r="K1068" s="2"/>
      <c r="L1068" s="2"/>
      <c r="M1068" s="2"/>
      <c r="N1068" s="2"/>
      <c r="O1068" s="1286"/>
      <c r="P1068" s="95"/>
      <c r="Q1068" s="95"/>
      <c r="AE1068" s="95"/>
      <c r="AF1068" s="95"/>
      <c r="AG1068" s="95"/>
      <c r="AH1068" s="2"/>
      <c r="AI1068" s="2"/>
      <c r="AJ1068" s="2"/>
      <c r="AK1068" s="2"/>
    </row>
    <row r="1069" spans="1:37" ht="15.75" customHeight="1" x14ac:dyDescent="0.2">
      <c r="A1069" s="1"/>
      <c r="B1069" s="2"/>
      <c r="C1069" s="1"/>
      <c r="D1069" s="1"/>
      <c r="E1069" s="48"/>
      <c r="F1069" s="48"/>
      <c r="G1069" s="2"/>
      <c r="H1069" s="48"/>
      <c r="I1069" s="2"/>
      <c r="J1069" s="2"/>
      <c r="K1069" s="2"/>
      <c r="L1069" s="2"/>
      <c r="M1069" s="2"/>
      <c r="N1069" s="2"/>
      <c r="O1069" s="1286"/>
      <c r="P1069" s="95"/>
      <c r="Q1069" s="95"/>
      <c r="AE1069" s="95"/>
      <c r="AF1069" s="95"/>
      <c r="AG1069" s="95"/>
      <c r="AH1069" s="2"/>
      <c r="AI1069" s="2"/>
      <c r="AJ1069" s="2"/>
      <c r="AK1069" s="2"/>
    </row>
    <row r="1070" spans="1:37" ht="15.75" customHeight="1" x14ac:dyDescent="0.2">
      <c r="A1070" s="1"/>
      <c r="B1070" s="2"/>
      <c r="C1070" s="1"/>
      <c r="D1070" s="1"/>
      <c r="E1070" s="48"/>
      <c r="F1070" s="48"/>
      <c r="G1070" s="2"/>
      <c r="H1070" s="48"/>
      <c r="I1070" s="2"/>
      <c r="J1070" s="2"/>
      <c r="K1070" s="2"/>
      <c r="L1070" s="2"/>
      <c r="M1070" s="2"/>
      <c r="N1070" s="2"/>
      <c r="O1070" s="1286"/>
      <c r="P1070" s="95"/>
      <c r="Q1070" s="95"/>
      <c r="AE1070" s="95"/>
      <c r="AF1070" s="95"/>
      <c r="AG1070" s="95"/>
      <c r="AH1070" s="2"/>
      <c r="AI1070" s="2"/>
      <c r="AJ1070" s="2"/>
      <c r="AK1070" s="2"/>
    </row>
    <row r="1071" spans="1:37" ht="15.75" customHeight="1" x14ac:dyDescent="0.2">
      <c r="A1071" s="1"/>
      <c r="B1071" s="2"/>
      <c r="C1071" s="1"/>
      <c r="D1071" s="1"/>
      <c r="E1071" s="48"/>
      <c r="F1071" s="48"/>
      <c r="G1071" s="2"/>
      <c r="H1071" s="48"/>
      <c r="I1071" s="2"/>
      <c r="J1071" s="2"/>
      <c r="K1071" s="2"/>
      <c r="L1071" s="2"/>
      <c r="M1071" s="2"/>
      <c r="N1071" s="2"/>
      <c r="O1071" s="1286"/>
      <c r="P1071" s="95"/>
      <c r="Q1071" s="95"/>
      <c r="AE1071" s="95"/>
      <c r="AF1071" s="95"/>
      <c r="AG1071" s="95"/>
      <c r="AH1071" s="2"/>
      <c r="AI1071" s="2"/>
      <c r="AJ1071" s="2"/>
      <c r="AK1071" s="2"/>
    </row>
    <row r="1072" spans="1:37" ht="15.75" customHeight="1" x14ac:dyDescent="0.2">
      <c r="A1072" s="1"/>
      <c r="B1072" s="2"/>
      <c r="C1072" s="1"/>
      <c r="D1072" s="1"/>
      <c r="E1072" s="48"/>
      <c r="F1072" s="48"/>
      <c r="G1072" s="2"/>
      <c r="H1072" s="48"/>
      <c r="I1072" s="2"/>
      <c r="J1072" s="2"/>
      <c r="K1072" s="2"/>
      <c r="L1072" s="2"/>
      <c r="M1072" s="2"/>
      <c r="N1072" s="2"/>
      <c r="O1072" s="1286"/>
      <c r="P1072" s="95"/>
      <c r="Q1072" s="95"/>
      <c r="AE1072" s="95"/>
      <c r="AF1072" s="95"/>
      <c r="AG1072" s="95"/>
      <c r="AH1072" s="2"/>
      <c r="AI1072" s="2"/>
      <c r="AJ1072" s="2"/>
      <c r="AK1072" s="2"/>
    </row>
    <row r="1073" spans="1:37" ht="15.75" customHeight="1" x14ac:dyDescent="0.2">
      <c r="A1073" s="1"/>
      <c r="B1073" s="2"/>
      <c r="C1073" s="1"/>
      <c r="D1073" s="1"/>
      <c r="E1073" s="48"/>
      <c r="F1073" s="48"/>
      <c r="G1073" s="2"/>
      <c r="H1073" s="48"/>
      <c r="I1073" s="2"/>
      <c r="J1073" s="2"/>
      <c r="K1073" s="2"/>
      <c r="L1073" s="2"/>
      <c r="M1073" s="2"/>
      <c r="N1073" s="2"/>
      <c r="O1073" s="1286"/>
      <c r="P1073" s="95"/>
      <c r="Q1073" s="95"/>
      <c r="AE1073" s="95"/>
      <c r="AF1073" s="95"/>
      <c r="AG1073" s="95"/>
      <c r="AH1073" s="2"/>
      <c r="AI1073" s="2"/>
      <c r="AJ1073" s="2"/>
      <c r="AK1073" s="2"/>
    </row>
    <row r="1074" spans="1:37" ht="15.75" customHeight="1" x14ac:dyDescent="0.2">
      <c r="A1074" s="1"/>
      <c r="B1074" s="2"/>
      <c r="C1074" s="1"/>
      <c r="D1074" s="1"/>
      <c r="E1074" s="48"/>
      <c r="F1074" s="48"/>
      <c r="G1074" s="2"/>
      <c r="H1074" s="48"/>
      <c r="I1074" s="2"/>
      <c r="J1074" s="2"/>
      <c r="K1074" s="2"/>
      <c r="L1074" s="2"/>
      <c r="M1074" s="2"/>
      <c r="N1074" s="2"/>
      <c r="O1074" s="1286"/>
      <c r="P1074" s="95"/>
      <c r="Q1074" s="95"/>
      <c r="AE1074" s="95"/>
      <c r="AF1074" s="95"/>
      <c r="AG1074" s="95"/>
      <c r="AH1074" s="2"/>
      <c r="AI1074" s="2"/>
      <c r="AJ1074" s="2"/>
      <c r="AK1074" s="2"/>
    </row>
    <row r="1075" spans="1:37" ht="15.75" customHeight="1" x14ac:dyDescent="0.2">
      <c r="A1075" s="1"/>
      <c r="B1075" s="2"/>
      <c r="C1075" s="1"/>
      <c r="D1075" s="1"/>
      <c r="E1075" s="48"/>
      <c r="F1075" s="48"/>
      <c r="G1075" s="2"/>
      <c r="H1075" s="48"/>
      <c r="I1075" s="2"/>
      <c r="J1075" s="2"/>
      <c r="K1075" s="2"/>
      <c r="L1075" s="2"/>
      <c r="M1075" s="2"/>
      <c r="N1075" s="2"/>
      <c r="O1075" s="1286"/>
      <c r="P1075" s="95"/>
      <c r="Q1075" s="95"/>
      <c r="AE1075" s="95"/>
      <c r="AF1075" s="95"/>
      <c r="AG1075" s="95"/>
      <c r="AH1075" s="2"/>
      <c r="AI1075" s="2"/>
      <c r="AJ1075" s="2"/>
      <c r="AK1075" s="2"/>
    </row>
    <row r="1076" spans="1:37" ht="15.75" customHeight="1" x14ac:dyDescent="0.2">
      <c r="A1076" s="1"/>
      <c r="B1076" s="2"/>
      <c r="C1076" s="1"/>
      <c r="D1076" s="1"/>
      <c r="E1076" s="48"/>
      <c r="F1076" s="48"/>
      <c r="G1076" s="2"/>
      <c r="H1076" s="48"/>
      <c r="I1076" s="2"/>
      <c r="J1076" s="2"/>
      <c r="K1076" s="2"/>
      <c r="L1076" s="2"/>
      <c r="M1076" s="2"/>
      <c r="N1076" s="2"/>
      <c r="O1076" s="1286"/>
      <c r="P1076" s="95"/>
      <c r="Q1076" s="95"/>
      <c r="AE1076" s="95"/>
      <c r="AF1076" s="95"/>
      <c r="AG1076" s="95"/>
      <c r="AH1076" s="2"/>
      <c r="AI1076" s="2"/>
      <c r="AJ1076" s="2"/>
      <c r="AK1076" s="2"/>
    </row>
    <row r="1077" spans="1:37" ht="15.75" customHeight="1" x14ac:dyDescent="0.2">
      <c r="A1077" s="1"/>
      <c r="B1077" s="2"/>
      <c r="C1077" s="1"/>
      <c r="D1077" s="1"/>
      <c r="E1077" s="48"/>
      <c r="F1077" s="48"/>
      <c r="G1077" s="2"/>
      <c r="H1077" s="48"/>
      <c r="I1077" s="2"/>
      <c r="J1077" s="2"/>
      <c r="K1077" s="2"/>
      <c r="L1077" s="2"/>
      <c r="M1077" s="2"/>
      <c r="N1077" s="2"/>
      <c r="O1077" s="1286"/>
      <c r="P1077" s="95"/>
      <c r="Q1077" s="95"/>
      <c r="AE1077" s="95"/>
      <c r="AF1077" s="95"/>
      <c r="AG1077" s="95"/>
      <c r="AH1077" s="2"/>
      <c r="AI1077" s="2"/>
      <c r="AJ1077" s="2"/>
      <c r="AK1077" s="2"/>
    </row>
    <row r="1078" spans="1:37" ht="15.75" customHeight="1" x14ac:dyDescent="0.2">
      <c r="A1078" s="1"/>
      <c r="B1078" s="2"/>
      <c r="C1078" s="1"/>
      <c r="D1078" s="1"/>
      <c r="E1078" s="48"/>
      <c r="F1078" s="48"/>
      <c r="G1078" s="2"/>
      <c r="H1078" s="48"/>
      <c r="I1078" s="2"/>
      <c r="J1078" s="2"/>
      <c r="K1078" s="2"/>
      <c r="L1078" s="2"/>
      <c r="M1078" s="2"/>
      <c r="N1078" s="2"/>
      <c r="O1078" s="1286"/>
      <c r="P1078" s="95"/>
      <c r="Q1078" s="95"/>
      <c r="AE1078" s="95"/>
      <c r="AF1078" s="95"/>
      <c r="AG1078" s="95"/>
      <c r="AH1078" s="2"/>
      <c r="AI1078" s="2"/>
      <c r="AJ1078" s="2"/>
      <c r="AK1078" s="2"/>
    </row>
    <row r="1079" spans="1:37" ht="15.75" customHeight="1" x14ac:dyDescent="0.2">
      <c r="A1079" s="1"/>
      <c r="B1079" s="2"/>
      <c r="C1079" s="1"/>
      <c r="D1079" s="1"/>
      <c r="E1079" s="48"/>
      <c r="F1079" s="48"/>
      <c r="G1079" s="2"/>
      <c r="H1079" s="48"/>
      <c r="I1079" s="2"/>
      <c r="J1079" s="2"/>
      <c r="K1079" s="2"/>
      <c r="L1079" s="2"/>
      <c r="M1079" s="2"/>
      <c r="N1079" s="2"/>
      <c r="O1079" s="1286"/>
      <c r="P1079" s="95"/>
      <c r="Q1079" s="95"/>
      <c r="AE1079" s="95"/>
      <c r="AF1079" s="95"/>
      <c r="AG1079" s="95"/>
      <c r="AH1079" s="2"/>
      <c r="AI1079" s="2"/>
      <c r="AJ1079" s="2"/>
      <c r="AK1079" s="2"/>
    </row>
    <row r="1080" spans="1:37" ht="15.75" customHeight="1" x14ac:dyDescent="0.2">
      <c r="A1080" s="1"/>
      <c r="B1080" s="2"/>
      <c r="C1080" s="1"/>
      <c r="D1080" s="1"/>
      <c r="E1080" s="48"/>
      <c r="F1080" s="48"/>
      <c r="G1080" s="2"/>
      <c r="H1080" s="48"/>
      <c r="I1080" s="2"/>
      <c r="J1080" s="2"/>
      <c r="K1080" s="2"/>
      <c r="L1080" s="2"/>
      <c r="M1080" s="2"/>
      <c r="N1080" s="2"/>
      <c r="O1080" s="1286"/>
      <c r="P1080" s="95"/>
      <c r="Q1080" s="95"/>
      <c r="AE1080" s="95"/>
      <c r="AF1080" s="95"/>
      <c r="AG1080" s="95"/>
      <c r="AH1080" s="2"/>
      <c r="AI1080" s="2"/>
      <c r="AJ1080" s="2"/>
      <c r="AK1080" s="2"/>
    </row>
    <row r="1081" spans="1:37" ht="15.75" customHeight="1" x14ac:dyDescent="0.2">
      <c r="A1081" s="1"/>
      <c r="B1081" s="2"/>
      <c r="C1081" s="1"/>
      <c r="D1081" s="1"/>
      <c r="E1081" s="48"/>
      <c r="F1081" s="48"/>
      <c r="G1081" s="2"/>
      <c r="H1081" s="48"/>
      <c r="I1081" s="2"/>
      <c r="J1081" s="2"/>
      <c r="K1081" s="2"/>
      <c r="L1081" s="2"/>
      <c r="M1081" s="2"/>
      <c r="N1081" s="2"/>
      <c r="O1081" s="1286"/>
      <c r="P1081" s="95"/>
      <c r="Q1081" s="95"/>
      <c r="AE1081" s="95"/>
      <c r="AF1081" s="95"/>
      <c r="AG1081" s="95"/>
      <c r="AH1081" s="2"/>
      <c r="AI1081" s="2"/>
      <c r="AJ1081" s="2"/>
      <c r="AK1081" s="2"/>
    </row>
    <row r="1082" spans="1:37" ht="15.75" customHeight="1" x14ac:dyDescent="0.2">
      <c r="A1082" s="1"/>
      <c r="B1082" s="2"/>
      <c r="C1082" s="1"/>
      <c r="D1082" s="1"/>
      <c r="E1082" s="48"/>
      <c r="F1082" s="48"/>
      <c r="G1082" s="2"/>
      <c r="H1082" s="48"/>
      <c r="I1082" s="2"/>
      <c r="J1082" s="2"/>
      <c r="K1082" s="2"/>
      <c r="L1082" s="2"/>
      <c r="M1082" s="2"/>
      <c r="N1082" s="2"/>
      <c r="O1082" s="1286"/>
      <c r="P1082" s="95"/>
      <c r="Q1082" s="95"/>
      <c r="AE1082" s="95"/>
      <c r="AF1082" s="95"/>
      <c r="AG1082" s="95"/>
      <c r="AH1082" s="2"/>
      <c r="AI1082" s="2"/>
      <c r="AJ1082" s="2"/>
      <c r="AK1082" s="2"/>
    </row>
    <row r="1083" spans="1:37" ht="15.75" customHeight="1" x14ac:dyDescent="0.2">
      <c r="A1083" s="1"/>
      <c r="B1083" s="2"/>
      <c r="C1083" s="1"/>
      <c r="D1083" s="1"/>
      <c r="E1083" s="48"/>
      <c r="F1083" s="48"/>
      <c r="G1083" s="2"/>
      <c r="H1083" s="48"/>
      <c r="I1083" s="2"/>
      <c r="J1083" s="2"/>
      <c r="K1083" s="2"/>
      <c r="L1083" s="2"/>
      <c r="M1083" s="2"/>
      <c r="N1083" s="2"/>
      <c r="O1083" s="1286"/>
      <c r="P1083" s="95"/>
      <c r="Q1083" s="95"/>
      <c r="AE1083" s="95"/>
      <c r="AF1083" s="95"/>
      <c r="AG1083" s="95"/>
      <c r="AH1083" s="2"/>
      <c r="AI1083" s="2"/>
      <c r="AJ1083" s="2"/>
      <c r="AK1083" s="2"/>
    </row>
    <row r="1084" spans="1:37" ht="15.75" customHeight="1" x14ac:dyDescent="0.2">
      <c r="A1084" s="1"/>
      <c r="B1084" s="2"/>
      <c r="C1084" s="1"/>
      <c r="D1084" s="1"/>
      <c r="E1084" s="48"/>
      <c r="F1084" s="48"/>
      <c r="G1084" s="2"/>
      <c r="H1084" s="48"/>
      <c r="I1084" s="2"/>
      <c r="J1084" s="2"/>
      <c r="K1084" s="2"/>
      <c r="L1084" s="2"/>
      <c r="M1084" s="2"/>
      <c r="N1084" s="2"/>
      <c r="O1084" s="1286"/>
      <c r="P1084" s="95"/>
      <c r="Q1084" s="95"/>
      <c r="AE1084" s="95"/>
      <c r="AF1084" s="95"/>
      <c r="AG1084" s="95"/>
      <c r="AH1084" s="2"/>
      <c r="AI1084" s="2"/>
      <c r="AJ1084" s="2"/>
      <c r="AK1084" s="2"/>
    </row>
    <row r="1085" spans="1:37" ht="15.75" customHeight="1" x14ac:dyDescent="0.2">
      <c r="A1085" s="1"/>
      <c r="B1085" s="2"/>
      <c r="C1085" s="1"/>
      <c r="D1085" s="1"/>
      <c r="E1085" s="48"/>
      <c r="F1085" s="48"/>
      <c r="G1085" s="2"/>
      <c r="H1085" s="48"/>
      <c r="I1085" s="2"/>
      <c r="J1085" s="2"/>
      <c r="K1085" s="2"/>
      <c r="L1085" s="2"/>
      <c r="M1085" s="2"/>
      <c r="N1085" s="2"/>
      <c r="O1085" s="1286"/>
      <c r="P1085" s="95"/>
      <c r="Q1085" s="95"/>
      <c r="AE1085" s="95"/>
      <c r="AF1085" s="95"/>
      <c r="AG1085" s="95"/>
      <c r="AH1085" s="2"/>
      <c r="AI1085" s="2"/>
      <c r="AJ1085" s="2"/>
      <c r="AK1085" s="2"/>
    </row>
    <row r="1086" spans="1:37" ht="15.75" customHeight="1" x14ac:dyDescent="0.2">
      <c r="A1086" s="1"/>
      <c r="B1086" s="2"/>
      <c r="C1086" s="1"/>
      <c r="D1086" s="1"/>
      <c r="E1086" s="48"/>
      <c r="F1086" s="48"/>
      <c r="G1086" s="2"/>
      <c r="H1086" s="48"/>
      <c r="I1086" s="2"/>
      <c r="J1086" s="2"/>
      <c r="K1086" s="2"/>
      <c r="L1086" s="2"/>
      <c r="M1086" s="2"/>
      <c r="N1086" s="2"/>
      <c r="O1086" s="1286"/>
      <c r="P1086" s="95"/>
      <c r="Q1086" s="95"/>
      <c r="AE1086" s="95"/>
      <c r="AF1086" s="95"/>
      <c r="AG1086" s="95"/>
      <c r="AH1086" s="2"/>
      <c r="AI1086" s="2"/>
      <c r="AJ1086" s="2"/>
      <c r="AK1086" s="2"/>
    </row>
    <row r="1087" spans="1:37" ht="15.75" customHeight="1" x14ac:dyDescent="0.2">
      <c r="A1087" s="1"/>
      <c r="B1087" s="2"/>
      <c r="C1087" s="1"/>
      <c r="D1087" s="1"/>
      <c r="E1087" s="48"/>
      <c r="F1087" s="48"/>
      <c r="G1087" s="2"/>
      <c r="H1087" s="48"/>
      <c r="I1087" s="2"/>
      <c r="J1087" s="2"/>
      <c r="K1087" s="2"/>
      <c r="L1087" s="2"/>
      <c r="M1087" s="2"/>
      <c r="N1087" s="2"/>
      <c r="O1087" s="1286"/>
      <c r="P1087" s="95"/>
      <c r="Q1087" s="95"/>
      <c r="AE1087" s="95"/>
      <c r="AF1087" s="95"/>
      <c r="AG1087" s="95"/>
      <c r="AH1087" s="2"/>
      <c r="AI1087" s="2"/>
      <c r="AJ1087" s="2"/>
      <c r="AK1087" s="2"/>
    </row>
    <row r="1088" spans="1:37" ht="15.75" customHeight="1" x14ac:dyDescent="0.2">
      <c r="A1088" s="1"/>
      <c r="B1088" s="2"/>
      <c r="C1088" s="1"/>
      <c r="D1088" s="1"/>
      <c r="E1088" s="48"/>
      <c r="F1088" s="48"/>
      <c r="G1088" s="2"/>
      <c r="H1088" s="48"/>
      <c r="I1088" s="2"/>
      <c r="J1088" s="2"/>
      <c r="K1088" s="2"/>
      <c r="L1088" s="2"/>
      <c r="M1088" s="2"/>
      <c r="N1088" s="2"/>
      <c r="O1088" s="1286"/>
      <c r="P1088" s="95"/>
      <c r="Q1088" s="95"/>
      <c r="AE1088" s="95"/>
      <c r="AF1088" s="95"/>
      <c r="AG1088" s="95"/>
      <c r="AH1088" s="2"/>
      <c r="AI1088" s="2"/>
      <c r="AJ1088" s="2"/>
      <c r="AK1088" s="2"/>
    </row>
    <row r="1089" spans="1:37" ht="15.75" customHeight="1" x14ac:dyDescent="0.2">
      <c r="A1089" s="1"/>
      <c r="B1089" s="2"/>
      <c r="C1089" s="1"/>
      <c r="D1089" s="1"/>
      <c r="E1089" s="48"/>
      <c r="F1089" s="48"/>
      <c r="G1089" s="2"/>
      <c r="H1089" s="48"/>
      <c r="I1089" s="2"/>
      <c r="J1089" s="2"/>
      <c r="K1089" s="2"/>
      <c r="L1089" s="2"/>
      <c r="M1089" s="2"/>
      <c r="N1089" s="2"/>
      <c r="O1089" s="1286"/>
      <c r="P1089" s="95"/>
      <c r="Q1089" s="95"/>
      <c r="AE1089" s="95"/>
      <c r="AF1089" s="95"/>
      <c r="AG1089" s="95"/>
      <c r="AH1089" s="2"/>
      <c r="AI1089" s="2"/>
      <c r="AJ1089" s="2"/>
      <c r="AK1089" s="2"/>
    </row>
    <row r="1090" spans="1:37" ht="15.75" customHeight="1" x14ac:dyDescent="0.2">
      <c r="A1090" s="1"/>
      <c r="B1090" s="2"/>
      <c r="C1090" s="1"/>
      <c r="D1090" s="1"/>
      <c r="E1090" s="48"/>
      <c r="F1090" s="48"/>
      <c r="G1090" s="2"/>
      <c r="H1090" s="48"/>
      <c r="I1090" s="2"/>
      <c r="J1090" s="2"/>
      <c r="K1090" s="2"/>
      <c r="L1090" s="2"/>
      <c r="M1090" s="2"/>
      <c r="N1090" s="2"/>
      <c r="O1090" s="1286"/>
      <c r="P1090" s="95"/>
      <c r="Q1090" s="95"/>
      <c r="AE1090" s="95"/>
      <c r="AF1090" s="95"/>
      <c r="AG1090" s="95"/>
      <c r="AH1090" s="2"/>
      <c r="AI1090" s="2"/>
      <c r="AJ1090" s="2"/>
      <c r="AK1090" s="2"/>
    </row>
    <row r="1091" spans="1:37" ht="15.75" customHeight="1" x14ac:dyDescent="0.2">
      <c r="A1091" s="1"/>
      <c r="B1091" s="2"/>
      <c r="C1091" s="1"/>
      <c r="D1091" s="1"/>
      <c r="E1091" s="48"/>
      <c r="F1091" s="48"/>
      <c r="G1091" s="2"/>
      <c r="H1091" s="48"/>
      <c r="I1091" s="2"/>
      <c r="J1091" s="2"/>
      <c r="K1091" s="2"/>
      <c r="L1091" s="2"/>
      <c r="M1091" s="2"/>
      <c r="N1091" s="2"/>
      <c r="O1091" s="1286"/>
      <c r="P1091" s="95"/>
      <c r="Q1091" s="95"/>
      <c r="AE1091" s="95"/>
      <c r="AF1091" s="95"/>
      <c r="AG1091" s="95"/>
      <c r="AH1091" s="2"/>
      <c r="AI1091" s="2"/>
      <c r="AJ1091" s="2"/>
      <c r="AK1091" s="2"/>
    </row>
    <row r="1092" spans="1:37" ht="15.75" customHeight="1" x14ac:dyDescent="0.2">
      <c r="A1092" s="1"/>
      <c r="B1092" s="2"/>
      <c r="C1092" s="1"/>
      <c r="D1092" s="1"/>
      <c r="E1092" s="48"/>
      <c r="F1092" s="48"/>
      <c r="G1092" s="2"/>
      <c r="H1092" s="48"/>
      <c r="I1092" s="2"/>
      <c r="J1092" s="2"/>
      <c r="K1092" s="2"/>
      <c r="L1092" s="2"/>
      <c r="M1092" s="2"/>
      <c r="N1092" s="2"/>
      <c r="O1092" s="1286"/>
      <c r="P1092" s="95"/>
      <c r="Q1092" s="95"/>
      <c r="AE1092" s="95"/>
      <c r="AF1092" s="95"/>
      <c r="AG1092" s="95"/>
      <c r="AH1092" s="2"/>
      <c r="AI1092" s="2"/>
      <c r="AJ1092" s="2"/>
      <c r="AK1092" s="2"/>
    </row>
    <row r="1093" spans="1:37" ht="15.75" customHeight="1" x14ac:dyDescent="0.2">
      <c r="A1093" s="1"/>
      <c r="B1093" s="2"/>
      <c r="C1093" s="1"/>
      <c r="D1093" s="1"/>
      <c r="E1093" s="48"/>
      <c r="F1093" s="48"/>
      <c r="G1093" s="2"/>
      <c r="H1093" s="48"/>
      <c r="I1093" s="2"/>
      <c r="J1093" s="2"/>
      <c r="K1093" s="2"/>
      <c r="L1093" s="2"/>
      <c r="M1093" s="2"/>
      <c r="N1093" s="2"/>
      <c r="O1093" s="1286"/>
      <c r="P1093" s="95"/>
      <c r="Q1093" s="95"/>
      <c r="AE1093" s="95"/>
      <c r="AF1093" s="95"/>
      <c r="AG1093" s="95"/>
      <c r="AH1093" s="2"/>
      <c r="AI1093" s="2"/>
      <c r="AJ1093" s="2"/>
      <c r="AK1093" s="2"/>
    </row>
    <row r="1094" spans="1:37" ht="15.75" customHeight="1" x14ac:dyDescent="0.2">
      <c r="A1094" s="1"/>
      <c r="B1094" s="2"/>
      <c r="C1094" s="1"/>
      <c r="D1094" s="1"/>
      <c r="E1094" s="48"/>
      <c r="F1094" s="48"/>
      <c r="G1094" s="2"/>
      <c r="H1094" s="48"/>
      <c r="I1094" s="2"/>
      <c r="J1094" s="2"/>
      <c r="K1094" s="2"/>
      <c r="L1094" s="2"/>
      <c r="M1094" s="2"/>
      <c r="N1094" s="2"/>
      <c r="O1094" s="1286"/>
      <c r="P1094" s="95"/>
      <c r="Q1094" s="95"/>
      <c r="AE1094" s="95"/>
      <c r="AF1094" s="95"/>
      <c r="AG1094" s="95"/>
      <c r="AH1094" s="2"/>
      <c r="AI1094" s="2"/>
      <c r="AJ1094" s="2"/>
      <c r="AK1094" s="2"/>
    </row>
    <row r="1095" spans="1:37" ht="15.75" customHeight="1" x14ac:dyDescent="0.2">
      <c r="A1095" s="1"/>
      <c r="B1095" s="2"/>
      <c r="C1095" s="1"/>
      <c r="D1095" s="1"/>
      <c r="E1095" s="48"/>
      <c r="F1095" s="48"/>
      <c r="G1095" s="2"/>
      <c r="H1095" s="48"/>
      <c r="I1095" s="2"/>
      <c r="J1095" s="2"/>
      <c r="K1095" s="2"/>
      <c r="L1095" s="2"/>
      <c r="M1095" s="2"/>
      <c r="N1095" s="2"/>
      <c r="O1095" s="1286"/>
      <c r="P1095" s="95"/>
      <c r="Q1095" s="95"/>
      <c r="AE1095" s="95"/>
      <c r="AF1095" s="95"/>
      <c r="AG1095" s="95"/>
      <c r="AH1095" s="2"/>
      <c r="AI1095" s="2"/>
      <c r="AJ1095" s="2"/>
      <c r="AK1095" s="2"/>
    </row>
    <row r="1096" spans="1:37" ht="15.75" customHeight="1" x14ac:dyDescent="0.2">
      <c r="A1096" s="1"/>
      <c r="B1096" s="2"/>
      <c r="C1096" s="1"/>
      <c r="D1096" s="1"/>
      <c r="E1096" s="48"/>
      <c r="F1096" s="48"/>
      <c r="G1096" s="2"/>
      <c r="H1096" s="48"/>
      <c r="I1096" s="2"/>
      <c r="J1096" s="2"/>
      <c r="K1096" s="2"/>
      <c r="L1096" s="2"/>
      <c r="M1096" s="2"/>
      <c r="N1096" s="2"/>
      <c r="O1096" s="1286"/>
      <c r="P1096" s="95"/>
      <c r="Q1096" s="95"/>
      <c r="AE1096" s="95"/>
      <c r="AF1096" s="95"/>
      <c r="AG1096" s="95"/>
      <c r="AH1096" s="2"/>
      <c r="AI1096" s="2"/>
      <c r="AJ1096" s="2"/>
      <c r="AK1096" s="2"/>
    </row>
    <row r="1097" spans="1:37" ht="15.75" customHeight="1" x14ac:dyDescent="0.2">
      <c r="A1097" s="1"/>
      <c r="B1097" s="2"/>
      <c r="C1097" s="1"/>
      <c r="D1097" s="1"/>
      <c r="E1097" s="48"/>
      <c r="F1097" s="48"/>
      <c r="G1097" s="2"/>
      <c r="H1097" s="48"/>
      <c r="I1097" s="2"/>
      <c r="J1097" s="2"/>
      <c r="K1097" s="2"/>
      <c r="L1097" s="2"/>
      <c r="M1097" s="2"/>
      <c r="N1097" s="2"/>
      <c r="O1097" s="1286"/>
      <c r="P1097" s="95"/>
      <c r="Q1097" s="95"/>
      <c r="AE1097" s="95"/>
      <c r="AF1097" s="95"/>
      <c r="AG1097" s="95"/>
      <c r="AH1097" s="2"/>
      <c r="AI1097" s="2"/>
      <c r="AJ1097" s="2"/>
      <c r="AK1097" s="2"/>
    </row>
    <row r="1098" spans="1:37" ht="15.75" customHeight="1" x14ac:dyDescent="0.2">
      <c r="A1098" s="1"/>
      <c r="B1098" s="2"/>
      <c r="C1098" s="1"/>
      <c r="D1098" s="1"/>
      <c r="E1098" s="48"/>
      <c r="F1098" s="48"/>
      <c r="G1098" s="2"/>
      <c r="H1098" s="48"/>
      <c r="I1098" s="2"/>
      <c r="J1098" s="2"/>
      <c r="K1098" s="2"/>
      <c r="L1098" s="2"/>
      <c r="M1098" s="2"/>
      <c r="N1098" s="2"/>
      <c r="O1098" s="1286"/>
      <c r="P1098" s="95"/>
      <c r="Q1098" s="95"/>
      <c r="AE1098" s="95"/>
      <c r="AF1098" s="95"/>
      <c r="AG1098" s="95"/>
      <c r="AH1098" s="2"/>
      <c r="AI1098" s="2"/>
      <c r="AJ1098" s="2"/>
      <c r="AK1098" s="2"/>
    </row>
    <row r="1099" spans="1:37" ht="15.75" customHeight="1" x14ac:dyDescent="0.2">
      <c r="A1099" s="1"/>
      <c r="B1099" s="2"/>
      <c r="C1099" s="1"/>
      <c r="D1099" s="1"/>
      <c r="E1099" s="48"/>
      <c r="F1099" s="48"/>
      <c r="G1099" s="2"/>
      <c r="H1099" s="48"/>
      <c r="I1099" s="2"/>
      <c r="J1099" s="2"/>
      <c r="K1099" s="2"/>
      <c r="L1099" s="2"/>
      <c r="M1099" s="2"/>
      <c r="N1099" s="2"/>
      <c r="O1099" s="1286"/>
      <c r="P1099" s="95"/>
      <c r="Q1099" s="95"/>
      <c r="AE1099" s="95"/>
      <c r="AF1099" s="95"/>
      <c r="AG1099" s="95"/>
      <c r="AH1099" s="2"/>
      <c r="AI1099" s="2"/>
      <c r="AJ1099" s="2"/>
      <c r="AK1099" s="2"/>
    </row>
    <row r="1100" spans="1:37" ht="15.75" customHeight="1" x14ac:dyDescent="0.2">
      <c r="A1100" s="1"/>
      <c r="B1100" s="2"/>
      <c r="C1100" s="1"/>
      <c r="D1100" s="1"/>
      <c r="E1100" s="48"/>
      <c r="F1100" s="48"/>
      <c r="G1100" s="2"/>
      <c r="H1100" s="48"/>
      <c r="I1100" s="2"/>
      <c r="J1100" s="2"/>
      <c r="K1100" s="2"/>
      <c r="L1100" s="2"/>
      <c r="M1100" s="2"/>
      <c r="N1100" s="2"/>
      <c r="O1100" s="1286"/>
      <c r="P1100" s="95"/>
      <c r="Q1100" s="95"/>
      <c r="AE1100" s="95"/>
      <c r="AF1100" s="95"/>
      <c r="AG1100" s="95"/>
      <c r="AH1100" s="2"/>
      <c r="AI1100" s="2"/>
      <c r="AJ1100" s="2"/>
      <c r="AK1100" s="2"/>
    </row>
    <row r="1101" spans="1:37" ht="15.75" customHeight="1" x14ac:dyDescent="0.2">
      <c r="A1101" s="1"/>
      <c r="B1101" s="2"/>
      <c r="C1101" s="1"/>
      <c r="D1101" s="1"/>
      <c r="E1101" s="48"/>
      <c r="F1101" s="48"/>
      <c r="G1101" s="2"/>
      <c r="H1101" s="48"/>
      <c r="I1101" s="2"/>
      <c r="J1101" s="2"/>
      <c r="K1101" s="2"/>
      <c r="L1101" s="2"/>
      <c r="M1101" s="2"/>
      <c r="N1101" s="2"/>
      <c r="O1101" s="1286"/>
      <c r="P1101" s="95"/>
      <c r="Q1101" s="95"/>
      <c r="AE1101" s="95"/>
      <c r="AF1101" s="95"/>
      <c r="AG1101" s="95"/>
      <c r="AH1101" s="2"/>
      <c r="AI1101" s="2"/>
      <c r="AJ1101" s="2"/>
      <c r="AK1101" s="2"/>
    </row>
    <row r="1102" spans="1:37" ht="15.75" customHeight="1" x14ac:dyDescent="0.2">
      <c r="A1102" s="1"/>
      <c r="B1102" s="2"/>
      <c r="C1102" s="1"/>
      <c r="D1102" s="1"/>
      <c r="E1102" s="48"/>
      <c r="F1102" s="48"/>
      <c r="G1102" s="2"/>
      <c r="H1102" s="48"/>
      <c r="I1102" s="2"/>
      <c r="J1102" s="2"/>
      <c r="K1102" s="2"/>
      <c r="L1102" s="2"/>
      <c r="M1102" s="2"/>
      <c r="N1102" s="2"/>
      <c r="O1102" s="1286"/>
      <c r="P1102" s="95"/>
      <c r="Q1102" s="95"/>
      <c r="AE1102" s="95"/>
      <c r="AF1102" s="95"/>
      <c r="AG1102" s="95"/>
      <c r="AH1102" s="2"/>
      <c r="AI1102" s="2"/>
      <c r="AJ1102" s="2"/>
      <c r="AK1102" s="2"/>
    </row>
    <row r="1103" spans="1:37" ht="15.75" customHeight="1" x14ac:dyDescent="0.2">
      <c r="A1103" s="1"/>
      <c r="B1103" s="2"/>
      <c r="C1103" s="1"/>
      <c r="D1103" s="1"/>
      <c r="E1103" s="48"/>
      <c r="F1103" s="48"/>
      <c r="G1103" s="2"/>
      <c r="H1103" s="48"/>
      <c r="I1103" s="2"/>
      <c r="J1103" s="2"/>
      <c r="K1103" s="2"/>
      <c r="L1103" s="2"/>
      <c r="M1103" s="2"/>
      <c r="N1103" s="2"/>
      <c r="O1103" s="1286"/>
      <c r="P1103" s="95"/>
      <c r="Q1103" s="95"/>
      <c r="AE1103" s="95"/>
      <c r="AF1103" s="95"/>
      <c r="AG1103" s="95"/>
      <c r="AH1103" s="2"/>
      <c r="AI1103" s="2"/>
      <c r="AJ1103" s="2"/>
      <c r="AK1103" s="2"/>
    </row>
    <row r="1104" spans="1:37" ht="15.75" customHeight="1" x14ac:dyDescent="0.2">
      <c r="A1104" s="1"/>
      <c r="B1104" s="2"/>
      <c r="C1104" s="1"/>
      <c r="D1104" s="1"/>
      <c r="E1104" s="48"/>
      <c r="F1104" s="48"/>
      <c r="G1104" s="2"/>
      <c r="H1104" s="48"/>
      <c r="I1104" s="2"/>
      <c r="J1104" s="2"/>
      <c r="K1104" s="2"/>
      <c r="L1104" s="2"/>
      <c r="M1104" s="2"/>
      <c r="N1104" s="2"/>
      <c r="O1104" s="1286"/>
      <c r="P1104" s="95"/>
      <c r="Q1104" s="95"/>
      <c r="AE1104" s="95"/>
      <c r="AF1104" s="95"/>
      <c r="AG1104" s="95"/>
      <c r="AH1104" s="2"/>
      <c r="AI1104" s="2"/>
      <c r="AJ1104" s="2"/>
      <c r="AK1104" s="2"/>
    </row>
    <row r="1105" spans="1:37" ht="15.75" customHeight="1" x14ac:dyDescent="0.2">
      <c r="A1105" s="1"/>
      <c r="B1105" s="2"/>
      <c r="C1105" s="1"/>
      <c r="D1105" s="1"/>
      <c r="E1105" s="48"/>
      <c r="F1105" s="48"/>
      <c r="G1105" s="2"/>
      <c r="H1105" s="48"/>
      <c r="I1105" s="2"/>
      <c r="J1105" s="2"/>
      <c r="K1105" s="2"/>
      <c r="L1105" s="2"/>
      <c r="M1105" s="2"/>
      <c r="N1105" s="2"/>
      <c r="O1105" s="1286"/>
      <c r="P1105" s="95"/>
      <c r="Q1105" s="95"/>
      <c r="AE1105" s="95"/>
      <c r="AF1105" s="95"/>
      <c r="AG1105" s="95"/>
      <c r="AH1105" s="2"/>
      <c r="AI1105" s="2"/>
      <c r="AJ1105" s="2"/>
      <c r="AK1105" s="2"/>
    </row>
    <row r="1106" spans="1:37" ht="15.75" customHeight="1" x14ac:dyDescent="0.2">
      <c r="A1106" s="1"/>
      <c r="B1106" s="2"/>
      <c r="C1106" s="1"/>
      <c r="D1106" s="1"/>
      <c r="E1106" s="48"/>
      <c r="F1106" s="48"/>
      <c r="G1106" s="2"/>
      <c r="H1106" s="48"/>
      <c r="I1106" s="2"/>
      <c r="J1106" s="2"/>
      <c r="K1106" s="2"/>
      <c r="L1106" s="2"/>
      <c r="M1106" s="2"/>
      <c r="N1106" s="2"/>
      <c r="O1106" s="1286"/>
      <c r="P1106" s="95"/>
      <c r="Q1106" s="95"/>
      <c r="AE1106" s="95"/>
      <c r="AF1106" s="95"/>
      <c r="AG1106" s="95"/>
      <c r="AH1106" s="2"/>
      <c r="AI1106" s="2"/>
      <c r="AJ1106" s="2"/>
      <c r="AK1106" s="2"/>
    </row>
    <row r="1107" spans="1:37" ht="15.75" customHeight="1" x14ac:dyDescent="0.2">
      <c r="A1107" s="1"/>
      <c r="B1107" s="2"/>
      <c r="C1107" s="1"/>
      <c r="D1107" s="1"/>
      <c r="E1107" s="48"/>
      <c r="F1107" s="48"/>
      <c r="G1107" s="2"/>
      <c r="H1107" s="48"/>
      <c r="I1107" s="2"/>
      <c r="J1107" s="2"/>
      <c r="K1107" s="2"/>
      <c r="L1107" s="2"/>
      <c r="M1107" s="2"/>
      <c r="N1107" s="2"/>
      <c r="O1107" s="1286"/>
      <c r="P1107" s="95"/>
      <c r="Q1107" s="95"/>
      <c r="AE1107" s="95"/>
      <c r="AF1107" s="95"/>
      <c r="AG1107" s="95"/>
      <c r="AH1107" s="2"/>
      <c r="AI1107" s="2"/>
      <c r="AJ1107" s="2"/>
      <c r="AK1107" s="2"/>
    </row>
    <row r="1108" spans="1:37" ht="15.75" customHeight="1" x14ac:dyDescent="0.2">
      <c r="A1108" s="1"/>
      <c r="B1108" s="2"/>
      <c r="C1108" s="1"/>
      <c r="D1108" s="1"/>
      <c r="E1108" s="48"/>
      <c r="F1108" s="48"/>
      <c r="G1108" s="2"/>
      <c r="H1108" s="48"/>
      <c r="I1108" s="2"/>
      <c r="J1108" s="2"/>
      <c r="K1108" s="2"/>
      <c r="L1108" s="2"/>
      <c r="M1108" s="2"/>
      <c r="N1108" s="2"/>
      <c r="O1108" s="1286"/>
      <c r="P1108" s="95"/>
      <c r="Q1108" s="95"/>
      <c r="AE1108" s="95"/>
      <c r="AF1108" s="95"/>
      <c r="AG1108" s="95"/>
      <c r="AH1108" s="2"/>
      <c r="AI1108" s="2"/>
      <c r="AJ1108" s="2"/>
      <c r="AK1108" s="2"/>
    </row>
    <row r="1109" spans="1:37" ht="15.75" customHeight="1" x14ac:dyDescent="0.2">
      <c r="A1109" s="1"/>
      <c r="B1109" s="2"/>
      <c r="C1109" s="1"/>
      <c r="D1109" s="1"/>
      <c r="E1109" s="48"/>
      <c r="F1109" s="48"/>
      <c r="G1109" s="2"/>
      <c r="H1109" s="48"/>
      <c r="I1109" s="2"/>
      <c r="J1109" s="2"/>
      <c r="K1109" s="2"/>
      <c r="L1109" s="2"/>
      <c r="M1109" s="2"/>
      <c r="N1109" s="2"/>
      <c r="O1109" s="1286"/>
      <c r="P1109" s="95"/>
      <c r="Q1109" s="95"/>
      <c r="AE1109" s="95"/>
      <c r="AF1109" s="95"/>
      <c r="AG1109" s="95"/>
      <c r="AH1109" s="2"/>
      <c r="AI1109" s="2"/>
      <c r="AJ1109" s="2"/>
      <c r="AK1109" s="2"/>
    </row>
    <row r="1110" spans="1:37" ht="15.75" customHeight="1" x14ac:dyDescent="0.2">
      <c r="A1110" s="1"/>
      <c r="B1110" s="2"/>
      <c r="C1110" s="1"/>
      <c r="D1110" s="1"/>
      <c r="E1110" s="48"/>
      <c r="F1110" s="48"/>
      <c r="G1110" s="2"/>
      <c r="H1110" s="48"/>
      <c r="I1110" s="2"/>
      <c r="J1110" s="2"/>
      <c r="K1110" s="2"/>
      <c r="L1110" s="2"/>
      <c r="M1110" s="2"/>
      <c r="N1110" s="2"/>
      <c r="O1110" s="1286"/>
      <c r="P1110" s="95"/>
      <c r="Q1110" s="95"/>
      <c r="AE1110" s="95"/>
      <c r="AF1110" s="95"/>
      <c r="AG1110" s="95"/>
      <c r="AH1110" s="2"/>
      <c r="AI1110" s="2"/>
      <c r="AJ1110" s="2"/>
      <c r="AK1110" s="2"/>
    </row>
    <row r="1111" spans="1:37" ht="15.75" customHeight="1" x14ac:dyDescent="0.2">
      <c r="A1111" s="1"/>
      <c r="B1111" s="2"/>
      <c r="C1111" s="1"/>
      <c r="D1111" s="1"/>
      <c r="E1111" s="48"/>
      <c r="F1111" s="48"/>
      <c r="G1111" s="2"/>
      <c r="H1111" s="48"/>
      <c r="I1111" s="2"/>
      <c r="J1111" s="2"/>
      <c r="K1111" s="2"/>
      <c r="L1111" s="2"/>
      <c r="M1111" s="2"/>
      <c r="N1111" s="2"/>
      <c r="O1111" s="1286"/>
      <c r="P1111" s="95"/>
      <c r="Q1111" s="95"/>
      <c r="AE1111" s="95"/>
      <c r="AF1111" s="95"/>
      <c r="AG1111" s="95"/>
      <c r="AH1111" s="2"/>
      <c r="AI1111" s="2"/>
      <c r="AJ1111" s="2"/>
      <c r="AK1111" s="2"/>
    </row>
    <row r="1112" spans="1:37" ht="15.75" customHeight="1" x14ac:dyDescent="0.2">
      <c r="A1112" s="1"/>
      <c r="B1112" s="2"/>
      <c r="C1112" s="1"/>
      <c r="D1112" s="1"/>
      <c r="E1112" s="48"/>
      <c r="F1112" s="48"/>
      <c r="G1112" s="2"/>
      <c r="H1112" s="48"/>
      <c r="I1112" s="2"/>
      <c r="J1112" s="2"/>
      <c r="K1112" s="2"/>
      <c r="L1112" s="2"/>
      <c r="M1112" s="2"/>
      <c r="N1112" s="2"/>
      <c r="O1112" s="1286"/>
      <c r="P1112" s="95"/>
      <c r="Q1112" s="95"/>
      <c r="AE1112" s="95"/>
      <c r="AF1112" s="95"/>
      <c r="AG1112" s="95"/>
      <c r="AH1112" s="2"/>
      <c r="AI1112" s="2"/>
      <c r="AJ1112" s="2"/>
      <c r="AK1112" s="2"/>
    </row>
    <row r="1113" spans="1:37" ht="15.75" customHeight="1" x14ac:dyDescent="0.2">
      <c r="A1113" s="1"/>
      <c r="B1113" s="2"/>
      <c r="C1113" s="1"/>
      <c r="D1113" s="1"/>
      <c r="E1113" s="48"/>
      <c r="F1113" s="48"/>
      <c r="G1113" s="2"/>
      <c r="H1113" s="48"/>
      <c r="I1113" s="2"/>
      <c r="J1113" s="2"/>
      <c r="K1113" s="2"/>
      <c r="L1113" s="2"/>
      <c r="M1113" s="2"/>
      <c r="N1113" s="2"/>
      <c r="O1113" s="1286"/>
      <c r="P1113" s="95"/>
      <c r="Q1113" s="95"/>
      <c r="AE1113" s="95"/>
      <c r="AF1113" s="95"/>
      <c r="AG1113" s="95"/>
      <c r="AH1113" s="2"/>
      <c r="AI1113" s="2"/>
      <c r="AJ1113" s="2"/>
      <c r="AK1113" s="2"/>
    </row>
    <row r="1114" spans="1:37" ht="15.75" customHeight="1" x14ac:dyDescent="0.2">
      <c r="A1114" s="1"/>
      <c r="B1114" s="2"/>
      <c r="C1114" s="1"/>
      <c r="D1114" s="1"/>
      <c r="E1114" s="48"/>
      <c r="F1114" s="48"/>
      <c r="G1114" s="2"/>
      <c r="H1114" s="48"/>
      <c r="I1114" s="2"/>
      <c r="J1114" s="2"/>
      <c r="K1114" s="2"/>
      <c r="L1114" s="2"/>
      <c r="M1114" s="2"/>
      <c r="N1114" s="2"/>
      <c r="O1114" s="1286"/>
      <c r="P1114" s="95"/>
      <c r="Q1114" s="95"/>
      <c r="AE1114" s="95"/>
      <c r="AF1114" s="95"/>
      <c r="AG1114" s="95"/>
      <c r="AH1114" s="2"/>
      <c r="AI1114" s="2"/>
      <c r="AJ1114" s="2"/>
      <c r="AK1114" s="2"/>
    </row>
    <row r="1115" spans="1:37" ht="15.75" customHeight="1" x14ac:dyDescent="0.2">
      <c r="A1115" s="1"/>
      <c r="B1115" s="2"/>
      <c r="C1115" s="1"/>
      <c r="D1115" s="1"/>
      <c r="E1115" s="48"/>
      <c r="F1115" s="48"/>
      <c r="G1115" s="2"/>
      <c r="H1115" s="48"/>
      <c r="I1115" s="2"/>
      <c r="J1115" s="2"/>
      <c r="K1115" s="2"/>
      <c r="L1115" s="2"/>
      <c r="M1115" s="2"/>
      <c r="N1115" s="2"/>
      <c r="O1115" s="1286"/>
      <c r="P1115" s="95"/>
      <c r="Q1115" s="95"/>
      <c r="AE1115" s="95"/>
      <c r="AF1115" s="95"/>
      <c r="AG1115" s="95"/>
      <c r="AH1115" s="2"/>
      <c r="AI1115" s="2"/>
      <c r="AJ1115" s="2"/>
      <c r="AK1115" s="2"/>
    </row>
    <row r="1116" spans="1:37" ht="15.75" customHeight="1" x14ac:dyDescent="0.2">
      <c r="A1116" s="1"/>
      <c r="B1116" s="2"/>
      <c r="C1116" s="1"/>
      <c r="D1116" s="1"/>
      <c r="E1116" s="48"/>
      <c r="F1116" s="48"/>
      <c r="G1116" s="2"/>
      <c r="H1116" s="48"/>
      <c r="I1116" s="2"/>
      <c r="J1116" s="2"/>
      <c r="K1116" s="2"/>
      <c r="L1116" s="2"/>
      <c r="M1116" s="2"/>
      <c r="N1116" s="2"/>
      <c r="O1116" s="1286"/>
      <c r="P1116" s="95"/>
      <c r="Q1116" s="95"/>
      <c r="AE1116" s="95"/>
      <c r="AF1116" s="95"/>
      <c r="AG1116" s="95"/>
      <c r="AH1116" s="2"/>
      <c r="AI1116" s="2"/>
      <c r="AJ1116" s="2"/>
      <c r="AK1116" s="2"/>
    </row>
    <row r="1117" spans="1:37" ht="15.75" customHeight="1" x14ac:dyDescent="0.2">
      <c r="A1117" s="1"/>
      <c r="B1117" s="2"/>
      <c r="C1117" s="1"/>
      <c r="D1117" s="1"/>
      <c r="E1117" s="48"/>
      <c r="F1117" s="48"/>
      <c r="G1117" s="2"/>
      <c r="H1117" s="48"/>
      <c r="I1117" s="2"/>
      <c r="J1117" s="2"/>
      <c r="K1117" s="2"/>
      <c r="L1117" s="2"/>
      <c r="M1117" s="2"/>
      <c r="N1117" s="2"/>
      <c r="O1117" s="1286"/>
      <c r="P1117" s="95"/>
      <c r="Q1117" s="95"/>
      <c r="AE1117" s="95"/>
      <c r="AF1117" s="95"/>
      <c r="AG1117" s="95"/>
      <c r="AH1117" s="2"/>
      <c r="AI1117" s="2"/>
      <c r="AJ1117" s="2"/>
      <c r="AK1117" s="2"/>
    </row>
    <row r="1118" spans="1:37" ht="15.75" customHeight="1" x14ac:dyDescent="0.2">
      <c r="A1118" s="1"/>
      <c r="B1118" s="2"/>
      <c r="C1118" s="1"/>
      <c r="D1118" s="1"/>
      <c r="E1118" s="48"/>
      <c r="F1118" s="48"/>
      <c r="G1118" s="2"/>
      <c r="H1118" s="48"/>
      <c r="I1118" s="2"/>
      <c r="J1118" s="2"/>
      <c r="K1118" s="2"/>
      <c r="L1118" s="2"/>
      <c r="M1118" s="2"/>
      <c r="N1118" s="2"/>
      <c r="O1118" s="1286"/>
      <c r="P1118" s="95"/>
      <c r="Q1118" s="95"/>
      <c r="AE1118" s="95"/>
      <c r="AF1118" s="95"/>
      <c r="AG1118" s="95"/>
      <c r="AH1118" s="2"/>
      <c r="AI1118" s="2"/>
      <c r="AJ1118" s="2"/>
      <c r="AK1118" s="2"/>
    </row>
    <row r="1119" spans="1:37" ht="15.75" customHeight="1" x14ac:dyDescent="0.2">
      <c r="A1119" s="1"/>
      <c r="B1119" s="2"/>
      <c r="C1119" s="1"/>
      <c r="D1119" s="1"/>
      <c r="E1119" s="48"/>
      <c r="F1119" s="48"/>
      <c r="G1119" s="2"/>
      <c r="H1119" s="48"/>
      <c r="I1119" s="2"/>
      <c r="J1119" s="2"/>
      <c r="K1119" s="2"/>
      <c r="L1119" s="2"/>
      <c r="M1119" s="2"/>
      <c r="N1119" s="2"/>
      <c r="O1119" s="1286"/>
      <c r="P1119" s="95"/>
      <c r="Q1119" s="95"/>
      <c r="AE1119" s="95"/>
      <c r="AF1119" s="95"/>
      <c r="AG1119" s="95"/>
      <c r="AH1119" s="2"/>
      <c r="AI1119" s="2"/>
      <c r="AJ1119" s="2"/>
      <c r="AK1119" s="2"/>
    </row>
    <row r="1120" spans="1:37" ht="15.75" customHeight="1" x14ac:dyDescent="0.2">
      <c r="A1120" s="1"/>
      <c r="B1120" s="2"/>
      <c r="C1120" s="1"/>
      <c r="D1120" s="1"/>
      <c r="E1120" s="48"/>
      <c r="F1120" s="48"/>
      <c r="G1120" s="2"/>
      <c r="H1120" s="48"/>
      <c r="I1120" s="2"/>
      <c r="J1120" s="2"/>
      <c r="K1120" s="2"/>
      <c r="L1120" s="2"/>
      <c r="M1120" s="2"/>
      <c r="N1120" s="2"/>
      <c r="O1120" s="1286"/>
      <c r="P1120" s="95"/>
      <c r="Q1120" s="95"/>
      <c r="AE1120" s="95"/>
      <c r="AF1120" s="95"/>
      <c r="AG1120" s="95"/>
      <c r="AH1120" s="2"/>
      <c r="AI1120" s="2"/>
      <c r="AJ1120" s="2"/>
      <c r="AK1120" s="2"/>
    </row>
    <row r="1121" spans="1:37" ht="15.75" customHeight="1" x14ac:dyDescent="0.2">
      <c r="A1121" s="1"/>
      <c r="B1121" s="2"/>
      <c r="C1121" s="1"/>
      <c r="D1121" s="1"/>
      <c r="E1121" s="48"/>
      <c r="F1121" s="48"/>
      <c r="G1121" s="2"/>
      <c r="H1121" s="48"/>
      <c r="I1121" s="2"/>
      <c r="J1121" s="2"/>
      <c r="K1121" s="2"/>
      <c r="L1121" s="2"/>
      <c r="M1121" s="2"/>
      <c r="N1121" s="2"/>
      <c r="O1121" s="1286"/>
      <c r="P1121" s="95"/>
      <c r="Q1121" s="95"/>
      <c r="AE1121" s="95"/>
      <c r="AF1121" s="95"/>
      <c r="AG1121" s="95"/>
      <c r="AH1121" s="2"/>
      <c r="AI1121" s="2"/>
      <c r="AJ1121" s="2"/>
      <c r="AK1121" s="2"/>
    </row>
    <row r="1122" spans="1:37" ht="15.75" customHeight="1" x14ac:dyDescent="0.2">
      <c r="A1122" s="1"/>
      <c r="B1122" s="2"/>
      <c r="C1122" s="1"/>
      <c r="D1122" s="1"/>
      <c r="E1122" s="48"/>
      <c r="F1122" s="48"/>
      <c r="G1122" s="2"/>
      <c r="H1122" s="48"/>
      <c r="I1122" s="2"/>
      <c r="J1122" s="2"/>
      <c r="K1122" s="2"/>
      <c r="L1122" s="2"/>
      <c r="M1122" s="2"/>
      <c r="N1122" s="2"/>
      <c r="O1122" s="1286"/>
      <c r="P1122" s="95"/>
      <c r="Q1122" s="95"/>
      <c r="AE1122" s="95"/>
      <c r="AF1122" s="95"/>
      <c r="AG1122" s="95"/>
      <c r="AH1122" s="2"/>
      <c r="AI1122" s="2"/>
      <c r="AJ1122" s="2"/>
      <c r="AK1122" s="2"/>
    </row>
    <row r="1123" spans="1:37" ht="15.75" customHeight="1" x14ac:dyDescent="0.2">
      <c r="A1123" s="1"/>
      <c r="B1123" s="2"/>
      <c r="C1123" s="1"/>
      <c r="D1123" s="1"/>
      <c r="E1123" s="48"/>
      <c r="F1123" s="48"/>
      <c r="G1123" s="2"/>
      <c r="H1123" s="48"/>
      <c r="I1123" s="2"/>
      <c r="J1123" s="2"/>
      <c r="K1123" s="2"/>
      <c r="L1123" s="2"/>
      <c r="M1123" s="2"/>
      <c r="N1123" s="2"/>
      <c r="O1123" s="1286"/>
      <c r="P1123" s="95"/>
      <c r="Q1123" s="95"/>
      <c r="AE1123" s="95"/>
      <c r="AF1123" s="95"/>
      <c r="AG1123" s="95"/>
      <c r="AH1123" s="2"/>
      <c r="AI1123" s="2"/>
      <c r="AJ1123" s="2"/>
      <c r="AK1123" s="2"/>
    </row>
    <row r="1124" spans="1:37" ht="15.75" customHeight="1" x14ac:dyDescent="0.2">
      <c r="A1124" s="1"/>
      <c r="B1124" s="2"/>
      <c r="C1124" s="1"/>
      <c r="D1124" s="1"/>
      <c r="E1124" s="48"/>
      <c r="F1124" s="48"/>
      <c r="G1124" s="2"/>
      <c r="H1124" s="48"/>
      <c r="I1124" s="2"/>
      <c r="J1124" s="2"/>
      <c r="K1124" s="2"/>
      <c r="L1124" s="2"/>
      <c r="M1124" s="2"/>
      <c r="N1124" s="2"/>
      <c r="O1124" s="1286"/>
      <c r="P1124" s="95"/>
      <c r="Q1124" s="95"/>
      <c r="AE1124" s="95"/>
      <c r="AF1124" s="95"/>
      <c r="AG1124" s="95"/>
      <c r="AH1124" s="2"/>
      <c r="AI1124" s="2"/>
      <c r="AJ1124" s="2"/>
      <c r="AK1124" s="2"/>
    </row>
    <row r="1125" spans="1:37" ht="15.75" customHeight="1" x14ac:dyDescent="0.2">
      <c r="A1125" s="1"/>
      <c r="B1125" s="2"/>
      <c r="C1125" s="1"/>
      <c r="D1125" s="1"/>
      <c r="E1125" s="48"/>
      <c r="F1125" s="48"/>
      <c r="G1125" s="2"/>
      <c r="H1125" s="48"/>
      <c r="I1125" s="2"/>
      <c r="J1125" s="2"/>
      <c r="K1125" s="2"/>
      <c r="L1125" s="2"/>
      <c r="M1125" s="2"/>
      <c r="N1125" s="2"/>
      <c r="O1125" s="1286"/>
      <c r="P1125" s="95"/>
      <c r="Q1125" s="95"/>
      <c r="AE1125" s="95"/>
      <c r="AF1125" s="95"/>
      <c r="AG1125" s="95"/>
      <c r="AH1125" s="2"/>
      <c r="AI1125" s="2"/>
      <c r="AJ1125" s="2"/>
      <c r="AK1125" s="2"/>
    </row>
    <row r="1126" spans="1:37" ht="15.75" customHeight="1" x14ac:dyDescent="0.2">
      <c r="A1126" s="1"/>
      <c r="B1126" s="2"/>
      <c r="C1126" s="1"/>
      <c r="D1126" s="1"/>
      <c r="E1126" s="48"/>
      <c r="F1126" s="48"/>
      <c r="G1126" s="2"/>
      <c r="H1126" s="48"/>
      <c r="I1126" s="2"/>
      <c r="J1126" s="2"/>
      <c r="K1126" s="2"/>
      <c r="L1126" s="2"/>
      <c r="M1126" s="2"/>
      <c r="N1126" s="2"/>
      <c r="O1126" s="1286"/>
      <c r="P1126" s="95"/>
      <c r="Q1126" s="95"/>
      <c r="AE1126" s="95"/>
      <c r="AF1126" s="95"/>
      <c r="AG1126" s="95"/>
      <c r="AH1126" s="2"/>
      <c r="AI1126" s="2"/>
      <c r="AJ1126" s="2"/>
      <c r="AK1126" s="2"/>
    </row>
    <row r="1127" spans="1:37" ht="15.75" customHeight="1" x14ac:dyDescent="0.2">
      <c r="A1127" s="1"/>
      <c r="B1127" s="2"/>
      <c r="C1127" s="1"/>
      <c r="D1127" s="1"/>
      <c r="E1127" s="48"/>
      <c r="F1127" s="48"/>
      <c r="G1127" s="2"/>
      <c r="H1127" s="48"/>
      <c r="I1127" s="2"/>
      <c r="J1127" s="2"/>
      <c r="K1127" s="2"/>
      <c r="L1127" s="2"/>
      <c r="M1127" s="2"/>
      <c r="N1127" s="2"/>
      <c r="O1127" s="1286"/>
      <c r="P1127" s="95"/>
      <c r="Q1127" s="95"/>
      <c r="AE1127" s="95"/>
      <c r="AF1127" s="95"/>
      <c r="AG1127" s="95"/>
      <c r="AH1127" s="2"/>
      <c r="AI1127" s="2"/>
      <c r="AJ1127" s="2"/>
      <c r="AK1127" s="2"/>
    </row>
    <row r="1128" spans="1:37" ht="15.75" customHeight="1" x14ac:dyDescent="0.2">
      <c r="A1128" s="1"/>
      <c r="B1128" s="2"/>
      <c r="C1128" s="1"/>
      <c r="D1128" s="1"/>
      <c r="E1128" s="48"/>
      <c r="F1128" s="48"/>
      <c r="G1128" s="2"/>
      <c r="H1128" s="48"/>
      <c r="I1128" s="2"/>
      <c r="J1128" s="2"/>
      <c r="K1128" s="2"/>
      <c r="L1128" s="2"/>
      <c r="M1128" s="2"/>
      <c r="N1128" s="2"/>
      <c r="O1128" s="1286"/>
      <c r="P1128" s="95"/>
      <c r="Q1128" s="95"/>
      <c r="AE1128" s="95"/>
      <c r="AF1128" s="95"/>
      <c r="AG1128" s="95"/>
      <c r="AH1128" s="2"/>
      <c r="AI1128" s="2"/>
      <c r="AJ1128" s="2"/>
      <c r="AK1128" s="2"/>
    </row>
    <row r="1129" spans="1:37" ht="15.75" customHeight="1" x14ac:dyDescent="0.2">
      <c r="A1129" s="1"/>
      <c r="B1129" s="2"/>
      <c r="C1129" s="1"/>
      <c r="D1129" s="1"/>
      <c r="E1129" s="48"/>
      <c r="F1129" s="48"/>
      <c r="G1129" s="2"/>
      <c r="H1129" s="48"/>
      <c r="I1129" s="2"/>
      <c r="J1129" s="2"/>
      <c r="K1129" s="2"/>
      <c r="L1129" s="2"/>
      <c r="M1129" s="2"/>
      <c r="N1129" s="2"/>
      <c r="O1129" s="1286"/>
      <c r="P1129" s="95"/>
      <c r="Q1129" s="95"/>
      <c r="AE1129" s="95"/>
      <c r="AF1129" s="95"/>
      <c r="AG1129" s="95"/>
      <c r="AH1129" s="2"/>
      <c r="AI1129" s="2"/>
      <c r="AJ1129" s="2"/>
      <c r="AK1129" s="2"/>
    </row>
    <row r="1130" spans="1:37" ht="15.75" customHeight="1" x14ac:dyDescent="0.2">
      <c r="A1130" s="1"/>
      <c r="B1130" s="2"/>
      <c r="C1130" s="1"/>
      <c r="D1130" s="1"/>
      <c r="E1130" s="48"/>
      <c r="F1130" s="48"/>
      <c r="G1130" s="2"/>
      <c r="H1130" s="48"/>
      <c r="I1130" s="2"/>
      <c r="J1130" s="2"/>
      <c r="K1130" s="2"/>
      <c r="L1130" s="2"/>
      <c r="M1130" s="2"/>
      <c r="N1130" s="2"/>
      <c r="O1130" s="1286"/>
      <c r="P1130" s="95"/>
      <c r="Q1130" s="95"/>
      <c r="AE1130" s="95"/>
      <c r="AF1130" s="95"/>
      <c r="AG1130" s="95"/>
      <c r="AH1130" s="2"/>
      <c r="AI1130" s="2"/>
      <c r="AJ1130" s="2"/>
      <c r="AK1130" s="2"/>
    </row>
    <row r="1131" spans="1:37" ht="15.75" customHeight="1" x14ac:dyDescent="0.2">
      <c r="A1131" s="1"/>
      <c r="B1131" s="2"/>
      <c r="C1131" s="1"/>
      <c r="D1131" s="1"/>
      <c r="E1131" s="48"/>
      <c r="F1131" s="48"/>
      <c r="G1131" s="2"/>
      <c r="H1131" s="48"/>
      <c r="I1131" s="2"/>
      <c r="J1131" s="2"/>
      <c r="K1131" s="2"/>
      <c r="L1131" s="2"/>
      <c r="M1131" s="2"/>
      <c r="N1131" s="2"/>
      <c r="O1131" s="1286"/>
      <c r="P1131" s="95"/>
      <c r="Q1131" s="95"/>
      <c r="AE1131" s="95"/>
      <c r="AF1131" s="95"/>
      <c r="AG1131" s="95"/>
      <c r="AH1131" s="2"/>
      <c r="AI1131" s="2"/>
      <c r="AJ1131" s="2"/>
      <c r="AK1131" s="2"/>
    </row>
    <row r="1132" spans="1:37" ht="15.75" customHeight="1" x14ac:dyDescent="0.2">
      <c r="A1132" s="1"/>
      <c r="B1132" s="2"/>
      <c r="C1132" s="1"/>
      <c r="D1132" s="1"/>
      <c r="E1132" s="48"/>
      <c r="F1132" s="48"/>
      <c r="G1132" s="2"/>
      <c r="H1132" s="48"/>
      <c r="I1132" s="2"/>
      <c r="J1132" s="2"/>
      <c r="K1132" s="2"/>
      <c r="L1132" s="2"/>
      <c r="M1132" s="2"/>
      <c r="N1132" s="2"/>
      <c r="O1132" s="1286"/>
      <c r="P1132" s="95"/>
      <c r="Q1132" s="95"/>
      <c r="AE1132" s="95"/>
      <c r="AF1132" s="95"/>
      <c r="AG1132" s="95"/>
      <c r="AH1132" s="2"/>
      <c r="AI1132" s="2"/>
      <c r="AJ1132" s="2"/>
      <c r="AK1132" s="2"/>
    </row>
    <row r="1133" spans="1:37" ht="15.75" customHeight="1" x14ac:dyDescent="0.2">
      <c r="A1133" s="1"/>
      <c r="B1133" s="2"/>
      <c r="C1133" s="1"/>
      <c r="D1133" s="1"/>
      <c r="E1133" s="48"/>
      <c r="F1133" s="48"/>
      <c r="G1133" s="2"/>
      <c r="H1133" s="48"/>
      <c r="I1133" s="2"/>
      <c r="J1133" s="2"/>
      <c r="K1133" s="2"/>
      <c r="L1133" s="2"/>
      <c r="M1133" s="2"/>
      <c r="N1133" s="2"/>
      <c r="O1133" s="1286"/>
      <c r="P1133" s="95"/>
      <c r="Q1133" s="95"/>
      <c r="AE1133" s="95"/>
      <c r="AF1133" s="95"/>
      <c r="AG1133" s="95"/>
      <c r="AH1133" s="2"/>
      <c r="AI1133" s="2"/>
      <c r="AJ1133" s="2"/>
      <c r="AK1133" s="2"/>
    </row>
    <row r="1134" spans="1:37" ht="15.75" customHeight="1" x14ac:dyDescent="0.2">
      <c r="A1134" s="1"/>
      <c r="B1134" s="2"/>
      <c r="C1134" s="1"/>
      <c r="D1134" s="1"/>
      <c r="E1134" s="48"/>
      <c r="F1134" s="48"/>
      <c r="G1134" s="2"/>
      <c r="H1134" s="48"/>
      <c r="I1134" s="2"/>
      <c r="J1134" s="2"/>
      <c r="K1134" s="2"/>
      <c r="L1134" s="2"/>
      <c r="M1134" s="2"/>
      <c r="N1134" s="2"/>
      <c r="O1134" s="1286"/>
      <c r="P1134" s="95"/>
      <c r="Q1134" s="95"/>
      <c r="AE1134" s="95"/>
      <c r="AF1134" s="95"/>
      <c r="AG1134" s="95"/>
      <c r="AH1134" s="2"/>
      <c r="AI1134" s="2"/>
      <c r="AJ1134" s="2"/>
      <c r="AK1134" s="2"/>
    </row>
    <row r="1135" spans="1:37" ht="15.75" customHeight="1" x14ac:dyDescent="0.2">
      <c r="A1135" s="1"/>
      <c r="B1135" s="2"/>
      <c r="C1135" s="1"/>
      <c r="D1135" s="1"/>
      <c r="E1135" s="48"/>
      <c r="F1135" s="48"/>
      <c r="G1135" s="2"/>
      <c r="H1135" s="48"/>
      <c r="I1135" s="2"/>
      <c r="J1135" s="2"/>
      <c r="K1135" s="2"/>
      <c r="L1135" s="2"/>
      <c r="M1135" s="2"/>
      <c r="N1135" s="2"/>
      <c r="O1135" s="1286"/>
      <c r="P1135" s="95"/>
      <c r="Q1135" s="95"/>
      <c r="AE1135" s="95"/>
      <c r="AF1135" s="95"/>
      <c r="AG1135" s="95"/>
      <c r="AH1135" s="2"/>
      <c r="AI1135" s="2"/>
      <c r="AJ1135" s="2"/>
      <c r="AK1135" s="2"/>
    </row>
    <row r="1136" spans="1:37" ht="15.75" customHeight="1" x14ac:dyDescent="0.2">
      <c r="A1136" s="1"/>
      <c r="B1136" s="2"/>
      <c r="C1136" s="1"/>
      <c r="D1136" s="1"/>
      <c r="E1136" s="48"/>
      <c r="F1136" s="48"/>
      <c r="G1136" s="2"/>
      <c r="H1136" s="48"/>
      <c r="I1136" s="2"/>
      <c r="J1136" s="2"/>
      <c r="K1136" s="2"/>
      <c r="L1136" s="2"/>
      <c r="M1136" s="2"/>
      <c r="N1136" s="2"/>
      <c r="O1136" s="1286"/>
      <c r="P1136" s="95"/>
      <c r="Q1136" s="95"/>
      <c r="AE1136" s="95"/>
      <c r="AF1136" s="95"/>
      <c r="AG1136" s="95"/>
      <c r="AH1136" s="2"/>
      <c r="AI1136" s="2"/>
      <c r="AJ1136" s="2"/>
      <c r="AK1136" s="2"/>
    </row>
    <row r="1137" spans="1:37" ht="15.75" customHeight="1" x14ac:dyDescent="0.2">
      <c r="A1137" s="1"/>
      <c r="B1137" s="2"/>
      <c r="C1137" s="1"/>
      <c r="D1137" s="1"/>
      <c r="E1137" s="48"/>
      <c r="F1137" s="48"/>
      <c r="G1137" s="2"/>
      <c r="H1137" s="48"/>
      <c r="I1137" s="2"/>
      <c r="J1137" s="2"/>
      <c r="K1137" s="2"/>
      <c r="L1137" s="2"/>
      <c r="M1137" s="2"/>
      <c r="N1137" s="2"/>
      <c r="O1137" s="1286"/>
      <c r="P1137" s="95"/>
      <c r="Q1137" s="95"/>
      <c r="AE1137" s="95"/>
      <c r="AF1137" s="95"/>
      <c r="AG1137" s="95"/>
      <c r="AH1137" s="2"/>
      <c r="AI1137" s="2"/>
      <c r="AJ1137" s="2"/>
      <c r="AK1137" s="2"/>
    </row>
    <row r="1138" spans="1:37" ht="15.75" customHeight="1" x14ac:dyDescent="0.2">
      <c r="A1138" s="1"/>
      <c r="B1138" s="2"/>
      <c r="C1138" s="1"/>
      <c r="D1138" s="1"/>
      <c r="E1138" s="48"/>
      <c r="F1138" s="48"/>
      <c r="G1138" s="2"/>
      <c r="H1138" s="48"/>
      <c r="I1138" s="2"/>
      <c r="J1138" s="2"/>
      <c r="K1138" s="2"/>
      <c r="L1138" s="2"/>
      <c r="M1138" s="2"/>
      <c r="N1138" s="2"/>
      <c r="O1138" s="1286"/>
      <c r="P1138" s="95"/>
      <c r="Q1138" s="95"/>
      <c r="AE1138" s="95"/>
      <c r="AF1138" s="95"/>
      <c r="AG1138" s="95"/>
      <c r="AH1138" s="2"/>
      <c r="AI1138" s="2"/>
      <c r="AJ1138" s="2"/>
      <c r="AK1138" s="2"/>
    </row>
    <row r="1139" spans="1:37" ht="15.75" customHeight="1" x14ac:dyDescent="0.2">
      <c r="A1139" s="1"/>
      <c r="B1139" s="2"/>
      <c r="C1139" s="1"/>
      <c r="D1139" s="1"/>
      <c r="E1139" s="48"/>
      <c r="F1139" s="48"/>
      <c r="G1139" s="2"/>
      <c r="H1139" s="48"/>
      <c r="I1139" s="2"/>
      <c r="J1139" s="2"/>
      <c r="K1139" s="2"/>
      <c r="L1139" s="2"/>
      <c r="M1139" s="2"/>
      <c r="N1139" s="2"/>
      <c r="O1139" s="1286"/>
      <c r="P1139" s="95"/>
      <c r="Q1139" s="95"/>
      <c r="AE1139" s="95"/>
      <c r="AF1139" s="95"/>
      <c r="AG1139" s="95"/>
      <c r="AH1139" s="2"/>
      <c r="AI1139" s="2"/>
      <c r="AJ1139" s="2"/>
      <c r="AK1139" s="2"/>
    </row>
    <row r="1140" spans="1:37" ht="15.75" customHeight="1" x14ac:dyDescent="0.2">
      <c r="A1140" s="1"/>
      <c r="B1140" s="2"/>
      <c r="C1140" s="1"/>
      <c r="D1140" s="1"/>
      <c r="E1140" s="48"/>
      <c r="F1140" s="48"/>
      <c r="G1140" s="2"/>
      <c r="H1140" s="48"/>
      <c r="I1140" s="2"/>
      <c r="J1140" s="2"/>
      <c r="K1140" s="2"/>
      <c r="L1140" s="2"/>
      <c r="M1140" s="2"/>
      <c r="N1140" s="2"/>
      <c r="O1140" s="1286"/>
      <c r="P1140" s="95"/>
      <c r="Q1140" s="95"/>
      <c r="AE1140" s="95"/>
      <c r="AF1140" s="95"/>
      <c r="AG1140" s="95"/>
      <c r="AH1140" s="2"/>
      <c r="AI1140" s="2"/>
      <c r="AJ1140" s="2"/>
      <c r="AK1140" s="2"/>
    </row>
    <row r="1141" spans="1:37" ht="15.75" customHeight="1" x14ac:dyDescent="0.2">
      <c r="A1141" s="1"/>
      <c r="B1141" s="2"/>
      <c r="C1141" s="1"/>
      <c r="D1141" s="1"/>
      <c r="E1141" s="48"/>
      <c r="F1141" s="48"/>
      <c r="G1141" s="2"/>
      <c r="H1141" s="48"/>
      <c r="I1141" s="2"/>
      <c r="J1141" s="2"/>
      <c r="K1141" s="2"/>
      <c r="L1141" s="2"/>
      <c r="M1141" s="2"/>
      <c r="N1141" s="2"/>
      <c r="O1141" s="1286"/>
      <c r="P1141" s="95"/>
      <c r="Q1141" s="95"/>
      <c r="AE1141" s="95"/>
      <c r="AF1141" s="95"/>
      <c r="AG1141" s="95"/>
      <c r="AH1141" s="2"/>
      <c r="AI1141" s="2"/>
      <c r="AJ1141" s="2"/>
      <c r="AK1141" s="2"/>
    </row>
    <row r="1142" spans="1:37" ht="15.75" customHeight="1" x14ac:dyDescent="0.2">
      <c r="A1142" s="1"/>
      <c r="B1142" s="2"/>
      <c r="C1142" s="1"/>
      <c r="D1142" s="1"/>
      <c r="E1142" s="48"/>
      <c r="F1142" s="48"/>
      <c r="G1142" s="2"/>
      <c r="H1142" s="48"/>
      <c r="I1142" s="2"/>
      <c r="J1142" s="2"/>
      <c r="K1142" s="2"/>
      <c r="L1142" s="2"/>
      <c r="M1142" s="2"/>
      <c r="N1142" s="2"/>
      <c r="O1142" s="1286"/>
      <c r="P1142" s="95"/>
      <c r="Q1142" s="95"/>
      <c r="AE1142" s="95"/>
      <c r="AF1142" s="95"/>
      <c r="AG1142" s="95"/>
      <c r="AH1142" s="2"/>
      <c r="AI1142" s="2"/>
      <c r="AJ1142" s="2"/>
      <c r="AK1142" s="2"/>
    </row>
    <row r="1143" spans="1:37" ht="15.75" customHeight="1" x14ac:dyDescent="0.2">
      <c r="A1143" s="1"/>
      <c r="B1143" s="2"/>
      <c r="C1143" s="1"/>
      <c r="D1143" s="1"/>
      <c r="E1143" s="48"/>
      <c r="F1143" s="48"/>
      <c r="G1143" s="2"/>
      <c r="H1143" s="48"/>
      <c r="I1143" s="2"/>
      <c r="J1143" s="2"/>
      <c r="K1143" s="2"/>
      <c r="L1143" s="2"/>
      <c r="M1143" s="2"/>
      <c r="N1143" s="2"/>
      <c r="O1143" s="1286"/>
      <c r="P1143" s="95"/>
      <c r="Q1143" s="95"/>
      <c r="AE1143" s="95"/>
      <c r="AF1143" s="95"/>
      <c r="AG1143" s="95"/>
      <c r="AH1143" s="2"/>
      <c r="AI1143" s="2"/>
      <c r="AJ1143" s="2"/>
      <c r="AK1143" s="2"/>
    </row>
    <row r="1144" spans="1:37" ht="15.75" customHeight="1" x14ac:dyDescent="0.2">
      <c r="A1144" s="1"/>
      <c r="B1144" s="2"/>
      <c r="C1144" s="1"/>
      <c r="D1144" s="1"/>
      <c r="E1144" s="48"/>
      <c r="F1144" s="48"/>
      <c r="G1144" s="2"/>
      <c r="H1144" s="48"/>
      <c r="I1144" s="2"/>
      <c r="J1144" s="2"/>
      <c r="K1144" s="2"/>
      <c r="L1144" s="2"/>
      <c r="M1144" s="2"/>
      <c r="N1144" s="2"/>
      <c r="O1144" s="1286"/>
      <c r="P1144" s="95"/>
      <c r="Q1144" s="95"/>
      <c r="AE1144" s="95"/>
      <c r="AF1144" s="95"/>
      <c r="AG1144" s="95"/>
      <c r="AH1144" s="2"/>
      <c r="AI1144" s="2"/>
      <c r="AJ1144" s="2"/>
      <c r="AK1144" s="2"/>
    </row>
    <row r="1145" spans="1:37" ht="15.75" customHeight="1" x14ac:dyDescent="0.2">
      <c r="A1145" s="1"/>
      <c r="B1145" s="2"/>
      <c r="C1145" s="1"/>
      <c r="D1145" s="1"/>
      <c r="E1145" s="48"/>
      <c r="F1145" s="48"/>
      <c r="G1145" s="2"/>
      <c r="H1145" s="48"/>
      <c r="I1145" s="2"/>
      <c r="J1145" s="2"/>
      <c r="K1145" s="2"/>
      <c r="L1145" s="2"/>
      <c r="M1145" s="2"/>
      <c r="N1145" s="2"/>
      <c r="O1145" s="1286"/>
      <c r="P1145" s="95"/>
      <c r="Q1145" s="95"/>
      <c r="AE1145" s="95"/>
      <c r="AF1145" s="95"/>
      <c r="AG1145" s="95"/>
      <c r="AH1145" s="2"/>
      <c r="AI1145" s="2"/>
      <c r="AJ1145" s="2"/>
      <c r="AK1145" s="2"/>
    </row>
    <row r="1146" spans="1:37" ht="15.75" customHeight="1" x14ac:dyDescent="0.2">
      <c r="A1146" s="1"/>
      <c r="B1146" s="2"/>
      <c r="C1146" s="1"/>
      <c r="D1146" s="1"/>
      <c r="E1146" s="48"/>
      <c r="F1146" s="48"/>
      <c r="G1146" s="2"/>
      <c r="H1146" s="48"/>
      <c r="I1146" s="2"/>
      <c r="J1146" s="2"/>
      <c r="K1146" s="2"/>
      <c r="L1146" s="2"/>
      <c r="M1146" s="2"/>
      <c r="N1146" s="2"/>
      <c r="O1146" s="1286"/>
      <c r="P1146" s="95"/>
      <c r="Q1146" s="95"/>
      <c r="AE1146" s="95"/>
      <c r="AF1146" s="95"/>
      <c r="AG1146" s="95"/>
      <c r="AH1146" s="2"/>
      <c r="AI1146" s="2"/>
      <c r="AJ1146" s="2"/>
      <c r="AK1146" s="2"/>
    </row>
    <row r="1147" spans="1:37" ht="15.75" customHeight="1" x14ac:dyDescent="0.2">
      <c r="A1147" s="1"/>
      <c r="B1147" s="2"/>
      <c r="C1147" s="1"/>
      <c r="D1147" s="1"/>
      <c r="E1147" s="48"/>
      <c r="F1147" s="48"/>
      <c r="G1147" s="2"/>
      <c r="H1147" s="48"/>
      <c r="I1147" s="2"/>
      <c r="J1147" s="2"/>
      <c r="K1147" s="2"/>
      <c r="L1147" s="2"/>
      <c r="M1147" s="2"/>
      <c r="N1147" s="2"/>
      <c r="O1147" s="1286"/>
      <c r="P1147" s="95"/>
      <c r="Q1147" s="95"/>
      <c r="AE1147" s="95"/>
      <c r="AF1147" s="95"/>
      <c r="AG1147" s="95"/>
      <c r="AH1147" s="2"/>
      <c r="AI1147" s="2"/>
      <c r="AJ1147" s="2"/>
      <c r="AK1147" s="2"/>
    </row>
    <row r="1148" spans="1:37" ht="15.75" customHeight="1" x14ac:dyDescent="0.2">
      <c r="A1148" s="1"/>
      <c r="B1148" s="2"/>
      <c r="C1148" s="1"/>
      <c r="D1148" s="1"/>
      <c r="E1148" s="48"/>
      <c r="F1148" s="48"/>
      <c r="G1148" s="2"/>
      <c r="H1148" s="48"/>
      <c r="I1148" s="2"/>
      <c r="J1148" s="2"/>
      <c r="K1148" s="2"/>
      <c r="L1148" s="2"/>
      <c r="M1148" s="2"/>
      <c r="N1148" s="2"/>
      <c r="O1148" s="1286"/>
      <c r="P1148" s="95"/>
      <c r="Q1148" s="95"/>
      <c r="AE1148" s="95"/>
      <c r="AF1148" s="95"/>
      <c r="AG1148" s="95"/>
      <c r="AH1148" s="2"/>
      <c r="AI1148" s="2"/>
      <c r="AJ1148" s="2"/>
      <c r="AK1148" s="2"/>
    </row>
    <row r="1149" spans="1:37" ht="15.75" customHeight="1" x14ac:dyDescent="0.2">
      <c r="A1149" s="1"/>
      <c r="B1149" s="2"/>
      <c r="C1149" s="1"/>
      <c r="D1149" s="1"/>
      <c r="E1149" s="48"/>
      <c r="F1149" s="48"/>
      <c r="G1149" s="2"/>
      <c r="H1149" s="48"/>
      <c r="I1149" s="2"/>
      <c r="J1149" s="2"/>
      <c r="K1149" s="2"/>
      <c r="L1149" s="2"/>
      <c r="M1149" s="2"/>
      <c r="N1149" s="2"/>
      <c r="O1149" s="1286"/>
      <c r="P1149" s="95"/>
      <c r="Q1149" s="95"/>
      <c r="AE1149" s="95"/>
      <c r="AF1149" s="95"/>
      <c r="AG1149" s="95"/>
      <c r="AH1149" s="2"/>
      <c r="AI1149" s="2"/>
      <c r="AJ1149" s="2"/>
      <c r="AK1149" s="2"/>
    </row>
    <row r="1150" spans="1:37" ht="15.75" customHeight="1" x14ac:dyDescent="0.2">
      <c r="A1150" s="1"/>
      <c r="B1150" s="2"/>
      <c r="C1150" s="1"/>
      <c r="D1150" s="1"/>
      <c r="E1150" s="48"/>
      <c r="F1150" s="48"/>
      <c r="G1150" s="2"/>
      <c r="H1150" s="48"/>
      <c r="I1150" s="2"/>
      <c r="J1150" s="2"/>
      <c r="K1150" s="2"/>
      <c r="L1150" s="2"/>
      <c r="M1150" s="2"/>
      <c r="N1150" s="2"/>
      <c r="O1150" s="1286"/>
      <c r="P1150" s="95"/>
      <c r="Q1150" s="95"/>
      <c r="AE1150" s="95"/>
      <c r="AF1150" s="95"/>
      <c r="AG1150" s="95"/>
      <c r="AH1150" s="2"/>
      <c r="AI1150" s="2"/>
      <c r="AJ1150" s="2"/>
      <c r="AK1150" s="2"/>
    </row>
    <row r="1151" spans="1:37" ht="15.75" customHeight="1" x14ac:dyDescent="0.2">
      <c r="A1151" s="1"/>
      <c r="B1151" s="2"/>
      <c r="C1151" s="1"/>
      <c r="D1151" s="1"/>
      <c r="E1151" s="48"/>
      <c r="F1151" s="48"/>
      <c r="G1151" s="2"/>
      <c r="H1151" s="48"/>
      <c r="I1151" s="2"/>
      <c r="J1151" s="2"/>
      <c r="K1151" s="2"/>
      <c r="L1151" s="2"/>
      <c r="M1151" s="2"/>
      <c r="N1151" s="2"/>
      <c r="O1151" s="1286"/>
      <c r="P1151" s="95"/>
      <c r="Q1151" s="95"/>
      <c r="AE1151" s="95"/>
      <c r="AF1151" s="95"/>
      <c r="AG1151" s="95"/>
      <c r="AH1151" s="2"/>
      <c r="AI1151" s="2"/>
      <c r="AJ1151" s="2"/>
      <c r="AK1151" s="2"/>
    </row>
    <row r="1152" spans="1:37" ht="15.75" customHeight="1" x14ac:dyDescent="0.2">
      <c r="A1152" s="1"/>
      <c r="B1152" s="2"/>
      <c r="C1152" s="1"/>
      <c r="D1152" s="1"/>
      <c r="E1152" s="48"/>
      <c r="F1152" s="48"/>
      <c r="G1152" s="2"/>
      <c r="H1152" s="48"/>
      <c r="I1152" s="2"/>
      <c r="J1152" s="2"/>
      <c r="K1152" s="2"/>
      <c r="L1152" s="2"/>
      <c r="M1152" s="2"/>
      <c r="N1152" s="2"/>
      <c r="O1152" s="1286"/>
      <c r="P1152" s="95"/>
      <c r="Q1152" s="95"/>
      <c r="AE1152" s="95"/>
      <c r="AF1152" s="95"/>
      <c r="AG1152" s="95"/>
      <c r="AH1152" s="2"/>
      <c r="AI1152" s="2"/>
      <c r="AJ1152" s="2"/>
      <c r="AK1152" s="2"/>
    </row>
    <row r="1153" spans="1:37" ht="15.75" customHeight="1" x14ac:dyDescent="0.2">
      <c r="A1153" s="1"/>
      <c r="B1153" s="2"/>
      <c r="C1153" s="1"/>
      <c r="D1153" s="1"/>
      <c r="E1153" s="48"/>
      <c r="F1153" s="48"/>
      <c r="G1153" s="2"/>
      <c r="H1153" s="48"/>
      <c r="I1153" s="2"/>
      <c r="J1153" s="2"/>
      <c r="K1153" s="2"/>
      <c r="L1153" s="2"/>
      <c r="M1153" s="2"/>
      <c r="N1153" s="2"/>
      <c r="O1153" s="1286"/>
      <c r="P1153" s="95"/>
      <c r="Q1153" s="95"/>
      <c r="AE1153" s="95"/>
      <c r="AF1153" s="95"/>
      <c r="AG1153" s="95"/>
      <c r="AH1153" s="2"/>
      <c r="AI1153" s="2"/>
      <c r="AJ1153" s="2"/>
      <c r="AK1153" s="2"/>
    </row>
    <row r="1154" spans="1:37" ht="15.75" customHeight="1" x14ac:dyDescent="0.2">
      <c r="A1154" s="1"/>
      <c r="B1154" s="2"/>
      <c r="C1154" s="1"/>
      <c r="D1154" s="1"/>
      <c r="E1154" s="48"/>
      <c r="F1154" s="48"/>
      <c r="G1154" s="2"/>
      <c r="H1154" s="48"/>
      <c r="I1154" s="2"/>
      <c r="J1154" s="2"/>
      <c r="K1154" s="2"/>
      <c r="L1154" s="2"/>
      <c r="M1154" s="2"/>
      <c r="N1154" s="2"/>
      <c r="O1154" s="1286"/>
      <c r="P1154" s="95"/>
      <c r="Q1154" s="95"/>
      <c r="AE1154" s="95"/>
      <c r="AF1154" s="95"/>
      <c r="AG1154" s="95"/>
      <c r="AH1154" s="2"/>
      <c r="AI1154" s="2"/>
      <c r="AJ1154" s="2"/>
      <c r="AK1154" s="2"/>
    </row>
    <row r="1155" spans="1:37" ht="15.75" customHeight="1" x14ac:dyDescent="0.2">
      <c r="A1155" s="1"/>
      <c r="B1155" s="2"/>
      <c r="C1155" s="1"/>
      <c r="D1155" s="1"/>
      <c r="E1155" s="48"/>
      <c r="F1155" s="48"/>
      <c r="G1155" s="2"/>
      <c r="H1155" s="48"/>
      <c r="I1155" s="2"/>
      <c r="J1155" s="2"/>
      <c r="K1155" s="2"/>
      <c r="L1155" s="2"/>
      <c r="M1155" s="2"/>
      <c r="N1155" s="2"/>
      <c r="O1155" s="1286"/>
      <c r="P1155" s="95"/>
      <c r="Q1155" s="95"/>
      <c r="AE1155" s="95"/>
      <c r="AF1155" s="95"/>
      <c r="AG1155" s="95"/>
      <c r="AH1155" s="2"/>
      <c r="AI1155" s="2"/>
      <c r="AJ1155" s="2"/>
      <c r="AK1155" s="2"/>
    </row>
    <row r="1156" spans="1:37" ht="15.75" customHeight="1" x14ac:dyDescent="0.2">
      <c r="A1156" s="1"/>
      <c r="B1156" s="2"/>
      <c r="C1156" s="1"/>
      <c r="D1156" s="1"/>
      <c r="E1156" s="48"/>
      <c r="F1156" s="48"/>
      <c r="G1156" s="2"/>
      <c r="H1156" s="48"/>
      <c r="I1156" s="2"/>
      <c r="J1156" s="2"/>
      <c r="K1156" s="2"/>
      <c r="L1156" s="2"/>
      <c r="M1156" s="2"/>
      <c r="N1156" s="2"/>
      <c r="O1156" s="1286"/>
      <c r="P1156" s="95"/>
      <c r="Q1156" s="95"/>
      <c r="AE1156" s="95"/>
      <c r="AF1156" s="95"/>
      <c r="AG1156" s="95"/>
      <c r="AH1156" s="2"/>
      <c r="AI1156" s="2"/>
      <c r="AJ1156" s="2"/>
      <c r="AK1156" s="2"/>
    </row>
    <row r="1157" spans="1:37" ht="15.75" customHeight="1" x14ac:dyDescent="0.2">
      <c r="A1157" s="1"/>
      <c r="B1157" s="2"/>
      <c r="C1157" s="1"/>
      <c r="D1157" s="1"/>
      <c r="E1157" s="48"/>
      <c r="F1157" s="48"/>
      <c r="G1157" s="2"/>
      <c r="H1157" s="48"/>
      <c r="I1157" s="2"/>
      <c r="J1157" s="2"/>
      <c r="K1157" s="2"/>
      <c r="L1157" s="2"/>
      <c r="M1157" s="2"/>
      <c r="N1157" s="2"/>
      <c r="O1157" s="1286"/>
      <c r="P1157" s="95"/>
      <c r="Q1157" s="95"/>
      <c r="AE1157" s="95"/>
      <c r="AF1157" s="95"/>
      <c r="AG1157" s="95"/>
      <c r="AH1157" s="2"/>
      <c r="AI1157" s="2"/>
      <c r="AJ1157" s="2"/>
      <c r="AK1157" s="2"/>
    </row>
    <row r="1158" spans="1:37" ht="15.75" customHeight="1" x14ac:dyDescent="0.2">
      <c r="A1158" s="1"/>
      <c r="B1158" s="2"/>
      <c r="C1158" s="1"/>
      <c r="D1158" s="1"/>
      <c r="E1158" s="48"/>
      <c r="F1158" s="48"/>
      <c r="G1158" s="2"/>
      <c r="H1158" s="48"/>
      <c r="I1158" s="2"/>
      <c r="J1158" s="2"/>
      <c r="K1158" s="2"/>
      <c r="L1158" s="2"/>
      <c r="M1158" s="2"/>
      <c r="N1158" s="2"/>
      <c r="O1158" s="1286"/>
      <c r="P1158" s="95"/>
      <c r="Q1158" s="95"/>
      <c r="AE1158" s="95"/>
      <c r="AF1158" s="95"/>
      <c r="AG1158" s="95"/>
      <c r="AH1158" s="2"/>
      <c r="AI1158" s="2"/>
      <c r="AJ1158" s="2"/>
      <c r="AK1158" s="2"/>
    </row>
    <row r="1159" spans="1:37" ht="15.75" customHeight="1" x14ac:dyDescent="0.2">
      <c r="A1159" s="1"/>
      <c r="B1159" s="2"/>
      <c r="C1159" s="1"/>
      <c r="D1159" s="1"/>
      <c r="E1159" s="48"/>
      <c r="F1159" s="48"/>
      <c r="G1159" s="2"/>
      <c r="H1159" s="48"/>
      <c r="I1159" s="2"/>
      <c r="J1159" s="2"/>
      <c r="K1159" s="2"/>
      <c r="L1159" s="2"/>
      <c r="M1159" s="2"/>
      <c r="N1159" s="2"/>
      <c r="O1159" s="1286"/>
      <c r="P1159" s="95"/>
      <c r="Q1159" s="95"/>
      <c r="AE1159" s="95"/>
      <c r="AF1159" s="95"/>
      <c r="AG1159" s="95"/>
      <c r="AH1159" s="2"/>
      <c r="AI1159" s="2"/>
      <c r="AJ1159" s="2"/>
      <c r="AK1159" s="2"/>
    </row>
    <row r="1160" spans="1:37" ht="15.75" customHeight="1" x14ac:dyDescent="0.2">
      <c r="A1160" s="1"/>
      <c r="B1160" s="2"/>
      <c r="C1160" s="1"/>
      <c r="D1160" s="1"/>
      <c r="E1160" s="48"/>
      <c r="F1160" s="48"/>
      <c r="G1160" s="2"/>
      <c r="H1160" s="48"/>
      <c r="I1160" s="2"/>
      <c r="J1160" s="2"/>
      <c r="K1160" s="2"/>
      <c r="L1160" s="2"/>
      <c r="M1160" s="2"/>
      <c r="N1160" s="2"/>
      <c r="O1160" s="1286"/>
      <c r="P1160" s="95"/>
      <c r="Q1160" s="95"/>
      <c r="AE1160" s="95"/>
      <c r="AF1160" s="95"/>
      <c r="AG1160" s="95"/>
      <c r="AH1160" s="2"/>
      <c r="AI1160" s="2"/>
      <c r="AJ1160" s="2"/>
      <c r="AK1160" s="2"/>
    </row>
    <row r="1161" spans="1:37" ht="15.75" customHeight="1" x14ac:dyDescent="0.2">
      <c r="A1161" s="1"/>
      <c r="B1161" s="2"/>
      <c r="C1161" s="1"/>
      <c r="D1161" s="1"/>
      <c r="E1161" s="48"/>
      <c r="F1161" s="48"/>
      <c r="G1161" s="2"/>
      <c r="H1161" s="48"/>
      <c r="I1161" s="2"/>
      <c r="J1161" s="2"/>
      <c r="K1161" s="2"/>
      <c r="L1161" s="2"/>
      <c r="M1161" s="2"/>
      <c r="N1161" s="2"/>
      <c r="O1161" s="1286"/>
      <c r="P1161" s="95"/>
      <c r="Q1161" s="95"/>
      <c r="AE1161" s="95"/>
      <c r="AF1161" s="95"/>
      <c r="AG1161" s="95"/>
      <c r="AH1161" s="2"/>
      <c r="AI1161" s="2"/>
      <c r="AJ1161" s="2"/>
      <c r="AK1161" s="2"/>
    </row>
    <row r="1162" spans="1:37" ht="15.75" customHeight="1" x14ac:dyDescent="0.2">
      <c r="A1162" s="1"/>
      <c r="B1162" s="2"/>
      <c r="C1162" s="1"/>
      <c r="D1162" s="1"/>
      <c r="E1162" s="48"/>
      <c r="F1162" s="48"/>
      <c r="G1162" s="2"/>
      <c r="H1162" s="48"/>
      <c r="I1162" s="2"/>
      <c r="J1162" s="2"/>
      <c r="K1162" s="2"/>
      <c r="L1162" s="2"/>
      <c r="M1162" s="2"/>
      <c r="N1162" s="2"/>
      <c r="O1162" s="1286"/>
      <c r="P1162" s="95"/>
      <c r="Q1162" s="95"/>
      <c r="AE1162" s="95"/>
      <c r="AF1162" s="95"/>
      <c r="AG1162" s="95"/>
      <c r="AH1162" s="2"/>
      <c r="AI1162" s="2"/>
      <c r="AJ1162" s="2"/>
      <c r="AK1162" s="2"/>
    </row>
    <row r="1163" spans="1:37" ht="15.75" customHeight="1" x14ac:dyDescent="0.2">
      <c r="A1163" s="1"/>
      <c r="B1163" s="2"/>
      <c r="C1163" s="1"/>
      <c r="D1163" s="1"/>
      <c r="E1163" s="48"/>
      <c r="F1163" s="48"/>
      <c r="G1163" s="2"/>
      <c r="H1163" s="48"/>
      <c r="I1163" s="2"/>
      <c r="J1163" s="2"/>
      <c r="K1163" s="2"/>
      <c r="L1163" s="2"/>
      <c r="M1163" s="2"/>
      <c r="N1163" s="2"/>
      <c r="O1163" s="1286"/>
      <c r="P1163" s="95"/>
      <c r="Q1163" s="95"/>
      <c r="AE1163" s="95"/>
      <c r="AF1163" s="95"/>
      <c r="AG1163" s="95"/>
      <c r="AH1163" s="2"/>
      <c r="AI1163" s="2"/>
      <c r="AJ1163" s="2"/>
      <c r="AK1163" s="2"/>
    </row>
    <row r="1164" spans="1:37" ht="15.75" customHeight="1" x14ac:dyDescent="0.2">
      <c r="A1164" s="1"/>
      <c r="B1164" s="2"/>
      <c r="C1164" s="1"/>
      <c r="D1164" s="1"/>
      <c r="E1164" s="48"/>
      <c r="F1164" s="48"/>
      <c r="G1164" s="2"/>
      <c r="H1164" s="48"/>
      <c r="I1164" s="2"/>
      <c r="J1164" s="2"/>
      <c r="K1164" s="2"/>
      <c r="L1164" s="2"/>
      <c r="M1164" s="2"/>
      <c r="N1164" s="2"/>
      <c r="O1164" s="1286"/>
      <c r="P1164" s="95"/>
      <c r="Q1164" s="95"/>
      <c r="AE1164" s="95"/>
      <c r="AF1164" s="95"/>
      <c r="AG1164" s="95"/>
      <c r="AH1164" s="2"/>
      <c r="AI1164" s="2"/>
      <c r="AJ1164" s="2"/>
      <c r="AK1164" s="2"/>
    </row>
    <row r="1165" spans="1:37" ht="15.75" customHeight="1" x14ac:dyDescent="0.2">
      <c r="A1165" s="1"/>
      <c r="B1165" s="2"/>
      <c r="C1165" s="1"/>
      <c r="D1165" s="1"/>
      <c r="E1165" s="48"/>
      <c r="F1165" s="48"/>
      <c r="G1165" s="2"/>
      <c r="H1165" s="48"/>
      <c r="I1165" s="2"/>
      <c r="J1165" s="2"/>
      <c r="K1165" s="2"/>
      <c r="L1165" s="2"/>
      <c r="M1165" s="2"/>
      <c r="N1165" s="2"/>
      <c r="O1165" s="1286"/>
      <c r="P1165" s="95"/>
      <c r="Q1165" s="95"/>
      <c r="AE1165" s="95"/>
      <c r="AF1165" s="95"/>
      <c r="AG1165" s="95"/>
      <c r="AH1165" s="2"/>
      <c r="AI1165" s="2"/>
      <c r="AJ1165" s="2"/>
      <c r="AK1165" s="2"/>
    </row>
    <row r="1166" spans="1:37" ht="15.75" customHeight="1" x14ac:dyDescent="0.2">
      <c r="A1166" s="1"/>
      <c r="B1166" s="2"/>
      <c r="C1166" s="1"/>
      <c r="D1166" s="1"/>
      <c r="E1166" s="48"/>
      <c r="F1166" s="48"/>
      <c r="G1166" s="2"/>
      <c r="H1166" s="48"/>
      <c r="I1166" s="2"/>
      <c r="J1166" s="2"/>
      <c r="K1166" s="2"/>
      <c r="L1166" s="2"/>
      <c r="M1166" s="2"/>
      <c r="N1166" s="2"/>
      <c r="O1166" s="1286"/>
      <c r="P1166" s="95"/>
      <c r="Q1166" s="95"/>
      <c r="AE1166" s="95"/>
      <c r="AF1166" s="95"/>
      <c r="AG1166" s="95"/>
      <c r="AH1166" s="2"/>
      <c r="AI1166" s="2"/>
      <c r="AJ1166" s="2"/>
      <c r="AK1166" s="2"/>
    </row>
    <row r="1167" spans="1:37" ht="15.75" customHeight="1" x14ac:dyDescent="0.2">
      <c r="A1167" s="1"/>
      <c r="B1167" s="2"/>
      <c r="C1167" s="1"/>
      <c r="D1167" s="1"/>
      <c r="E1167" s="48"/>
      <c r="F1167" s="48"/>
      <c r="G1167" s="2"/>
      <c r="H1167" s="48"/>
      <c r="I1167" s="2"/>
      <c r="J1167" s="2"/>
      <c r="K1167" s="2"/>
      <c r="L1167" s="2"/>
      <c r="M1167" s="2"/>
      <c r="N1167" s="2"/>
      <c r="O1167" s="1286"/>
      <c r="P1167" s="95"/>
      <c r="Q1167" s="95"/>
      <c r="AE1167" s="95"/>
      <c r="AF1167" s="95"/>
      <c r="AG1167" s="95"/>
      <c r="AH1167" s="2"/>
      <c r="AI1167" s="2"/>
      <c r="AJ1167" s="2"/>
      <c r="AK1167" s="2"/>
    </row>
    <row r="1168" spans="1:37" ht="15.75" customHeight="1" x14ac:dyDescent="0.2">
      <c r="A1168" s="1"/>
      <c r="B1168" s="2"/>
      <c r="C1168" s="1"/>
      <c r="D1168" s="1"/>
      <c r="E1168" s="48"/>
      <c r="F1168" s="48"/>
      <c r="G1168" s="2"/>
      <c r="H1168" s="48"/>
      <c r="I1168" s="2"/>
      <c r="J1168" s="2"/>
      <c r="K1168" s="2"/>
      <c r="L1168" s="2"/>
      <c r="M1168" s="2"/>
      <c r="N1168" s="2"/>
      <c r="O1168" s="1286"/>
      <c r="P1168" s="95"/>
      <c r="Q1168" s="95"/>
      <c r="AE1168" s="95"/>
      <c r="AF1168" s="95"/>
      <c r="AG1168" s="95"/>
      <c r="AH1168" s="2"/>
      <c r="AI1168" s="2"/>
      <c r="AJ1168" s="2"/>
      <c r="AK1168" s="2"/>
    </row>
    <row r="1169" spans="1:37" ht="15.75" customHeight="1" x14ac:dyDescent="0.2">
      <c r="A1169" s="1"/>
      <c r="B1169" s="2"/>
      <c r="C1169" s="1"/>
      <c r="D1169" s="1"/>
      <c r="E1169" s="48"/>
      <c r="F1169" s="48"/>
      <c r="G1169" s="2"/>
      <c r="H1169" s="48"/>
      <c r="I1169" s="2"/>
      <c r="J1169" s="2"/>
      <c r="K1169" s="2"/>
      <c r="L1169" s="2"/>
      <c r="M1169" s="2"/>
      <c r="N1169" s="2"/>
      <c r="O1169" s="1286"/>
      <c r="P1169" s="95"/>
      <c r="Q1169" s="95"/>
      <c r="AE1169" s="95"/>
      <c r="AF1169" s="95"/>
      <c r="AG1169" s="95"/>
      <c r="AH1169" s="2"/>
      <c r="AI1169" s="2"/>
      <c r="AJ1169" s="2"/>
      <c r="AK1169" s="2"/>
    </row>
    <row r="1170" spans="1:37" ht="15.75" customHeight="1" x14ac:dyDescent="0.2">
      <c r="A1170" s="1"/>
      <c r="B1170" s="2"/>
      <c r="C1170" s="1"/>
      <c r="D1170" s="1"/>
      <c r="E1170" s="48"/>
      <c r="F1170" s="48"/>
      <c r="G1170" s="2"/>
      <c r="H1170" s="48"/>
      <c r="I1170" s="2"/>
      <c r="J1170" s="2"/>
      <c r="K1170" s="2"/>
      <c r="L1170" s="2"/>
      <c r="M1170" s="2"/>
      <c r="N1170" s="2"/>
      <c r="O1170" s="1286"/>
      <c r="P1170" s="95"/>
      <c r="Q1170" s="95"/>
      <c r="AE1170" s="95"/>
      <c r="AF1170" s="95"/>
      <c r="AG1170" s="95"/>
      <c r="AH1170" s="2"/>
      <c r="AI1170" s="2"/>
      <c r="AJ1170" s="2"/>
      <c r="AK1170" s="2"/>
    </row>
    <row r="1171" spans="1:37" ht="15.75" customHeight="1" x14ac:dyDescent="0.2">
      <c r="A1171" s="1"/>
      <c r="B1171" s="2"/>
      <c r="C1171" s="1"/>
      <c r="D1171" s="1"/>
      <c r="E1171" s="48"/>
      <c r="F1171" s="48"/>
      <c r="G1171" s="2"/>
      <c r="H1171" s="48"/>
      <c r="I1171" s="2"/>
      <c r="J1171" s="2"/>
      <c r="K1171" s="2"/>
      <c r="L1171" s="2"/>
      <c r="M1171" s="2"/>
      <c r="N1171" s="2"/>
      <c r="O1171" s="1286"/>
      <c r="P1171" s="95"/>
      <c r="Q1171" s="95"/>
      <c r="AE1171" s="95"/>
      <c r="AF1171" s="95"/>
      <c r="AG1171" s="95"/>
      <c r="AH1171" s="2"/>
      <c r="AI1171" s="2"/>
      <c r="AJ1171" s="2"/>
      <c r="AK1171" s="2"/>
    </row>
    <row r="1172" spans="1:37" ht="15.75" customHeight="1" x14ac:dyDescent="0.2">
      <c r="A1172" s="1"/>
      <c r="B1172" s="2"/>
      <c r="C1172" s="1"/>
      <c r="D1172" s="1"/>
      <c r="E1172" s="48"/>
      <c r="F1172" s="48"/>
      <c r="G1172" s="2"/>
      <c r="H1172" s="48"/>
      <c r="I1172" s="2"/>
      <c r="J1172" s="2"/>
      <c r="K1172" s="2"/>
      <c r="L1172" s="2"/>
      <c r="M1172" s="2"/>
      <c r="N1172" s="2"/>
      <c r="O1172" s="1286"/>
      <c r="P1172" s="95"/>
      <c r="Q1172" s="95"/>
      <c r="AE1172" s="95"/>
      <c r="AF1172" s="95"/>
      <c r="AG1172" s="95"/>
      <c r="AH1172" s="2"/>
      <c r="AI1172" s="2"/>
      <c r="AJ1172" s="2"/>
      <c r="AK1172" s="2"/>
    </row>
    <row r="1173" spans="1:37" ht="15.75" customHeight="1" x14ac:dyDescent="0.2">
      <c r="A1173" s="1"/>
      <c r="B1173" s="2"/>
      <c r="C1173" s="1"/>
      <c r="D1173" s="1"/>
      <c r="E1173" s="48"/>
      <c r="F1173" s="48"/>
      <c r="G1173" s="2"/>
      <c r="H1173" s="48"/>
      <c r="I1173" s="2"/>
      <c r="J1173" s="2"/>
      <c r="K1173" s="2"/>
      <c r="L1173" s="2"/>
      <c r="M1173" s="2"/>
      <c r="N1173" s="2"/>
      <c r="O1173" s="1286"/>
      <c r="P1173" s="95"/>
      <c r="Q1173" s="95"/>
      <c r="AE1173" s="95"/>
      <c r="AF1173" s="95"/>
      <c r="AG1173" s="95"/>
      <c r="AH1173" s="2"/>
      <c r="AI1173" s="2"/>
      <c r="AJ1173" s="2"/>
      <c r="AK1173" s="2"/>
    </row>
    <row r="1174" spans="1:37" ht="15.75" customHeight="1" x14ac:dyDescent="0.2">
      <c r="A1174" s="1"/>
      <c r="B1174" s="2"/>
      <c r="C1174" s="1"/>
      <c r="D1174" s="1"/>
      <c r="E1174" s="48"/>
      <c r="F1174" s="48"/>
      <c r="G1174" s="2"/>
      <c r="H1174" s="48"/>
      <c r="I1174" s="2"/>
      <c r="J1174" s="2"/>
      <c r="K1174" s="2"/>
      <c r="L1174" s="2"/>
      <c r="M1174" s="2"/>
      <c r="N1174" s="2"/>
      <c r="O1174" s="1286"/>
      <c r="P1174" s="95"/>
      <c r="Q1174" s="95"/>
      <c r="AE1174" s="95"/>
      <c r="AF1174" s="95"/>
      <c r="AG1174" s="95"/>
      <c r="AH1174" s="2"/>
      <c r="AI1174" s="2"/>
      <c r="AJ1174" s="2"/>
      <c r="AK1174" s="2"/>
    </row>
    <row r="1175" spans="1:37" ht="15.75" customHeight="1" x14ac:dyDescent="0.2">
      <c r="A1175" s="1"/>
      <c r="B1175" s="2"/>
      <c r="C1175" s="1"/>
      <c r="D1175" s="1"/>
      <c r="E1175" s="48"/>
      <c r="F1175" s="48"/>
      <c r="G1175" s="2"/>
      <c r="H1175" s="48"/>
      <c r="I1175" s="2"/>
      <c r="J1175" s="2"/>
      <c r="K1175" s="2"/>
      <c r="L1175" s="2"/>
      <c r="M1175" s="2"/>
      <c r="N1175" s="2"/>
      <c r="O1175" s="1286"/>
      <c r="P1175" s="95"/>
      <c r="Q1175" s="95"/>
      <c r="AE1175" s="95"/>
      <c r="AF1175" s="95"/>
      <c r="AG1175" s="95"/>
      <c r="AH1175" s="2"/>
      <c r="AI1175" s="2"/>
      <c r="AJ1175" s="2"/>
      <c r="AK1175" s="2"/>
    </row>
    <row r="1176" spans="1:37" ht="15.75" customHeight="1" x14ac:dyDescent="0.2">
      <c r="A1176" s="1"/>
      <c r="B1176" s="2"/>
      <c r="C1176" s="1"/>
      <c r="D1176" s="1"/>
      <c r="E1176" s="48"/>
      <c r="F1176" s="48"/>
      <c r="G1176" s="2"/>
      <c r="H1176" s="48"/>
      <c r="I1176" s="2"/>
      <c r="J1176" s="2"/>
      <c r="K1176" s="2"/>
      <c r="L1176" s="2"/>
      <c r="M1176" s="2"/>
      <c r="N1176" s="2"/>
      <c r="O1176" s="1286"/>
      <c r="P1176" s="95"/>
      <c r="Q1176" s="95"/>
      <c r="AE1176" s="95"/>
      <c r="AF1176" s="95"/>
      <c r="AG1176" s="95"/>
      <c r="AH1176" s="2"/>
      <c r="AI1176" s="2"/>
      <c r="AJ1176" s="2"/>
      <c r="AK1176" s="2"/>
    </row>
    <row r="1177" spans="1:37" ht="15.75" customHeight="1" x14ac:dyDescent="0.2">
      <c r="A1177" s="1"/>
      <c r="B1177" s="2"/>
      <c r="C1177" s="1"/>
      <c r="D1177" s="1"/>
      <c r="E1177" s="48"/>
      <c r="F1177" s="48"/>
      <c r="G1177" s="2"/>
      <c r="H1177" s="48"/>
      <c r="I1177" s="2"/>
      <c r="J1177" s="2"/>
      <c r="K1177" s="2"/>
      <c r="L1177" s="2"/>
      <c r="M1177" s="2"/>
      <c r="N1177" s="2"/>
      <c r="O1177" s="1286"/>
      <c r="P1177" s="95"/>
      <c r="Q1177" s="95"/>
      <c r="AE1177" s="95"/>
      <c r="AF1177" s="95"/>
      <c r="AG1177" s="95"/>
      <c r="AH1177" s="2"/>
      <c r="AI1177" s="2"/>
      <c r="AJ1177" s="2"/>
      <c r="AK1177" s="2"/>
    </row>
    <row r="1178" spans="1:37" ht="15.75" customHeight="1" x14ac:dyDescent="0.2">
      <c r="A1178" s="1"/>
      <c r="B1178" s="2"/>
      <c r="C1178" s="1"/>
      <c r="D1178" s="1"/>
      <c r="E1178" s="48"/>
      <c r="F1178" s="48"/>
      <c r="G1178" s="2"/>
      <c r="H1178" s="48"/>
      <c r="I1178" s="2"/>
      <c r="J1178" s="2"/>
      <c r="K1178" s="2"/>
      <c r="L1178" s="2"/>
      <c r="M1178" s="2"/>
      <c r="N1178" s="2"/>
      <c r="O1178" s="1286"/>
      <c r="P1178" s="95"/>
      <c r="Q1178" s="95"/>
      <c r="AE1178" s="95"/>
      <c r="AF1178" s="95"/>
      <c r="AG1178" s="95"/>
      <c r="AH1178" s="2"/>
      <c r="AI1178" s="2"/>
      <c r="AJ1178" s="2"/>
      <c r="AK1178" s="2"/>
    </row>
    <row r="1179" spans="1:37" ht="15.75" customHeight="1" x14ac:dyDescent="0.2">
      <c r="A1179" s="1"/>
      <c r="B1179" s="2"/>
      <c r="C1179" s="1"/>
      <c r="D1179" s="1"/>
      <c r="E1179" s="48"/>
      <c r="F1179" s="48"/>
      <c r="G1179" s="2"/>
      <c r="H1179" s="48"/>
      <c r="I1179" s="2"/>
      <c r="J1179" s="2"/>
      <c r="K1179" s="2"/>
      <c r="L1179" s="2"/>
      <c r="M1179" s="2"/>
      <c r="N1179" s="2"/>
      <c r="O1179" s="1286"/>
      <c r="P1179" s="95"/>
      <c r="Q1179" s="95"/>
      <c r="AE1179" s="95"/>
      <c r="AF1179" s="95"/>
      <c r="AG1179" s="95"/>
      <c r="AH1179" s="2"/>
      <c r="AI1179" s="2"/>
      <c r="AJ1179" s="2"/>
      <c r="AK1179" s="2"/>
    </row>
    <row r="1180" spans="1:37" ht="15.75" customHeight="1" x14ac:dyDescent="0.2">
      <c r="A1180" s="1"/>
      <c r="B1180" s="2"/>
      <c r="C1180" s="1"/>
      <c r="D1180" s="1"/>
      <c r="E1180" s="48"/>
      <c r="F1180" s="48"/>
      <c r="G1180" s="2"/>
      <c r="H1180" s="48"/>
      <c r="I1180" s="2"/>
      <c r="J1180" s="2"/>
      <c r="K1180" s="2"/>
      <c r="L1180" s="2"/>
      <c r="M1180" s="2"/>
      <c r="N1180" s="2"/>
      <c r="O1180" s="1286"/>
      <c r="P1180" s="95"/>
      <c r="Q1180" s="95"/>
      <c r="AE1180" s="95"/>
      <c r="AF1180" s="95"/>
      <c r="AG1180" s="95"/>
      <c r="AH1180" s="2"/>
      <c r="AI1180" s="2"/>
      <c r="AJ1180" s="2"/>
      <c r="AK1180" s="2"/>
    </row>
    <row r="1181" spans="1:37" ht="15.75" customHeight="1" x14ac:dyDescent="0.2">
      <c r="A1181" s="1"/>
      <c r="B1181" s="2"/>
      <c r="C1181" s="1"/>
      <c r="D1181" s="1"/>
      <c r="E1181" s="48"/>
      <c r="F1181" s="48"/>
      <c r="G1181" s="2"/>
      <c r="H1181" s="48"/>
      <c r="I1181" s="2"/>
      <c r="J1181" s="2"/>
      <c r="K1181" s="2"/>
      <c r="L1181" s="2"/>
      <c r="M1181" s="2"/>
      <c r="N1181" s="2"/>
      <c r="O1181" s="1286"/>
      <c r="P1181" s="95"/>
      <c r="Q1181" s="95"/>
      <c r="AE1181" s="95"/>
      <c r="AF1181" s="95"/>
      <c r="AG1181" s="95"/>
      <c r="AH1181" s="2"/>
      <c r="AI1181" s="2"/>
      <c r="AJ1181" s="2"/>
      <c r="AK1181" s="2"/>
    </row>
    <row r="1182" spans="1:37" ht="15.75" customHeight="1" x14ac:dyDescent="0.2">
      <c r="A1182" s="1"/>
      <c r="B1182" s="2"/>
      <c r="C1182" s="1"/>
      <c r="D1182" s="1"/>
      <c r="E1182" s="48"/>
      <c r="F1182" s="48"/>
      <c r="G1182" s="2"/>
      <c r="H1182" s="48"/>
      <c r="I1182" s="2"/>
      <c r="J1182" s="2"/>
      <c r="K1182" s="2"/>
      <c r="L1182" s="2"/>
      <c r="M1182" s="2"/>
      <c r="N1182" s="2"/>
      <c r="O1182" s="1286"/>
      <c r="P1182" s="95"/>
      <c r="Q1182" s="95"/>
      <c r="AE1182" s="95"/>
      <c r="AF1182" s="95"/>
      <c r="AG1182" s="95"/>
      <c r="AH1182" s="2"/>
      <c r="AI1182" s="2"/>
      <c r="AJ1182" s="2"/>
      <c r="AK1182" s="2"/>
    </row>
    <row r="1183" spans="1:37" ht="15.75" customHeight="1" x14ac:dyDescent="0.2">
      <c r="A1183" s="1"/>
      <c r="B1183" s="2"/>
      <c r="C1183" s="1"/>
      <c r="D1183" s="1"/>
      <c r="E1183" s="48"/>
      <c r="F1183" s="48"/>
      <c r="G1183" s="2"/>
      <c r="H1183" s="48"/>
      <c r="I1183" s="2"/>
      <c r="J1183" s="2"/>
      <c r="K1183" s="2"/>
      <c r="L1183" s="2"/>
      <c r="M1183" s="2"/>
      <c r="N1183" s="2"/>
      <c r="O1183" s="1286"/>
      <c r="P1183" s="95"/>
      <c r="Q1183" s="95"/>
      <c r="AE1183" s="95"/>
      <c r="AF1183" s="95"/>
      <c r="AG1183" s="95"/>
      <c r="AH1183" s="2"/>
      <c r="AI1183" s="2"/>
      <c r="AJ1183" s="2"/>
      <c r="AK1183" s="2"/>
    </row>
    <row r="1184" spans="1:37" ht="15.75" customHeight="1" x14ac:dyDescent="0.2">
      <c r="A1184" s="1"/>
      <c r="B1184" s="2"/>
      <c r="C1184" s="1"/>
      <c r="D1184" s="1"/>
      <c r="E1184" s="48"/>
      <c r="F1184" s="48"/>
      <c r="G1184" s="2"/>
      <c r="H1184" s="48"/>
      <c r="I1184" s="2"/>
      <c r="J1184" s="2"/>
      <c r="K1184" s="2"/>
      <c r="L1184" s="2"/>
      <c r="M1184" s="2"/>
      <c r="N1184" s="2"/>
      <c r="O1184" s="1286"/>
      <c r="P1184" s="95"/>
      <c r="Q1184" s="95"/>
      <c r="AE1184" s="95"/>
      <c r="AF1184" s="95"/>
      <c r="AG1184" s="95"/>
      <c r="AH1184" s="2"/>
      <c r="AI1184" s="2"/>
      <c r="AJ1184" s="2"/>
      <c r="AK1184" s="2"/>
    </row>
    <row r="1185" spans="1:37" ht="15.75" customHeight="1" x14ac:dyDescent="0.2">
      <c r="A1185" s="1"/>
      <c r="B1185" s="2"/>
      <c r="C1185" s="1"/>
      <c r="D1185" s="1"/>
      <c r="E1185" s="48"/>
      <c r="F1185" s="48"/>
      <c r="G1185" s="2"/>
      <c r="H1185" s="48"/>
      <c r="I1185" s="2"/>
      <c r="J1185" s="2"/>
      <c r="K1185" s="2"/>
      <c r="L1185" s="2"/>
      <c r="M1185" s="2"/>
      <c r="N1185" s="2"/>
      <c r="O1185" s="1286"/>
      <c r="P1185" s="95"/>
      <c r="Q1185" s="95"/>
      <c r="AE1185" s="95"/>
      <c r="AF1185" s="95"/>
      <c r="AG1185" s="95"/>
      <c r="AH1185" s="2"/>
      <c r="AI1185" s="2"/>
      <c r="AJ1185" s="2"/>
      <c r="AK1185" s="2"/>
    </row>
    <row r="1186" spans="1:37" ht="15.75" customHeight="1" x14ac:dyDescent="0.2">
      <c r="A1186" s="1"/>
      <c r="B1186" s="2"/>
      <c r="C1186" s="1"/>
      <c r="D1186" s="1"/>
      <c r="E1186" s="48"/>
      <c r="F1186" s="48"/>
      <c r="G1186" s="2"/>
      <c r="H1186" s="48"/>
      <c r="I1186" s="2"/>
      <c r="J1186" s="2"/>
      <c r="K1186" s="2"/>
      <c r="L1186" s="2"/>
      <c r="M1186" s="2"/>
      <c r="N1186" s="2"/>
      <c r="O1186" s="1286"/>
      <c r="P1186" s="95"/>
      <c r="Q1186" s="95"/>
      <c r="AE1186" s="95"/>
      <c r="AF1186" s="95"/>
      <c r="AG1186" s="95"/>
      <c r="AH1186" s="2"/>
      <c r="AI1186" s="2"/>
      <c r="AJ1186" s="2"/>
      <c r="AK1186" s="2"/>
    </row>
    <row r="1187" spans="1:37" ht="15.75" customHeight="1" x14ac:dyDescent="0.2">
      <c r="A1187" s="1"/>
      <c r="B1187" s="2"/>
      <c r="C1187" s="1"/>
      <c r="D1187" s="1"/>
      <c r="E1187" s="48"/>
      <c r="F1187" s="48"/>
      <c r="G1187" s="2"/>
      <c r="H1187" s="48"/>
      <c r="I1187" s="2"/>
      <c r="J1187" s="2"/>
      <c r="K1187" s="2"/>
      <c r="L1187" s="2"/>
      <c r="M1187" s="2"/>
      <c r="N1187" s="2"/>
      <c r="O1187" s="1286"/>
      <c r="P1187" s="95"/>
      <c r="Q1187" s="95"/>
      <c r="AE1187" s="95"/>
      <c r="AF1187" s="95"/>
      <c r="AG1187" s="95"/>
      <c r="AH1187" s="2"/>
      <c r="AI1187" s="2"/>
      <c r="AJ1187" s="2"/>
      <c r="AK1187" s="2"/>
    </row>
    <row r="1188" spans="1:37" ht="15.75" customHeight="1" x14ac:dyDescent="0.2">
      <c r="A1188" s="1"/>
      <c r="B1188" s="2"/>
      <c r="C1188" s="1"/>
      <c r="D1188" s="1"/>
      <c r="E1188" s="48"/>
      <c r="F1188" s="48"/>
      <c r="G1188" s="2"/>
      <c r="H1188" s="48"/>
      <c r="I1188" s="2"/>
      <c r="J1188" s="2"/>
      <c r="K1188" s="2"/>
      <c r="L1188" s="2"/>
      <c r="M1188" s="2"/>
      <c r="N1188" s="2"/>
      <c r="O1188" s="1286"/>
      <c r="P1188" s="95"/>
      <c r="Q1188" s="95"/>
      <c r="AE1188" s="95"/>
      <c r="AF1188" s="95"/>
      <c r="AG1188" s="95"/>
      <c r="AH1188" s="2"/>
      <c r="AI1188" s="2"/>
      <c r="AJ1188" s="2"/>
      <c r="AK1188" s="2"/>
    </row>
    <row r="1189" spans="1:37" ht="15.75" customHeight="1" x14ac:dyDescent="0.2">
      <c r="A1189" s="1"/>
      <c r="B1189" s="2"/>
      <c r="C1189" s="1"/>
      <c r="D1189" s="1"/>
      <c r="E1189" s="48"/>
      <c r="F1189" s="48"/>
      <c r="G1189" s="2"/>
      <c r="H1189" s="48"/>
      <c r="I1189" s="2"/>
      <c r="J1189" s="2"/>
      <c r="K1189" s="2"/>
      <c r="L1189" s="2"/>
      <c r="M1189" s="2"/>
      <c r="N1189" s="2"/>
      <c r="O1189" s="1286"/>
      <c r="P1189" s="95"/>
      <c r="Q1189" s="95"/>
      <c r="AE1189" s="95"/>
      <c r="AF1189" s="95"/>
      <c r="AG1189" s="95"/>
      <c r="AH1189" s="2"/>
      <c r="AI1189" s="2"/>
      <c r="AJ1189" s="2"/>
      <c r="AK1189" s="2"/>
    </row>
    <row r="1190" spans="1:37" ht="15.75" customHeight="1" x14ac:dyDescent="0.2">
      <c r="A1190" s="1"/>
      <c r="B1190" s="2"/>
      <c r="C1190" s="1"/>
      <c r="D1190" s="1"/>
      <c r="E1190" s="48"/>
      <c r="F1190" s="48"/>
      <c r="G1190" s="2"/>
      <c r="H1190" s="48"/>
      <c r="I1190" s="2"/>
      <c r="J1190" s="2"/>
      <c r="K1190" s="2"/>
      <c r="L1190" s="2"/>
      <c r="M1190" s="2"/>
      <c r="N1190" s="2"/>
      <c r="O1190" s="1286"/>
      <c r="P1190" s="95"/>
      <c r="Q1190" s="95"/>
      <c r="AE1190" s="95"/>
      <c r="AF1190" s="95"/>
      <c r="AG1190" s="95"/>
      <c r="AH1190" s="2"/>
      <c r="AI1190" s="2"/>
      <c r="AJ1190" s="2"/>
      <c r="AK1190" s="2"/>
    </row>
    <row r="1191" spans="1:37" ht="15.75" customHeight="1" x14ac:dyDescent="0.2">
      <c r="A1191" s="1"/>
      <c r="B1191" s="2"/>
      <c r="C1191" s="1"/>
      <c r="D1191" s="1"/>
      <c r="E1191" s="48"/>
      <c r="F1191" s="48"/>
      <c r="G1191" s="2"/>
      <c r="H1191" s="48"/>
      <c r="I1191" s="2"/>
      <c r="J1191" s="2"/>
      <c r="K1191" s="2"/>
      <c r="L1191" s="2"/>
      <c r="M1191" s="2"/>
      <c r="N1191" s="2"/>
      <c r="O1191" s="1286"/>
      <c r="P1191" s="95"/>
      <c r="Q1191" s="95"/>
      <c r="AE1191" s="95"/>
      <c r="AF1191" s="95"/>
      <c r="AG1191" s="95"/>
      <c r="AH1191" s="2"/>
      <c r="AI1191" s="2"/>
      <c r="AJ1191" s="2"/>
      <c r="AK1191" s="2"/>
    </row>
    <row r="1192" spans="1:37" ht="15.75" customHeight="1" x14ac:dyDescent="0.2">
      <c r="A1192" s="1"/>
      <c r="B1192" s="2"/>
      <c r="C1192" s="1"/>
      <c r="D1192" s="1"/>
      <c r="E1192" s="48"/>
      <c r="F1192" s="48"/>
      <c r="G1192" s="2"/>
      <c r="H1192" s="48"/>
      <c r="I1192" s="2"/>
      <c r="J1192" s="2"/>
      <c r="K1192" s="2"/>
      <c r="L1192" s="2"/>
      <c r="M1192" s="2"/>
      <c r="N1192" s="2"/>
      <c r="O1192" s="1286"/>
      <c r="P1192" s="95"/>
      <c r="Q1192" s="95"/>
      <c r="AE1192" s="95"/>
      <c r="AF1192" s="95"/>
      <c r="AG1192" s="95"/>
      <c r="AH1192" s="2"/>
      <c r="AI1192" s="2"/>
      <c r="AJ1192" s="2"/>
      <c r="AK1192" s="2"/>
    </row>
    <row r="1193" spans="1:37" ht="15.75" customHeight="1" x14ac:dyDescent="0.2">
      <c r="A1193" s="1"/>
      <c r="B1193" s="2"/>
      <c r="C1193" s="1"/>
      <c r="D1193" s="1"/>
      <c r="E1193" s="48"/>
      <c r="F1193" s="48"/>
      <c r="G1193" s="2"/>
      <c r="H1193" s="48"/>
      <c r="I1193" s="2"/>
      <c r="J1193" s="2"/>
      <c r="K1193" s="2"/>
      <c r="L1193" s="2"/>
      <c r="M1193" s="2"/>
      <c r="N1193" s="2"/>
      <c r="O1193" s="1286"/>
      <c r="P1193" s="95"/>
      <c r="Q1193" s="95"/>
      <c r="AE1193" s="95"/>
      <c r="AF1193" s="95"/>
      <c r="AG1193" s="95"/>
      <c r="AH1193" s="2"/>
      <c r="AI1193" s="2"/>
      <c r="AJ1193" s="2"/>
      <c r="AK1193" s="2"/>
    </row>
    <row r="1194" spans="1:37" ht="15.75" customHeight="1" x14ac:dyDescent="0.2">
      <c r="A1194" s="1"/>
      <c r="B1194" s="2"/>
      <c r="C1194" s="1"/>
      <c r="D1194" s="1"/>
      <c r="E1194" s="48"/>
      <c r="F1194" s="48"/>
      <c r="G1194" s="2"/>
      <c r="H1194" s="48"/>
      <c r="I1194" s="2"/>
      <c r="J1194" s="2"/>
      <c r="K1194" s="2"/>
      <c r="L1194" s="2"/>
      <c r="M1194" s="2"/>
      <c r="N1194" s="2"/>
      <c r="O1194" s="1286"/>
      <c r="P1194" s="95"/>
      <c r="Q1194" s="95"/>
      <c r="AE1194" s="95"/>
      <c r="AF1194" s="95"/>
      <c r="AG1194" s="95"/>
      <c r="AH1194" s="2"/>
      <c r="AI1194" s="2"/>
      <c r="AJ1194" s="2"/>
      <c r="AK1194" s="2"/>
    </row>
    <row r="1195" spans="1:37" ht="15.75" customHeight="1" x14ac:dyDescent="0.2">
      <c r="A1195" s="1"/>
      <c r="B1195" s="2"/>
      <c r="C1195" s="1"/>
      <c r="D1195" s="1"/>
      <c r="E1195" s="48"/>
      <c r="F1195" s="48"/>
      <c r="G1195" s="2"/>
      <c r="H1195" s="48"/>
      <c r="I1195" s="2"/>
      <c r="J1195" s="2"/>
      <c r="K1195" s="2"/>
      <c r="L1195" s="2"/>
      <c r="M1195" s="2"/>
      <c r="N1195" s="2"/>
      <c r="O1195" s="1286"/>
      <c r="P1195" s="95"/>
      <c r="Q1195" s="95"/>
      <c r="AE1195" s="95"/>
      <c r="AF1195" s="95"/>
      <c r="AG1195" s="95"/>
      <c r="AH1195" s="2"/>
      <c r="AI1195" s="2"/>
      <c r="AJ1195" s="2"/>
      <c r="AK1195" s="2"/>
    </row>
    <row r="1196" spans="1:37" ht="15.75" customHeight="1" x14ac:dyDescent="0.2">
      <c r="A1196" s="1"/>
      <c r="B1196" s="2"/>
      <c r="C1196" s="1"/>
      <c r="D1196" s="1"/>
      <c r="E1196" s="48"/>
      <c r="F1196" s="48"/>
      <c r="G1196" s="2"/>
      <c r="H1196" s="48"/>
      <c r="I1196" s="2"/>
      <c r="J1196" s="2"/>
      <c r="K1196" s="2"/>
      <c r="L1196" s="2"/>
      <c r="M1196" s="2"/>
      <c r="N1196" s="2"/>
      <c r="O1196" s="1286"/>
      <c r="P1196" s="95"/>
      <c r="Q1196" s="95"/>
      <c r="AE1196" s="95"/>
      <c r="AF1196" s="95"/>
      <c r="AG1196" s="95"/>
      <c r="AH1196" s="2"/>
      <c r="AI1196" s="2"/>
      <c r="AJ1196" s="2"/>
      <c r="AK1196" s="2"/>
    </row>
    <row r="1197" spans="1:37" ht="15.75" customHeight="1" x14ac:dyDescent="0.2">
      <c r="A1197" s="1"/>
      <c r="B1197" s="2"/>
      <c r="C1197" s="1"/>
      <c r="D1197" s="1"/>
      <c r="E1197" s="48"/>
      <c r="F1197" s="48"/>
      <c r="G1197" s="2"/>
      <c r="H1197" s="48"/>
      <c r="I1197" s="2"/>
      <c r="J1197" s="2"/>
      <c r="K1197" s="2"/>
      <c r="L1197" s="2"/>
      <c r="M1197" s="2"/>
      <c r="N1197" s="2"/>
      <c r="O1197" s="1286"/>
      <c r="P1197" s="95"/>
      <c r="Q1197" s="95"/>
      <c r="AE1197" s="95"/>
      <c r="AF1197" s="95"/>
      <c r="AG1197" s="95"/>
      <c r="AH1197" s="2"/>
      <c r="AI1197" s="2"/>
      <c r="AJ1197" s="2"/>
      <c r="AK1197" s="2"/>
    </row>
    <row r="1198" spans="1:37" ht="15.75" customHeight="1" x14ac:dyDescent="0.2">
      <c r="A1198" s="1"/>
      <c r="B1198" s="2"/>
      <c r="C1198" s="1"/>
      <c r="D1198" s="1"/>
      <c r="E1198" s="48"/>
      <c r="F1198" s="48"/>
      <c r="G1198" s="2"/>
      <c r="H1198" s="48"/>
      <c r="I1198" s="2"/>
      <c r="J1198" s="2"/>
      <c r="K1198" s="2"/>
      <c r="L1198" s="2"/>
      <c r="M1198" s="2"/>
      <c r="N1198" s="2"/>
      <c r="O1198" s="1286"/>
      <c r="P1198" s="95"/>
      <c r="Q1198" s="95"/>
      <c r="AE1198" s="95"/>
      <c r="AF1198" s="95"/>
      <c r="AG1198" s="95"/>
      <c r="AH1198" s="2"/>
      <c r="AI1198" s="2"/>
      <c r="AJ1198" s="2"/>
      <c r="AK1198" s="2"/>
    </row>
    <row r="1199" spans="1:37" ht="15.75" customHeight="1" x14ac:dyDescent="0.2">
      <c r="A1199" s="1"/>
      <c r="B1199" s="2"/>
      <c r="C1199" s="1"/>
      <c r="D1199" s="1"/>
      <c r="E1199" s="48"/>
      <c r="F1199" s="48"/>
      <c r="G1199" s="2"/>
      <c r="H1199" s="48"/>
      <c r="I1199" s="2"/>
      <c r="J1199" s="2"/>
      <c r="K1199" s="2"/>
      <c r="L1199" s="2"/>
      <c r="M1199" s="2"/>
      <c r="N1199" s="2"/>
      <c r="O1199" s="1286"/>
      <c r="P1199" s="95"/>
      <c r="Q1199" s="95"/>
      <c r="AE1199" s="95"/>
      <c r="AF1199" s="95"/>
      <c r="AG1199" s="95"/>
      <c r="AH1199" s="2"/>
      <c r="AI1199" s="2"/>
      <c r="AJ1199" s="2"/>
      <c r="AK1199" s="2"/>
    </row>
    <row r="1200" spans="1:37" ht="15.75" customHeight="1" x14ac:dyDescent="0.2">
      <c r="A1200" s="1"/>
      <c r="B1200" s="2"/>
      <c r="C1200" s="1"/>
      <c r="D1200" s="1"/>
      <c r="E1200" s="48"/>
      <c r="F1200" s="48"/>
      <c r="G1200" s="2"/>
      <c r="H1200" s="48"/>
      <c r="I1200" s="2"/>
      <c r="J1200" s="2"/>
      <c r="K1200" s="2"/>
      <c r="L1200" s="2"/>
      <c r="M1200" s="2"/>
      <c r="N1200" s="2"/>
      <c r="O1200" s="1286"/>
      <c r="P1200" s="95"/>
      <c r="Q1200" s="95"/>
      <c r="AE1200" s="95"/>
      <c r="AF1200" s="95"/>
      <c r="AG1200" s="95"/>
      <c r="AH1200" s="2"/>
      <c r="AI1200" s="2"/>
      <c r="AJ1200" s="2"/>
      <c r="AK1200" s="2"/>
    </row>
    <row r="1201" spans="1:37" ht="15.75" customHeight="1" x14ac:dyDescent="0.2">
      <c r="A1201" s="1"/>
      <c r="B1201" s="2"/>
      <c r="C1201" s="1"/>
      <c r="D1201" s="1"/>
      <c r="E1201" s="48"/>
      <c r="F1201" s="48"/>
      <c r="G1201" s="2"/>
      <c r="H1201" s="48"/>
      <c r="I1201" s="2"/>
      <c r="J1201" s="2"/>
      <c r="K1201" s="2"/>
      <c r="L1201" s="2"/>
      <c r="M1201" s="2"/>
      <c r="N1201" s="2"/>
      <c r="O1201" s="1286"/>
      <c r="P1201" s="95"/>
      <c r="Q1201" s="95"/>
      <c r="AE1201" s="95"/>
      <c r="AF1201" s="95"/>
      <c r="AG1201" s="95"/>
      <c r="AH1201" s="2"/>
      <c r="AI1201" s="2"/>
      <c r="AJ1201" s="2"/>
      <c r="AK1201" s="2"/>
    </row>
    <row r="1202" spans="1:37" ht="15.75" customHeight="1" x14ac:dyDescent="0.2">
      <c r="A1202" s="1"/>
      <c r="B1202" s="2"/>
      <c r="C1202" s="1"/>
      <c r="D1202" s="1"/>
      <c r="E1202" s="48"/>
      <c r="F1202" s="48"/>
      <c r="G1202" s="2"/>
      <c r="H1202" s="48"/>
      <c r="I1202" s="2"/>
      <c r="J1202" s="2"/>
      <c r="K1202" s="2"/>
      <c r="L1202" s="2"/>
      <c r="M1202" s="2"/>
      <c r="N1202" s="2"/>
      <c r="O1202" s="1286"/>
      <c r="P1202" s="95"/>
      <c r="Q1202" s="95"/>
      <c r="AE1202" s="95"/>
      <c r="AF1202" s="95"/>
      <c r="AG1202" s="95"/>
      <c r="AH1202" s="2"/>
      <c r="AI1202" s="2"/>
      <c r="AJ1202" s="2"/>
      <c r="AK1202" s="2"/>
    </row>
    <row r="1203" spans="1:37" ht="15.75" customHeight="1" x14ac:dyDescent="0.2">
      <c r="A1203" s="1"/>
      <c r="B1203" s="2"/>
      <c r="C1203" s="1"/>
      <c r="D1203" s="1"/>
      <c r="E1203" s="48"/>
      <c r="F1203" s="48"/>
      <c r="G1203" s="2"/>
      <c r="H1203" s="48"/>
      <c r="I1203" s="2"/>
      <c r="J1203" s="2"/>
      <c r="K1203" s="2"/>
      <c r="L1203" s="2"/>
      <c r="M1203" s="2"/>
      <c r="N1203" s="2"/>
      <c r="O1203" s="1286"/>
      <c r="P1203" s="95"/>
      <c r="Q1203" s="95"/>
      <c r="AE1203" s="95"/>
      <c r="AF1203" s="95"/>
      <c r="AG1203" s="95"/>
      <c r="AH1203" s="2"/>
      <c r="AI1203" s="2"/>
      <c r="AJ1203" s="2"/>
      <c r="AK1203" s="2"/>
    </row>
    <row r="1204" spans="1:37" ht="15.75" customHeight="1" x14ac:dyDescent="0.2">
      <c r="A1204" s="1"/>
      <c r="B1204" s="2"/>
      <c r="C1204" s="1"/>
      <c r="D1204" s="1"/>
      <c r="E1204" s="48"/>
      <c r="F1204" s="48"/>
      <c r="G1204" s="2"/>
      <c r="H1204" s="48"/>
      <c r="I1204" s="2"/>
      <c r="J1204" s="2"/>
      <c r="K1204" s="2"/>
      <c r="L1204" s="2"/>
      <c r="M1204" s="2"/>
      <c r="N1204" s="2"/>
      <c r="O1204" s="1286"/>
      <c r="P1204" s="95"/>
      <c r="Q1204" s="95"/>
      <c r="AE1204" s="95"/>
      <c r="AF1204" s="95"/>
      <c r="AG1204" s="95"/>
      <c r="AH1204" s="2"/>
      <c r="AI1204" s="2"/>
      <c r="AJ1204" s="2"/>
      <c r="AK1204" s="2"/>
    </row>
    <row r="1205" spans="1:37" ht="15.75" customHeight="1" x14ac:dyDescent="0.2">
      <c r="A1205" s="1"/>
      <c r="B1205" s="2"/>
      <c r="C1205" s="1"/>
      <c r="D1205" s="1"/>
      <c r="E1205" s="48"/>
      <c r="F1205" s="48"/>
      <c r="G1205" s="2"/>
      <c r="H1205" s="48"/>
      <c r="I1205" s="2"/>
      <c r="J1205" s="2"/>
      <c r="K1205" s="2"/>
      <c r="L1205" s="2"/>
      <c r="M1205" s="2"/>
      <c r="N1205" s="2"/>
      <c r="O1205" s="1286"/>
      <c r="P1205" s="95"/>
      <c r="Q1205" s="95"/>
      <c r="AE1205" s="95"/>
      <c r="AF1205" s="95"/>
      <c r="AG1205" s="95"/>
      <c r="AH1205" s="2"/>
      <c r="AI1205" s="2"/>
      <c r="AJ1205" s="2"/>
      <c r="AK1205" s="2"/>
    </row>
    <row r="1206" spans="1:37" ht="15.75" customHeight="1" x14ac:dyDescent="0.2">
      <c r="A1206" s="1"/>
      <c r="B1206" s="2"/>
      <c r="C1206" s="1"/>
      <c r="D1206" s="1"/>
      <c r="E1206" s="48"/>
      <c r="F1206" s="48"/>
      <c r="G1206" s="2"/>
      <c r="H1206" s="48"/>
      <c r="I1206" s="2"/>
      <c r="J1206" s="2"/>
      <c r="K1206" s="2"/>
      <c r="L1206" s="2"/>
      <c r="M1206" s="2"/>
      <c r="N1206" s="2"/>
      <c r="O1206" s="1286"/>
      <c r="P1206" s="95"/>
      <c r="Q1206" s="95"/>
      <c r="AE1206" s="95"/>
      <c r="AF1206" s="95"/>
      <c r="AG1206" s="95"/>
      <c r="AH1206" s="2"/>
      <c r="AI1206" s="2"/>
      <c r="AJ1206" s="2"/>
      <c r="AK1206" s="2"/>
    </row>
    <row r="1207" spans="1:37" ht="15.75" customHeight="1" x14ac:dyDescent="0.2">
      <c r="A1207" s="1"/>
      <c r="B1207" s="2"/>
      <c r="C1207" s="1"/>
      <c r="D1207" s="1"/>
      <c r="E1207" s="48"/>
      <c r="F1207" s="48"/>
      <c r="G1207" s="2"/>
      <c r="H1207" s="48"/>
      <c r="I1207" s="2"/>
      <c r="J1207" s="2"/>
      <c r="K1207" s="2"/>
      <c r="L1207" s="2"/>
      <c r="M1207" s="2"/>
      <c r="N1207" s="2"/>
      <c r="O1207" s="1286"/>
      <c r="P1207" s="95"/>
      <c r="Q1207" s="95"/>
      <c r="AE1207" s="95"/>
      <c r="AF1207" s="95"/>
      <c r="AG1207" s="95"/>
      <c r="AH1207" s="2"/>
      <c r="AI1207" s="2"/>
      <c r="AJ1207" s="2"/>
      <c r="AK1207" s="2"/>
    </row>
    <row r="1208" spans="1:37" ht="15.75" customHeight="1" x14ac:dyDescent="0.2">
      <c r="A1208" s="1"/>
      <c r="B1208" s="2"/>
      <c r="C1208" s="1"/>
      <c r="D1208" s="1"/>
      <c r="E1208" s="48"/>
      <c r="F1208" s="48"/>
      <c r="G1208" s="2"/>
      <c r="H1208" s="48"/>
      <c r="I1208" s="2"/>
      <c r="J1208" s="2"/>
      <c r="K1208" s="2"/>
      <c r="L1208" s="2"/>
      <c r="M1208" s="2"/>
      <c r="N1208" s="2"/>
      <c r="O1208" s="1286"/>
      <c r="P1208" s="95"/>
      <c r="Q1208" s="95"/>
      <c r="AE1208" s="95"/>
      <c r="AF1208" s="95"/>
      <c r="AG1208" s="95"/>
      <c r="AH1208" s="2"/>
      <c r="AI1208" s="2"/>
      <c r="AJ1208" s="2"/>
      <c r="AK1208" s="2"/>
    </row>
    <row r="1209" spans="1:37" ht="15.75" customHeight="1" x14ac:dyDescent="0.2">
      <c r="A1209" s="1"/>
      <c r="B1209" s="2"/>
      <c r="C1209" s="1"/>
      <c r="D1209" s="1"/>
      <c r="E1209" s="48"/>
      <c r="F1209" s="48"/>
      <c r="G1209" s="2"/>
      <c r="H1209" s="48"/>
      <c r="I1209" s="2"/>
      <c r="J1209" s="2"/>
      <c r="K1209" s="2"/>
      <c r="L1209" s="2"/>
      <c r="M1209" s="2"/>
      <c r="N1209" s="2"/>
      <c r="O1209" s="1286"/>
      <c r="P1209" s="95"/>
      <c r="Q1209" s="95"/>
      <c r="AE1209" s="95"/>
      <c r="AF1209" s="95"/>
      <c r="AG1209" s="95"/>
      <c r="AH1209" s="2"/>
      <c r="AI1209" s="2"/>
      <c r="AJ1209" s="2"/>
      <c r="AK1209" s="2"/>
    </row>
    <row r="1210" spans="1:37" ht="15.75" customHeight="1" x14ac:dyDescent="0.2">
      <c r="A1210" s="1"/>
      <c r="B1210" s="2"/>
      <c r="C1210" s="1"/>
      <c r="D1210" s="1"/>
      <c r="E1210" s="48"/>
      <c r="F1210" s="48"/>
      <c r="G1210" s="2"/>
      <c r="H1210" s="48"/>
      <c r="I1210" s="2"/>
      <c r="J1210" s="2"/>
      <c r="K1210" s="2"/>
      <c r="L1210" s="2"/>
      <c r="M1210" s="2"/>
      <c r="N1210" s="2"/>
      <c r="O1210" s="1286"/>
      <c r="P1210" s="95"/>
      <c r="Q1210" s="95"/>
      <c r="AE1210" s="95"/>
      <c r="AF1210" s="95"/>
      <c r="AG1210" s="95"/>
      <c r="AH1210" s="2"/>
      <c r="AI1210" s="2"/>
      <c r="AJ1210" s="2"/>
      <c r="AK1210" s="2"/>
    </row>
    <row r="1211" spans="1:37" ht="15.75" customHeight="1" x14ac:dyDescent="0.2">
      <c r="A1211" s="1"/>
      <c r="B1211" s="2"/>
      <c r="C1211" s="1"/>
      <c r="D1211" s="1"/>
      <c r="E1211" s="48"/>
      <c r="F1211" s="48"/>
      <c r="G1211" s="2"/>
      <c r="H1211" s="48"/>
      <c r="I1211" s="2"/>
      <c r="J1211" s="2"/>
      <c r="K1211" s="2"/>
      <c r="L1211" s="2"/>
      <c r="M1211" s="2"/>
      <c r="N1211" s="2"/>
      <c r="O1211" s="1286"/>
      <c r="P1211" s="95"/>
      <c r="Q1211" s="95"/>
      <c r="AE1211" s="95"/>
      <c r="AF1211" s="95"/>
      <c r="AG1211" s="95"/>
      <c r="AH1211" s="2"/>
      <c r="AI1211" s="2"/>
      <c r="AJ1211" s="2"/>
      <c r="AK1211" s="2"/>
    </row>
    <row r="1212" spans="1:37" ht="15.75" customHeight="1" x14ac:dyDescent="0.2">
      <c r="A1212" s="1"/>
      <c r="B1212" s="2"/>
      <c r="C1212" s="1"/>
      <c r="D1212" s="1"/>
      <c r="E1212" s="48"/>
      <c r="F1212" s="48"/>
      <c r="G1212" s="2"/>
      <c r="H1212" s="48"/>
      <c r="I1212" s="2"/>
      <c r="J1212" s="2"/>
      <c r="K1212" s="2"/>
      <c r="L1212" s="2"/>
      <c r="M1212" s="2"/>
      <c r="N1212" s="2"/>
      <c r="O1212" s="1286"/>
      <c r="P1212" s="95"/>
      <c r="Q1212" s="95"/>
      <c r="AE1212" s="95"/>
      <c r="AF1212" s="95"/>
      <c r="AG1212" s="95"/>
      <c r="AH1212" s="2"/>
      <c r="AI1212" s="2"/>
      <c r="AJ1212" s="2"/>
      <c r="AK1212" s="2"/>
    </row>
    <row r="1213" spans="1:37" ht="15.75" customHeight="1" x14ac:dyDescent="0.2">
      <c r="A1213" s="1"/>
      <c r="B1213" s="2"/>
      <c r="C1213" s="1"/>
      <c r="D1213" s="1"/>
      <c r="E1213" s="48"/>
      <c r="F1213" s="48"/>
      <c r="G1213" s="2"/>
      <c r="H1213" s="48"/>
      <c r="I1213" s="2"/>
      <c r="J1213" s="2"/>
      <c r="K1213" s="2"/>
      <c r="L1213" s="2"/>
      <c r="M1213" s="2"/>
      <c r="N1213" s="2"/>
      <c r="O1213" s="1286"/>
      <c r="P1213" s="95"/>
      <c r="Q1213" s="95"/>
      <c r="AE1213" s="95"/>
      <c r="AF1213" s="95"/>
      <c r="AG1213" s="95"/>
      <c r="AH1213" s="2"/>
      <c r="AI1213" s="2"/>
      <c r="AJ1213" s="2"/>
      <c r="AK1213" s="2"/>
    </row>
    <row r="1214" spans="1:37" ht="15.75" customHeight="1" x14ac:dyDescent="0.2">
      <c r="A1214" s="1"/>
      <c r="B1214" s="2"/>
      <c r="C1214" s="1"/>
      <c r="D1214" s="1"/>
      <c r="E1214" s="48"/>
      <c r="F1214" s="48"/>
      <c r="G1214" s="2"/>
      <c r="H1214" s="48"/>
      <c r="I1214" s="2"/>
      <c r="J1214" s="2"/>
      <c r="K1214" s="2"/>
      <c r="L1214" s="2"/>
      <c r="M1214" s="2"/>
      <c r="N1214" s="2"/>
      <c r="O1214" s="1286"/>
      <c r="P1214" s="95"/>
      <c r="Q1214" s="95"/>
      <c r="AE1214" s="95"/>
      <c r="AF1214" s="95"/>
      <c r="AG1214" s="95"/>
      <c r="AH1214" s="2"/>
      <c r="AI1214" s="2"/>
      <c r="AJ1214" s="2"/>
      <c r="AK1214" s="2"/>
    </row>
    <row r="1215" spans="1:37" ht="15.75" customHeight="1" x14ac:dyDescent="0.2">
      <c r="A1215" s="1"/>
      <c r="B1215" s="2"/>
      <c r="C1215" s="1"/>
      <c r="D1215" s="1"/>
      <c r="E1215" s="48"/>
      <c r="F1215" s="48"/>
      <c r="G1215" s="2"/>
      <c r="H1215" s="48"/>
      <c r="I1215" s="2"/>
      <c r="J1215" s="2"/>
      <c r="K1215" s="2"/>
      <c r="L1215" s="2"/>
      <c r="M1215" s="2"/>
      <c r="N1215" s="2"/>
      <c r="O1215" s="1286"/>
      <c r="P1215" s="95"/>
      <c r="Q1215" s="95"/>
      <c r="AE1215" s="95"/>
      <c r="AF1215" s="95"/>
      <c r="AG1215" s="95"/>
      <c r="AH1215" s="2"/>
      <c r="AI1215" s="2"/>
      <c r="AJ1215" s="2"/>
      <c r="AK1215" s="2"/>
    </row>
    <row r="1216" spans="1:37" ht="15.75" customHeight="1" x14ac:dyDescent="0.2">
      <c r="A1216" s="1"/>
      <c r="B1216" s="2"/>
      <c r="C1216" s="1"/>
      <c r="D1216" s="1"/>
      <c r="E1216" s="48"/>
      <c r="F1216" s="48"/>
      <c r="G1216" s="2"/>
      <c r="H1216" s="48"/>
      <c r="I1216" s="2"/>
      <c r="J1216" s="2"/>
      <c r="K1216" s="2"/>
      <c r="L1216" s="2"/>
      <c r="M1216" s="2"/>
      <c r="N1216" s="2"/>
      <c r="O1216" s="1286"/>
      <c r="P1216" s="95"/>
      <c r="Q1216" s="95"/>
      <c r="AE1216" s="95"/>
      <c r="AF1216" s="95"/>
      <c r="AG1216" s="95"/>
      <c r="AH1216" s="2"/>
      <c r="AI1216" s="2"/>
      <c r="AJ1216" s="2"/>
      <c r="AK1216" s="2"/>
    </row>
    <row r="1217" spans="1:37" ht="15.75" customHeight="1" x14ac:dyDescent="0.2">
      <c r="A1217" s="1"/>
      <c r="B1217" s="2"/>
      <c r="C1217" s="1"/>
      <c r="D1217" s="1"/>
      <c r="E1217" s="48"/>
      <c r="F1217" s="48"/>
      <c r="G1217" s="2"/>
      <c r="H1217" s="48"/>
      <c r="I1217" s="2"/>
      <c r="J1217" s="2"/>
      <c r="K1217" s="2"/>
      <c r="L1217" s="2"/>
      <c r="M1217" s="2"/>
      <c r="N1217" s="2"/>
      <c r="O1217" s="1286"/>
      <c r="P1217" s="95"/>
      <c r="Q1217" s="95"/>
      <c r="AE1217" s="95"/>
      <c r="AF1217" s="95"/>
      <c r="AG1217" s="95"/>
      <c r="AH1217" s="2"/>
      <c r="AI1217" s="2"/>
      <c r="AJ1217" s="2"/>
      <c r="AK1217" s="2"/>
    </row>
    <row r="1218" spans="1:37" ht="15.75" customHeight="1" x14ac:dyDescent="0.2">
      <c r="A1218" s="1"/>
      <c r="B1218" s="2"/>
      <c r="C1218" s="1"/>
      <c r="D1218" s="1"/>
      <c r="E1218" s="48"/>
      <c r="F1218" s="48"/>
      <c r="G1218" s="2"/>
      <c r="H1218" s="48"/>
      <c r="I1218" s="2"/>
      <c r="J1218" s="2"/>
      <c r="K1218" s="2"/>
      <c r="L1218" s="2"/>
      <c r="M1218" s="2"/>
      <c r="N1218" s="2"/>
      <c r="O1218" s="1286"/>
      <c r="P1218" s="95"/>
      <c r="Q1218" s="95"/>
      <c r="AE1218" s="95"/>
      <c r="AF1218" s="95"/>
      <c r="AG1218" s="95"/>
      <c r="AH1218" s="2"/>
      <c r="AI1218" s="2"/>
      <c r="AJ1218" s="2"/>
      <c r="AK1218" s="2"/>
    </row>
    <row r="1219" spans="1:37" ht="15.75" customHeight="1" x14ac:dyDescent="0.2">
      <c r="A1219" s="1"/>
      <c r="B1219" s="2"/>
      <c r="C1219" s="1"/>
      <c r="D1219" s="1"/>
      <c r="E1219" s="48"/>
      <c r="F1219" s="48"/>
      <c r="G1219" s="2"/>
      <c r="H1219" s="48"/>
      <c r="I1219" s="2"/>
      <c r="J1219" s="2"/>
      <c r="K1219" s="2"/>
      <c r="L1219" s="2"/>
      <c r="M1219" s="2"/>
      <c r="N1219" s="2"/>
      <c r="O1219" s="1286"/>
      <c r="P1219" s="95"/>
      <c r="Q1219" s="95"/>
      <c r="AE1219" s="95"/>
      <c r="AF1219" s="95"/>
      <c r="AG1219" s="95"/>
      <c r="AH1219" s="2"/>
      <c r="AI1219" s="2"/>
      <c r="AJ1219" s="2"/>
      <c r="AK1219" s="2"/>
    </row>
    <row r="1220" spans="1:37" ht="15.75" customHeight="1" x14ac:dyDescent="0.2">
      <c r="A1220" s="1"/>
      <c r="B1220" s="2"/>
      <c r="C1220" s="1"/>
      <c r="D1220" s="1"/>
      <c r="E1220" s="48"/>
      <c r="F1220" s="48"/>
      <c r="G1220" s="2"/>
      <c r="H1220" s="48"/>
      <c r="I1220" s="2"/>
      <c r="J1220" s="2"/>
      <c r="K1220" s="2"/>
      <c r="L1220" s="2"/>
      <c r="M1220" s="2"/>
      <c r="N1220" s="2"/>
      <c r="O1220" s="1286"/>
      <c r="P1220" s="95"/>
      <c r="Q1220" s="95"/>
      <c r="AE1220" s="95"/>
      <c r="AF1220" s="95"/>
      <c r="AG1220" s="95"/>
      <c r="AH1220" s="2"/>
      <c r="AI1220" s="2"/>
      <c r="AJ1220" s="2"/>
      <c r="AK1220" s="2"/>
    </row>
    <row r="1221" spans="1:37" ht="15.75" customHeight="1" x14ac:dyDescent="0.2">
      <c r="A1221" s="1"/>
      <c r="B1221" s="2"/>
      <c r="C1221" s="1"/>
      <c r="D1221" s="1"/>
      <c r="E1221" s="48"/>
      <c r="F1221" s="48"/>
      <c r="G1221" s="2"/>
      <c r="H1221" s="48"/>
      <c r="I1221" s="2"/>
      <c r="J1221" s="2"/>
      <c r="K1221" s="2"/>
      <c r="L1221" s="2"/>
      <c r="M1221" s="2"/>
      <c r="N1221" s="2"/>
      <c r="O1221" s="1286"/>
      <c r="P1221" s="95"/>
      <c r="Q1221" s="95"/>
      <c r="AE1221" s="95"/>
      <c r="AF1221" s="95"/>
      <c r="AG1221" s="95"/>
      <c r="AH1221" s="2"/>
      <c r="AI1221" s="2"/>
      <c r="AJ1221" s="2"/>
      <c r="AK1221" s="2"/>
    </row>
    <row r="1222" spans="1:37" ht="15.75" customHeight="1" x14ac:dyDescent="0.2">
      <c r="A1222" s="1"/>
      <c r="B1222" s="2"/>
      <c r="C1222" s="1"/>
      <c r="D1222" s="1"/>
      <c r="E1222" s="48"/>
      <c r="F1222" s="48"/>
      <c r="G1222" s="2"/>
      <c r="H1222" s="48"/>
      <c r="I1222" s="2"/>
      <c r="J1222" s="2"/>
      <c r="K1222" s="2"/>
      <c r="L1222" s="2"/>
      <c r="M1222" s="2"/>
      <c r="N1222" s="2"/>
      <c r="O1222" s="1286"/>
      <c r="P1222" s="95"/>
      <c r="Q1222" s="95"/>
      <c r="AE1222" s="95"/>
      <c r="AF1222" s="95"/>
      <c r="AG1222" s="95"/>
      <c r="AH1222" s="2"/>
      <c r="AI1222" s="2"/>
      <c r="AJ1222" s="2"/>
      <c r="AK1222" s="2"/>
    </row>
    <row r="1223" spans="1:37" ht="15.75" customHeight="1" x14ac:dyDescent="0.2">
      <c r="A1223" s="1"/>
      <c r="B1223" s="2"/>
      <c r="C1223" s="1"/>
      <c r="D1223" s="1"/>
      <c r="E1223" s="48"/>
      <c r="F1223" s="48"/>
      <c r="G1223" s="2"/>
      <c r="H1223" s="48"/>
      <c r="I1223" s="2"/>
      <c r="J1223" s="2"/>
      <c r="K1223" s="2"/>
      <c r="L1223" s="2"/>
      <c r="M1223" s="2"/>
      <c r="N1223" s="2"/>
      <c r="O1223" s="1286"/>
      <c r="P1223" s="95"/>
      <c r="Q1223" s="95"/>
      <c r="AE1223" s="95"/>
      <c r="AF1223" s="95"/>
      <c r="AG1223" s="95"/>
      <c r="AH1223" s="2"/>
      <c r="AI1223" s="2"/>
      <c r="AJ1223" s="2"/>
      <c r="AK1223" s="2"/>
    </row>
    <row r="1224" spans="1:37" ht="15.75" customHeight="1" x14ac:dyDescent="0.2">
      <c r="A1224" s="1"/>
      <c r="B1224" s="2"/>
      <c r="C1224" s="1"/>
      <c r="D1224" s="1"/>
      <c r="E1224" s="48"/>
      <c r="F1224" s="48"/>
      <c r="G1224" s="2"/>
      <c r="H1224" s="48"/>
      <c r="I1224" s="2"/>
      <c r="J1224" s="2"/>
      <c r="K1224" s="2"/>
      <c r="L1224" s="2"/>
      <c r="M1224" s="2"/>
      <c r="N1224" s="2"/>
      <c r="O1224" s="1286"/>
      <c r="P1224" s="95"/>
      <c r="Q1224" s="95"/>
      <c r="AE1224" s="95"/>
      <c r="AF1224" s="95"/>
      <c r="AG1224" s="95"/>
      <c r="AH1224" s="2"/>
      <c r="AI1224" s="2"/>
      <c r="AJ1224" s="2"/>
      <c r="AK1224" s="2"/>
    </row>
    <row r="1225" spans="1:37" ht="15.75" customHeight="1" x14ac:dyDescent="0.2">
      <c r="A1225" s="1"/>
      <c r="B1225" s="2"/>
      <c r="C1225" s="1"/>
      <c r="D1225" s="1"/>
      <c r="E1225" s="48"/>
      <c r="F1225" s="48"/>
      <c r="G1225" s="2"/>
      <c r="H1225" s="48"/>
      <c r="I1225" s="2"/>
      <c r="J1225" s="2"/>
      <c r="K1225" s="2"/>
      <c r="L1225" s="2"/>
      <c r="M1225" s="2"/>
      <c r="N1225" s="2"/>
      <c r="O1225" s="1286"/>
      <c r="P1225" s="95"/>
      <c r="Q1225" s="95"/>
      <c r="AE1225" s="95"/>
      <c r="AF1225" s="95"/>
      <c r="AG1225" s="95"/>
      <c r="AH1225" s="2"/>
      <c r="AI1225" s="2"/>
      <c r="AJ1225" s="2"/>
      <c r="AK1225" s="2"/>
    </row>
    <row r="1226" spans="1:37" ht="15.75" customHeight="1" x14ac:dyDescent="0.2">
      <c r="A1226" s="1"/>
      <c r="B1226" s="2"/>
      <c r="C1226" s="1"/>
      <c r="D1226" s="1"/>
      <c r="E1226" s="48"/>
      <c r="F1226" s="48"/>
      <c r="G1226" s="2"/>
      <c r="H1226" s="48"/>
      <c r="I1226" s="2"/>
      <c r="J1226" s="2"/>
      <c r="K1226" s="2"/>
      <c r="L1226" s="2"/>
      <c r="M1226" s="2"/>
      <c r="N1226" s="2"/>
      <c r="O1226" s="1286"/>
      <c r="P1226" s="95"/>
      <c r="Q1226" s="95"/>
      <c r="AE1226" s="95"/>
      <c r="AF1226" s="95"/>
      <c r="AG1226" s="95"/>
      <c r="AH1226" s="2"/>
      <c r="AI1226" s="2"/>
      <c r="AJ1226" s="2"/>
      <c r="AK1226" s="2"/>
    </row>
    <row r="1227" spans="1:37" ht="15.75" customHeight="1" x14ac:dyDescent="0.2">
      <c r="A1227" s="1"/>
      <c r="B1227" s="2"/>
      <c r="C1227" s="1"/>
      <c r="D1227" s="1"/>
      <c r="E1227" s="48"/>
      <c r="F1227" s="48"/>
      <c r="G1227" s="2"/>
      <c r="H1227" s="48"/>
      <c r="I1227" s="2"/>
      <c r="J1227" s="2"/>
      <c r="K1227" s="2"/>
      <c r="L1227" s="2"/>
      <c r="M1227" s="2"/>
      <c r="N1227" s="2"/>
      <c r="O1227" s="1286"/>
      <c r="P1227" s="95"/>
      <c r="Q1227" s="95"/>
      <c r="AE1227" s="95"/>
      <c r="AF1227" s="95"/>
      <c r="AG1227" s="95"/>
      <c r="AH1227" s="2"/>
      <c r="AI1227" s="2"/>
      <c r="AJ1227" s="2"/>
      <c r="AK1227" s="2"/>
    </row>
    <row r="1228" spans="1:37" ht="15.75" customHeight="1" x14ac:dyDescent="0.2">
      <c r="A1228" s="1"/>
      <c r="B1228" s="2"/>
      <c r="C1228" s="1"/>
      <c r="D1228" s="1"/>
      <c r="E1228" s="48"/>
      <c r="F1228" s="48"/>
      <c r="G1228" s="2"/>
      <c r="H1228" s="48"/>
      <c r="I1228" s="2"/>
      <c r="J1228" s="2"/>
      <c r="K1228" s="2"/>
      <c r="L1228" s="2"/>
      <c r="M1228" s="2"/>
      <c r="N1228" s="2"/>
      <c r="O1228" s="1286"/>
      <c r="P1228" s="95"/>
      <c r="Q1228" s="95"/>
      <c r="AE1228" s="95"/>
      <c r="AF1228" s="95"/>
      <c r="AG1228" s="95"/>
      <c r="AH1228" s="2"/>
      <c r="AI1228" s="2"/>
      <c r="AJ1228" s="2"/>
      <c r="AK1228" s="2"/>
    </row>
    <row r="1229" spans="1:37" ht="15.75" customHeight="1" x14ac:dyDescent="0.2">
      <c r="A1229" s="1"/>
      <c r="B1229" s="2"/>
      <c r="C1229" s="1"/>
      <c r="D1229" s="1"/>
      <c r="E1229" s="48"/>
      <c r="F1229" s="48"/>
      <c r="G1229" s="2"/>
      <c r="H1229" s="48"/>
      <c r="I1229" s="2"/>
      <c r="J1229" s="2"/>
      <c r="K1229" s="2"/>
      <c r="L1229" s="2"/>
      <c r="M1229" s="2"/>
      <c r="N1229" s="2"/>
      <c r="O1229" s="1286"/>
      <c r="P1229" s="95"/>
      <c r="Q1229" s="95"/>
      <c r="AE1229" s="95"/>
      <c r="AF1229" s="95"/>
      <c r="AG1229" s="95"/>
      <c r="AH1229" s="2"/>
      <c r="AI1229" s="2"/>
      <c r="AJ1229" s="2"/>
      <c r="AK1229" s="2"/>
    </row>
    <row r="1230" spans="1:37" ht="15.75" customHeight="1" x14ac:dyDescent="0.2">
      <c r="A1230" s="1"/>
      <c r="B1230" s="2"/>
      <c r="C1230" s="1"/>
      <c r="D1230" s="1"/>
      <c r="E1230" s="48"/>
      <c r="F1230" s="48"/>
      <c r="G1230" s="2"/>
      <c r="H1230" s="48"/>
      <c r="I1230" s="2"/>
      <c r="J1230" s="2"/>
      <c r="K1230" s="2"/>
      <c r="L1230" s="2"/>
      <c r="M1230" s="2"/>
      <c r="N1230" s="2"/>
      <c r="O1230" s="1286"/>
      <c r="P1230" s="95"/>
      <c r="Q1230" s="95"/>
      <c r="AE1230" s="95"/>
      <c r="AF1230" s="95"/>
      <c r="AG1230" s="95"/>
      <c r="AH1230" s="2"/>
      <c r="AI1230" s="2"/>
      <c r="AJ1230" s="2"/>
      <c r="AK1230" s="2"/>
    </row>
    <row r="1231" spans="1:37" ht="15.75" customHeight="1" x14ac:dyDescent="0.2">
      <c r="A1231" s="1"/>
      <c r="B1231" s="2"/>
      <c r="C1231" s="1"/>
      <c r="D1231" s="1"/>
      <c r="E1231" s="48"/>
      <c r="F1231" s="48"/>
      <c r="G1231" s="2"/>
      <c r="H1231" s="48"/>
      <c r="I1231" s="2"/>
      <c r="J1231" s="2"/>
      <c r="K1231" s="2"/>
      <c r="L1231" s="2"/>
      <c r="M1231" s="2"/>
      <c r="N1231" s="2"/>
      <c r="O1231" s="1286"/>
      <c r="P1231" s="95"/>
      <c r="Q1231" s="95"/>
      <c r="AE1231" s="95"/>
      <c r="AF1231" s="95"/>
      <c r="AG1231" s="95"/>
      <c r="AH1231" s="2"/>
      <c r="AI1231" s="2"/>
      <c r="AJ1231" s="2"/>
      <c r="AK1231" s="2"/>
    </row>
    <row r="1232" spans="1:37" ht="15.75" customHeight="1" x14ac:dyDescent="0.2">
      <c r="A1232" s="1"/>
      <c r="B1232" s="2"/>
      <c r="C1232" s="1"/>
      <c r="D1232" s="1"/>
      <c r="E1232" s="48"/>
      <c r="F1232" s="48"/>
      <c r="G1232" s="2"/>
      <c r="H1232" s="48"/>
      <c r="I1232" s="2"/>
      <c r="J1232" s="2"/>
      <c r="K1232" s="2"/>
      <c r="L1232" s="2"/>
      <c r="M1232" s="2"/>
      <c r="N1232" s="2"/>
      <c r="O1232" s="1286"/>
      <c r="P1232" s="95"/>
      <c r="Q1232" s="95"/>
      <c r="AE1232" s="95"/>
      <c r="AF1232" s="95"/>
      <c r="AG1232" s="95"/>
      <c r="AH1232" s="2"/>
      <c r="AI1232" s="2"/>
      <c r="AJ1232" s="2"/>
      <c r="AK1232" s="2"/>
    </row>
    <row r="1233" spans="1:37" ht="15.75" customHeight="1" x14ac:dyDescent="0.2">
      <c r="A1233" s="1"/>
      <c r="B1233" s="2"/>
      <c r="C1233" s="1"/>
      <c r="D1233" s="1"/>
      <c r="E1233" s="48"/>
      <c r="F1233" s="48"/>
      <c r="G1233" s="2"/>
      <c r="H1233" s="48"/>
      <c r="I1233" s="2"/>
      <c r="J1233" s="2"/>
      <c r="K1233" s="2"/>
      <c r="L1233" s="2"/>
      <c r="M1233" s="2"/>
      <c r="N1233" s="2"/>
      <c r="O1233" s="1286"/>
      <c r="P1233" s="95"/>
      <c r="Q1233" s="95"/>
      <c r="AE1233" s="95"/>
      <c r="AF1233" s="95"/>
      <c r="AG1233" s="95"/>
      <c r="AH1233" s="2"/>
      <c r="AI1233" s="2"/>
      <c r="AJ1233" s="2"/>
      <c r="AK1233" s="2"/>
    </row>
    <row r="1234" spans="1:37" ht="15.75" customHeight="1" x14ac:dyDescent="0.2">
      <c r="A1234" s="1"/>
      <c r="B1234" s="2"/>
      <c r="C1234" s="1"/>
      <c r="D1234" s="1"/>
      <c r="E1234" s="48"/>
      <c r="F1234" s="48"/>
      <c r="G1234" s="2"/>
      <c r="H1234" s="48"/>
      <c r="I1234" s="2"/>
      <c r="J1234" s="2"/>
      <c r="K1234" s="2"/>
      <c r="L1234" s="2"/>
      <c r="M1234" s="2"/>
      <c r="N1234" s="2"/>
      <c r="O1234" s="1286"/>
      <c r="P1234" s="95"/>
      <c r="Q1234" s="95"/>
      <c r="AE1234" s="95"/>
      <c r="AF1234" s="95"/>
      <c r="AG1234" s="95"/>
      <c r="AH1234" s="2"/>
      <c r="AI1234" s="2"/>
      <c r="AJ1234" s="2"/>
      <c r="AK1234" s="2"/>
    </row>
    <row r="1235" spans="1:37" ht="15.75" customHeight="1" x14ac:dyDescent="0.2">
      <c r="A1235" s="1"/>
      <c r="B1235" s="2"/>
      <c r="C1235" s="1"/>
      <c r="D1235" s="1"/>
      <c r="E1235" s="48"/>
      <c r="F1235" s="48"/>
      <c r="G1235" s="2"/>
      <c r="H1235" s="48"/>
      <c r="I1235" s="2"/>
      <c r="J1235" s="2"/>
      <c r="K1235" s="2"/>
      <c r="L1235" s="2"/>
      <c r="M1235" s="2"/>
      <c r="N1235" s="2"/>
      <c r="O1235" s="1286"/>
      <c r="P1235" s="95"/>
      <c r="Q1235" s="95"/>
      <c r="AE1235" s="95"/>
      <c r="AF1235" s="95"/>
      <c r="AG1235" s="95"/>
      <c r="AH1235" s="2"/>
      <c r="AI1235" s="2"/>
      <c r="AJ1235" s="2"/>
      <c r="AK1235" s="2"/>
    </row>
  </sheetData>
  <autoFilter ref="A97:AL97" xr:uid="{623C4224-8CE7-8744-97E8-CAFD51B22C4E}">
    <filterColumn colId="1" showButton="0"/>
    <filterColumn colId="4" showButton="0"/>
    <filterColumn colId="5" showButton="0"/>
    <filterColumn colId="6" showButton="0"/>
    <filterColumn colId="9" showButton="0"/>
    <filterColumn colId="10" showButton="0"/>
    <filterColumn colId="11" showButton="0"/>
    <filterColumn colId="12" showButton="0"/>
  </autoFilter>
  <mergeCells count="702">
    <mergeCell ref="B85:C85"/>
    <mergeCell ref="J85:N85"/>
    <mergeCell ref="B86:B87"/>
    <mergeCell ref="J86:N86"/>
    <mergeCell ref="J109:N126"/>
    <mergeCell ref="J88:N88"/>
    <mergeCell ref="B89:C89"/>
    <mergeCell ref="J89:N89"/>
    <mergeCell ref="B109:C110"/>
    <mergeCell ref="B111:C112"/>
    <mergeCell ref="B113:C114"/>
    <mergeCell ref="B115:C116"/>
    <mergeCell ref="B117:C118"/>
    <mergeCell ref="B119:C120"/>
    <mergeCell ref="B121:C122"/>
    <mergeCell ref="B99:C100"/>
    <mergeCell ref="J99:N108"/>
    <mergeCell ref="B101:C102"/>
    <mergeCell ref="B103:C104"/>
    <mergeCell ref="B105:C106"/>
    <mergeCell ref="B107:C108"/>
    <mergeCell ref="J87:N87"/>
    <mergeCell ref="R3:AB3"/>
    <mergeCell ref="AD3:AL3"/>
    <mergeCell ref="B5:N5"/>
    <mergeCell ref="B394:O394"/>
    <mergeCell ref="B395:O395"/>
    <mergeCell ref="B323:D323"/>
    <mergeCell ref="E323:F323"/>
    <mergeCell ref="G323:H323"/>
    <mergeCell ref="I323:N323"/>
    <mergeCell ref="B334:N334"/>
    <mergeCell ref="B335:N335"/>
    <mergeCell ref="B336:N336"/>
    <mergeCell ref="B359:O359"/>
    <mergeCell ref="B376:N376"/>
    <mergeCell ref="C288:D288"/>
    <mergeCell ref="C290:D290"/>
    <mergeCell ref="B287:B288"/>
    <mergeCell ref="B289:B290"/>
    <mergeCell ref="B6:N6"/>
    <mergeCell ref="B7:N7"/>
    <mergeCell ref="B9:C9"/>
    <mergeCell ref="D9:D10"/>
    <mergeCell ref="E9:G9"/>
    <mergeCell ref="H9:H10"/>
    <mergeCell ref="I9:I10"/>
    <mergeCell ref="K9:K10"/>
    <mergeCell ref="B1:N1"/>
    <mergeCell ref="B2:N2"/>
    <mergeCell ref="B3:N3"/>
    <mergeCell ref="B23:C23"/>
    <mergeCell ref="E23:G23"/>
    <mergeCell ref="I23:I24"/>
    <mergeCell ref="K23:K24"/>
    <mergeCell ref="B25:B26"/>
    <mergeCell ref="L26:M26"/>
    <mergeCell ref="B11:B12"/>
    <mergeCell ref="L12:M12"/>
    <mergeCell ref="B13:B14"/>
    <mergeCell ref="L14:M14"/>
    <mergeCell ref="B15:B16"/>
    <mergeCell ref="L15:M15"/>
    <mergeCell ref="L16:M16"/>
    <mergeCell ref="B33:B34"/>
    <mergeCell ref="L34:M34"/>
    <mergeCell ref="B35:B36"/>
    <mergeCell ref="L36:M36"/>
    <mergeCell ref="B41:B42"/>
    <mergeCell ref="L42:M42"/>
    <mergeCell ref="B27:B28"/>
    <mergeCell ref="L28:M28"/>
    <mergeCell ref="B29:B30"/>
    <mergeCell ref="L30:M30"/>
    <mergeCell ref="B31:B32"/>
    <mergeCell ref="L32:M32"/>
    <mergeCell ref="B37:B38"/>
    <mergeCell ref="L38:M38"/>
    <mergeCell ref="B39:B40"/>
    <mergeCell ref="L40:M40"/>
    <mergeCell ref="L39:M39"/>
    <mergeCell ref="B53:B54"/>
    <mergeCell ref="Q53:R53"/>
    <mergeCell ref="L54:M54"/>
    <mergeCell ref="B55:B56"/>
    <mergeCell ref="L56:M56"/>
    <mergeCell ref="B57:B58"/>
    <mergeCell ref="Q58:R58"/>
    <mergeCell ref="B43:B44"/>
    <mergeCell ref="L44:M44"/>
    <mergeCell ref="B45:B46"/>
    <mergeCell ref="L46:M46"/>
    <mergeCell ref="Q46:R46"/>
    <mergeCell ref="B47:B48"/>
    <mergeCell ref="Q47:R47"/>
    <mergeCell ref="L48:M48"/>
    <mergeCell ref="Q48:R48"/>
    <mergeCell ref="B49:B50"/>
    <mergeCell ref="L50:M50"/>
    <mergeCell ref="B51:B52"/>
    <mergeCell ref="L51:M51"/>
    <mergeCell ref="L52:M52"/>
    <mergeCell ref="B65:N65"/>
    <mergeCell ref="B67:B68"/>
    <mergeCell ref="C67:C68"/>
    <mergeCell ref="D67:D68"/>
    <mergeCell ref="E67:G67"/>
    <mergeCell ref="H67:H68"/>
    <mergeCell ref="I67:I68"/>
    <mergeCell ref="J67:N68"/>
    <mergeCell ref="B59:N59"/>
    <mergeCell ref="B60:B61"/>
    <mergeCell ref="L60:M60"/>
    <mergeCell ref="L61:M61"/>
    <mergeCell ref="B62:B63"/>
    <mergeCell ref="L62:M62"/>
    <mergeCell ref="L63:M63"/>
    <mergeCell ref="H69:H71"/>
    <mergeCell ref="I69:I71"/>
    <mergeCell ref="J72:N72"/>
    <mergeCell ref="J69:N71"/>
    <mergeCell ref="B69:B71"/>
    <mergeCell ref="C69:C71"/>
    <mergeCell ref="D69:D71"/>
    <mergeCell ref="E69:E71"/>
    <mergeCell ref="F69:F71"/>
    <mergeCell ref="G69:G71"/>
    <mergeCell ref="Q92:R92"/>
    <mergeCell ref="Q93:R93"/>
    <mergeCell ref="B97:C98"/>
    <mergeCell ref="D97:D98"/>
    <mergeCell ref="E97:H97"/>
    <mergeCell ref="J97:N98"/>
    <mergeCell ref="J73:N73"/>
    <mergeCell ref="J74:N74"/>
    <mergeCell ref="J75:N75"/>
    <mergeCell ref="B76:C76"/>
    <mergeCell ref="J76:N76"/>
    <mergeCell ref="Q91:R91"/>
    <mergeCell ref="B78:N78"/>
    <mergeCell ref="B79:B80"/>
    <mergeCell ref="C79:C80"/>
    <mergeCell ref="D79:D80"/>
    <mergeCell ref="E79:G79"/>
    <mergeCell ref="H79:H80"/>
    <mergeCell ref="I79:I80"/>
    <mergeCell ref="J79:N80"/>
    <mergeCell ref="J81:N81"/>
    <mergeCell ref="J82:N82"/>
    <mergeCell ref="J83:N83"/>
    <mergeCell ref="J84:N84"/>
    <mergeCell ref="B135:C136"/>
    <mergeCell ref="J135:N135"/>
    <mergeCell ref="J136:N136"/>
    <mergeCell ref="B137:N137"/>
    <mergeCell ref="C138:D138"/>
    <mergeCell ref="J138:N138"/>
    <mergeCell ref="Q122:R122"/>
    <mergeCell ref="B123:C124"/>
    <mergeCell ref="B125:C126"/>
    <mergeCell ref="B127:C128"/>
    <mergeCell ref="J127:N134"/>
    <mergeCell ref="B129:C130"/>
    <mergeCell ref="B131:C132"/>
    <mergeCell ref="B133:C134"/>
    <mergeCell ref="C142:D142"/>
    <mergeCell ref="J142:N142"/>
    <mergeCell ref="B144:C145"/>
    <mergeCell ref="D144:D145"/>
    <mergeCell ref="E144:H144"/>
    <mergeCell ref="J144:N145"/>
    <mergeCell ref="C139:D139"/>
    <mergeCell ref="J139:N139"/>
    <mergeCell ref="C140:D140"/>
    <mergeCell ref="J140:N140"/>
    <mergeCell ref="C141:D141"/>
    <mergeCell ref="J141:N141"/>
    <mergeCell ref="B164:C165"/>
    <mergeCell ref="J164:N175"/>
    <mergeCell ref="B166:C167"/>
    <mergeCell ref="B168:C169"/>
    <mergeCell ref="B170:C171"/>
    <mergeCell ref="B172:C173"/>
    <mergeCell ref="B174:C175"/>
    <mergeCell ref="B146:C147"/>
    <mergeCell ref="J146:N163"/>
    <mergeCell ref="B148:C149"/>
    <mergeCell ref="B150:C151"/>
    <mergeCell ref="B152:C153"/>
    <mergeCell ref="B154:C155"/>
    <mergeCell ref="B156:C157"/>
    <mergeCell ref="B158:C159"/>
    <mergeCell ref="B160:C161"/>
    <mergeCell ref="B162:C163"/>
    <mergeCell ref="B190:C191"/>
    <mergeCell ref="J190:N201"/>
    <mergeCell ref="B192:C193"/>
    <mergeCell ref="B194:C195"/>
    <mergeCell ref="B196:C197"/>
    <mergeCell ref="B198:C199"/>
    <mergeCell ref="B200:C201"/>
    <mergeCell ref="B176:C177"/>
    <mergeCell ref="J176:N189"/>
    <mergeCell ref="B178:C179"/>
    <mergeCell ref="B180:C181"/>
    <mergeCell ref="B182:C183"/>
    <mergeCell ref="B184:C185"/>
    <mergeCell ref="B186:C187"/>
    <mergeCell ref="B188:C189"/>
    <mergeCell ref="B216:C217"/>
    <mergeCell ref="J216:N216"/>
    <mergeCell ref="J217:N217"/>
    <mergeCell ref="B219:K219"/>
    <mergeCell ref="C220:D220"/>
    <mergeCell ref="J220:N220"/>
    <mergeCell ref="B202:C203"/>
    <mergeCell ref="J202:N215"/>
    <mergeCell ref="B204:C205"/>
    <mergeCell ref="B206:C207"/>
    <mergeCell ref="B208:C209"/>
    <mergeCell ref="B210:C211"/>
    <mergeCell ref="B212:C213"/>
    <mergeCell ref="B214:C215"/>
    <mergeCell ref="C224:D224"/>
    <mergeCell ref="J224:N224"/>
    <mergeCell ref="C225:D225"/>
    <mergeCell ref="J225:N225"/>
    <mergeCell ref="C226:D226"/>
    <mergeCell ref="J226:N226"/>
    <mergeCell ref="C221:D221"/>
    <mergeCell ref="J221:N221"/>
    <mergeCell ref="C222:D222"/>
    <mergeCell ref="J222:N222"/>
    <mergeCell ref="C223:D223"/>
    <mergeCell ref="J223:N223"/>
    <mergeCell ref="C231:D231"/>
    <mergeCell ref="K231:L231"/>
    <mergeCell ref="M231:N231"/>
    <mergeCell ref="C232:D232"/>
    <mergeCell ref="K232:L232"/>
    <mergeCell ref="M232:N232"/>
    <mergeCell ref="B227:N227"/>
    <mergeCell ref="B228:N228"/>
    <mergeCell ref="C229:D229"/>
    <mergeCell ref="K229:N229"/>
    <mergeCell ref="C230:D230"/>
    <mergeCell ref="K230:L230"/>
    <mergeCell ref="M230:N230"/>
    <mergeCell ref="C235:D235"/>
    <mergeCell ref="K235:N235"/>
    <mergeCell ref="C236:D236"/>
    <mergeCell ref="K236:N236"/>
    <mergeCell ref="C237:D237"/>
    <mergeCell ref="K237:N237"/>
    <mergeCell ref="C233:D233"/>
    <mergeCell ref="K233:L233"/>
    <mergeCell ref="M233:N233"/>
    <mergeCell ref="C234:D234"/>
    <mergeCell ref="K234:L234"/>
    <mergeCell ref="M234:N234"/>
    <mergeCell ref="C241:D241"/>
    <mergeCell ref="K241:N241"/>
    <mergeCell ref="C242:D242"/>
    <mergeCell ref="K242:N242"/>
    <mergeCell ref="C243:D243"/>
    <mergeCell ref="K243:N243"/>
    <mergeCell ref="C238:D238"/>
    <mergeCell ref="K238:N238"/>
    <mergeCell ref="C239:D239"/>
    <mergeCell ref="K239:N239"/>
    <mergeCell ref="C240:D240"/>
    <mergeCell ref="K240:N240"/>
    <mergeCell ref="C247:D247"/>
    <mergeCell ref="K247:N247"/>
    <mergeCell ref="B249:N249"/>
    <mergeCell ref="C250:D250"/>
    <mergeCell ref="K250:N250"/>
    <mergeCell ref="K251:L251"/>
    <mergeCell ref="M251:N251"/>
    <mergeCell ref="C244:D244"/>
    <mergeCell ref="K244:N244"/>
    <mergeCell ref="C245:D245"/>
    <mergeCell ref="K245:N245"/>
    <mergeCell ref="C246:D246"/>
    <mergeCell ref="K246:N246"/>
    <mergeCell ref="K255:N264"/>
    <mergeCell ref="C257:D257"/>
    <mergeCell ref="C258:D258"/>
    <mergeCell ref="C262:D262"/>
    <mergeCell ref="C264:D264"/>
    <mergeCell ref="C265:D265"/>
    <mergeCell ref="K265:N265"/>
    <mergeCell ref="K252:L252"/>
    <mergeCell ref="M252:N252"/>
    <mergeCell ref="K253:L253"/>
    <mergeCell ref="M253:N253"/>
    <mergeCell ref="K254:L254"/>
    <mergeCell ref="M254:N254"/>
    <mergeCell ref="C256:D256"/>
    <mergeCell ref="C254:D254"/>
    <mergeCell ref="C269:D269"/>
    <mergeCell ref="K269:L269"/>
    <mergeCell ref="M269:N269"/>
    <mergeCell ref="C270:D270"/>
    <mergeCell ref="K270:L270"/>
    <mergeCell ref="M270:N270"/>
    <mergeCell ref="B266:N266"/>
    <mergeCell ref="C267:D267"/>
    <mergeCell ref="K267:N267"/>
    <mergeCell ref="C268:D268"/>
    <mergeCell ref="K268:L268"/>
    <mergeCell ref="M268:N268"/>
    <mergeCell ref="C280:D280"/>
    <mergeCell ref="K280:N280"/>
    <mergeCell ref="B282:N282"/>
    <mergeCell ref="C283:D283"/>
    <mergeCell ref="K283:N283"/>
    <mergeCell ref="C284:D284"/>
    <mergeCell ref="K284:L284"/>
    <mergeCell ref="M284:N284"/>
    <mergeCell ref="C271:D271"/>
    <mergeCell ref="K271:L271"/>
    <mergeCell ref="M271:N271"/>
    <mergeCell ref="C272:D272"/>
    <mergeCell ref="K272:N279"/>
    <mergeCell ref="C273:D273"/>
    <mergeCell ref="C274:D274"/>
    <mergeCell ref="C275:D275"/>
    <mergeCell ref="C278:D278"/>
    <mergeCell ref="C279:D279"/>
    <mergeCell ref="C285:D285"/>
    <mergeCell ref="C286:D286"/>
    <mergeCell ref="C287:D287"/>
    <mergeCell ref="C289:D289"/>
    <mergeCell ref="C291:D291"/>
    <mergeCell ref="C294:D294"/>
    <mergeCell ref="C295:D295"/>
    <mergeCell ref="C296:D296"/>
    <mergeCell ref="K285:N286"/>
    <mergeCell ref="K287:N296"/>
    <mergeCell ref="E301:F301"/>
    <mergeCell ref="G301:H301"/>
    <mergeCell ref="I301:N301"/>
    <mergeCell ref="E302:F302"/>
    <mergeCell ref="G302:H302"/>
    <mergeCell ref="I302:N302"/>
    <mergeCell ref="C297:D297"/>
    <mergeCell ref="K297:N297"/>
    <mergeCell ref="B300:D300"/>
    <mergeCell ref="E300:F300"/>
    <mergeCell ref="G300:H300"/>
    <mergeCell ref="I300:N300"/>
    <mergeCell ref="E304:F304"/>
    <mergeCell ref="G304:H304"/>
    <mergeCell ref="I304:N304"/>
    <mergeCell ref="E305:F305"/>
    <mergeCell ref="G305:H305"/>
    <mergeCell ref="I305:N305"/>
    <mergeCell ref="E303:F303"/>
    <mergeCell ref="G303:H303"/>
    <mergeCell ref="I303:N303"/>
    <mergeCell ref="E308:F308"/>
    <mergeCell ref="G308:H308"/>
    <mergeCell ref="I308:N308"/>
    <mergeCell ref="E309:F309"/>
    <mergeCell ref="G309:H309"/>
    <mergeCell ref="I309:N309"/>
    <mergeCell ref="E306:F306"/>
    <mergeCell ref="G306:H306"/>
    <mergeCell ref="I306:N306"/>
    <mergeCell ref="E307:F307"/>
    <mergeCell ref="G307:H307"/>
    <mergeCell ref="I307:N307"/>
    <mergeCell ref="B312:D312"/>
    <mergeCell ref="E312:H312"/>
    <mergeCell ref="I312:N312"/>
    <mergeCell ref="B315:D315"/>
    <mergeCell ref="E315:F315"/>
    <mergeCell ref="G315:H315"/>
    <mergeCell ref="I315:N315"/>
    <mergeCell ref="E310:F310"/>
    <mergeCell ref="G310:H310"/>
    <mergeCell ref="I310:N310"/>
    <mergeCell ref="B311:D311"/>
    <mergeCell ref="E311:F311"/>
    <mergeCell ref="G311:H311"/>
    <mergeCell ref="I311:N311"/>
    <mergeCell ref="B318:D318"/>
    <mergeCell ref="E318:F318"/>
    <mergeCell ref="G318:H318"/>
    <mergeCell ref="I318:N318"/>
    <mergeCell ref="B319:D319"/>
    <mergeCell ref="E319:F319"/>
    <mergeCell ref="G319:H319"/>
    <mergeCell ref="I319:N319"/>
    <mergeCell ref="B316:D316"/>
    <mergeCell ref="E316:F316"/>
    <mergeCell ref="G316:H316"/>
    <mergeCell ref="I316:N316"/>
    <mergeCell ref="B317:D317"/>
    <mergeCell ref="E317:F317"/>
    <mergeCell ref="G317:H317"/>
    <mergeCell ref="I317:N317"/>
    <mergeCell ref="B322:D322"/>
    <mergeCell ref="E322:F322"/>
    <mergeCell ref="G322:H322"/>
    <mergeCell ref="I322:N322"/>
    <mergeCell ref="B324:D324"/>
    <mergeCell ref="E324:F324"/>
    <mergeCell ref="G324:H324"/>
    <mergeCell ref="I324:N324"/>
    <mergeCell ref="B320:D320"/>
    <mergeCell ref="E320:F320"/>
    <mergeCell ref="G320:H320"/>
    <mergeCell ref="I320:N320"/>
    <mergeCell ref="B321:D321"/>
    <mergeCell ref="E321:F321"/>
    <mergeCell ref="G321:H321"/>
    <mergeCell ref="I321:N321"/>
    <mergeCell ref="B326:D326"/>
    <mergeCell ref="E326:F326"/>
    <mergeCell ref="G326:H326"/>
    <mergeCell ref="I326:N326"/>
    <mergeCell ref="B325:D325"/>
    <mergeCell ref="E325:F325"/>
    <mergeCell ref="G325:H325"/>
    <mergeCell ref="I325:N325"/>
    <mergeCell ref="B329:D329"/>
    <mergeCell ref="E329:H329"/>
    <mergeCell ref="I329:N329"/>
    <mergeCell ref="B330:N330"/>
    <mergeCell ref="B331:N331"/>
    <mergeCell ref="B327:D327"/>
    <mergeCell ref="E327:H327"/>
    <mergeCell ref="I327:N327"/>
    <mergeCell ref="B328:D328"/>
    <mergeCell ref="E328:H328"/>
    <mergeCell ref="I328:N328"/>
    <mergeCell ref="C349:E349"/>
    <mergeCell ref="B350:E350"/>
    <mergeCell ref="C353:D353"/>
    <mergeCell ref="B346:B348"/>
    <mergeCell ref="B332:N332"/>
    <mergeCell ref="B333:N333"/>
    <mergeCell ref="B343:B344"/>
    <mergeCell ref="D343:D344"/>
    <mergeCell ref="E343:E344"/>
    <mergeCell ref="F343:F344"/>
    <mergeCell ref="B339:O339"/>
    <mergeCell ref="H353:O353"/>
    <mergeCell ref="B342:N342"/>
    <mergeCell ref="J343:J344"/>
    <mergeCell ref="B369:O369"/>
    <mergeCell ref="B370:O370"/>
    <mergeCell ref="B360:O360"/>
    <mergeCell ref="B364:O364"/>
    <mergeCell ref="B365:O365"/>
    <mergeCell ref="B383:O383"/>
    <mergeCell ref="B387:O387"/>
    <mergeCell ref="B407:O407"/>
    <mergeCell ref="B375:O375"/>
    <mergeCell ref="B367:O367"/>
    <mergeCell ref="B401:O401"/>
    <mergeCell ref="B398:O398"/>
    <mergeCell ref="B402:O402"/>
    <mergeCell ref="B403:O403"/>
    <mergeCell ref="B404:O404"/>
    <mergeCell ref="B405:O405"/>
    <mergeCell ref="B400:O400"/>
    <mergeCell ref="B399:O399"/>
    <mergeCell ref="B371:N371"/>
    <mergeCell ref="B393:N393"/>
    <mergeCell ref="B396:N396"/>
    <mergeCell ref="C354:D354"/>
    <mergeCell ref="C355:D355"/>
    <mergeCell ref="C357:D357"/>
    <mergeCell ref="C356:D356"/>
    <mergeCell ref="H354:O356"/>
    <mergeCell ref="H357:O357"/>
    <mergeCell ref="B361:O361"/>
    <mergeCell ref="B362:O362"/>
    <mergeCell ref="B363:O363"/>
    <mergeCell ref="B358:O358"/>
    <mergeCell ref="B410:B413"/>
    <mergeCell ref="C410:O413"/>
    <mergeCell ref="B414:B417"/>
    <mergeCell ref="C414:C415"/>
    <mergeCell ref="M414:N414"/>
    <mergeCell ref="M415:N415"/>
    <mergeCell ref="C416:C417"/>
    <mergeCell ref="M417:N417"/>
    <mergeCell ref="B408:B409"/>
    <mergeCell ref="C408:D408"/>
    <mergeCell ref="E408:E409"/>
    <mergeCell ref="F408:H408"/>
    <mergeCell ref="I408:I409"/>
    <mergeCell ref="J408:J409"/>
    <mergeCell ref="L408:L409"/>
    <mergeCell ref="B418:B421"/>
    <mergeCell ref="C418:C419"/>
    <mergeCell ref="M419:N419"/>
    <mergeCell ref="C420:C421"/>
    <mergeCell ref="M421:N421"/>
    <mergeCell ref="B422:B425"/>
    <mergeCell ref="C422:C423"/>
    <mergeCell ref="M423:N423"/>
    <mergeCell ref="C424:C425"/>
    <mergeCell ref="M425:N425"/>
    <mergeCell ref="B426:B429"/>
    <mergeCell ref="C426:C427"/>
    <mergeCell ref="M427:N427"/>
    <mergeCell ref="C428:C429"/>
    <mergeCell ref="M429:N429"/>
    <mergeCell ref="B430:B433"/>
    <mergeCell ref="C430:C431"/>
    <mergeCell ref="M431:N431"/>
    <mergeCell ref="C432:C433"/>
    <mergeCell ref="M433:N433"/>
    <mergeCell ref="B434:B437"/>
    <mergeCell ref="C434:C435"/>
    <mergeCell ref="M435:N435"/>
    <mergeCell ref="C436:C437"/>
    <mergeCell ref="M437:N437"/>
    <mergeCell ref="B438:B441"/>
    <mergeCell ref="C438:C439"/>
    <mergeCell ref="M439:N439"/>
    <mergeCell ref="C440:C441"/>
    <mergeCell ref="M441:N441"/>
    <mergeCell ref="B442:B445"/>
    <mergeCell ref="C442:C443"/>
    <mergeCell ref="M443:N443"/>
    <mergeCell ref="C444:C445"/>
    <mergeCell ref="M445:N445"/>
    <mergeCell ref="B446:B449"/>
    <mergeCell ref="C446:C447"/>
    <mergeCell ref="M447:N447"/>
    <mergeCell ref="C448:C449"/>
    <mergeCell ref="M449:N449"/>
    <mergeCell ref="B458:C459"/>
    <mergeCell ref="M458:N458"/>
    <mergeCell ref="M459:N459"/>
    <mergeCell ref="B460:C461"/>
    <mergeCell ref="M460:N460"/>
    <mergeCell ref="M461:N461"/>
    <mergeCell ref="B450:B453"/>
    <mergeCell ref="C450:C451"/>
    <mergeCell ref="M451:N451"/>
    <mergeCell ref="C452:C453"/>
    <mergeCell ref="M453:N453"/>
    <mergeCell ref="B454:B457"/>
    <mergeCell ref="C454:C455"/>
    <mergeCell ref="M455:N455"/>
    <mergeCell ref="C456:C457"/>
    <mergeCell ref="M457:N457"/>
    <mergeCell ref="B462:C463"/>
    <mergeCell ref="M462:N462"/>
    <mergeCell ref="M463:N463"/>
    <mergeCell ref="B464:O464"/>
    <mergeCell ref="B465:B466"/>
    <mergeCell ref="C465:C466"/>
    <mergeCell ref="D465:D466"/>
    <mergeCell ref="E465:E466"/>
    <mergeCell ref="F465:H465"/>
    <mergeCell ref="I465:I466"/>
    <mergeCell ref="J465:J466"/>
    <mergeCell ref="L465:L466"/>
    <mergeCell ref="B467:B470"/>
    <mergeCell ref="C467:C468"/>
    <mergeCell ref="M467:N467"/>
    <mergeCell ref="M468:N468"/>
    <mergeCell ref="C469:C470"/>
    <mergeCell ref="M469:N469"/>
    <mergeCell ref="M470:N470"/>
    <mergeCell ref="B475:B478"/>
    <mergeCell ref="C475:C476"/>
    <mergeCell ref="M475:N475"/>
    <mergeCell ref="M476:N476"/>
    <mergeCell ref="C477:C478"/>
    <mergeCell ref="M477:N477"/>
    <mergeCell ref="M478:N478"/>
    <mergeCell ref="B471:B474"/>
    <mergeCell ref="C471:C472"/>
    <mergeCell ref="M471:N471"/>
    <mergeCell ref="M472:N472"/>
    <mergeCell ref="C473:C474"/>
    <mergeCell ref="M473:N473"/>
    <mergeCell ref="M474:N474"/>
    <mergeCell ref="B483:B486"/>
    <mergeCell ref="C483:C484"/>
    <mergeCell ref="M483:N483"/>
    <mergeCell ref="M484:N484"/>
    <mergeCell ref="C485:C486"/>
    <mergeCell ref="M485:N485"/>
    <mergeCell ref="M486:N486"/>
    <mergeCell ref="B479:B482"/>
    <mergeCell ref="C479:C480"/>
    <mergeCell ref="M479:N479"/>
    <mergeCell ref="M480:N480"/>
    <mergeCell ref="C481:C482"/>
    <mergeCell ref="M481:N481"/>
    <mergeCell ref="M482:N482"/>
    <mergeCell ref="B499:B502"/>
    <mergeCell ref="C499:C500"/>
    <mergeCell ref="M499:N499"/>
    <mergeCell ref="M500:N500"/>
    <mergeCell ref="C501:C502"/>
    <mergeCell ref="M501:N501"/>
    <mergeCell ref="M502:N502"/>
    <mergeCell ref="B495:B498"/>
    <mergeCell ref="C495:C496"/>
    <mergeCell ref="M495:N495"/>
    <mergeCell ref="M496:N496"/>
    <mergeCell ref="C497:C498"/>
    <mergeCell ref="M497:N497"/>
    <mergeCell ref="M498:N498"/>
    <mergeCell ref="B507:B510"/>
    <mergeCell ref="C507:C508"/>
    <mergeCell ref="M507:N507"/>
    <mergeCell ref="M508:N508"/>
    <mergeCell ref="C509:C510"/>
    <mergeCell ref="M509:N509"/>
    <mergeCell ref="M510:N510"/>
    <mergeCell ref="B503:B506"/>
    <mergeCell ref="C503:C504"/>
    <mergeCell ref="M503:N503"/>
    <mergeCell ref="M504:N504"/>
    <mergeCell ref="C505:C506"/>
    <mergeCell ref="M505:N505"/>
    <mergeCell ref="M506:N506"/>
    <mergeCell ref="C513:C514"/>
    <mergeCell ref="M513:N513"/>
    <mergeCell ref="M514:N514"/>
    <mergeCell ref="B515:B518"/>
    <mergeCell ref="C515:C516"/>
    <mergeCell ref="M515:N515"/>
    <mergeCell ref="M516:N516"/>
    <mergeCell ref="C517:C518"/>
    <mergeCell ref="M517:N517"/>
    <mergeCell ref="M518:N518"/>
    <mergeCell ref="B511:B514"/>
    <mergeCell ref="C511:C512"/>
    <mergeCell ref="M511:N511"/>
    <mergeCell ref="M512:N512"/>
    <mergeCell ref="B523:B526"/>
    <mergeCell ref="C523:C524"/>
    <mergeCell ref="M523:N523"/>
    <mergeCell ref="M524:N524"/>
    <mergeCell ref="C525:C526"/>
    <mergeCell ref="M525:N525"/>
    <mergeCell ref="M526:N526"/>
    <mergeCell ref="B519:B522"/>
    <mergeCell ref="C519:C520"/>
    <mergeCell ref="M519:N519"/>
    <mergeCell ref="M520:N520"/>
    <mergeCell ref="C521:C522"/>
    <mergeCell ref="M521:N521"/>
    <mergeCell ref="M522:N522"/>
    <mergeCell ref="B531:C532"/>
    <mergeCell ref="M531:N531"/>
    <mergeCell ref="M532:N532"/>
    <mergeCell ref="B533:C534"/>
    <mergeCell ref="M533:N533"/>
    <mergeCell ref="M534:N534"/>
    <mergeCell ref="B527:B530"/>
    <mergeCell ref="C527:C528"/>
    <mergeCell ref="M527:N527"/>
    <mergeCell ref="M528:N528"/>
    <mergeCell ref="C529:C530"/>
    <mergeCell ref="M529:N529"/>
    <mergeCell ref="M530:N530"/>
    <mergeCell ref="F548:G548"/>
    <mergeCell ref="B541:O541"/>
    <mergeCell ref="B542:O542"/>
    <mergeCell ref="B544:O544"/>
    <mergeCell ref="B545:O545"/>
    <mergeCell ref="B535:B540"/>
    <mergeCell ref="C535:C536"/>
    <mergeCell ref="M535:N535"/>
    <mergeCell ref="M536:N536"/>
    <mergeCell ref="C537:C538"/>
    <mergeCell ref="M537:N537"/>
    <mergeCell ref="M538:N538"/>
    <mergeCell ref="C539:C540"/>
    <mergeCell ref="M539:N539"/>
    <mergeCell ref="M540:N540"/>
    <mergeCell ref="B543:O543"/>
    <mergeCell ref="J547:O547"/>
    <mergeCell ref="I548:O548"/>
    <mergeCell ref="B491:B494"/>
    <mergeCell ref="C491:C492"/>
    <mergeCell ref="M491:N491"/>
    <mergeCell ref="M492:N492"/>
    <mergeCell ref="C493:C494"/>
    <mergeCell ref="M493:N493"/>
    <mergeCell ref="M494:N494"/>
    <mergeCell ref="B487:B490"/>
    <mergeCell ref="C487:C488"/>
    <mergeCell ref="M487:N487"/>
    <mergeCell ref="M488:N488"/>
    <mergeCell ref="C489:C490"/>
    <mergeCell ref="M489:N489"/>
    <mergeCell ref="M490:N490"/>
  </mergeCells>
  <pageMargins left="0" right="0" top="0.25" bottom="0.25" header="0.3" footer="0.3"/>
  <pageSetup paperSize="9" orientation="landscape" horizontalDpi="0" verticalDpi="0"/>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32EB0-C937-CE41-A645-762EDA14C75D}">
  <sheetPr codeName="Sheet3"/>
  <dimension ref="A5:Y137"/>
  <sheetViews>
    <sheetView zoomScale="140" zoomScaleNormal="140" workbookViewId="0">
      <pane xSplit="2" ySplit="6" topLeftCell="C117" activePane="bottomRight" state="frozen"/>
      <selection pane="topRight" activeCell="C1" sqref="C1"/>
      <selection pane="bottomLeft" activeCell="A7" sqref="A7"/>
      <selection pane="bottomRight" activeCell="F129" sqref="F129"/>
    </sheetView>
  </sheetViews>
  <sheetFormatPr baseColWidth="10" defaultColWidth="10.83203125" defaultRowHeight="16" x14ac:dyDescent="0.2"/>
  <cols>
    <col min="1" max="3" width="10.83203125" style="476"/>
    <col min="4" max="7" width="17.5" style="476" customWidth="1"/>
    <col min="8" max="8" width="13.33203125" style="476" customWidth="1"/>
    <col min="9" max="12" width="9.33203125" style="476" customWidth="1"/>
    <col min="13" max="13" width="12" style="476" bestFit="1" customWidth="1"/>
    <col min="14" max="14" width="10.83203125" style="476"/>
    <col min="15" max="15" width="10.83203125" style="904"/>
    <col min="16" max="16" width="10.5" style="904" customWidth="1"/>
    <col min="17" max="18" width="10.83203125" style="904"/>
    <col min="19" max="24" width="10.83203125" style="476"/>
    <col min="25" max="25" width="12.1640625" style="476" customWidth="1"/>
    <col min="26" max="16384" width="10.83203125" style="476"/>
  </cols>
  <sheetData>
    <row r="5" spans="1:25" ht="27" customHeight="1" x14ac:dyDescent="0.2">
      <c r="A5" s="2573" t="s">
        <v>105</v>
      </c>
      <c r="B5" s="2574"/>
      <c r="C5" s="2551" t="s">
        <v>17</v>
      </c>
      <c r="D5" s="2577" t="s">
        <v>106</v>
      </c>
      <c r="E5" s="2577"/>
      <c r="F5" s="2577"/>
      <c r="G5" s="2578"/>
      <c r="H5" s="201" t="s">
        <v>107</v>
      </c>
      <c r="I5" s="2551" t="s">
        <v>47</v>
      </c>
      <c r="J5" s="2551"/>
      <c r="K5" s="45"/>
      <c r="L5" s="45"/>
    </row>
    <row r="6" spans="1:25" ht="27" customHeight="1" x14ac:dyDescent="0.2">
      <c r="A6" s="2575"/>
      <c r="B6" s="2576"/>
      <c r="C6" s="2551"/>
      <c r="D6" s="200" t="s">
        <v>18</v>
      </c>
      <c r="E6" s="202" t="s">
        <v>19</v>
      </c>
      <c r="F6" s="202" t="s">
        <v>20</v>
      </c>
      <c r="G6" s="202" t="s">
        <v>108</v>
      </c>
      <c r="H6" s="201" t="s">
        <v>22</v>
      </c>
      <c r="I6" s="2551"/>
      <c r="J6" s="2551"/>
      <c r="K6" s="45"/>
      <c r="L6" s="11" t="s">
        <v>358</v>
      </c>
      <c r="M6" s="11" t="s">
        <v>154</v>
      </c>
      <c r="N6" s="11" t="s">
        <v>155</v>
      </c>
      <c r="O6" s="905" t="s">
        <v>156</v>
      </c>
      <c r="P6" s="905" t="s">
        <v>157</v>
      </c>
      <c r="Q6" s="905" t="s">
        <v>158</v>
      </c>
      <c r="R6" s="905" t="s">
        <v>159</v>
      </c>
      <c r="S6" s="11" t="s">
        <v>160</v>
      </c>
      <c r="T6" s="11" t="s">
        <v>161</v>
      </c>
      <c r="U6" s="11" t="s">
        <v>162</v>
      </c>
      <c r="V6" s="11" t="s">
        <v>111</v>
      </c>
      <c r="W6" s="11" t="s">
        <v>29</v>
      </c>
      <c r="X6" s="11" t="s">
        <v>31</v>
      </c>
      <c r="Y6" s="11" t="s">
        <v>33</v>
      </c>
    </row>
    <row r="7" spans="1:25" ht="27" customHeight="1" x14ac:dyDescent="0.2">
      <c r="A7" s="2905" t="s">
        <v>109</v>
      </c>
      <c r="B7" s="2905"/>
      <c r="C7" s="487" t="s">
        <v>21</v>
      </c>
      <c r="D7" s="203">
        <f>Y7</f>
        <v>569905.24</v>
      </c>
      <c r="E7" s="203">
        <f>Y8</f>
        <v>184.32</v>
      </c>
      <c r="F7" s="203">
        <f>Y9</f>
        <v>47363.96</v>
      </c>
      <c r="G7" s="204">
        <f>SUM(D7:F7)</f>
        <v>617453.5199999999</v>
      </c>
      <c r="H7" s="205"/>
      <c r="I7" s="2647" t="s">
        <v>371</v>
      </c>
      <c r="J7" s="2649"/>
      <c r="K7" s="209"/>
      <c r="L7" s="57" t="s">
        <v>18</v>
      </c>
      <c r="M7" s="494"/>
      <c r="N7" s="477"/>
      <c r="O7" s="902">
        <f>'T3.2025 '!F89</f>
        <v>214442.23999999999</v>
      </c>
      <c r="P7" s="902">
        <v>123295</v>
      </c>
      <c r="Q7" s="902">
        <f>'T5.2025'!F170</f>
        <v>6464</v>
      </c>
      <c r="R7" s="902">
        <f>'T6.2025'!F172</f>
        <v>225704</v>
      </c>
      <c r="S7" s="477"/>
      <c r="T7" s="477"/>
      <c r="U7" s="477"/>
      <c r="V7" s="477"/>
      <c r="W7" s="477"/>
      <c r="X7" s="477"/>
      <c r="Y7" s="959">
        <f>SUM(M7:X7)</f>
        <v>569905.24</v>
      </c>
    </row>
    <row r="8" spans="1:25" ht="27" customHeight="1" x14ac:dyDescent="0.2">
      <c r="A8" s="2905"/>
      <c r="B8" s="2905"/>
      <c r="C8" s="493" t="s">
        <v>22</v>
      </c>
      <c r="D8" s="206">
        <f>D7/$G$7*100</f>
        <v>92.299294042408249</v>
      </c>
      <c r="E8" s="206">
        <f>E7/$G$7*100</f>
        <v>2.9851639682935169E-2</v>
      </c>
      <c r="F8" s="206">
        <f>F7/$G$7*100</f>
        <v>7.6708543179088204</v>
      </c>
      <c r="G8" s="207">
        <f>SUM(D8:F8)</f>
        <v>100</v>
      </c>
      <c r="H8" s="208">
        <f>G7/$G$37*100</f>
        <v>58.120132013698367</v>
      </c>
      <c r="I8" s="2650"/>
      <c r="J8" s="2651"/>
      <c r="K8" s="209"/>
      <c r="L8" s="57" t="s">
        <v>19</v>
      </c>
      <c r="M8" s="494"/>
      <c r="N8" s="477"/>
      <c r="O8" s="902">
        <f>'T3.2025 '!G89</f>
        <v>184.32</v>
      </c>
      <c r="P8" s="902"/>
      <c r="Q8" s="902"/>
      <c r="R8" s="902"/>
      <c r="S8" s="477"/>
      <c r="T8" s="477"/>
      <c r="U8" s="477"/>
      <c r="V8" s="477"/>
      <c r="W8" s="477"/>
      <c r="X8" s="477"/>
      <c r="Y8" s="959">
        <f t="shared" ref="Y8:Y117" si="0">SUM(M8:X8)</f>
        <v>184.32</v>
      </c>
    </row>
    <row r="9" spans="1:25" ht="27" customHeight="1" x14ac:dyDescent="0.2">
      <c r="A9" s="2905"/>
      <c r="B9" s="2905"/>
      <c r="C9" s="493"/>
      <c r="D9" s="206"/>
      <c r="E9" s="206"/>
      <c r="F9" s="206"/>
      <c r="G9" s="207"/>
      <c r="H9" s="208"/>
      <c r="I9" s="2650"/>
      <c r="J9" s="2651"/>
      <c r="K9" s="209"/>
      <c r="L9" s="57" t="s">
        <v>20</v>
      </c>
      <c r="M9" s="494"/>
      <c r="N9" s="477"/>
      <c r="O9" s="902">
        <f>'T3.2025 '!H89</f>
        <v>22239</v>
      </c>
      <c r="P9" s="902">
        <v>9684</v>
      </c>
      <c r="Q9" s="902">
        <f>'T5.2025'!H170</f>
        <v>1728</v>
      </c>
      <c r="R9" s="902">
        <f>'T6.2025'!H172</f>
        <v>13712.96</v>
      </c>
      <c r="S9" s="477"/>
      <c r="T9" s="477"/>
      <c r="U9" s="477"/>
      <c r="V9" s="477"/>
      <c r="W9" s="477"/>
      <c r="X9" s="477"/>
      <c r="Y9" s="959">
        <f t="shared" si="0"/>
        <v>47363.96</v>
      </c>
    </row>
    <row r="10" spans="1:25" ht="27" customHeight="1" x14ac:dyDescent="0.2">
      <c r="A10" s="2905" t="s">
        <v>112</v>
      </c>
      <c r="B10" s="2905"/>
      <c r="C10" s="493" t="s">
        <v>21</v>
      </c>
      <c r="D10" s="203">
        <f>Y10</f>
        <v>36316.04</v>
      </c>
      <c r="E10" s="203">
        <f>Y11</f>
        <v>0</v>
      </c>
      <c r="F10" s="203">
        <f>Y12</f>
        <v>1901.6</v>
      </c>
      <c r="G10" s="204">
        <f>SUM(D10:F10)</f>
        <v>38217.64</v>
      </c>
      <c r="H10" s="208"/>
      <c r="I10" s="2650"/>
      <c r="J10" s="2651"/>
      <c r="K10" s="209"/>
      <c r="L10" s="57" t="s">
        <v>18</v>
      </c>
      <c r="M10" s="494"/>
      <c r="N10" s="477"/>
      <c r="O10" s="902">
        <f>'T3.2025 '!F99</f>
        <v>9719.0400000000009</v>
      </c>
      <c r="P10" s="902">
        <v>8637</v>
      </c>
      <c r="Q10" s="902"/>
      <c r="R10" s="902">
        <f>'T6.2025'!F182</f>
        <v>17960</v>
      </c>
      <c r="S10" s="477"/>
      <c r="T10" s="477"/>
      <c r="U10" s="477"/>
      <c r="V10" s="477"/>
      <c r="W10" s="477"/>
      <c r="X10" s="477"/>
      <c r="Y10" s="959">
        <f t="shared" si="0"/>
        <v>36316.04</v>
      </c>
    </row>
    <row r="11" spans="1:25" ht="27" customHeight="1" x14ac:dyDescent="0.2">
      <c r="A11" s="2905"/>
      <c r="B11" s="2905"/>
      <c r="C11" s="493" t="s">
        <v>22</v>
      </c>
      <c r="D11" s="207">
        <f>D10/$G$10*100</f>
        <v>95.024287213967156</v>
      </c>
      <c r="E11" s="207">
        <f>E10/$G$10*100</f>
        <v>0</v>
      </c>
      <c r="F11" s="207">
        <f>F10/$G$10*100</f>
        <v>4.9757127860328367</v>
      </c>
      <c r="G11" s="207">
        <f>SUM(D11:F11)</f>
        <v>100</v>
      </c>
      <c r="H11" s="208">
        <f>G10/$G$37*100</f>
        <v>3.5973789282989261</v>
      </c>
      <c r="I11" s="2650"/>
      <c r="J11" s="2651"/>
      <c r="K11" s="209"/>
      <c r="L11" s="57" t="s">
        <v>19</v>
      </c>
      <c r="M11" s="494"/>
      <c r="N11" s="477"/>
      <c r="O11" s="902">
        <f>'T3.2025 '!G99</f>
        <v>0</v>
      </c>
      <c r="P11" s="902"/>
      <c r="Q11" s="902"/>
      <c r="R11" s="902"/>
      <c r="S11" s="477"/>
      <c r="T11" s="477"/>
      <c r="U11" s="477"/>
      <c r="V11" s="477"/>
      <c r="W11" s="477"/>
      <c r="X11" s="477"/>
      <c r="Y11" s="494">
        <f t="shared" si="0"/>
        <v>0</v>
      </c>
    </row>
    <row r="12" spans="1:25" ht="27" customHeight="1" x14ac:dyDescent="0.2">
      <c r="A12" s="2905"/>
      <c r="B12" s="2905"/>
      <c r="C12" s="493"/>
      <c r="D12" s="207"/>
      <c r="E12" s="207"/>
      <c r="F12" s="207"/>
      <c r="G12" s="204"/>
      <c r="H12" s="208"/>
      <c r="I12" s="2650"/>
      <c r="J12" s="2651"/>
      <c r="K12" s="209"/>
      <c r="L12" s="57" t="s">
        <v>20</v>
      </c>
      <c r="M12" s="494"/>
      <c r="N12" s="477"/>
      <c r="O12" s="902">
        <f>'T3.2025 '!H99</f>
        <v>880</v>
      </c>
      <c r="P12" s="902">
        <v>388</v>
      </c>
      <c r="Q12" s="902"/>
      <c r="R12" s="902">
        <f>'T6.2025'!H182</f>
        <v>633.6</v>
      </c>
      <c r="S12" s="477"/>
      <c r="T12" s="477"/>
      <c r="U12" s="477"/>
      <c r="V12" s="477"/>
      <c r="W12" s="477"/>
      <c r="X12" s="477"/>
      <c r="Y12" s="959">
        <f t="shared" si="0"/>
        <v>1901.6</v>
      </c>
    </row>
    <row r="13" spans="1:25" ht="27" customHeight="1" x14ac:dyDescent="0.2">
      <c r="A13" s="2905" t="s">
        <v>125</v>
      </c>
      <c r="B13" s="2905"/>
      <c r="C13" s="493" t="s">
        <v>21</v>
      </c>
      <c r="D13" s="204">
        <f>Y13</f>
        <v>75054.559999999998</v>
      </c>
      <c r="E13" s="204">
        <f>Y14</f>
        <v>0</v>
      </c>
      <c r="F13" s="204">
        <f>Y15</f>
        <v>5907.76</v>
      </c>
      <c r="G13" s="204">
        <f>SUM(D13:F13)</f>
        <v>80962.319999999992</v>
      </c>
      <c r="H13" s="208"/>
      <c r="I13" s="2650"/>
      <c r="J13" s="2651"/>
      <c r="K13" s="209"/>
      <c r="L13" s="57" t="s">
        <v>18</v>
      </c>
      <c r="M13" s="494"/>
      <c r="N13" s="477"/>
      <c r="O13" s="902">
        <f>'T3.2025 '!F91</f>
        <v>12367.36</v>
      </c>
      <c r="P13" s="902">
        <v>13060</v>
      </c>
      <c r="Q13" s="902">
        <f>'T5.2025'!F172</f>
        <v>4672</v>
      </c>
      <c r="R13" s="902">
        <f>'T6.2025'!F178</f>
        <v>44955.199999999997</v>
      </c>
      <c r="S13" s="477"/>
      <c r="T13" s="477"/>
      <c r="U13" s="477"/>
      <c r="V13" s="477"/>
      <c r="W13" s="477"/>
      <c r="X13" s="477"/>
      <c r="Y13" s="959">
        <f t="shared" si="0"/>
        <v>75054.559999999998</v>
      </c>
    </row>
    <row r="14" spans="1:25" ht="27" customHeight="1" x14ac:dyDescent="0.2">
      <c r="A14" s="2905"/>
      <c r="B14" s="2905"/>
      <c r="C14" s="493" t="s">
        <v>22</v>
      </c>
      <c r="D14" s="207">
        <f>D13/$G$13*100</f>
        <v>92.703074714262144</v>
      </c>
      <c r="E14" s="207">
        <f>E13/$G$13*100</f>
        <v>0</v>
      </c>
      <c r="F14" s="207">
        <f>F13/$G$13*100</f>
        <v>7.2969252857378599</v>
      </c>
      <c r="G14" s="207">
        <f>SUM(D14:F14)</f>
        <v>100</v>
      </c>
      <c r="H14" s="208">
        <f>G13/$G$37*100</f>
        <v>7.6208825022736804</v>
      </c>
      <c r="I14" s="2650"/>
      <c r="J14" s="2651"/>
      <c r="K14" s="209"/>
      <c r="L14" s="57" t="s">
        <v>19</v>
      </c>
      <c r="M14" s="494"/>
      <c r="N14" s="477"/>
      <c r="O14" s="902"/>
      <c r="P14" s="902"/>
      <c r="Q14" s="902"/>
      <c r="R14" s="902"/>
      <c r="S14" s="477"/>
      <c r="T14" s="477"/>
      <c r="U14" s="477"/>
      <c r="V14" s="477"/>
      <c r="W14" s="477"/>
      <c r="X14" s="477"/>
      <c r="Y14" s="959">
        <f t="shared" si="0"/>
        <v>0</v>
      </c>
    </row>
    <row r="15" spans="1:25" ht="27" customHeight="1" x14ac:dyDescent="0.2">
      <c r="A15" s="2905"/>
      <c r="B15" s="2905"/>
      <c r="C15" s="493"/>
      <c r="D15" s="207"/>
      <c r="E15" s="207"/>
      <c r="F15" s="207"/>
      <c r="G15" s="207"/>
      <c r="H15" s="208"/>
      <c r="I15" s="2650"/>
      <c r="J15" s="2651"/>
      <c r="K15" s="209"/>
      <c r="L15" s="57" t="s">
        <v>20</v>
      </c>
      <c r="M15" s="494"/>
      <c r="N15" s="477"/>
      <c r="O15" s="902">
        <f>'T3.2025 '!H91</f>
        <v>2378.2399999999998</v>
      </c>
      <c r="P15" s="902">
        <v>782</v>
      </c>
      <c r="Q15" s="902">
        <f>'T5.2025'!H172</f>
        <v>640</v>
      </c>
      <c r="R15" s="902">
        <f>'T6.2025'!H178</f>
        <v>2107.52</v>
      </c>
      <c r="S15" s="477"/>
      <c r="T15" s="477"/>
      <c r="U15" s="477"/>
      <c r="V15" s="477"/>
      <c r="W15" s="477"/>
      <c r="X15" s="477"/>
      <c r="Y15" s="959">
        <f t="shared" si="0"/>
        <v>5907.76</v>
      </c>
    </row>
    <row r="16" spans="1:25" ht="27" customHeight="1" x14ac:dyDescent="0.2">
      <c r="A16" s="2905" t="s">
        <v>129</v>
      </c>
      <c r="B16" s="2905"/>
      <c r="C16" s="493" t="s">
        <v>21</v>
      </c>
      <c r="D16" s="204">
        <f>Y16</f>
        <v>34275.119999999995</v>
      </c>
      <c r="E16" s="204">
        <f>Y17</f>
        <v>0</v>
      </c>
      <c r="F16" s="204">
        <f>Y18</f>
        <v>1752.44</v>
      </c>
      <c r="G16" s="204">
        <f>SUM(D16:F16)</f>
        <v>36027.56</v>
      </c>
      <c r="H16" s="208"/>
      <c r="I16" s="2650"/>
      <c r="J16" s="2651"/>
      <c r="K16" s="209"/>
      <c r="L16" s="57" t="s">
        <v>18</v>
      </c>
      <c r="M16" s="494"/>
      <c r="N16" s="477"/>
      <c r="O16" s="902">
        <f>'T3.2025 '!F93</f>
        <v>8145.92</v>
      </c>
      <c r="P16" s="902">
        <v>4630</v>
      </c>
      <c r="Q16" s="902">
        <f>'T5.2025'!F174</f>
        <v>5598.4</v>
      </c>
      <c r="R16" s="902">
        <f>'T6.2025'!F184</f>
        <v>15900.8</v>
      </c>
      <c r="S16" s="477"/>
      <c r="T16" s="477"/>
      <c r="U16" s="477"/>
      <c r="V16" s="477"/>
      <c r="W16" s="477"/>
      <c r="X16" s="477"/>
      <c r="Y16" s="959">
        <f t="shared" si="0"/>
        <v>34275.119999999995</v>
      </c>
    </row>
    <row r="17" spans="1:25" ht="27" customHeight="1" x14ac:dyDescent="0.2">
      <c r="A17" s="2905"/>
      <c r="B17" s="2905"/>
      <c r="C17" s="493" t="s">
        <v>22</v>
      </c>
      <c r="D17" s="207">
        <f>D16/$G$16*100</f>
        <v>95.13583489972676</v>
      </c>
      <c r="E17" s="207">
        <f>E16/$G$16*100</f>
        <v>0</v>
      </c>
      <c r="F17" s="207">
        <f>F16/$G$16*100</f>
        <v>4.8641651002732358</v>
      </c>
      <c r="G17" s="207">
        <f>SUM(D17:F17)</f>
        <v>100</v>
      </c>
      <c r="H17" s="208">
        <f>G16/$G$37*100</f>
        <v>3.3912294213359395</v>
      </c>
      <c r="I17" s="2650"/>
      <c r="J17" s="2651"/>
      <c r="K17" s="209"/>
      <c r="L17" s="57" t="s">
        <v>19</v>
      </c>
      <c r="M17" s="494"/>
      <c r="N17" s="477"/>
      <c r="O17" s="902"/>
      <c r="P17" s="902"/>
      <c r="Q17" s="902"/>
      <c r="R17" s="902"/>
      <c r="S17" s="477"/>
      <c r="T17" s="477"/>
      <c r="U17" s="477"/>
      <c r="V17" s="477"/>
      <c r="W17" s="477"/>
      <c r="X17" s="477"/>
      <c r="Y17" s="494">
        <f>SUM(M17:X17)</f>
        <v>0</v>
      </c>
    </row>
    <row r="18" spans="1:25" ht="27" customHeight="1" x14ac:dyDescent="0.2">
      <c r="A18" s="2905"/>
      <c r="B18" s="2905"/>
      <c r="C18" s="493"/>
      <c r="D18" s="207"/>
      <c r="E18" s="207"/>
      <c r="F18" s="207"/>
      <c r="G18" s="204"/>
      <c r="H18" s="208"/>
      <c r="I18" s="2650"/>
      <c r="J18" s="2651"/>
      <c r="K18" s="209"/>
      <c r="L18" s="57" t="s">
        <v>20</v>
      </c>
      <c r="M18" s="494"/>
      <c r="N18" s="477"/>
      <c r="O18" s="902">
        <f>'T3.2025 '!H93</f>
        <v>586.24</v>
      </c>
      <c r="P18" s="902">
        <v>467</v>
      </c>
      <c r="Q18" s="902">
        <f>'T5.2025'!H174</f>
        <v>64</v>
      </c>
      <c r="R18" s="902">
        <f>'T6.2025'!H184</f>
        <v>635.20000000000005</v>
      </c>
      <c r="S18" s="477"/>
      <c r="T18" s="477"/>
      <c r="U18" s="477"/>
      <c r="V18" s="477"/>
      <c r="W18" s="477"/>
      <c r="X18" s="477"/>
      <c r="Y18" s="959">
        <f t="shared" ref="Y18:Y24" si="1">SUM(M18:X18)</f>
        <v>1752.44</v>
      </c>
    </row>
    <row r="19" spans="1:25" ht="27" customHeight="1" x14ac:dyDescent="0.2">
      <c r="A19" s="2905" t="s">
        <v>113</v>
      </c>
      <c r="B19" s="2905"/>
      <c r="C19" s="493" t="s">
        <v>21</v>
      </c>
      <c r="D19" s="204">
        <f>Y19</f>
        <v>36629.760000000002</v>
      </c>
      <c r="E19" s="204">
        <f>Y20</f>
        <v>0</v>
      </c>
      <c r="F19" s="204">
        <f>Y21</f>
        <v>3620</v>
      </c>
      <c r="G19" s="204">
        <f>SUM(D19:F19)</f>
        <v>40249.760000000002</v>
      </c>
      <c r="H19" s="208"/>
      <c r="I19" s="2650"/>
      <c r="J19" s="2651"/>
      <c r="K19" s="209"/>
      <c r="L19" s="57" t="s">
        <v>18</v>
      </c>
      <c r="M19" s="494"/>
      <c r="N19" s="477"/>
      <c r="O19" s="902">
        <f>'T3.2025 '!F95</f>
        <v>36629.760000000002</v>
      </c>
      <c r="P19" s="902"/>
      <c r="Q19" s="902"/>
      <c r="R19" s="902"/>
      <c r="S19" s="477"/>
      <c r="T19" s="477"/>
      <c r="U19" s="477"/>
      <c r="V19" s="477"/>
      <c r="W19" s="477"/>
      <c r="X19" s="477"/>
      <c r="Y19" s="959">
        <f t="shared" si="1"/>
        <v>36629.760000000002</v>
      </c>
    </row>
    <row r="20" spans="1:25" ht="27" customHeight="1" x14ac:dyDescent="0.2">
      <c r="A20" s="2905"/>
      <c r="B20" s="2905"/>
      <c r="C20" s="493" t="s">
        <v>22</v>
      </c>
      <c r="D20" s="207">
        <f>D19/$G$25*100</f>
        <v>92.378928084689576</v>
      </c>
      <c r="E20" s="207">
        <f>E19/$G$25*100</f>
        <v>0</v>
      </c>
      <c r="F20" s="207">
        <f>F19/$G$25*100</f>
        <v>9.1295088929486905</v>
      </c>
      <c r="G20" s="207">
        <f>SUM(D20:F20)</f>
        <v>101.50843697763827</v>
      </c>
      <c r="H20" s="208">
        <f>G19/$G$37*100</f>
        <v>3.7886598568904044</v>
      </c>
      <c r="I20" s="2650"/>
      <c r="J20" s="2651"/>
      <c r="K20" s="209"/>
      <c r="L20" s="57" t="s">
        <v>19</v>
      </c>
      <c r="M20" s="494"/>
      <c r="N20" s="477"/>
      <c r="O20" s="902"/>
      <c r="P20" s="902"/>
      <c r="Q20" s="902"/>
      <c r="R20" s="902"/>
      <c r="S20" s="477"/>
      <c r="T20" s="477"/>
      <c r="U20" s="477"/>
      <c r="V20" s="477"/>
      <c r="W20" s="477"/>
      <c r="X20" s="477"/>
      <c r="Y20" s="959">
        <f t="shared" si="1"/>
        <v>0</v>
      </c>
    </row>
    <row r="21" spans="1:25" ht="27" customHeight="1" x14ac:dyDescent="0.2">
      <c r="A21" s="2905"/>
      <c r="B21" s="2905"/>
      <c r="C21" s="493"/>
      <c r="D21" s="207"/>
      <c r="E21" s="207"/>
      <c r="F21" s="207"/>
      <c r="G21" s="204"/>
      <c r="H21" s="208"/>
      <c r="I21" s="2650"/>
      <c r="J21" s="2651"/>
      <c r="K21" s="209"/>
      <c r="L21" s="57" t="s">
        <v>20</v>
      </c>
      <c r="M21" s="494"/>
      <c r="N21" s="477"/>
      <c r="O21" s="902">
        <f>'T3.2025 '!H95</f>
        <v>3620</v>
      </c>
      <c r="P21" s="902"/>
      <c r="Q21" s="902"/>
      <c r="R21" s="902"/>
      <c r="S21" s="477"/>
      <c r="T21" s="477"/>
      <c r="U21" s="477"/>
      <c r="V21" s="477"/>
      <c r="W21" s="477"/>
      <c r="X21" s="477"/>
      <c r="Y21" s="959">
        <f t="shared" si="1"/>
        <v>3620</v>
      </c>
    </row>
    <row r="22" spans="1:25" ht="27" customHeight="1" x14ac:dyDescent="0.2">
      <c r="A22" s="2905" t="s">
        <v>541</v>
      </c>
      <c r="B22" s="2905"/>
      <c r="C22" s="493" t="s">
        <v>21</v>
      </c>
      <c r="D22" s="204">
        <f>Y22</f>
        <v>121266.36</v>
      </c>
      <c r="E22" s="204">
        <f>Y23</f>
        <v>0</v>
      </c>
      <c r="F22" s="204">
        <f>Y24</f>
        <v>9059.2800000000007</v>
      </c>
      <c r="G22" s="204">
        <f>SUM(D22:F22)</f>
        <v>130325.64</v>
      </c>
      <c r="H22" s="208"/>
      <c r="I22" s="2650"/>
      <c r="J22" s="2651"/>
      <c r="K22" s="209"/>
      <c r="L22" s="57" t="s">
        <v>18</v>
      </c>
      <c r="M22" s="494"/>
      <c r="N22" s="477"/>
      <c r="O22" s="902">
        <f>'T3.2025 '!F101</f>
        <v>49378.559999999998</v>
      </c>
      <c r="P22" s="902">
        <v>29859</v>
      </c>
      <c r="Q22" s="902"/>
      <c r="R22" s="902">
        <f>'T6.2025'!F174</f>
        <v>42028.800000000003</v>
      </c>
      <c r="S22" s="477"/>
      <c r="T22" s="477"/>
      <c r="U22" s="477"/>
      <c r="V22" s="477"/>
      <c r="W22" s="477"/>
      <c r="X22" s="477"/>
      <c r="Y22" s="959">
        <f t="shared" si="1"/>
        <v>121266.36</v>
      </c>
    </row>
    <row r="23" spans="1:25" ht="27" customHeight="1" x14ac:dyDescent="0.2">
      <c r="A23" s="2905"/>
      <c r="B23" s="2905"/>
      <c r="C23" s="493" t="s">
        <v>22</v>
      </c>
      <c r="D23" s="207">
        <f>D22/$G$25*100</f>
        <v>305.82936796561251</v>
      </c>
      <c r="E23" s="207">
        <f>E22/$G$25*100</f>
        <v>0</v>
      </c>
      <c r="F23" s="207">
        <f>F22/$G$25*100</f>
        <v>22.847176056274094</v>
      </c>
      <c r="G23" s="207">
        <f>SUM(D23:F23)</f>
        <v>328.67654402188657</v>
      </c>
      <c r="H23" s="208">
        <f>G22/$G$37*100</f>
        <v>12.267390428950392</v>
      </c>
      <c r="I23" s="2650"/>
      <c r="J23" s="2651"/>
      <c r="K23" s="209"/>
      <c r="L23" s="57" t="s">
        <v>19</v>
      </c>
      <c r="M23" s="494"/>
      <c r="N23" s="477"/>
      <c r="O23" s="902"/>
      <c r="P23" s="902"/>
      <c r="Q23" s="902"/>
      <c r="R23" s="902"/>
      <c r="S23" s="477"/>
      <c r="T23" s="477"/>
      <c r="U23" s="477"/>
      <c r="V23" s="477"/>
      <c r="W23" s="477"/>
      <c r="X23" s="477"/>
      <c r="Y23" s="959">
        <f t="shared" si="1"/>
        <v>0</v>
      </c>
    </row>
    <row r="24" spans="1:25" ht="27" customHeight="1" x14ac:dyDescent="0.2">
      <c r="A24" s="2905"/>
      <c r="B24" s="2905"/>
      <c r="C24" s="493"/>
      <c r="D24" s="207"/>
      <c r="E24" s="207"/>
      <c r="F24" s="207"/>
      <c r="G24" s="204"/>
      <c r="H24" s="208"/>
      <c r="I24" s="2650"/>
      <c r="J24" s="2651"/>
      <c r="K24" s="209"/>
      <c r="L24" s="57" t="s">
        <v>20</v>
      </c>
      <c r="M24" s="494"/>
      <c r="N24" s="477"/>
      <c r="O24" s="902">
        <f>'T3.2025 '!H101</f>
        <v>3176.96</v>
      </c>
      <c r="P24" s="902">
        <v>2706</v>
      </c>
      <c r="Q24" s="902"/>
      <c r="R24" s="902">
        <f>'T6.2025'!H174</f>
        <v>3176.32</v>
      </c>
      <c r="S24" s="477"/>
      <c r="T24" s="477"/>
      <c r="U24" s="477"/>
      <c r="V24" s="477"/>
      <c r="W24" s="477"/>
      <c r="X24" s="477"/>
      <c r="Y24" s="959">
        <f t="shared" si="1"/>
        <v>9059.2800000000007</v>
      </c>
    </row>
    <row r="25" spans="1:25" ht="27" customHeight="1" x14ac:dyDescent="0.2">
      <c r="A25" s="2905" t="s">
        <v>117</v>
      </c>
      <c r="B25" s="2905"/>
      <c r="C25" s="493" t="s">
        <v>21</v>
      </c>
      <c r="D25" s="204">
        <f>Y25</f>
        <v>37362.720000000001</v>
      </c>
      <c r="E25" s="204">
        <f>Y26</f>
        <v>0</v>
      </c>
      <c r="F25" s="204">
        <f>Y27</f>
        <v>2288.92</v>
      </c>
      <c r="G25" s="204">
        <f>SUM(D25:F25)</f>
        <v>39651.64</v>
      </c>
      <c r="H25" s="208"/>
      <c r="I25" s="2650"/>
      <c r="J25" s="2651"/>
      <c r="K25" s="209"/>
      <c r="L25" s="57" t="s">
        <v>18</v>
      </c>
      <c r="M25" s="494"/>
      <c r="N25" s="477"/>
      <c r="O25" s="902">
        <f>'T3.2025 '!F97</f>
        <v>3749.12</v>
      </c>
      <c r="P25" s="902">
        <v>19628</v>
      </c>
      <c r="Q25" s="902"/>
      <c r="R25" s="902">
        <f>'T6.2025'!F180</f>
        <v>13985.6</v>
      </c>
      <c r="S25" s="477"/>
      <c r="T25" s="477"/>
      <c r="U25" s="477"/>
      <c r="V25" s="477"/>
      <c r="W25" s="477"/>
      <c r="X25" s="477"/>
      <c r="Y25" s="959">
        <f t="shared" si="0"/>
        <v>37362.720000000001</v>
      </c>
    </row>
    <row r="26" spans="1:25" ht="27" customHeight="1" x14ac:dyDescent="0.2">
      <c r="A26" s="2905"/>
      <c r="B26" s="2905"/>
      <c r="C26" s="493" t="s">
        <v>22</v>
      </c>
      <c r="D26" s="207">
        <f>D25/$G$25*100</f>
        <v>94.227426658771236</v>
      </c>
      <c r="E26" s="207">
        <f>E25/$G$25*100</f>
        <v>0</v>
      </c>
      <c r="F26" s="207">
        <f>F25/$G$25*100</f>
        <v>5.7725733412287612</v>
      </c>
      <c r="G26" s="207">
        <f>SUM(D26:F26)</f>
        <v>100</v>
      </c>
      <c r="H26" s="208">
        <f>G25/$G$37*100</f>
        <v>3.7323595650724335</v>
      </c>
      <c r="I26" s="2650"/>
      <c r="J26" s="2651"/>
      <c r="K26" s="209"/>
      <c r="L26" s="57" t="s">
        <v>19</v>
      </c>
      <c r="M26" s="494"/>
      <c r="N26" s="477"/>
      <c r="O26" s="902">
        <f>'T3.2025 '!G97</f>
        <v>0</v>
      </c>
      <c r="P26" s="902"/>
      <c r="Q26" s="902"/>
      <c r="R26" s="902"/>
      <c r="S26" s="477"/>
      <c r="T26" s="477"/>
      <c r="U26" s="477"/>
      <c r="V26" s="477"/>
      <c r="W26" s="477"/>
      <c r="X26" s="477"/>
      <c r="Y26" s="959">
        <f t="shared" si="0"/>
        <v>0</v>
      </c>
    </row>
    <row r="27" spans="1:25" ht="27" customHeight="1" x14ac:dyDescent="0.2">
      <c r="A27" s="2905"/>
      <c r="B27" s="2905"/>
      <c r="C27" s="493"/>
      <c r="D27" s="207"/>
      <c r="E27" s="207"/>
      <c r="F27" s="207"/>
      <c r="G27" s="204"/>
      <c r="H27" s="208"/>
      <c r="I27" s="2650"/>
      <c r="J27" s="2651"/>
      <c r="K27" s="209"/>
      <c r="L27" s="57" t="s">
        <v>20</v>
      </c>
      <c r="M27" s="494"/>
      <c r="N27" s="477"/>
      <c r="O27" s="902">
        <f>'T3.2025 '!H97</f>
        <v>398.64</v>
      </c>
      <c r="P27" s="902">
        <v>1345</v>
      </c>
      <c r="Q27" s="902"/>
      <c r="R27" s="902">
        <f>'T6.2025'!H180</f>
        <v>545.28</v>
      </c>
      <c r="S27" s="477"/>
      <c r="T27" s="477"/>
      <c r="U27" s="477"/>
      <c r="V27" s="477"/>
      <c r="W27" s="477"/>
      <c r="X27" s="477"/>
      <c r="Y27" s="959">
        <f t="shared" si="0"/>
        <v>2288.92</v>
      </c>
    </row>
    <row r="28" spans="1:25" ht="27" customHeight="1" x14ac:dyDescent="0.2">
      <c r="A28" s="2962" t="s">
        <v>146</v>
      </c>
      <c r="B28" s="2963"/>
      <c r="C28" s="493" t="s">
        <v>21</v>
      </c>
      <c r="D28" s="204">
        <f>Y28</f>
        <v>38325.800000000003</v>
      </c>
      <c r="E28" s="204">
        <f>Y29</f>
        <v>0</v>
      </c>
      <c r="F28" s="204">
        <f>Y30</f>
        <v>2062.84</v>
      </c>
      <c r="G28" s="204">
        <f>SUM(D28:F28)</f>
        <v>40388.639999999999</v>
      </c>
      <c r="H28" s="208"/>
      <c r="I28" s="2650"/>
      <c r="J28" s="2651"/>
      <c r="K28" s="209"/>
      <c r="L28" s="57" t="s">
        <v>18</v>
      </c>
      <c r="M28" s="494"/>
      <c r="N28" s="477"/>
      <c r="O28" s="902"/>
      <c r="P28" s="902">
        <v>13473</v>
      </c>
      <c r="Q28" s="902"/>
      <c r="R28" s="902">
        <f>'T6.2025'!F176</f>
        <v>24852.799999999999</v>
      </c>
      <c r="S28" s="477"/>
      <c r="T28" s="477"/>
      <c r="U28" s="477"/>
      <c r="V28" s="477"/>
      <c r="W28" s="477"/>
      <c r="X28" s="477"/>
      <c r="Y28" s="959">
        <f t="shared" si="0"/>
        <v>38325.800000000003</v>
      </c>
    </row>
    <row r="29" spans="1:25" ht="27" customHeight="1" x14ac:dyDescent="0.2">
      <c r="A29" s="2964"/>
      <c r="B29" s="2965"/>
      <c r="C29" s="493" t="s">
        <v>22</v>
      </c>
      <c r="D29" s="207">
        <f>D28/$G$25*100</f>
        <v>96.656279538500812</v>
      </c>
      <c r="E29" s="207">
        <f>E28/$G$25*100</f>
        <v>0</v>
      </c>
      <c r="F29" s="207">
        <f>F28/$G$25*100</f>
        <v>5.2024077692625079</v>
      </c>
      <c r="G29" s="207">
        <f>SUM(D29:F29)</f>
        <v>101.85868730776332</v>
      </c>
      <c r="H29" s="208">
        <f>G28/$G$37*100</f>
        <v>3.8017324585885248</v>
      </c>
      <c r="I29" s="2650"/>
      <c r="J29" s="2651"/>
      <c r="K29" s="209"/>
      <c r="L29" s="57" t="s">
        <v>19</v>
      </c>
      <c r="M29" s="494"/>
      <c r="N29" s="477"/>
      <c r="O29" s="902"/>
      <c r="P29" s="902"/>
      <c r="Q29" s="902"/>
      <c r="R29" s="902"/>
      <c r="S29" s="477"/>
      <c r="T29" s="477"/>
      <c r="U29" s="477"/>
      <c r="V29" s="477"/>
      <c r="W29" s="477"/>
      <c r="X29" s="477"/>
      <c r="Y29" s="959">
        <f t="shared" si="0"/>
        <v>0</v>
      </c>
    </row>
    <row r="30" spans="1:25" ht="27" customHeight="1" x14ac:dyDescent="0.2">
      <c r="A30" s="2966"/>
      <c r="B30" s="2967"/>
      <c r="C30" s="493"/>
      <c r="D30" s="207"/>
      <c r="E30" s="207"/>
      <c r="F30" s="207"/>
      <c r="G30" s="204"/>
      <c r="H30" s="208"/>
      <c r="I30" s="2650"/>
      <c r="J30" s="2651"/>
      <c r="K30" s="209"/>
      <c r="L30" s="57" t="s">
        <v>20</v>
      </c>
      <c r="M30" s="494"/>
      <c r="N30" s="477"/>
      <c r="O30" s="902"/>
      <c r="P30" s="902">
        <v>1059</v>
      </c>
      <c r="Q30" s="902"/>
      <c r="R30" s="902">
        <f>'T6.2025'!H176</f>
        <v>1003.84</v>
      </c>
      <c r="S30" s="477"/>
      <c r="T30" s="477"/>
      <c r="U30" s="477"/>
      <c r="V30" s="477"/>
      <c r="W30" s="477"/>
      <c r="X30" s="477"/>
      <c r="Y30" s="959">
        <f t="shared" si="0"/>
        <v>2062.84</v>
      </c>
    </row>
    <row r="31" spans="1:25" ht="27" customHeight="1" x14ac:dyDescent="0.2">
      <c r="A31" s="2962" t="s">
        <v>128</v>
      </c>
      <c r="B31" s="2963"/>
      <c r="C31" s="493" t="s">
        <v>21</v>
      </c>
      <c r="D31" s="204">
        <f>Y31</f>
        <v>35942.800000000003</v>
      </c>
      <c r="E31" s="204">
        <f>Y32</f>
        <v>0</v>
      </c>
      <c r="F31" s="204">
        <f>Y33</f>
        <v>2278.08</v>
      </c>
      <c r="G31" s="204">
        <f>SUM(D31:F31)</f>
        <v>38220.880000000005</v>
      </c>
      <c r="H31" s="208"/>
      <c r="I31" s="2650"/>
      <c r="J31" s="2651"/>
      <c r="K31" s="209"/>
      <c r="L31" s="57" t="s">
        <v>18</v>
      </c>
      <c r="M31" s="494"/>
      <c r="N31" s="477"/>
      <c r="O31" s="902"/>
      <c r="P31" s="902">
        <v>13850</v>
      </c>
      <c r="Q31" s="902"/>
      <c r="R31" s="902">
        <f>'T6.2025'!F186</f>
        <v>22092.799999999999</v>
      </c>
      <c r="S31" s="477"/>
      <c r="T31" s="477"/>
      <c r="U31" s="477"/>
      <c r="V31" s="477"/>
      <c r="W31" s="477"/>
      <c r="X31" s="477"/>
      <c r="Y31" s="959">
        <f t="shared" si="0"/>
        <v>35942.800000000003</v>
      </c>
    </row>
    <row r="32" spans="1:25" ht="27" customHeight="1" x14ac:dyDescent="0.2">
      <c r="A32" s="2964"/>
      <c r="B32" s="2965"/>
      <c r="C32" s="493" t="s">
        <v>22</v>
      </c>
      <c r="D32" s="207">
        <f>D31/$G$25*100</f>
        <v>90.646439844606689</v>
      </c>
      <c r="E32" s="207">
        <f>E31/$G$25*100</f>
        <v>0</v>
      </c>
      <c r="F32" s="207">
        <f>F31/$G$25*100</f>
        <v>5.7452352538255669</v>
      </c>
      <c r="G32" s="207">
        <f>SUM(D32:F32)</f>
        <v>96.391675098432259</v>
      </c>
      <c r="H32" s="208">
        <f>G31/$G$37*100</f>
        <v>3.5976839054698799</v>
      </c>
      <c r="I32" s="2650"/>
      <c r="J32" s="2651"/>
      <c r="K32" s="209"/>
      <c r="L32" s="57" t="s">
        <v>19</v>
      </c>
      <c r="M32" s="494"/>
      <c r="N32" s="477"/>
      <c r="O32" s="902"/>
      <c r="P32" s="902"/>
      <c r="Q32" s="902"/>
      <c r="R32" s="902"/>
      <c r="S32" s="477"/>
      <c r="T32" s="477"/>
      <c r="U32" s="477"/>
      <c r="V32" s="477"/>
      <c r="W32" s="477"/>
      <c r="X32" s="477"/>
      <c r="Y32" s="959">
        <f t="shared" si="0"/>
        <v>0</v>
      </c>
    </row>
    <row r="33" spans="1:25" ht="27" customHeight="1" x14ac:dyDescent="0.2">
      <c r="A33" s="2966"/>
      <c r="B33" s="2967"/>
      <c r="C33" s="493"/>
      <c r="D33" s="207"/>
      <c r="E33" s="207"/>
      <c r="F33" s="207"/>
      <c r="G33" s="204"/>
      <c r="H33" s="208"/>
      <c r="I33" s="2650"/>
      <c r="J33" s="2651"/>
      <c r="K33" s="209"/>
      <c r="L33" s="57" t="s">
        <v>20</v>
      </c>
      <c r="M33" s="494"/>
      <c r="N33" s="477"/>
      <c r="O33" s="902"/>
      <c r="P33" s="902">
        <v>864</v>
      </c>
      <c r="Q33" s="902"/>
      <c r="R33" s="902">
        <f>'T6.2025'!H186</f>
        <v>1414.08</v>
      </c>
      <c r="S33" s="477"/>
      <c r="T33" s="477"/>
      <c r="U33" s="477"/>
      <c r="V33" s="477"/>
      <c r="W33" s="477"/>
      <c r="X33" s="477"/>
      <c r="Y33" s="959">
        <f t="shared" si="0"/>
        <v>2278.08</v>
      </c>
    </row>
    <row r="34" spans="1:25" ht="27" customHeight="1" x14ac:dyDescent="0.2">
      <c r="A34" s="2962" t="s">
        <v>144</v>
      </c>
      <c r="B34" s="2963"/>
      <c r="C34" s="493" t="s">
        <v>21</v>
      </c>
      <c r="D34" s="204">
        <f>Y34</f>
        <v>877</v>
      </c>
      <c r="E34" s="204">
        <f>Y35</f>
        <v>0</v>
      </c>
      <c r="F34" s="204">
        <f>Y36</f>
        <v>0</v>
      </c>
      <c r="G34" s="204">
        <f>SUM(D34:F34)</f>
        <v>877</v>
      </c>
      <c r="H34" s="208"/>
      <c r="I34" s="2650"/>
      <c r="J34" s="2651"/>
      <c r="K34" s="209"/>
      <c r="L34" s="57" t="s">
        <v>18</v>
      </c>
      <c r="M34" s="494"/>
      <c r="N34" s="477"/>
      <c r="O34" s="902"/>
      <c r="P34" s="902">
        <v>877</v>
      </c>
      <c r="Q34" s="902"/>
      <c r="R34" s="902"/>
      <c r="S34" s="477"/>
      <c r="T34" s="477"/>
      <c r="U34" s="477"/>
      <c r="V34" s="477"/>
      <c r="W34" s="477"/>
      <c r="X34" s="477"/>
      <c r="Y34" s="959">
        <f t="shared" si="0"/>
        <v>877</v>
      </c>
    </row>
    <row r="35" spans="1:25" ht="27" customHeight="1" x14ac:dyDescent="0.2">
      <c r="A35" s="2964"/>
      <c r="B35" s="2965"/>
      <c r="C35" s="493" t="s">
        <v>22</v>
      </c>
      <c r="D35" s="207">
        <f>D34/$G$25*100</f>
        <v>2.2117622373248622</v>
      </c>
      <c r="E35" s="207">
        <f>E34/$G$25*100</f>
        <v>0</v>
      </c>
      <c r="F35" s="207">
        <f>F34/$G$25*100</f>
        <v>0</v>
      </c>
      <c r="G35" s="207">
        <f>SUM(D35:F35)</f>
        <v>2.2117622373248622</v>
      </c>
      <c r="H35" s="208">
        <f>G34/$G$37*100</f>
        <v>8.2550919421454552E-2</v>
      </c>
      <c r="I35" s="2650"/>
      <c r="J35" s="2651"/>
      <c r="K35" s="209"/>
      <c r="L35" s="57" t="s">
        <v>19</v>
      </c>
      <c r="M35" s="494"/>
      <c r="N35" s="477"/>
      <c r="O35" s="902"/>
      <c r="P35" s="902"/>
      <c r="Q35" s="902"/>
      <c r="R35" s="902"/>
      <c r="S35" s="477"/>
      <c r="T35" s="477"/>
      <c r="U35" s="477"/>
      <c r="V35" s="477"/>
      <c r="W35" s="477"/>
      <c r="X35" s="477"/>
      <c r="Y35" s="959">
        <f t="shared" si="0"/>
        <v>0</v>
      </c>
    </row>
    <row r="36" spans="1:25" ht="27" customHeight="1" x14ac:dyDescent="0.2">
      <c r="A36" s="2966"/>
      <c r="B36" s="2967"/>
      <c r="C36" s="493"/>
      <c r="D36" s="207"/>
      <c r="E36" s="207"/>
      <c r="F36" s="207"/>
      <c r="G36" s="204"/>
      <c r="H36" s="208"/>
      <c r="I36" s="2650"/>
      <c r="J36" s="2651"/>
      <c r="K36" s="209"/>
      <c r="L36" s="57" t="s">
        <v>20</v>
      </c>
      <c r="M36" s="494"/>
      <c r="N36" s="477"/>
      <c r="O36" s="902"/>
      <c r="P36" s="902"/>
      <c r="Q36" s="902"/>
      <c r="R36" s="902"/>
      <c r="S36" s="477"/>
      <c r="T36" s="477"/>
      <c r="U36" s="477"/>
      <c r="V36" s="477"/>
      <c r="W36" s="477"/>
      <c r="X36" s="477"/>
      <c r="Y36" s="959">
        <f t="shared" si="0"/>
        <v>0</v>
      </c>
    </row>
    <row r="37" spans="1:25" ht="27" customHeight="1" x14ac:dyDescent="0.2">
      <c r="A37" s="2968" t="s">
        <v>370</v>
      </c>
      <c r="B37" s="2969"/>
      <c r="C37" s="538" t="s">
        <v>21</v>
      </c>
      <c r="D37" s="1203">
        <f>D7+D10+D13+D16+D19+D22+D25+D28+D31+D34</f>
        <v>985955.40000000014</v>
      </c>
      <c r="E37" s="1203">
        <f>E7+E10+E13+E16+E19+E22+E25+E28+E31+E34</f>
        <v>184.32</v>
      </c>
      <c r="F37" s="1203">
        <f>F7+F10+F13+F16+F19+F22+F25+F28+F31+F34</f>
        <v>76234.880000000005</v>
      </c>
      <c r="G37" s="1203">
        <f>G7+G10+G13+G16+G19+G22+G25+G28+G31+G34</f>
        <v>1062374.5999999999</v>
      </c>
      <c r="H37" s="541"/>
      <c r="I37" s="2650"/>
      <c r="J37" s="2651"/>
      <c r="K37" s="209"/>
      <c r="L37" s="545" t="s">
        <v>18</v>
      </c>
      <c r="M37" s="546"/>
      <c r="N37" s="546"/>
      <c r="O37" s="906"/>
      <c r="P37" s="906"/>
      <c r="Q37" s="906"/>
      <c r="R37" s="906"/>
      <c r="S37" s="546"/>
      <c r="T37" s="546"/>
      <c r="U37" s="546"/>
      <c r="V37" s="546"/>
      <c r="W37" s="546"/>
      <c r="X37" s="546"/>
      <c r="Y37" s="1186">
        <f t="shared" si="0"/>
        <v>0</v>
      </c>
    </row>
    <row r="38" spans="1:25" ht="27" customHeight="1" x14ac:dyDescent="0.2">
      <c r="A38" s="2970"/>
      <c r="B38" s="2971"/>
      <c r="C38" s="567" t="s">
        <v>22</v>
      </c>
      <c r="D38" s="539">
        <f>D37/$G$37*100</f>
        <v>92.806755733806156</v>
      </c>
      <c r="E38" s="539">
        <f>E37/$G$37*100</f>
        <v>1.7349812391975486E-2</v>
      </c>
      <c r="F38" s="539">
        <f>F37/$G$37*100</f>
        <v>7.1758944538018898</v>
      </c>
      <c r="G38" s="539">
        <f>SUM(D38:F38)</f>
        <v>100.00000000000001</v>
      </c>
      <c r="H38" s="541"/>
      <c r="I38" s="2650"/>
      <c r="J38" s="2651"/>
      <c r="K38" s="209"/>
      <c r="L38" s="545" t="s">
        <v>19</v>
      </c>
      <c r="M38" s="546"/>
      <c r="N38" s="546"/>
      <c r="O38" s="906"/>
      <c r="P38" s="906"/>
      <c r="Q38" s="906"/>
      <c r="R38" s="906"/>
      <c r="S38" s="546"/>
      <c r="T38" s="546"/>
      <c r="U38" s="546"/>
      <c r="V38" s="546"/>
      <c r="W38" s="546"/>
      <c r="X38" s="546"/>
      <c r="Y38" s="1186">
        <f t="shared" si="0"/>
        <v>0</v>
      </c>
    </row>
    <row r="39" spans="1:25" ht="27" customHeight="1" x14ac:dyDescent="0.2">
      <c r="A39" s="2972"/>
      <c r="B39" s="2973"/>
      <c r="C39" s="567"/>
      <c r="D39" s="539"/>
      <c r="E39" s="539"/>
      <c r="F39" s="539"/>
      <c r="G39" s="539"/>
      <c r="H39" s="541"/>
      <c r="I39" s="2652"/>
      <c r="J39" s="2653"/>
      <c r="K39" s="209"/>
      <c r="L39" s="545" t="s">
        <v>20</v>
      </c>
      <c r="M39" s="546"/>
      <c r="N39" s="546"/>
      <c r="O39" s="906"/>
      <c r="P39" s="906"/>
      <c r="Q39" s="906"/>
      <c r="R39" s="906"/>
      <c r="S39" s="546"/>
      <c r="T39" s="546"/>
      <c r="U39" s="546"/>
      <c r="V39" s="546"/>
      <c r="W39" s="546"/>
      <c r="X39" s="546"/>
      <c r="Y39" s="1186">
        <f t="shared" si="0"/>
        <v>0</v>
      </c>
    </row>
    <row r="40" spans="1:25" ht="27" customHeight="1" x14ac:dyDescent="0.2">
      <c r="A40" s="2905" t="s">
        <v>109</v>
      </c>
      <c r="B40" s="2905"/>
      <c r="C40" s="493" t="s">
        <v>21</v>
      </c>
      <c r="D40" s="203">
        <f>Y40</f>
        <v>58545</v>
      </c>
      <c r="E40" s="203">
        <f>Y41</f>
        <v>0</v>
      </c>
      <c r="F40" s="203">
        <f>Y42</f>
        <v>4089.24</v>
      </c>
      <c r="G40" s="212">
        <f>SUM(D40:F40)</f>
        <v>62634.239999999998</v>
      </c>
      <c r="H40" s="208"/>
      <c r="I40" s="2647" t="s">
        <v>321</v>
      </c>
      <c r="J40" s="2649"/>
      <c r="K40" s="209"/>
      <c r="L40" s="57" t="s">
        <v>18</v>
      </c>
      <c r="M40" s="494">
        <f>'T1.2025'!F97</f>
        <v>0</v>
      </c>
      <c r="N40" s="477"/>
      <c r="O40" s="902"/>
      <c r="P40" s="902"/>
      <c r="Q40" s="902">
        <f>'T5.2025'!F138</f>
        <v>58545</v>
      </c>
      <c r="R40" s="902"/>
      <c r="S40" s="477"/>
      <c r="T40" s="477"/>
      <c r="U40" s="477"/>
      <c r="V40" s="477"/>
      <c r="W40" s="477"/>
      <c r="X40" s="477"/>
      <c r="Y40" s="494">
        <f t="shared" si="0"/>
        <v>58545</v>
      </c>
    </row>
    <row r="41" spans="1:25" ht="27" customHeight="1" x14ac:dyDescent="0.2">
      <c r="A41" s="2905"/>
      <c r="B41" s="2905"/>
      <c r="C41" s="493" t="s">
        <v>22</v>
      </c>
      <c r="D41" s="213">
        <f>D40/$G$40*100</f>
        <v>93.471238734596284</v>
      </c>
      <c r="E41" s="213">
        <f>E40/$G$40*100</f>
        <v>0</v>
      </c>
      <c r="F41" s="213">
        <f>F40/$G$40*100</f>
        <v>6.5287612654037153</v>
      </c>
      <c r="G41" s="207">
        <f>SUM(D41:F41)</f>
        <v>100</v>
      </c>
      <c r="H41" s="208">
        <f>G40/$G$67*100</f>
        <v>63.114745177989064</v>
      </c>
      <c r="I41" s="2650"/>
      <c r="J41" s="2651"/>
      <c r="K41" s="209"/>
      <c r="L41" s="57" t="s">
        <v>19</v>
      </c>
      <c r="M41" s="494">
        <f>'T1.2025'!G97</f>
        <v>0</v>
      </c>
      <c r="N41" s="477"/>
      <c r="O41" s="902"/>
      <c r="P41" s="902"/>
      <c r="Q41" s="902"/>
      <c r="R41" s="902"/>
      <c r="S41" s="477"/>
      <c r="T41" s="477"/>
      <c r="U41" s="477"/>
      <c r="V41" s="477"/>
      <c r="W41" s="477"/>
      <c r="X41" s="477"/>
      <c r="Y41" s="494">
        <f t="shared" si="0"/>
        <v>0</v>
      </c>
    </row>
    <row r="42" spans="1:25" ht="27" customHeight="1" x14ac:dyDescent="0.2">
      <c r="A42" s="2905"/>
      <c r="B42" s="2905"/>
      <c r="C42" s="493"/>
      <c r="D42" s="213"/>
      <c r="E42" s="213"/>
      <c r="F42" s="213"/>
      <c r="G42" s="204"/>
      <c r="H42" s="208"/>
      <c r="I42" s="2650"/>
      <c r="J42" s="2651"/>
      <c r="K42" s="209"/>
      <c r="L42" s="57" t="s">
        <v>20</v>
      </c>
      <c r="M42" s="494">
        <f>'T1.2025'!H97</f>
        <v>0</v>
      </c>
      <c r="N42" s="477"/>
      <c r="O42" s="902"/>
      <c r="P42" s="902"/>
      <c r="Q42" s="902">
        <f>'T5.2025'!H138</f>
        <v>4089.24</v>
      </c>
      <c r="R42" s="902"/>
      <c r="S42" s="477"/>
      <c r="T42" s="477"/>
      <c r="U42" s="477"/>
      <c r="V42" s="477"/>
      <c r="W42" s="477"/>
      <c r="X42" s="477"/>
      <c r="Y42" s="494">
        <f t="shared" si="0"/>
        <v>4089.24</v>
      </c>
    </row>
    <row r="43" spans="1:25" ht="27" customHeight="1" x14ac:dyDescent="0.2">
      <c r="A43" s="2905" t="s">
        <v>146</v>
      </c>
      <c r="B43" s="2905"/>
      <c r="C43" s="493" t="s">
        <v>21</v>
      </c>
      <c r="D43" s="203">
        <f>Y43</f>
        <v>19218.599999999999</v>
      </c>
      <c r="E43" s="203">
        <f>Y44</f>
        <v>0</v>
      </c>
      <c r="F43" s="203">
        <f>Y45</f>
        <v>537.84</v>
      </c>
      <c r="G43" s="212">
        <f>SUM(D43:F43)</f>
        <v>19756.439999999999</v>
      </c>
      <c r="H43" s="208"/>
      <c r="I43" s="2650"/>
      <c r="J43" s="2651"/>
      <c r="K43" s="209"/>
      <c r="L43" s="57" t="s">
        <v>18</v>
      </c>
      <c r="M43" s="494">
        <f>'T1.2025'!F99</f>
        <v>0</v>
      </c>
      <c r="N43" s="477"/>
      <c r="O43" s="902"/>
      <c r="P43" s="902"/>
      <c r="Q43" s="902">
        <f>'T5.2025'!F146</f>
        <v>19218.599999999999</v>
      </c>
      <c r="R43" s="902"/>
      <c r="S43" s="477"/>
      <c r="T43" s="477"/>
      <c r="U43" s="477"/>
      <c r="V43" s="477"/>
      <c r="W43" s="477"/>
      <c r="X43" s="477"/>
      <c r="Y43" s="494">
        <f t="shared" si="0"/>
        <v>19218.599999999999</v>
      </c>
    </row>
    <row r="44" spans="1:25" ht="27" customHeight="1" x14ac:dyDescent="0.2">
      <c r="A44" s="2905"/>
      <c r="B44" s="2905"/>
      <c r="C44" s="493" t="s">
        <v>22</v>
      </c>
      <c r="D44" s="213">
        <f>D43/$G$43*100</f>
        <v>97.27764718744875</v>
      </c>
      <c r="E44" s="213">
        <f>E43/$G$43*100</f>
        <v>0</v>
      </c>
      <c r="F44" s="213">
        <f>F43/$G$43*100</f>
        <v>2.7223528125512493</v>
      </c>
      <c r="G44" s="204">
        <f>SUM(D44:F44)</f>
        <v>100</v>
      </c>
      <c r="H44" s="208">
        <f t="shared" ref="H44:H50" si="2">G43/$G$67*100</f>
        <v>19.908003613107304</v>
      </c>
      <c r="I44" s="2650"/>
      <c r="J44" s="2651"/>
      <c r="K44" s="209"/>
      <c r="L44" s="57" t="s">
        <v>19</v>
      </c>
      <c r="M44" s="494">
        <f>'T1.2025'!G99</f>
        <v>0</v>
      </c>
      <c r="N44" s="477"/>
      <c r="O44" s="902"/>
      <c r="P44" s="902"/>
      <c r="Q44" s="902"/>
      <c r="R44" s="902"/>
      <c r="S44" s="477"/>
      <c r="T44" s="477"/>
      <c r="U44" s="477"/>
      <c r="V44" s="477"/>
      <c r="W44" s="477"/>
      <c r="X44" s="477"/>
      <c r="Y44" s="494">
        <f t="shared" si="0"/>
        <v>0</v>
      </c>
    </row>
    <row r="45" spans="1:25" ht="27" customHeight="1" x14ac:dyDescent="0.2">
      <c r="A45" s="2905"/>
      <c r="B45" s="2905"/>
      <c r="C45" s="493"/>
      <c r="D45" s="213"/>
      <c r="E45" s="213"/>
      <c r="F45" s="213"/>
      <c r="G45" s="204"/>
      <c r="H45" s="208"/>
      <c r="I45" s="2650"/>
      <c r="J45" s="2651"/>
      <c r="K45" s="209"/>
      <c r="L45" s="57" t="s">
        <v>20</v>
      </c>
      <c r="M45" s="494">
        <f>'T1.2025'!H99</f>
        <v>0</v>
      </c>
      <c r="N45" s="477"/>
      <c r="O45" s="902"/>
      <c r="P45" s="902"/>
      <c r="Q45" s="902">
        <f>'T5.2025'!H146</f>
        <v>537.84</v>
      </c>
      <c r="R45" s="902"/>
      <c r="S45" s="477"/>
      <c r="T45" s="477"/>
      <c r="U45" s="477"/>
      <c r="V45" s="477"/>
      <c r="W45" s="477"/>
      <c r="X45" s="477"/>
      <c r="Y45" s="494">
        <f t="shared" si="0"/>
        <v>537.84</v>
      </c>
    </row>
    <row r="46" spans="1:25" ht="27" customHeight="1" x14ac:dyDescent="0.2">
      <c r="A46" s="2905" t="s">
        <v>129</v>
      </c>
      <c r="B46" s="2905"/>
      <c r="C46" s="493" t="s">
        <v>21</v>
      </c>
      <c r="D46" s="203">
        <f>Y46</f>
        <v>0</v>
      </c>
      <c r="E46" s="203">
        <f>Y47</f>
        <v>0</v>
      </c>
      <c r="F46" s="203">
        <f>Y48</f>
        <v>0</v>
      </c>
      <c r="G46" s="204">
        <f>SUM(D46:F46)</f>
        <v>0</v>
      </c>
      <c r="H46" s="208"/>
      <c r="I46" s="2650"/>
      <c r="J46" s="2651"/>
      <c r="K46" s="209"/>
      <c r="L46" s="57" t="s">
        <v>18</v>
      </c>
      <c r="M46" s="494">
        <f>'T1.2025'!F101</f>
        <v>0</v>
      </c>
      <c r="N46" s="477"/>
      <c r="O46" s="902"/>
      <c r="P46" s="902"/>
      <c r="Q46" s="902"/>
      <c r="R46" s="902"/>
      <c r="S46" s="477"/>
      <c r="T46" s="477"/>
      <c r="U46" s="477"/>
      <c r="V46" s="477"/>
      <c r="W46" s="477"/>
      <c r="X46" s="477"/>
      <c r="Y46" s="494">
        <f t="shared" si="0"/>
        <v>0</v>
      </c>
    </row>
    <row r="47" spans="1:25" ht="27" customHeight="1" x14ac:dyDescent="0.2">
      <c r="A47" s="2905"/>
      <c r="B47" s="2905"/>
      <c r="C47" s="493" t="s">
        <v>22</v>
      </c>
      <c r="D47" s="207" t="e">
        <f>D46/$G$46*100</f>
        <v>#DIV/0!</v>
      </c>
      <c r="E47" s="207" t="e">
        <f>E46/$G$46*100</f>
        <v>#DIV/0!</v>
      </c>
      <c r="F47" s="207" t="e">
        <f>F46/$G$46*100</f>
        <v>#DIV/0!</v>
      </c>
      <c r="G47" s="207" t="e">
        <f>SUM(D47:F47)</f>
        <v>#DIV/0!</v>
      </c>
      <c r="H47" s="208">
        <f t="shared" si="2"/>
        <v>0</v>
      </c>
      <c r="I47" s="2650"/>
      <c r="J47" s="2651"/>
      <c r="K47" s="209"/>
      <c r="L47" s="57" t="s">
        <v>19</v>
      </c>
      <c r="M47" s="494">
        <f>'T1.2025'!G101</f>
        <v>0</v>
      </c>
      <c r="N47" s="477"/>
      <c r="O47" s="902"/>
      <c r="P47" s="902"/>
      <c r="Q47" s="902"/>
      <c r="R47" s="902"/>
      <c r="S47" s="477"/>
      <c r="T47" s="477"/>
      <c r="U47" s="477"/>
      <c r="V47" s="477"/>
      <c r="W47" s="477"/>
      <c r="X47" s="477"/>
      <c r="Y47" s="494">
        <f t="shared" si="0"/>
        <v>0</v>
      </c>
    </row>
    <row r="48" spans="1:25" ht="27" customHeight="1" x14ac:dyDescent="0.2">
      <c r="A48" s="2905"/>
      <c r="B48" s="2905"/>
      <c r="C48" s="493"/>
      <c r="D48" s="207"/>
      <c r="E48" s="207"/>
      <c r="F48" s="207"/>
      <c r="G48" s="204"/>
      <c r="H48" s="208"/>
      <c r="I48" s="2650"/>
      <c r="J48" s="2651"/>
      <c r="K48" s="209"/>
      <c r="L48" s="57" t="s">
        <v>20</v>
      </c>
      <c r="M48" s="494">
        <f>'T1.2025'!H101</f>
        <v>0</v>
      </c>
      <c r="N48" s="477"/>
      <c r="O48" s="902"/>
      <c r="P48" s="902"/>
      <c r="Q48" s="902"/>
      <c r="R48" s="902"/>
      <c r="S48" s="477"/>
      <c r="T48" s="477"/>
      <c r="U48" s="477"/>
      <c r="V48" s="477"/>
      <c r="W48" s="477"/>
      <c r="X48" s="477"/>
      <c r="Y48" s="494">
        <f t="shared" si="0"/>
        <v>0</v>
      </c>
    </row>
    <row r="49" spans="1:25" ht="27" customHeight="1" x14ac:dyDescent="0.2">
      <c r="A49" s="2905" t="s">
        <v>117</v>
      </c>
      <c r="B49" s="2905"/>
      <c r="C49" s="493" t="s">
        <v>21</v>
      </c>
      <c r="D49" s="203">
        <f>Y49</f>
        <v>5306.4</v>
      </c>
      <c r="E49" s="203">
        <f>Y50</f>
        <v>0</v>
      </c>
      <c r="F49" s="203">
        <f>Y51</f>
        <v>361.44</v>
      </c>
      <c r="G49" s="204">
        <f t="shared" ref="G49:G55" si="3">SUM(D49:F49)</f>
        <v>5667.8399999999992</v>
      </c>
      <c r="H49" s="208"/>
      <c r="I49" s="2650"/>
      <c r="J49" s="2651"/>
      <c r="K49" s="209"/>
      <c r="L49" s="57" t="s">
        <v>18</v>
      </c>
      <c r="M49" s="494">
        <f>'T1.2025'!F103</f>
        <v>0</v>
      </c>
      <c r="N49" s="477"/>
      <c r="O49" s="902"/>
      <c r="P49" s="902"/>
      <c r="Q49" s="902">
        <f>'T5.2025'!F140</f>
        <v>5306.4</v>
      </c>
      <c r="R49" s="902"/>
      <c r="S49" s="477"/>
      <c r="T49" s="477"/>
      <c r="U49" s="477"/>
      <c r="V49" s="477"/>
      <c r="W49" s="477"/>
      <c r="X49" s="477"/>
      <c r="Y49" s="494">
        <f t="shared" si="0"/>
        <v>5306.4</v>
      </c>
    </row>
    <row r="50" spans="1:25" ht="27" customHeight="1" x14ac:dyDescent="0.2">
      <c r="A50" s="2905"/>
      <c r="B50" s="2905"/>
      <c r="C50" s="493" t="s">
        <v>22</v>
      </c>
      <c r="D50" s="207">
        <f>D49/$G$49*100</f>
        <v>93.622967479674799</v>
      </c>
      <c r="E50" s="207">
        <f>E49/$G$49*100</f>
        <v>0</v>
      </c>
      <c r="F50" s="207">
        <f>F49/$G$49*100</f>
        <v>6.3770325203252041</v>
      </c>
      <c r="G50" s="207">
        <f t="shared" si="3"/>
        <v>100</v>
      </c>
      <c r="H50" s="208">
        <f t="shared" si="2"/>
        <v>5.711321432328603</v>
      </c>
      <c r="I50" s="2650"/>
      <c r="J50" s="2651"/>
      <c r="K50" s="209"/>
      <c r="L50" s="57" t="s">
        <v>19</v>
      </c>
      <c r="M50" s="494">
        <f>'T1.2025'!G103</f>
        <v>0</v>
      </c>
      <c r="N50" s="477"/>
      <c r="O50" s="902"/>
      <c r="P50" s="902"/>
      <c r="Q50" s="902"/>
      <c r="R50" s="902"/>
      <c r="S50" s="477"/>
      <c r="T50" s="477"/>
      <c r="U50" s="477"/>
      <c r="V50" s="477"/>
      <c r="W50" s="477"/>
      <c r="X50" s="477"/>
      <c r="Y50" s="494">
        <f t="shared" si="0"/>
        <v>0</v>
      </c>
    </row>
    <row r="51" spans="1:25" ht="27" customHeight="1" x14ac:dyDescent="0.2">
      <c r="A51" s="2905"/>
      <c r="B51" s="2905"/>
      <c r="C51" s="493"/>
      <c r="D51" s="207"/>
      <c r="E51" s="207"/>
      <c r="F51" s="207"/>
      <c r="G51" s="204"/>
      <c r="H51" s="208"/>
      <c r="I51" s="2650"/>
      <c r="J51" s="2651"/>
      <c r="K51" s="209"/>
      <c r="L51" s="57" t="s">
        <v>20</v>
      </c>
      <c r="M51" s="494">
        <f>'T1.2025'!H103</f>
        <v>0</v>
      </c>
      <c r="N51" s="477"/>
      <c r="O51" s="902"/>
      <c r="P51" s="902"/>
      <c r="Q51" s="902">
        <f>'T5.2025'!H140</f>
        <v>361.44</v>
      </c>
      <c r="R51" s="902"/>
      <c r="S51" s="477"/>
      <c r="T51" s="477"/>
      <c r="U51" s="477"/>
      <c r="V51" s="477"/>
      <c r="W51" s="477"/>
      <c r="X51" s="477"/>
      <c r="Y51" s="494">
        <f t="shared" si="0"/>
        <v>361.44</v>
      </c>
    </row>
    <row r="52" spans="1:25" ht="27" customHeight="1" x14ac:dyDescent="0.2">
      <c r="A52" s="2904" t="s">
        <v>112</v>
      </c>
      <c r="B52" s="2904"/>
      <c r="C52" s="493" t="s">
        <v>21</v>
      </c>
      <c r="D52" s="203">
        <f>Y52</f>
        <v>0</v>
      </c>
      <c r="E52" s="203">
        <f>Y53</f>
        <v>0</v>
      </c>
      <c r="F52" s="203">
        <f>Y54</f>
        <v>0</v>
      </c>
      <c r="G52" s="204">
        <f t="shared" si="3"/>
        <v>0</v>
      </c>
      <c r="H52" s="208"/>
      <c r="I52" s="2650"/>
      <c r="J52" s="2651"/>
      <c r="K52" s="209"/>
      <c r="L52" s="57" t="s">
        <v>18</v>
      </c>
      <c r="M52" s="477"/>
      <c r="N52" s="477"/>
      <c r="O52" s="902"/>
      <c r="P52" s="902"/>
      <c r="Q52" s="902"/>
      <c r="R52" s="902"/>
      <c r="S52" s="477"/>
      <c r="T52" s="477"/>
      <c r="U52" s="477"/>
      <c r="V52" s="477"/>
      <c r="W52" s="477"/>
      <c r="X52" s="477"/>
      <c r="Y52" s="494">
        <f t="shared" si="0"/>
        <v>0</v>
      </c>
    </row>
    <row r="53" spans="1:25" ht="27" customHeight="1" x14ac:dyDescent="0.2">
      <c r="A53" s="2904"/>
      <c r="B53" s="2904"/>
      <c r="C53" s="493" t="s">
        <v>22</v>
      </c>
      <c r="D53" s="207" t="e">
        <f>D52/$H$195*100</f>
        <v>#DIV/0!</v>
      </c>
      <c r="E53" s="207" t="e">
        <f>E52/$H$195*100</f>
        <v>#DIV/0!</v>
      </c>
      <c r="F53" s="207" t="e">
        <f>F52/$H$195*100</f>
        <v>#DIV/0!</v>
      </c>
      <c r="G53" s="204" t="e">
        <f t="shared" si="3"/>
        <v>#DIV/0!</v>
      </c>
      <c r="H53" s="208" t="e">
        <f>G52/$H$207*100</f>
        <v>#DIV/0!</v>
      </c>
      <c r="I53" s="2650"/>
      <c r="J53" s="2651"/>
      <c r="K53" s="209"/>
      <c r="L53" s="57" t="s">
        <v>19</v>
      </c>
      <c r="M53" s="477"/>
      <c r="N53" s="477"/>
      <c r="O53" s="902"/>
      <c r="P53" s="902"/>
      <c r="Q53" s="902"/>
      <c r="R53" s="902"/>
      <c r="S53" s="477"/>
      <c r="T53" s="477"/>
      <c r="U53" s="477"/>
      <c r="V53" s="477"/>
      <c r="W53" s="477"/>
      <c r="X53" s="477"/>
      <c r="Y53" s="494">
        <f t="shared" si="0"/>
        <v>0</v>
      </c>
    </row>
    <row r="54" spans="1:25" ht="27" customHeight="1" x14ac:dyDescent="0.2">
      <c r="A54" s="2904"/>
      <c r="B54" s="2904"/>
      <c r="C54" s="493"/>
      <c r="D54" s="207"/>
      <c r="E54" s="207"/>
      <c r="F54" s="207"/>
      <c r="G54" s="204"/>
      <c r="H54" s="208"/>
      <c r="I54" s="2650"/>
      <c r="J54" s="2651"/>
      <c r="K54" s="209"/>
      <c r="L54" s="57" t="s">
        <v>20</v>
      </c>
      <c r="M54" s="477"/>
      <c r="N54" s="477"/>
      <c r="O54" s="902"/>
      <c r="P54" s="902"/>
      <c r="Q54" s="902"/>
      <c r="R54" s="902"/>
      <c r="S54" s="477"/>
      <c r="T54" s="477"/>
      <c r="U54" s="477"/>
      <c r="V54" s="477"/>
      <c r="W54" s="477"/>
      <c r="X54" s="477"/>
      <c r="Y54" s="494">
        <f t="shared" si="0"/>
        <v>0</v>
      </c>
    </row>
    <row r="55" spans="1:25" ht="27" customHeight="1" x14ac:dyDescent="0.2">
      <c r="A55" s="2904" t="s">
        <v>114</v>
      </c>
      <c r="B55" s="2904"/>
      <c r="C55" s="493" t="s">
        <v>21</v>
      </c>
      <c r="D55" s="203">
        <f>Y55</f>
        <v>0</v>
      </c>
      <c r="E55" s="203">
        <f>Y56</f>
        <v>0</v>
      </c>
      <c r="F55" s="203">
        <f>Y57</f>
        <v>0</v>
      </c>
      <c r="G55" s="204">
        <f t="shared" si="3"/>
        <v>0</v>
      </c>
      <c r="H55" s="208"/>
      <c r="I55" s="2650"/>
      <c r="J55" s="2651"/>
      <c r="K55" s="209"/>
      <c r="L55" s="57" t="s">
        <v>18</v>
      </c>
      <c r="M55" s="477"/>
      <c r="N55" s="477"/>
      <c r="O55" s="902"/>
      <c r="P55" s="902"/>
      <c r="Q55" s="902"/>
      <c r="R55" s="902"/>
      <c r="S55" s="477"/>
      <c r="T55" s="477"/>
      <c r="U55" s="477"/>
      <c r="V55" s="477"/>
      <c r="W55" s="477"/>
      <c r="X55" s="477"/>
      <c r="Y55" s="494">
        <f t="shared" si="0"/>
        <v>0</v>
      </c>
    </row>
    <row r="56" spans="1:25" ht="27" customHeight="1" x14ac:dyDescent="0.2">
      <c r="A56" s="2904"/>
      <c r="B56" s="2904"/>
      <c r="C56" s="493" t="s">
        <v>22</v>
      </c>
      <c r="D56" s="207" t="e">
        <f>D55/$H$197*100</f>
        <v>#DIV/0!</v>
      </c>
      <c r="E56" s="207" t="e">
        <f>E55/$H$197*100</f>
        <v>#DIV/0!</v>
      </c>
      <c r="F56" s="207" t="e">
        <f>F55/$H$197*100</f>
        <v>#DIV/0!</v>
      </c>
      <c r="G56" s="207" t="e">
        <f>G55/$H$197*100</f>
        <v>#DIV/0!</v>
      </c>
      <c r="H56" s="208" t="e">
        <f>G55/$H$207*100</f>
        <v>#DIV/0!</v>
      </c>
      <c r="I56" s="2650"/>
      <c r="J56" s="2651"/>
      <c r="K56" s="209"/>
      <c r="L56" s="57" t="s">
        <v>19</v>
      </c>
      <c r="M56" s="477"/>
      <c r="N56" s="477"/>
      <c r="O56" s="902"/>
      <c r="P56" s="902"/>
      <c r="Q56" s="902"/>
      <c r="R56" s="902"/>
      <c r="S56" s="477"/>
      <c r="T56" s="477"/>
      <c r="U56" s="477"/>
      <c r="V56" s="477"/>
      <c r="W56" s="477"/>
      <c r="X56" s="477"/>
      <c r="Y56" s="494">
        <f t="shared" si="0"/>
        <v>0</v>
      </c>
    </row>
    <row r="57" spans="1:25" ht="27" customHeight="1" x14ac:dyDescent="0.2">
      <c r="A57" s="2904"/>
      <c r="B57" s="2904"/>
      <c r="C57" s="493"/>
      <c r="D57" s="207"/>
      <c r="E57" s="207"/>
      <c r="F57" s="207"/>
      <c r="G57" s="207"/>
      <c r="H57" s="208"/>
      <c r="I57" s="2650"/>
      <c r="J57" s="2651"/>
      <c r="K57" s="209"/>
      <c r="L57" s="57" t="s">
        <v>20</v>
      </c>
      <c r="M57" s="477"/>
      <c r="N57" s="477"/>
      <c r="O57" s="902"/>
      <c r="P57" s="902"/>
      <c r="Q57" s="902"/>
      <c r="R57" s="902"/>
      <c r="S57" s="477"/>
      <c r="T57" s="477"/>
      <c r="U57" s="477"/>
      <c r="V57" s="477"/>
      <c r="W57" s="477"/>
      <c r="X57" s="477"/>
      <c r="Y57" s="494">
        <f t="shared" si="0"/>
        <v>0</v>
      </c>
    </row>
    <row r="58" spans="1:25" ht="27" customHeight="1" x14ac:dyDescent="0.2">
      <c r="A58" s="2904" t="s">
        <v>128</v>
      </c>
      <c r="B58" s="2904"/>
      <c r="C58" s="493" t="s">
        <v>21</v>
      </c>
      <c r="D58" s="203">
        <f>Y58</f>
        <v>0</v>
      </c>
      <c r="E58" s="203">
        <f>Y59</f>
        <v>0</v>
      </c>
      <c r="F58" s="203">
        <f>Y60</f>
        <v>0</v>
      </c>
      <c r="G58" s="204">
        <f>SUM(D58:F58)</f>
        <v>0</v>
      </c>
      <c r="H58" s="208"/>
      <c r="I58" s="2650"/>
      <c r="J58" s="2651"/>
      <c r="K58" s="209"/>
      <c r="L58" s="57" t="s">
        <v>18</v>
      </c>
      <c r="M58" s="477"/>
      <c r="N58" s="477"/>
      <c r="O58" s="902"/>
      <c r="P58" s="902"/>
      <c r="Q58" s="902"/>
      <c r="R58" s="902"/>
      <c r="S58" s="477"/>
      <c r="T58" s="477"/>
      <c r="U58" s="477"/>
      <c r="V58" s="477"/>
      <c r="W58" s="477"/>
      <c r="X58" s="477"/>
      <c r="Y58" s="494">
        <f t="shared" si="0"/>
        <v>0</v>
      </c>
    </row>
    <row r="59" spans="1:25" ht="27" customHeight="1" x14ac:dyDescent="0.2">
      <c r="A59" s="2904"/>
      <c r="B59" s="2904"/>
      <c r="C59" s="493" t="s">
        <v>22</v>
      </c>
      <c r="D59" s="207" t="e">
        <f>D58/$H$199*100</f>
        <v>#DIV/0!</v>
      </c>
      <c r="E59" s="207" t="e">
        <f>E58/$H$199*100</f>
        <v>#DIV/0!</v>
      </c>
      <c r="F59" s="207" t="e">
        <f>F58/$H$199*100</f>
        <v>#DIV/0!</v>
      </c>
      <c r="G59" s="207" t="e">
        <f>G58/$H$199*100</f>
        <v>#DIV/0!</v>
      </c>
      <c r="H59" s="208" t="e">
        <f>G58/$H$207*100</f>
        <v>#DIV/0!</v>
      </c>
      <c r="I59" s="2650"/>
      <c r="J59" s="2651"/>
      <c r="K59" s="209"/>
      <c r="L59" s="57" t="s">
        <v>19</v>
      </c>
      <c r="M59" s="477"/>
      <c r="N59" s="477"/>
      <c r="O59" s="902"/>
      <c r="P59" s="902"/>
      <c r="Q59" s="902"/>
      <c r="R59" s="902"/>
      <c r="S59" s="477"/>
      <c r="T59" s="477"/>
      <c r="U59" s="477"/>
      <c r="V59" s="477"/>
      <c r="W59" s="477"/>
      <c r="X59" s="477"/>
      <c r="Y59" s="494">
        <f t="shared" si="0"/>
        <v>0</v>
      </c>
    </row>
    <row r="60" spans="1:25" ht="27" customHeight="1" x14ac:dyDescent="0.2">
      <c r="A60" s="2904"/>
      <c r="B60" s="2904"/>
      <c r="C60" s="493"/>
      <c r="D60" s="207"/>
      <c r="E60" s="207"/>
      <c r="F60" s="207"/>
      <c r="G60" s="207"/>
      <c r="H60" s="208"/>
      <c r="I60" s="2650"/>
      <c r="J60" s="2651"/>
      <c r="K60" s="209"/>
      <c r="L60" s="57" t="s">
        <v>20</v>
      </c>
      <c r="M60" s="477"/>
      <c r="N60" s="477"/>
      <c r="O60" s="902"/>
      <c r="P60" s="902"/>
      <c r="Q60" s="902"/>
      <c r="R60" s="902"/>
      <c r="S60" s="477"/>
      <c r="T60" s="477"/>
      <c r="U60" s="477"/>
      <c r="V60" s="477"/>
      <c r="W60" s="477"/>
      <c r="X60" s="477"/>
      <c r="Y60" s="494">
        <f t="shared" si="0"/>
        <v>0</v>
      </c>
    </row>
    <row r="61" spans="1:25" ht="27" customHeight="1" x14ac:dyDescent="0.2">
      <c r="A61" s="2904" t="s">
        <v>125</v>
      </c>
      <c r="B61" s="2904"/>
      <c r="C61" s="493" t="s">
        <v>21</v>
      </c>
      <c r="D61" s="203">
        <f>Y61</f>
        <v>3603.6</v>
      </c>
      <c r="E61" s="203">
        <f>Y62</f>
        <v>0</v>
      </c>
      <c r="F61" s="203">
        <f>Y63</f>
        <v>97.92</v>
      </c>
      <c r="G61" s="204">
        <f>SUM(D61:F61)</f>
        <v>3701.52</v>
      </c>
      <c r="H61" s="208"/>
      <c r="I61" s="2650"/>
      <c r="J61" s="2651"/>
      <c r="K61" s="209"/>
      <c r="L61" s="57" t="s">
        <v>18</v>
      </c>
      <c r="M61" s="477"/>
      <c r="N61" s="477"/>
      <c r="O61" s="902"/>
      <c r="P61" s="902"/>
      <c r="Q61" s="902">
        <f>'T5.2025'!F142</f>
        <v>3603.6</v>
      </c>
      <c r="R61" s="902"/>
      <c r="S61" s="477"/>
      <c r="T61" s="477"/>
      <c r="U61" s="477"/>
      <c r="V61" s="477"/>
      <c r="W61" s="477"/>
      <c r="X61" s="477"/>
      <c r="Y61" s="494">
        <f t="shared" si="0"/>
        <v>3603.6</v>
      </c>
    </row>
    <row r="62" spans="1:25" ht="27" customHeight="1" x14ac:dyDescent="0.2">
      <c r="A62" s="2904"/>
      <c r="B62" s="2904"/>
      <c r="C62" s="493" t="s">
        <v>22</v>
      </c>
      <c r="D62" s="207" t="e">
        <f>D61/$H$201*100</f>
        <v>#DIV/0!</v>
      </c>
      <c r="E62" s="207" t="e">
        <f>E61/$H$201*100</f>
        <v>#DIV/0!</v>
      </c>
      <c r="F62" s="207" t="e">
        <f>F61/$H$201*100</f>
        <v>#DIV/0!</v>
      </c>
      <c r="G62" s="207" t="e">
        <f>G61/$H$201*100</f>
        <v>#DIV/0!</v>
      </c>
      <c r="H62" s="208" t="e">
        <f>G61/$H$207*100</f>
        <v>#DIV/0!</v>
      </c>
      <c r="I62" s="2650"/>
      <c r="J62" s="2651"/>
      <c r="K62" s="209"/>
      <c r="L62" s="57" t="s">
        <v>19</v>
      </c>
      <c r="M62" s="477"/>
      <c r="N62" s="477"/>
      <c r="O62" s="902"/>
      <c r="P62" s="902"/>
      <c r="Q62" s="902"/>
      <c r="R62" s="902"/>
      <c r="S62" s="477"/>
      <c r="T62" s="477"/>
      <c r="U62" s="477"/>
      <c r="V62" s="477"/>
      <c r="W62" s="477"/>
      <c r="X62" s="477"/>
      <c r="Y62" s="494">
        <f t="shared" si="0"/>
        <v>0</v>
      </c>
    </row>
    <row r="63" spans="1:25" ht="27" customHeight="1" x14ac:dyDescent="0.2">
      <c r="A63" s="2904"/>
      <c r="B63" s="2904"/>
      <c r="C63" s="493"/>
      <c r="D63" s="207"/>
      <c r="E63" s="207"/>
      <c r="F63" s="207"/>
      <c r="G63" s="207"/>
      <c r="H63" s="208"/>
      <c r="I63" s="2650"/>
      <c r="J63" s="2651"/>
      <c r="K63" s="209"/>
      <c r="L63" s="57" t="s">
        <v>20</v>
      </c>
      <c r="M63" s="477"/>
      <c r="N63" s="477"/>
      <c r="O63" s="902"/>
      <c r="P63" s="902"/>
      <c r="Q63" s="902">
        <f>'T5.2025'!H142</f>
        <v>97.92</v>
      </c>
      <c r="R63" s="902"/>
      <c r="S63" s="477"/>
      <c r="T63" s="477"/>
      <c r="U63" s="477"/>
      <c r="V63" s="477"/>
      <c r="W63" s="477"/>
      <c r="X63" s="477"/>
      <c r="Y63" s="494">
        <f t="shared" si="0"/>
        <v>97.92</v>
      </c>
    </row>
    <row r="64" spans="1:25" ht="27" customHeight="1" x14ac:dyDescent="0.2">
      <c r="A64" s="2904" t="s">
        <v>129</v>
      </c>
      <c r="B64" s="2904"/>
      <c r="C64" s="493" t="s">
        <v>21</v>
      </c>
      <c r="D64" s="203">
        <f>Y64</f>
        <v>7218</v>
      </c>
      <c r="E64" s="203">
        <f>Y65</f>
        <v>0</v>
      </c>
      <c r="F64" s="203">
        <f>Y66</f>
        <v>260.64</v>
      </c>
      <c r="G64" s="204">
        <f>SUM(D64:F64)</f>
        <v>7478.64</v>
      </c>
      <c r="H64" s="208"/>
      <c r="I64" s="2650"/>
      <c r="J64" s="2651"/>
      <c r="K64" s="209"/>
      <c r="L64" s="57" t="s">
        <v>18</v>
      </c>
      <c r="M64" s="494"/>
      <c r="N64" s="477"/>
      <c r="O64" s="902"/>
      <c r="P64" s="902"/>
      <c r="Q64" s="902">
        <f>'T5.2025'!F144</f>
        <v>7218</v>
      </c>
      <c r="R64" s="902"/>
      <c r="S64" s="477"/>
      <c r="T64" s="477"/>
      <c r="U64" s="477"/>
      <c r="V64" s="477"/>
      <c r="W64" s="477"/>
      <c r="X64" s="477"/>
      <c r="Y64" s="494">
        <f t="shared" si="0"/>
        <v>7218</v>
      </c>
    </row>
    <row r="65" spans="1:25" ht="27" customHeight="1" x14ac:dyDescent="0.2">
      <c r="A65" s="2904"/>
      <c r="B65" s="2904"/>
      <c r="C65" s="493" t="s">
        <v>22</v>
      </c>
      <c r="D65" s="207">
        <f>D64/$G$64*100</f>
        <v>96.514874362183491</v>
      </c>
      <c r="E65" s="207">
        <f>E64/$G$64*100</f>
        <v>0</v>
      </c>
      <c r="F65" s="207">
        <f>F64/$G$64*100</f>
        <v>3.485125637816501</v>
      </c>
      <c r="G65" s="207">
        <f>SUM(D65:F65)</f>
        <v>99.999999999999986</v>
      </c>
      <c r="H65" s="208" t="e">
        <f>G64/$H$207*100</f>
        <v>#DIV/0!</v>
      </c>
      <c r="I65" s="2650"/>
      <c r="J65" s="2651"/>
      <c r="K65" s="209"/>
      <c r="L65" s="57" t="s">
        <v>19</v>
      </c>
      <c r="M65" s="494"/>
      <c r="N65" s="477"/>
      <c r="O65" s="902"/>
      <c r="P65" s="902"/>
      <c r="Q65" s="902"/>
      <c r="R65" s="902"/>
      <c r="S65" s="477"/>
      <c r="T65" s="477"/>
      <c r="U65" s="477"/>
      <c r="V65" s="477"/>
      <c r="W65" s="477"/>
      <c r="X65" s="477"/>
      <c r="Y65" s="494">
        <f t="shared" si="0"/>
        <v>0</v>
      </c>
    </row>
    <row r="66" spans="1:25" ht="27" customHeight="1" x14ac:dyDescent="0.2">
      <c r="A66" s="2904"/>
      <c r="B66" s="2904"/>
      <c r="C66" s="209"/>
      <c r="D66" s="491"/>
      <c r="E66" s="491"/>
      <c r="F66" s="491"/>
      <c r="G66" s="491"/>
      <c r="H66" s="492"/>
      <c r="I66" s="2650"/>
      <c r="J66" s="2651"/>
      <c r="K66" s="209"/>
      <c r="L66" s="57" t="s">
        <v>20</v>
      </c>
      <c r="M66" s="494"/>
      <c r="N66" s="477"/>
      <c r="O66" s="902"/>
      <c r="P66" s="902"/>
      <c r="Q66" s="902">
        <f>'T5.2025'!H144</f>
        <v>260.64</v>
      </c>
      <c r="R66" s="902"/>
      <c r="S66" s="477"/>
      <c r="T66" s="477"/>
      <c r="U66" s="477"/>
      <c r="V66" s="477"/>
      <c r="W66" s="477"/>
      <c r="X66" s="477"/>
      <c r="Y66" s="494">
        <f t="shared" si="0"/>
        <v>260.64</v>
      </c>
    </row>
    <row r="67" spans="1:25" ht="27" customHeight="1" x14ac:dyDescent="0.2">
      <c r="A67" s="2968" t="s">
        <v>374</v>
      </c>
      <c r="B67" s="2969"/>
      <c r="C67" s="545" t="s">
        <v>21</v>
      </c>
      <c r="D67" s="551">
        <f>D40+D43+D46+D49+D52+D55+D58+D61+D64</f>
        <v>93891.6</v>
      </c>
      <c r="E67" s="551">
        <f>E40+E43+E46+E49+E52+E55+E58+E61+E64</f>
        <v>0</v>
      </c>
      <c r="F67" s="551">
        <f>F40+F43+F46+F49+F52+F55+F58+F61+F64</f>
        <v>5347.08</v>
      </c>
      <c r="G67" s="551">
        <f>SUM(D67:F67)</f>
        <v>99238.680000000008</v>
      </c>
      <c r="H67" s="552"/>
      <c r="I67" s="2650"/>
      <c r="J67" s="2651"/>
      <c r="K67" s="548"/>
      <c r="L67" s="545" t="s">
        <v>18</v>
      </c>
      <c r="M67" s="543"/>
      <c r="N67" s="543"/>
      <c r="O67" s="907"/>
      <c r="P67" s="907"/>
      <c r="Q67" s="907"/>
      <c r="R67" s="907"/>
      <c r="S67" s="543"/>
      <c r="T67" s="543"/>
      <c r="U67" s="543"/>
      <c r="V67" s="543"/>
      <c r="W67" s="543"/>
      <c r="X67" s="543"/>
      <c r="Y67" s="494">
        <f t="shared" si="0"/>
        <v>0</v>
      </c>
    </row>
    <row r="68" spans="1:25" ht="27" customHeight="1" x14ac:dyDescent="0.2">
      <c r="A68" s="2970"/>
      <c r="B68" s="2971"/>
      <c r="C68" s="553" t="s">
        <v>22</v>
      </c>
      <c r="D68" s="551">
        <f>D67/$G$67*100</f>
        <v>94.611899311840915</v>
      </c>
      <c r="E68" s="551">
        <f>E67/$G$67*100</f>
        <v>0</v>
      </c>
      <c r="F68" s="551">
        <f>F67/$G$67*100</f>
        <v>5.388100688159092</v>
      </c>
      <c r="G68" s="551">
        <f>SUM(D68:F68)</f>
        <v>100</v>
      </c>
      <c r="H68" s="552"/>
      <c r="I68" s="2650"/>
      <c r="J68" s="2651"/>
      <c r="K68" s="548"/>
      <c r="L68" s="545" t="s">
        <v>19</v>
      </c>
      <c r="M68" s="543"/>
      <c r="N68" s="543"/>
      <c r="O68" s="907"/>
      <c r="P68" s="907"/>
      <c r="Q68" s="907"/>
      <c r="R68" s="907"/>
      <c r="S68" s="543"/>
      <c r="T68" s="543"/>
      <c r="U68" s="543"/>
      <c r="V68" s="543"/>
      <c r="W68" s="543"/>
      <c r="X68" s="543"/>
      <c r="Y68" s="494">
        <f t="shared" si="0"/>
        <v>0</v>
      </c>
    </row>
    <row r="69" spans="1:25" ht="27" customHeight="1" x14ac:dyDescent="0.2">
      <c r="A69" s="2972"/>
      <c r="B69" s="2973"/>
      <c r="C69" s="542"/>
      <c r="D69" s="549"/>
      <c r="E69" s="549"/>
      <c r="F69" s="549"/>
      <c r="G69" s="549"/>
      <c r="H69" s="550"/>
      <c r="I69" s="2652"/>
      <c r="J69" s="2653"/>
      <c r="K69" s="548"/>
      <c r="L69" s="545" t="s">
        <v>20</v>
      </c>
      <c r="M69" s="543"/>
      <c r="N69" s="543"/>
      <c r="O69" s="907"/>
      <c r="P69" s="907"/>
      <c r="Q69" s="907"/>
      <c r="R69" s="907"/>
      <c r="S69" s="543"/>
      <c r="T69" s="543"/>
      <c r="U69" s="543"/>
      <c r="V69" s="543"/>
      <c r="W69" s="543"/>
      <c r="X69" s="543"/>
      <c r="Y69" s="494">
        <f t="shared" si="0"/>
        <v>0</v>
      </c>
    </row>
    <row r="70" spans="1:25" ht="27" customHeight="1" x14ac:dyDescent="0.2">
      <c r="A70" s="2905" t="s">
        <v>109</v>
      </c>
      <c r="B70" s="2905"/>
      <c r="C70" s="485" t="s">
        <v>21</v>
      </c>
      <c r="D70" s="216">
        <f>Y70</f>
        <v>7331.4</v>
      </c>
      <c r="E70" s="216">
        <f>Y71</f>
        <v>0</v>
      </c>
      <c r="F70" s="216">
        <f>Y72</f>
        <v>192.96</v>
      </c>
      <c r="G70" s="216">
        <f>SUM(D70:F70)</f>
        <v>7524.36</v>
      </c>
      <c r="H70" s="556"/>
      <c r="I70" s="2948" t="s">
        <v>372</v>
      </c>
      <c r="J70" s="2949"/>
      <c r="K70" s="209"/>
      <c r="L70" s="57" t="s">
        <v>18</v>
      </c>
      <c r="M70" s="477">
        <f>'T1.2025'!F107</f>
        <v>0</v>
      </c>
      <c r="N70" s="477"/>
      <c r="O70" s="902"/>
      <c r="P70" s="902"/>
      <c r="Q70" s="902">
        <f>'T5.2025'!F154</f>
        <v>7331.4</v>
      </c>
      <c r="R70" s="902"/>
      <c r="S70" s="477"/>
      <c r="T70" s="477"/>
      <c r="U70" s="477"/>
      <c r="V70" s="477"/>
      <c r="W70" s="477"/>
      <c r="X70" s="477"/>
      <c r="Y70" s="494">
        <f t="shared" si="0"/>
        <v>7331.4</v>
      </c>
    </row>
    <row r="71" spans="1:25" ht="27" customHeight="1" x14ac:dyDescent="0.2">
      <c r="A71" s="2905"/>
      <c r="B71" s="2905"/>
      <c r="C71" s="485" t="s">
        <v>22</v>
      </c>
      <c r="D71" s="568">
        <f>D70/$G$70*100</f>
        <v>97.43552940050715</v>
      </c>
      <c r="E71" s="568">
        <f>E70/$G$70*100</f>
        <v>0</v>
      </c>
      <c r="F71" s="568">
        <f>F70/$G$70*100</f>
        <v>2.5644705994928474</v>
      </c>
      <c r="G71" s="216">
        <f>SUM(D71:F71)</f>
        <v>100</v>
      </c>
      <c r="H71" s="691">
        <f>D70/$G$82*100</f>
        <v>42.328317259727299</v>
      </c>
      <c r="I71" s="2950"/>
      <c r="J71" s="2951"/>
      <c r="K71" s="209"/>
      <c r="L71" s="57" t="s">
        <v>19</v>
      </c>
      <c r="M71" s="494">
        <f>'T1.2025'!G107</f>
        <v>0</v>
      </c>
      <c r="N71" s="477"/>
      <c r="O71" s="902"/>
      <c r="P71" s="902"/>
      <c r="Q71" s="902"/>
      <c r="R71" s="902"/>
      <c r="S71" s="477"/>
      <c r="T71" s="477"/>
      <c r="U71" s="477"/>
      <c r="V71" s="477"/>
      <c r="W71" s="477"/>
      <c r="X71" s="477"/>
      <c r="Y71" s="494">
        <f t="shared" si="0"/>
        <v>0</v>
      </c>
    </row>
    <row r="72" spans="1:25" ht="27" customHeight="1" x14ac:dyDescent="0.2">
      <c r="A72" s="2905"/>
      <c r="B72" s="2905"/>
      <c r="C72" s="485"/>
      <c r="D72" s="216"/>
      <c r="E72" s="216"/>
      <c r="F72" s="216"/>
      <c r="G72" s="216"/>
      <c r="H72" s="556"/>
      <c r="I72" s="2950"/>
      <c r="J72" s="2951"/>
      <c r="K72" s="209"/>
      <c r="L72" s="57" t="s">
        <v>20</v>
      </c>
      <c r="M72" s="494">
        <f>'T1.2025'!H107</f>
        <v>0</v>
      </c>
      <c r="N72" s="477"/>
      <c r="O72" s="902"/>
      <c r="P72" s="902"/>
      <c r="Q72" s="902">
        <f>'T5.2025'!H154</f>
        <v>192.96</v>
      </c>
      <c r="R72" s="902"/>
      <c r="S72" s="477"/>
      <c r="T72" s="477"/>
      <c r="U72" s="477"/>
      <c r="V72" s="477"/>
      <c r="W72" s="477"/>
      <c r="X72" s="477"/>
      <c r="Y72" s="494">
        <f t="shared" si="0"/>
        <v>192.96</v>
      </c>
    </row>
    <row r="73" spans="1:25" ht="27" customHeight="1" x14ac:dyDescent="0.2">
      <c r="A73" s="2905" t="s">
        <v>125</v>
      </c>
      <c r="B73" s="2905"/>
      <c r="C73" s="485" t="s">
        <v>21</v>
      </c>
      <c r="D73" s="216">
        <f>Y73</f>
        <v>4341.6000000000004</v>
      </c>
      <c r="E73" s="216">
        <f>Y74</f>
        <v>0</v>
      </c>
      <c r="F73" s="216">
        <f>Y75</f>
        <v>140.04</v>
      </c>
      <c r="G73" s="216">
        <f>SUM(D73:F73)</f>
        <v>4481.6400000000003</v>
      </c>
      <c r="H73" s="556"/>
      <c r="I73" s="2950"/>
      <c r="J73" s="2951"/>
      <c r="K73" s="209"/>
      <c r="L73" s="57" t="s">
        <v>18</v>
      </c>
      <c r="M73" s="494">
        <f>'T1.2025'!F109</f>
        <v>0</v>
      </c>
      <c r="N73" s="477"/>
      <c r="O73" s="902"/>
      <c r="P73" s="902"/>
      <c r="Q73" s="902">
        <f>'T5.2025'!F158</f>
        <v>4341.6000000000004</v>
      </c>
      <c r="R73" s="902"/>
      <c r="S73" s="477"/>
      <c r="T73" s="477"/>
      <c r="U73" s="477"/>
      <c r="V73" s="477"/>
      <c r="W73" s="477"/>
      <c r="X73" s="477"/>
      <c r="Y73" s="494">
        <f t="shared" si="0"/>
        <v>4341.6000000000004</v>
      </c>
    </row>
    <row r="74" spans="1:25" ht="27" customHeight="1" x14ac:dyDescent="0.2">
      <c r="A74" s="2905"/>
      <c r="B74" s="2905"/>
      <c r="C74" s="485" t="s">
        <v>22</v>
      </c>
      <c r="D74" s="216">
        <f>D73/$G$73*100</f>
        <v>96.875251024178652</v>
      </c>
      <c r="E74" s="216">
        <f>E73/$G$73*100</f>
        <v>0</v>
      </c>
      <c r="F74" s="216">
        <f>F73/$G$73*100</f>
        <v>3.1247489758213507</v>
      </c>
      <c r="G74" s="216">
        <f>SUM(D74:F74)</f>
        <v>100</v>
      </c>
      <c r="H74" s="556">
        <f>D73/$G$82*100</f>
        <v>25.066511473229134</v>
      </c>
      <c r="I74" s="2950"/>
      <c r="J74" s="2951"/>
      <c r="K74" s="209"/>
      <c r="L74" s="57" t="s">
        <v>19</v>
      </c>
      <c r="M74" s="494">
        <f>'T1.2025'!G109</f>
        <v>0</v>
      </c>
      <c r="N74" s="477"/>
      <c r="O74" s="902"/>
      <c r="P74" s="902"/>
      <c r="Q74" s="902"/>
      <c r="R74" s="902"/>
      <c r="S74" s="477"/>
      <c r="T74" s="477"/>
      <c r="U74" s="477"/>
      <c r="V74" s="477"/>
      <c r="W74" s="477"/>
      <c r="X74" s="477"/>
      <c r="Y74" s="494">
        <f t="shared" si="0"/>
        <v>0</v>
      </c>
    </row>
    <row r="75" spans="1:25" ht="27" customHeight="1" x14ac:dyDescent="0.2">
      <c r="A75" s="2905"/>
      <c r="B75" s="2905"/>
      <c r="C75" s="485"/>
      <c r="D75" s="216"/>
      <c r="E75" s="216"/>
      <c r="F75" s="216"/>
      <c r="G75" s="216"/>
      <c r="H75" s="556"/>
      <c r="I75" s="2950"/>
      <c r="J75" s="2951"/>
      <c r="K75" s="209"/>
      <c r="L75" s="57" t="s">
        <v>20</v>
      </c>
      <c r="M75" s="494">
        <f>'T1.2025'!H109</f>
        <v>0</v>
      </c>
      <c r="N75" s="477"/>
      <c r="O75" s="902"/>
      <c r="P75" s="902"/>
      <c r="Q75" s="902">
        <f>'T5.2025'!H158</f>
        <v>140.04</v>
      </c>
      <c r="R75" s="902"/>
      <c r="S75" s="477"/>
      <c r="T75" s="477"/>
      <c r="U75" s="477"/>
      <c r="V75" s="477"/>
      <c r="W75" s="477"/>
      <c r="X75" s="477"/>
      <c r="Y75" s="494">
        <f t="shared" si="0"/>
        <v>140.04</v>
      </c>
    </row>
    <row r="76" spans="1:25" ht="27" customHeight="1" x14ac:dyDescent="0.2">
      <c r="A76" s="2905" t="s">
        <v>117</v>
      </c>
      <c r="B76" s="2905"/>
      <c r="C76" s="485" t="s">
        <v>21</v>
      </c>
      <c r="D76" s="216">
        <f>Y76</f>
        <v>2476.8000000000002</v>
      </c>
      <c r="E76" s="216">
        <f>Y77</f>
        <v>0</v>
      </c>
      <c r="F76" s="216">
        <f>Y78</f>
        <v>38.880000000000003</v>
      </c>
      <c r="G76" s="216">
        <f>SUM(D76:F76)</f>
        <v>2515.6800000000003</v>
      </c>
      <c r="H76" s="556"/>
      <c r="I76" s="2950"/>
      <c r="J76" s="2951"/>
      <c r="K76" s="209"/>
      <c r="L76" s="57" t="s">
        <v>18</v>
      </c>
      <c r="M76" s="494">
        <f>'T1.2025'!F111</f>
        <v>0</v>
      </c>
      <c r="N76" s="477"/>
      <c r="O76" s="902"/>
      <c r="P76" s="902"/>
      <c r="Q76" s="902">
        <f>'T5.2025'!F156</f>
        <v>2476.8000000000002</v>
      </c>
      <c r="R76" s="902"/>
      <c r="S76" s="477"/>
      <c r="T76" s="477"/>
      <c r="U76" s="477"/>
      <c r="V76" s="477"/>
      <c r="W76" s="477"/>
      <c r="X76" s="477"/>
      <c r="Y76" s="494">
        <f t="shared" si="0"/>
        <v>2476.8000000000002</v>
      </c>
    </row>
    <row r="77" spans="1:25" ht="27" customHeight="1" x14ac:dyDescent="0.2">
      <c r="A77" s="2905"/>
      <c r="B77" s="2905"/>
      <c r="C77" s="485" t="s">
        <v>22</v>
      </c>
      <c r="D77" s="216">
        <f>D76/$G$76*100</f>
        <v>98.45449341728677</v>
      </c>
      <c r="E77" s="216">
        <f>E76/$G$76*100</f>
        <v>0</v>
      </c>
      <c r="F77" s="216">
        <f>F76/$G$76*100</f>
        <v>1.5455065827132226</v>
      </c>
      <c r="G77" s="216">
        <f>SUM(D77:F77)</f>
        <v>99.999999999999986</v>
      </c>
      <c r="H77" s="556">
        <f>D76/$G$82*100</f>
        <v>14.299966744263386</v>
      </c>
      <c r="I77" s="2950"/>
      <c r="J77" s="2951"/>
      <c r="K77" s="209"/>
      <c r="L77" s="57" t="s">
        <v>19</v>
      </c>
      <c r="M77" s="494">
        <f>'T1.2025'!G111</f>
        <v>0</v>
      </c>
      <c r="N77" s="477"/>
      <c r="O77" s="902"/>
      <c r="P77" s="902"/>
      <c r="Q77" s="902"/>
      <c r="R77" s="902"/>
      <c r="S77" s="477"/>
      <c r="T77" s="477"/>
      <c r="U77" s="477"/>
      <c r="V77" s="477"/>
      <c r="W77" s="477"/>
      <c r="X77" s="477"/>
      <c r="Y77" s="494">
        <f t="shared" si="0"/>
        <v>0</v>
      </c>
    </row>
    <row r="78" spans="1:25" ht="27" customHeight="1" x14ac:dyDescent="0.2">
      <c r="A78" s="2905"/>
      <c r="B78" s="2905"/>
      <c r="C78" s="485"/>
      <c r="D78" s="216"/>
      <c r="E78" s="216"/>
      <c r="F78" s="216"/>
      <c r="G78" s="216"/>
      <c r="H78" s="556"/>
      <c r="I78" s="2950"/>
      <c r="J78" s="2951"/>
      <c r="K78" s="209"/>
      <c r="L78" s="57" t="s">
        <v>20</v>
      </c>
      <c r="M78" s="494">
        <f>'T1.2025'!H111</f>
        <v>0</v>
      </c>
      <c r="N78" s="477"/>
      <c r="O78" s="902"/>
      <c r="P78" s="902"/>
      <c r="Q78" s="902">
        <f>'T5.2025'!H156</f>
        <v>38.880000000000003</v>
      </c>
      <c r="R78" s="902"/>
      <c r="S78" s="477"/>
      <c r="T78" s="477"/>
      <c r="U78" s="477"/>
      <c r="V78" s="477"/>
      <c r="W78" s="477"/>
      <c r="X78" s="477"/>
      <c r="Y78" s="494">
        <f t="shared" si="0"/>
        <v>38.880000000000003</v>
      </c>
    </row>
    <row r="79" spans="1:25" ht="27" customHeight="1" x14ac:dyDescent="0.2">
      <c r="A79" s="2904" t="s">
        <v>129</v>
      </c>
      <c r="B79" s="2904"/>
      <c r="C79" s="485" t="s">
        <v>21</v>
      </c>
      <c r="D79" s="214">
        <f>Y79</f>
        <v>2768.4</v>
      </c>
      <c r="E79" s="214">
        <f>Y80</f>
        <v>0</v>
      </c>
      <c r="F79" s="214">
        <f>Y81</f>
        <v>30.24</v>
      </c>
      <c r="G79" s="214">
        <f>SUM(D79:F79)</f>
        <v>2798.64</v>
      </c>
      <c r="H79" s="556"/>
      <c r="I79" s="2950"/>
      <c r="J79" s="2951"/>
      <c r="K79" s="209"/>
      <c r="L79" s="57" t="s">
        <v>18</v>
      </c>
      <c r="M79" s="477"/>
      <c r="N79" s="477"/>
      <c r="O79" s="902"/>
      <c r="P79" s="902"/>
      <c r="Q79" s="902">
        <f>'T5.2025'!F160</f>
        <v>2768.4</v>
      </c>
      <c r="R79" s="902"/>
      <c r="S79" s="477"/>
      <c r="T79" s="477"/>
      <c r="U79" s="477"/>
      <c r="V79" s="477"/>
      <c r="W79" s="477"/>
      <c r="X79" s="477"/>
      <c r="Y79" s="494">
        <f t="shared" si="0"/>
        <v>2768.4</v>
      </c>
    </row>
    <row r="80" spans="1:25" ht="27" customHeight="1" x14ac:dyDescent="0.2">
      <c r="A80" s="2904"/>
      <c r="B80" s="2904"/>
      <c r="C80" s="485" t="s">
        <v>22</v>
      </c>
      <c r="D80" s="216">
        <f>D79/$G$115*100</f>
        <v>8.2340169236946608</v>
      </c>
      <c r="E80" s="216">
        <f>E79/$G$115*100</f>
        <v>0</v>
      </c>
      <c r="F80" s="216">
        <f>F79/$G$115*100</f>
        <v>8.9942447541007983E-2</v>
      </c>
      <c r="G80" s="216">
        <f>SUM(D80:F80)</f>
        <v>8.3239593712356683</v>
      </c>
      <c r="H80" s="556">
        <f>D79/$G$82*100</f>
        <v>15.983538410375791</v>
      </c>
      <c r="I80" s="2950"/>
      <c r="J80" s="2951"/>
      <c r="K80" s="209"/>
      <c r="L80" s="57" t="s">
        <v>19</v>
      </c>
      <c r="M80" s="477"/>
      <c r="N80" s="477"/>
      <c r="O80" s="902"/>
      <c r="P80" s="902"/>
      <c r="Q80" s="902"/>
      <c r="R80" s="902"/>
      <c r="S80" s="477"/>
      <c r="T80" s="477"/>
      <c r="U80" s="477"/>
      <c r="V80" s="477"/>
      <c r="W80" s="477"/>
      <c r="X80" s="477"/>
      <c r="Y80" s="494">
        <f t="shared" si="0"/>
        <v>0</v>
      </c>
    </row>
    <row r="81" spans="1:25" ht="27" customHeight="1" x14ac:dyDescent="0.2">
      <c r="A81" s="2904"/>
      <c r="B81" s="2904"/>
      <c r="C81" s="485"/>
      <c r="D81" s="216"/>
      <c r="E81" s="216"/>
      <c r="F81" s="216"/>
      <c r="G81" s="216"/>
      <c r="H81" s="490"/>
      <c r="I81" s="2950"/>
      <c r="J81" s="2951"/>
      <c r="K81" s="209"/>
      <c r="L81" s="57" t="s">
        <v>20</v>
      </c>
      <c r="M81" s="477"/>
      <c r="N81" s="477"/>
      <c r="O81" s="902"/>
      <c r="P81" s="902"/>
      <c r="Q81" s="902">
        <f>'T5.2025'!H160</f>
        <v>30.24</v>
      </c>
      <c r="R81" s="902"/>
      <c r="S81" s="477"/>
      <c r="T81" s="477"/>
      <c r="U81" s="477"/>
      <c r="V81" s="477"/>
      <c r="W81" s="477"/>
      <c r="X81" s="477"/>
      <c r="Y81" s="494">
        <f t="shared" si="0"/>
        <v>30.24</v>
      </c>
    </row>
    <row r="82" spans="1:25" ht="27" customHeight="1" x14ac:dyDescent="0.2">
      <c r="A82" s="2774" t="s">
        <v>373</v>
      </c>
      <c r="B82" s="2774"/>
      <c r="C82" s="545" t="s">
        <v>21</v>
      </c>
      <c r="D82" s="551">
        <f>D70+D73+D76+D79</f>
        <v>16918.2</v>
      </c>
      <c r="E82" s="551">
        <f>E70+E73+E76+E79</f>
        <v>0</v>
      </c>
      <c r="F82" s="551">
        <f>F70+F73+F76+F79</f>
        <v>402.12</v>
      </c>
      <c r="G82" s="551">
        <f>SUM(D82:F82)</f>
        <v>17320.32</v>
      </c>
      <c r="H82" s="558"/>
      <c r="I82" s="2950"/>
      <c r="J82" s="2951"/>
      <c r="K82" s="209"/>
      <c r="L82" s="57" t="s">
        <v>18</v>
      </c>
      <c r="M82" s="477"/>
      <c r="N82" s="477"/>
      <c r="O82" s="902"/>
      <c r="P82" s="902"/>
      <c r="Q82" s="902"/>
      <c r="R82" s="902"/>
      <c r="S82" s="477"/>
      <c r="T82" s="477"/>
      <c r="U82" s="477"/>
      <c r="V82" s="477"/>
      <c r="W82" s="477"/>
      <c r="X82" s="477"/>
      <c r="Y82" s="494">
        <f t="shared" si="0"/>
        <v>0</v>
      </c>
    </row>
    <row r="83" spans="1:25" ht="27" customHeight="1" x14ac:dyDescent="0.2">
      <c r="A83" s="2774"/>
      <c r="B83" s="2774"/>
      <c r="C83" s="545" t="s">
        <v>22</v>
      </c>
      <c r="D83" s="551">
        <f>D82/$G$124*100</f>
        <v>3.9684414352180357</v>
      </c>
      <c r="E83" s="551">
        <f>E82/$G$124*100</f>
        <v>0</v>
      </c>
      <c r="F83" s="551">
        <f>F82/$G$124*100</f>
        <v>9.4323844731110662E-2</v>
      </c>
      <c r="G83" s="551">
        <f>SUM(D83:F83)</f>
        <v>4.0627652799491463</v>
      </c>
      <c r="H83" s="558"/>
      <c r="I83" s="2950"/>
      <c r="J83" s="2951"/>
      <c r="K83" s="209"/>
      <c r="L83" s="57" t="s">
        <v>19</v>
      </c>
      <c r="M83" s="477"/>
      <c r="N83" s="477"/>
      <c r="O83" s="902"/>
      <c r="P83" s="902"/>
      <c r="Q83" s="902"/>
      <c r="R83" s="902"/>
      <c r="S83" s="477"/>
      <c r="T83" s="477"/>
      <c r="U83" s="477"/>
      <c r="V83" s="477"/>
      <c r="W83" s="477"/>
      <c r="X83" s="477"/>
      <c r="Y83" s="494">
        <f t="shared" si="0"/>
        <v>0</v>
      </c>
    </row>
    <row r="84" spans="1:25" ht="27" customHeight="1" x14ac:dyDescent="0.2">
      <c r="A84" s="2774"/>
      <c r="B84" s="2774"/>
      <c r="C84" s="554"/>
      <c r="D84" s="549"/>
      <c r="E84" s="549"/>
      <c r="F84" s="549"/>
      <c r="G84" s="549"/>
      <c r="H84" s="555"/>
      <c r="I84" s="2952"/>
      <c r="J84" s="2953"/>
      <c r="K84" s="209"/>
      <c r="L84" s="57" t="s">
        <v>20</v>
      </c>
      <c r="M84" s="477"/>
      <c r="N84" s="477"/>
      <c r="O84" s="902"/>
      <c r="P84" s="902"/>
      <c r="Q84" s="902"/>
      <c r="R84" s="902"/>
      <c r="S84" s="477"/>
      <c r="T84" s="477"/>
      <c r="U84" s="477"/>
      <c r="V84" s="477"/>
      <c r="W84" s="477"/>
      <c r="X84" s="477"/>
      <c r="Y84" s="494">
        <f t="shared" si="0"/>
        <v>0</v>
      </c>
    </row>
    <row r="85" spans="1:25" ht="27" customHeight="1" x14ac:dyDescent="0.2">
      <c r="A85" s="2905" t="s">
        <v>109</v>
      </c>
      <c r="B85" s="2905"/>
      <c r="C85" s="485" t="s">
        <v>21</v>
      </c>
      <c r="D85" s="216">
        <f>Y85</f>
        <v>44421.5</v>
      </c>
      <c r="E85" s="216">
        <f>Y86</f>
        <v>0</v>
      </c>
      <c r="F85" s="216">
        <f>Y87</f>
        <v>4154</v>
      </c>
      <c r="G85" s="216">
        <f>SUM(D85:F85)</f>
        <v>48575.5</v>
      </c>
      <c r="H85" s="556">
        <f>G85/$G$124*100</f>
        <v>11.394180641937893</v>
      </c>
      <c r="I85" s="2948" t="s">
        <v>447</v>
      </c>
      <c r="J85" s="2949"/>
      <c r="K85" s="209"/>
      <c r="L85" s="57" t="s">
        <v>18</v>
      </c>
      <c r="M85" s="494">
        <f>'T1.2025'!F85</f>
        <v>11471</v>
      </c>
      <c r="N85" s="477"/>
      <c r="O85" s="902"/>
      <c r="P85" s="902"/>
      <c r="Q85" s="902">
        <f>'T5.2025'!F124</f>
        <v>32950.5</v>
      </c>
      <c r="R85" s="902"/>
      <c r="S85" s="477"/>
      <c r="T85" s="477"/>
      <c r="U85" s="477"/>
      <c r="V85" s="477"/>
      <c r="W85" s="477"/>
      <c r="X85" s="477"/>
      <c r="Y85" s="494">
        <f t="shared" si="0"/>
        <v>44421.5</v>
      </c>
    </row>
    <row r="86" spans="1:25" ht="27" customHeight="1" x14ac:dyDescent="0.2">
      <c r="A86" s="2905"/>
      <c r="B86" s="2905"/>
      <c r="C86" s="485" t="s">
        <v>22</v>
      </c>
      <c r="D86" s="216">
        <f>D85/$G$103*100</f>
        <v>25.60405547165896</v>
      </c>
      <c r="E86" s="216">
        <f>E85/$G$103*100</f>
        <v>0</v>
      </c>
      <c r="F86" s="216">
        <f>F85/$G$103*100</f>
        <v>2.3943191119001237</v>
      </c>
      <c r="G86" s="216">
        <f>SUM(D86:F86)</f>
        <v>27.998374583559084</v>
      </c>
      <c r="H86" s="556"/>
      <c r="I86" s="2950"/>
      <c r="J86" s="2951"/>
      <c r="K86" s="209"/>
      <c r="L86" s="57" t="s">
        <v>19</v>
      </c>
      <c r="M86" s="494">
        <f>'T1.2025'!G85</f>
        <v>0</v>
      </c>
      <c r="N86" s="477"/>
      <c r="O86" s="902"/>
      <c r="P86" s="902"/>
      <c r="Q86" s="902">
        <f>'T5.2025'!G124</f>
        <v>0</v>
      </c>
      <c r="R86" s="902"/>
      <c r="S86" s="477"/>
      <c r="T86" s="477"/>
      <c r="U86" s="477"/>
      <c r="V86" s="477"/>
      <c r="W86" s="477"/>
      <c r="X86" s="477"/>
      <c r="Y86" s="494">
        <f t="shared" si="0"/>
        <v>0</v>
      </c>
    </row>
    <row r="87" spans="1:25" ht="27" customHeight="1" x14ac:dyDescent="0.2">
      <c r="A87" s="2905"/>
      <c r="B87" s="2905"/>
      <c r="C87" s="485"/>
      <c r="D87" s="216"/>
      <c r="E87" s="216"/>
      <c r="F87" s="216"/>
      <c r="G87" s="216"/>
      <c r="H87" s="556"/>
      <c r="I87" s="2950"/>
      <c r="J87" s="2951"/>
      <c r="K87" s="209"/>
      <c r="L87" s="57" t="s">
        <v>20</v>
      </c>
      <c r="M87" s="494">
        <f>'T1.2025'!H85</f>
        <v>1523</v>
      </c>
      <c r="N87" s="477"/>
      <c r="O87" s="902"/>
      <c r="P87" s="902"/>
      <c r="Q87" s="902">
        <f>'T5.2025'!H124</f>
        <v>2631</v>
      </c>
      <c r="R87" s="902"/>
      <c r="S87" s="477"/>
      <c r="T87" s="477"/>
      <c r="U87" s="477"/>
      <c r="V87" s="477"/>
      <c r="W87" s="477"/>
      <c r="X87" s="477"/>
      <c r="Y87" s="494">
        <f t="shared" si="0"/>
        <v>4154</v>
      </c>
    </row>
    <row r="88" spans="1:25" ht="27" customHeight="1" x14ac:dyDescent="0.2">
      <c r="A88" s="2904" t="s">
        <v>125</v>
      </c>
      <c r="B88" s="2904"/>
      <c r="C88" s="485" t="s">
        <v>21</v>
      </c>
      <c r="D88" s="216">
        <f>Y88</f>
        <v>2130</v>
      </c>
      <c r="E88" s="216">
        <f>Y89</f>
        <v>0</v>
      </c>
      <c r="F88" s="216">
        <f>Y90</f>
        <v>73.5</v>
      </c>
      <c r="G88" s="216">
        <f>SUM(D88:F88)</f>
        <v>2203.5</v>
      </c>
      <c r="H88" s="556">
        <f>G88/$G$124*100</f>
        <v>0.51686708411668747</v>
      </c>
      <c r="I88" s="2950"/>
      <c r="J88" s="2951"/>
      <c r="K88" s="209"/>
      <c r="L88" s="57" t="s">
        <v>18</v>
      </c>
      <c r="M88" s="494">
        <f>'T1.2025'!F87</f>
        <v>1056</v>
      </c>
      <c r="N88" s="477"/>
      <c r="O88" s="902"/>
      <c r="P88" s="902"/>
      <c r="Q88" s="902">
        <f>'T5.2025'!F130</f>
        <v>1074</v>
      </c>
      <c r="R88" s="902"/>
      <c r="S88" s="477"/>
      <c r="T88" s="477"/>
      <c r="U88" s="477"/>
      <c r="V88" s="477"/>
      <c r="W88" s="477"/>
      <c r="X88" s="477"/>
      <c r="Y88" s="494">
        <f t="shared" si="0"/>
        <v>2130</v>
      </c>
    </row>
    <row r="89" spans="1:25" ht="27" customHeight="1" x14ac:dyDescent="0.2">
      <c r="A89" s="2904"/>
      <c r="B89" s="2904"/>
      <c r="C89" s="485" t="s">
        <v>22</v>
      </c>
      <c r="D89" s="216">
        <f>D88/$G$106*100</f>
        <v>50.690147548786292</v>
      </c>
      <c r="E89" s="216">
        <f>E88/$G$106*100</f>
        <v>0</v>
      </c>
      <c r="F89" s="216">
        <f>F88/$G$106*100</f>
        <v>1.7491670633031888</v>
      </c>
      <c r="G89" s="216">
        <f>SUM(D89:F89)</f>
        <v>52.439314612089483</v>
      </c>
      <c r="H89" s="556"/>
      <c r="I89" s="2950"/>
      <c r="J89" s="2951"/>
      <c r="K89" s="209"/>
      <c r="L89" s="57" t="s">
        <v>19</v>
      </c>
      <c r="M89" s="494">
        <f>'T1.2025'!G87</f>
        <v>0</v>
      </c>
      <c r="N89" s="477"/>
      <c r="O89" s="902"/>
      <c r="P89" s="902"/>
      <c r="Q89" s="902"/>
      <c r="R89" s="902"/>
      <c r="S89" s="477"/>
      <c r="T89" s="477"/>
      <c r="U89" s="477"/>
      <c r="V89" s="477"/>
      <c r="W89" s="477"/>
      <c r="X89" s="477"/>
      <c r="Y89" s="494">
        <f t="shared" si="0"/>
        <v>0</v>
      </c>
    </row>
    <row r="90" spans="1:25" ht="27" customHeight="1" x14ac:dyDescent="0.2">
      <c r="A90" s="2904"/>
      <c r="B90" s="2904"/>
      <c r="C90" s="485"/>
      <c r="D90" s="216"/>
      <c r="E90" s="216"/>
      <c r="F90" s="216"/>
      <c r="G90" s="216"/>
      <c r="H90" s="556"/>
      <c r="I90" s="2950"/>
      <c r="J90" s="2951"/>
      <c r="K90" s="209"/>
      <c r="L90" s="57" t="s">
        <v>20</v>
      </c>
      <c r="M90" s="494">
        <f>'T1.2025'!H87</f>
        <v>51</v>
      </c>
      <c r="N90" s="477"/>
      <c r="O90" s="902"/>
      <c r="P90" s="902"/>
      <c r="Q90" s="902">
        <f>'T5.2025'!H130</f>
        <v>22.5</v>
      </c>
      <c r="R90" s="902"/>
      <c r="S90" s="477"/>
      <c r="T90" s="477"/>
      <c r="U90" s="477"/>
      <c r="V90" s="477"/>
      <c r="W90" s="477"/>
      <c r="X90" s="477"/>
      <c r="Y90" s="494">
        <f t="shared" si="0"/>
        <v>73.5</v>
      </c>
    </row>
    <row r="91" spans="1:25" ht="27" customHeight="1" x14ac:dyDescent="0.2">
      <c r="A91" s="2904" t="s">
        <v>129</v>
      </c>
      <c r="B91" s="2904"/>
      <c r="C91" s="485" t="s">
        <v>21</v>
      </c>
      <c r="D91" s="216">
        <f>Y91</f>
        <v>13999.5</v>
      </c>
      <c r="E91" s="216">
        <f>Y92</f>
        <v>0</v>
      </c>
      <c r="F91" s="216">
        <f>Y93</f>
        <v>3231.5</v>
      </c>
      <c r="G91" s="216">
        <f>SUM(D91:F91)</f>
        <v>17231</v>
      </c>
      <c r="H91" s="556">
        <f>G91/$G$124*100</f>
        <v>4.0418138082208488</v>
      </c>
      <c r="I91" s="2950"/>
      <c r="J91" s="2951"/>
      <c r="K91" s="209"/>
      <c r="L91" s="57" t="s">
        <v>18</v>
      </c>
      <c r="M91" s="494">
        <f>'T1.2025'!F91</f>
        <v>3759</v>
      </c>
      <c r="N91" s="477"/>
      <c r="O91" s="902"/>
      <c r="P91" s="902"/>
      <c r="Q91" s="902">
        <f>'T5.2025'!F122</f>
        <v>10240.5</v>
      </c>
      <c r="R91" s="902"/>
      <c r="S91" s="477"/>
      <c r="T91" s="477"/>
      <c r="U91" s="477"/>
      <c r="V91" s="477"/>
      <c r="W91" s="477"/>
      <c r="X91" s="477"/>
      <c r="Y91" s="494">
        <f t="shared" si="0"/>
        <v>13999.5</v>
      </c>
    </row>
    <row r="92" spans="1:25" ht="27" customHeight="1" x14ac:dyDescent="0.2">
      <c r="A92" s="2904"/>
      <c r="B92" s="2904"/>
      <c r="C92" s="485" t="s">
        <v>22</v>
      </c>
      <c r="D92" s="216">
        <f>D91/$G$109*100</f>
        <v>24.280659763775432</v>
      </c>
      <c r="E92" s="216">
        <f>E91/$G$109*100</f>
        <v>0</v>
      </c>
      <c r="F92" s="216">
        <f>F91/$G$109*100</f>
        <v>5.6046967410722033</v>
      </c>
      <c r="G92" s="216">
        <f>SUM(D92:F92)</f>
        <v>29.885356504847636</v>
      </c>
      <c r="H92" s="556"/>
      <c r="I92" s="2950"/>
      <c r="J92" s="2951"/>
      <c r="K92" s="209"/>
      <c r="L92" s="57" t="s">
        <v>19</v>
      </c>
      <c r="M92" s="494">
        <f>'T1.2025'!G91</f>
        <v>0</v>
      </c>
      <c r="N92" s="477"/>
      <c r="O92" s="902"/>
      <c r="P92" s="902"/>
      <c r="Q92" s="902"/>
      <c r="R92" s="902"/>
      <c r="S92" s="477"/>
      <c r="T92" s="477"/>
      <c r="U92" s="477"/>
      <c r="V92" s="477"/>
      <c r="W92" s="477"/>
      <c r="X92" s="477"/>
      <c r="Y92" s="494">
        <f t="shared" si="0"/>
        <v>0</v>
      </c>
    </row>
    <row r="93" spans="1:25" ht="27" customHeight="1" x14ac:dyDescent="0.2">
      <c r="A93" s="2904"/>
      <c r="B93" s="2904"/>
      <c r="C93" s="485"/>
      <c r="D93" s="216"/>
      <c r="E93" s="216"/>
      <c r="F93" s="216"/>
      <c r="G93" s="216"/>
      <c r="H93" s="556"/>
      <c r="I93" s="2950"/>
      <c r="J93" s="2951"/>
      <c r="K93" s="209"/>
      <c r="L93" s="57" t="s">
        <v>20</v>
      </c>
      <c r="M93" s="494">
        <f>'T1.2025'!H91</f>
        <v>287</v>
      </c>
      <c r="N93" s="477"/>
      <c r="O93" s="902"/>
      <c r="P93" s="902"/>
      <c r="Q93" s="902">
        <f>'T5.2025'!H122</f>
        <v>2944.5</v>
      </c>
      <c r="R93" s="902"/>
      <c r="S93" s="477"/>
      <c r="T93" s="477"/>
      <c r="U93" s="477"/>
      <c r="V93" s="477"/>
      <c r="W93" s="477"/>
      <c r="X93" s="477"/>
      <c r="Y93" s="494">
        <f t="shared" si="0"/>
        <v>3231.5</v>
      </c>
    </row>
    <row r="94" spans="1:25" ht="27" customHeight="1" x14ac:dyDescent="0.2">
      <c r="A94" s="2954" t="s">
        <v>322</v>
      </c>
      <c r="B94" s="2955"/>
      <c r="C94" s="485" t="s">
        <v>21</v>
      </c>
      <c r="D94" s="214">
        <f>Y94</f>
        <v>9583.5</v>
      </c>
      <c r="E94" s="214">
        <f>Y95</f>
        <v>0</v>
      </c>
      <c r="F94" s="214">
        <f>Y96</f>
        <v>884</v>
      </c>
      <c r="G94" s="214">
        <f>SUM(D94:F94)</f>
        <v>10467.5</v>
      </c>
      <c r="H94" s="556">
        <f>G94/$G$124*100</f>
        <v>2.4553238951628886</v>
      </c>
      <c r="I94" s="2950"/>
      <c r="J94" s="2951"/>
      <c r="K94" s="209"/>
      <c r="L94" s="57" t="s">
        <v>18</v>
      </c>
      <c r="M94" s="494">
        <f>'T1.2025'!F89</f>
        <v>4914</v>
      </c>
      <c r="N94" s="477"/>
      <c r="O94" s="902"/>
      <c r="P94" s="902"/>
      <c r="Q94" s="902">
        <f>'T5.2025'!F126</f>
        <v>4669.5</v>
      </c>
      <c r="R94" s="902"/>
      <c r="S94" s="477"/>
      <c r="T94" s="477"/>
      <c r="U94" s="477"/>
      <c r="V94" s="477"/>
      <c r="W94" s="477"/>
      <c r="X94" s="477"/>
      <c r="Y94" s="494">
        <f t="shared" si="0"/>
        <v>9583.5</v>
      </c>
    </row>
    <row r="95" spans="1:25" ht="27" customHeight="1" x14ac:dyDescent="0.2">
      <c r="A95" s="2956"/>
      <c r="B95" s="2957"/>
      <c r="C95" s="485" t="s">
        <v>22</v>
      </c>
      <c r="D95" s="216">
        <f>D94/$G$112*100</f>
        <v>12.567206063626109</v>
      </c>
      <c r="E95" s="216">
        <f>E94/$G$112*100</f>
        <v>0</v>
      </c>
      <c r="F95" s="216">
        <f>F94/$G$112*100</f>
        <v>1.1592226389362428</v>
      </c>
      <c r="G95" s="216">
        <f>SUM(D95:F95)</f>
        <v>13.726428702562352</v>
      </c>
      <c r="H95" s="556"/>
      <c r="I95" s="2950"/>
      <c r="J95" s="2951"/>
      <c r="K95" s="209"/>
      <c r="L95" s="57" t="s">
        <v>19</v>
      </c>
      <c r="M95" s="494">
        <f>'T1.2025'!G89</f>
        <v>0</v>
      </c>
      <c r="N95" s="477"/>
      <c r="O95" s="902"/>
      <c r="P95" s="902"/>
      <c r="Q95" s="902"/>
      <c r="R95" s="902"/>
      <c r="S95" s="477"/>
      <c r="T95" s="477"/>
      <c r="U95" s="477"/>
      <c r="V95" s="477"/>
      <c r="W95" s="477"/>
      <c r="X95" s="477"/>
      <c r="Y95" s="494">
        <f t="shared" si="0"/>
        <v>0</v>
      </c>
    </row>
    <row r="96" spans="1:25" ht="27" customHeight="1" x14ac:dyDescent="0.2">
      <c r="A96" s="2958"/>
      <c r="B96" s="2959"/>
      <c r="C96" s="485"/>
      <c r="D96" s="216"/>
      <c r="E96" s="216"/>
      <c r="F96" s="216"/>
      <c r="G96" s="216"/>
      <c r="H96" s="556"/>
      <c r="I96" s="2950"/>
      <c r="J96" s="2951"/>
      <c r="K96" s="209"/>
      <c r="L96" s="57" t="s">
        <v>20</v>
      </c>
      <c r="M96" s="494">
        <f>'T1.2025'!H89</f>
        <v>302</v>
      </c>
      <c r="N96" s="477"/>
      <c r="O96" s="902"/>
      <c r="P96" s="902"/>
      <c r="Q96" s="902">
        <f>'T5.2025'!H126</f>
        <v>582</v>
      </c>
      <c r="R96" s="902"/>
      <c r="S96" s="477"/>
      <c r="T96" s="477"/>
      <c r="U96" s="477"/>
      <c r="V96" s="477"/>
      <c r="W96" s="477"/>
      <c r="X96" s="477"/>
      <c r="Y96" s="494">
        <f t="shared" si="0"/>
        <v>884</v>
      </c>
    </row>
    <row r="97" spans="1:25" ht="27" customHeight="1" x14ac:dyDescent="0.2">
      <c r="A97" s="2905" t="s">
        <v>117</v>
      </c>
      <c r="B97" s="2905"/>
      <c r="C97" s="485" t="s">
        <v>21</v>
      </c>
      <c r="D97" s="214">
        <f>Y97</f>
        <v>9459</v>
      </c>
      <c r="E97" s="214">
        <f>Y98</f>
        <v>0</v>
      </c>
      <c r="F97" s="214">
        <f>Y99</f>
        <v>522</v>
      </c>
      <c r="G97" s="214">
        <f>SUM(D97:F97)</f>
        <v>9981</v>
      </c>
      <c r="H97" s="556">
        <f>G97/$G$124*100</f>
        <v>2.3412073367681674</v>
      </c>
      <c r="I97" s="2950"/>
      <c r="J97" s="2951"/>
      <c r="K97" s="209"/>
      <c r="L97" s="57" t="s">
        <v>18</v>
      </c>
      <c r="M97" s="477"/>
      <c r="N97" s="477"/>
      <c r="O97" s="902"/>
      <c r="P97" s="902"/>
      <c r="Q97" s="902">
        <f>'T5.2025'!F128</f>
        <v>9459</v>
      </c>
      <c r="R97" s="902"/>
      <c r="S97" s="477"/>
      <c r="T97" s="477"/>
      <c r="U97" s="477"/>
      <c r="V97" s="477"/>
      <c r="W97" s="477"/>
      <c r="X97" s="477"/>
      <c r="Y97" s="494">
        <f t="shared" si="0"/>
        <v>9459</v>
      </c>
    </row>
    <row r="98" spans="1:25" ht="27" customHeight="1" x14ac:dyDescent="0.2">
      <c r="A98" s="2905"/>
      <c r="B98" s="2905"/>
      <c r="C98" s="485" t="s">
        <v>22</v>
      </c>
      <c r="D98" s="216">
        <f>D97/$G$115*100</f>
        <v>28.133783442142679</v>
      </c>
      <c r="E98" s="216">
        <f>E97/$G$115*100</f>
        <v>0</v>
      </c>
      <c r="F98" s="216">
        <f>F97/$G$115*100</f>
        <v>1.552577963505495</v>
      </c>
      <c r="G98" s="216">
        <f>SUM(D98:F98)</f>
        <v>29.686361405648174</v>
      </c>
      <c r="H98" s="556"/>
      <c r="I98" s="2950"/>
      <c r="J98" s="2951"/>
      <c r="K98" s="209"/>
      <c r="L98" s="57" t="s">
        <v>19</v>
      </c>
      <c r="M98" s="477"/>
      <c r="N98" s="477"/>
      <c r="O98" s="902"/>
      <c r="P98" s="902"/>
      <c r="Q98" s="902"/>
      <c r="R98" s="902"/>
      <c r="S98" s="477"/>
      <c r="T98" s="477"/>
      <c r="U98" s="477"/>
      <c r="V98" s="477"/>
      <c r="W98" s="477"/>
      <c r="X98" s="477"/>
      <c r="Y98" s="494">
        <f t="shared" si="0"/>
        <v>0</v>
      </c>
    </row>
    <row r="99" spans="1:25" ht="27" customHeight="1" x14ac:dyDescent="0.2">
      <c r="A99" s="2905"/>
      <c r="B99" s="2905"/>
      <c r="C99" s="485"/>
      <c r="D99" s="216"/>
      <c r="E99" s="216"/>
      <c r="F99" s="216"/>
      <c r="G99" s="216"/>
      <c r="H99" s="490"/>
      <c r="I99" s="2950"/>
      <c r="J99" s="2951"/>
      <c r="K99" s="209"/>
      <c r="L99" s="57" t="s">
        <v>20</v>
      </c>
      <c r="M99" s="477"/>
      <c r="N99" s="477"/>
      <c r="O99" s="902"/>
      <c r="P99" s="902"/>
      <c r="Q99" s="902">
        <f>'T5.2025'!H128</f>
        <v>522</v>
      </c>
      <c r="R99" s="902"/>
      <c r="S99" s="477"/>
      <c r="T99" s="477"/>
      <c r="U99" s="477"/>
      <c r="V99" s="477"/>
      <c r="W99" s="477"/>
      <c r="X99" s="477"/>
      <c r="Y99" s="494">
        <f t="shared" si="0"/>
        <v>522</v>
      </c>
    </row>
    <row r="100" spans="1:25" ht="27" customHeight="1" x14ac:dyDescent="0.2">
      <c r="A100" s="2774" t="s">
        <v>448</v>
      </c>
      <c r="B100" s="2774"/>
      <c r="C100" s="545" t="s">
        <v>21</v>
      </c>
      <c r="D100" s="551">
        <f>D85+D88+D91+D94+D97</f>
        <v>79593.5</v>
      </c>
      <c r="E100" s="551">
        <f>E85+E88+E91+E94+E97</f>
        <v>0</v>
      </c>
      <c r="F100" s="551">
        <f>F85+F88+F91+F94+F97</f>
        <v>8865</v>
      </c>
      <c r="G100" s="551">
        <f>SUM(D100:F100)</f>
        <v>88458.5</v>
      </c>
      <c r="H100" s="558"/>
      <c r="I100" s="2950"/>
      <c r="J100" s="2951"/>
      <c r="K100" s="209"/>
      <c r="L100" s="57" t="s">
        <v>18</v>
      </c>
      <c r="M100" s="477"/>
      <c r="N100" s="477"/>
      <c r="O100" s="902"/>
      <c r="P100" s="902"/>
      <c r="Q100" s="902"/>
      <c r="R100" s="902"/>
      <c r="S100" s="477"/>
      <c r="T100" s="477"/>
      <c r="U100" s="477"/>
      <c r="V100" s="477"/>
      <c r="W100" s="477"/>
      <c r="X100" s="477"/>
      <c r="Y100" s="494">
        <f t="shared" si="0"/>
        <v>0</v>
      </c>
    </row>
    <row r="101" spans="1:25" ht="27" customHeight="1" x14ac:dyDescent="0.2">
      <c r="A101" s="2774"/>
      <c r="B101" s="2774"/>
      <c r="C101" s="545" t="s">
        <v>22</v>
      </c>
      <c r="D101" s="551">
        <f>D100/$G$100*100</f>
        <v>89.978351430331742</v>
      </c>
      <c r="E101" s="551">
        <f>E100/$G$100*100</f>
        <v>0</v>
      </c>
      <c r="F101" s="551">
        <f>F100/$G$100*100</f>
        <v>10.021648569668262</v>
      </c>
      <c r="G101" s="551">
        <f>SUM(D101:F101)</f>
        <v>100</v>
      </c>
      <c r="H101" s="558"/>
      <c r="I101" s="2950"/>
      <c r="J101" s="2951"/>
      <c r="K101" s="209"/>
      <c r="L101" s="57" t="s">
        <v>19</v>
      </c>
      <c r="M101" s="477"/>
      <c r="N101" s="477"/>
      <c r="O101" s="902"/>
      <c r="P101" s="902"/>
      <c r="Q101" s="902"/>
      <c r="R101" s="902"/>
      <c r="S101" s="477"/>
      <c r="T101" s="477"/>
      <c r="U101" s="477"/>
      <c r="V101" s="477"/>
      <c r="W101" s="477"/>
      <c r="X101" s="477"/>
      <c r="Y101" s="494">
        <f t="shared" si="0"/>
        <v>0</v>
      </c>
    </row>
    <row r="102" spans="1:25" ht="27" customHeight="1" x14ac:dyDescent="0.2">
      <c r="A102" s="2774"/>
      <c r="B102" s="2774"/>
      <c r="C102" s="554"/>
      <c r="D102" s="549"/>
      <c r="E102" s="549"/>
      <c r="F102" s="549"/>
      <c r="G102" s="549"/>
      <c r="H102" s="555"/>
      <c r="I102" s="2952"/>
      <c r="J102" s="2953"/>
      <c r="K102" s="209"/>
      <c r="L102" s="57" t="s">
        <v>20</v>
      </c>
      <c r="M102" s="477"/>
      <c r="N102" s="477"/>
      <c r="O102" s="902"/>
      <c r="P102" s="902"/>
      <c r="Q102" s="902"/>
      <c r="R102" s="902"/>
      <c r="S102" s="477"/>
      <c r="T102" s="477"/>
      <c r="U102" s="477"/>
      <c r="V102" s="477"/>
      <c r="W102" s="477"/>
      <c r="X102" s="477"/>
      <c r="Y102" s="494">
        <f t="shared" si="0"/>
        <v>0</v>
      </c>
    </row>
    <row r="103" spans="1:25" ht="27" customHeight="1" x14ac:dyDescent="0.2">
      <c r="A103" s="2905" t="s">
        <v>109</v>
      </c>
      <c r="B103" s="2905"/>
      <c r="C103" s="485" t="s">
        <v>21</v>
      </c>
      <c r="D103" s="216">
        <f>Y103</f>
        <v>170811.5</v>
      </c>
      <c r="E103" s="216">
        <f>Y104</f>
        <v>0</v>
      </c>
      <c r="F103" s="216">
        <f>Y105</f>
        <v>2682.5</v>
      </c>
      <c r="G103" s="216">
        <f>SUM(D103:F103)</f>
        <v>173494</v>
      </c>
      <c r="H103" s="556">
        <f>G103/$G$124*100</f>
        <v>40.695864711477455</v>
      </c>
      <c r="I103" s="2948" t="s">
        <v>375</v>
      </c>
      <c r="J103" s="2949"/>
      <c r="K103" s="209"/>
      <c r="L103" s="57" t="s">
        <v>18</v>
      </c>
      <c r="M103" s="494">
        <f>'T1.2025'!F115</f>
        <v>29660</v>
      </c>
      <c r="N103" s="477"/>
      <c r="O103" s="902"/>
      <c r="P103" s="902">
        <v>74484</v>
      </c>
      <c r="Q103" s="902">
        <f>'T5.2025'!F102</f>
        <v>66667.5</v>
      </c>
      <c r="R103" s="902"/>
      <c r="S103" s="477"/>
      <c r="T103" s="477"/>
      <c r="U103" s="477"/>
      <c r="V103" s="477"/>
      <c r="W103" s="477"/>
      <c r="X103" s="477"/>
      <c r="Y103" s="494">
        <f t="shared" si="0"/>
        <v>170811.5</v>
      </c>
    </row>
    <row r="104" spans="1:25" ht="27" customHeight="1" x14ac:dyDescent="0.2">
      <c r="A104" s="2905"/>
      <c r="B104" s="2905"/>
      <c r="C104" s="485" t="s">
        <v>22</v>
      </c>
      <c r="D104" s="216">
        <f>D103/$G$103*100</f>
        <v>98.453837020300412</v>
      </c>
      <c r="E104" s="216">
        <f>E103/$G$103*100</f>
        <v>0</v>
      </c>
      <c r="F104" s="216">
        <f>F103/$G$103*100</f>
        <v>1.5461629796995862</v>
      </c>
      <c r="G104" s="216">
        <f>SUM(D104:F104)</f>
        <v>100</v>
      </c>
      <c r="H104" s="556"/>
      <c r="I104" s="2950"/>
      <c r="J104" s="2951"/>
      <c r="K104" s="209"/>
      <c r="L104" s="57" t="s">
        <v>19</v>
      </c>
      <c r="M104" s="494">
        <f>'T1.2025'!G115</f>
        <v>0</v>
      </c>
      <c r="N104" s="477"/>
      <c r="O104" s="902"/>
      <c r="P104" s="902"/>
      <c r="Q104" s="902"/>
      <c r="R104" s="902"/>
      <c r="S104" s="477"/>
      <c r="T104" s="477"/>
      <c r="U104" s="477"/>
      <c r="V104" s="477"/>
      <c r="W104" s="477"/>
      <c r="X104" s="477"/>
      <c r="Y104" s="494">
        <f t="shared" si="0"/>
        <v>0</v>
      </c>
    </row>
    <row r="105" spans="1:25" ht="27" customHeight="1" x14ac:dyDescent="0.2">
      <c r="A105" s="2905"/>
      <c r="B105" s="2905"/>
      <c r="C105" s="485"/>
      <c r="D105" s="216"/>
      <c r="E105" s="216"/>
      <c r="F105" s="216"/>
      <c r="G105" s="216"/>
      <c r="H105" s="556"/>
      <c r="I105" s="2950"/>
      <c r="J105" s="2951"/>
      <c r="K105" s="209"/>
      <c r="L105" s="57" t="s">
        <v>20</v>
      </c>
      <c r="M105" s="494">
        <f>'T1.2025'!H115</f>
        <v>195</v>
      </c>
      <c r="N105" s="477"/>
      <c r="O105" s="902"/>
      <c r="P105" s="902">
        <v>1682</v>
      </c>
      <c r="Q105" s="902">
        <f>'T5.2025'!H102</f>
        <v>805.5</v>
      </c>
      <c r="R105" s="902"/>
      <c r="S105" s="477"/>
      <c r="T105" s="477"/>
      <c r="U105" s="477"/>
      <c r="V105" s="477"/>
      <c r="W105" s="477"/>
      <c r="X105" s="477"/>
      <c r="Y105" s="494">
        <f t="shared" si="0"/>
        <v>2682.5</v>
      </c>
    </row>
    <row r="106" spans="1:25" ht="27" customHeight="1" x14ac:dyDescent="0.2">
      <c r="A106" s="2904" t="s">
        <v>125</v>
      </c>
      <c r="B106" s="2904"/>
      <c r="C106" s="485" t="s">
        <v>21</v>
      </c>
      <c r="D106" s="216">
        <f>Y106</f>
        <v>4163</v>
      </c>
      <c r="E106" s="216">
        <f>Y107</f>
        <v>0</v>
      </c>
      <c r="F106" s="216">
        <f>Y108</f>
        <v>39</v>
      </c>
      <c r="G106" s="216">
        <f>SUM(D106:F106)</f>
        <v>4202</v>
      </c>
      <c r="H106" s="556">
        <f>G106/$G$124*100</f>
        <v>0.98564805421298873</v>
      </c>
      <c r="I106" s="2950"/>
      <c r="J106" s="2951"/>
      <c r="K106" s="209"/>
      <c r="L106" s="57" t="s">
        <v>18</v>
      </c>
      <c r="M106" s="494">
        <f>'T1.2025'!F117</f>
        <v>1166</v>
      </c>
      <c r="N106" s="477"/>
      <c r="O106" s="902"/>
      <c r="P106" s="902"/>
      <c r="Q106" s="902">
        <f>'T5.2025'!F114</f>
        <v>2997</v>
      </c>
      <c r="R106" s="902"/>
      <c r="S106" s="477"/>
      <c r="T106" s="477"/>
      <c r="U106" s="477"/>
      <c r="V106" s="477"/>
      <c r="W106" s="477"/>
      <c r="X106" s="477"/>
      <c r="Y106" s="494">
        <f t="shared" si="0"/>
        <v>4163</v>
      </c>
    </row>
    <row r="107" spans="1:25" ht="27" customHeight="1" x14ac:dyDescent="0.2">
      <c r="A107" s="2904"/>
      <c r="B107" s="2904"/>
      <c r="C107" s="485" t="s">
        <v>22</v>
      </c>
      <c r="D107" s="216">
        <f>D106/$G$106*100</f>
        <v>99.071870537839118</v>
      </c>
      <c r="E107" s="216">
        <f>E106/$G$106*100</f>
        <v>0</v>
      </c>
      <c r="F107" s="216">
        <f>F106/$G$106*100</f>
        <v>0.92812946216087577</v>
      </c>
      <c r="G107" s="216">
        <f>SUM(D107:F107)</f>
        <v>100</v>
      </c>
      <c r="H107" s="556"/>
      <c r="I107" s="2950"/>
      <c r="J107" s="2951"/>
      <c r="K107" s="209"/>
      <c r="L107" s="57" t="s">
        <v>19</v>
      </c>
      <c r="M107" s="494">
        <f>'T1.2025'!G117</f>
        <v>0</v>
      </c>
      <c r="N107" s="477"/>
      <c r="O107" s="902"/>
      <c r="P107" s="902"/>
      <c r="Q107" s="902"/>
      <c r="R107" s="902"/>
      <c r="S107" s="477"/>
      <c r="T107" s="477"/>
      <c r="U107" s="477"/>
      <c r="V107" s="477"/>
      <c r="W107" s="477"/>
      <c r="X107" s="477"/>
      <c r="Y107" s="494">
        <f t="shared" si="0"/>
        <v>0</v>
      </c>
    </row>
    <row r="108" spans="1:25" ht="27" customHeight="1" x14ac:dyDescent="0.2">
      <c r="A108" s="2904"/>
      <c r="B108" s="2904"/>
      <c r="C108" s="485"/>
      <c r="D108" s="216"/>
      <c r="E108" s="216"/>
      <c r="F108" s="216"/>
      <c r="G108" s="216"/>
      <c r="H108" s="556"/>
      <c r="I108" s="2950"/>
      <c r="J108" s="2951"/>
      <c r="K108" s="209"/>
      <c r="L108" s="57" t="s">
        <v>20</v>
      </c>
      <c r="M108" s="494">
        <f>'T1.2025'!H117</f>
        <v>0</v>
      </c>
      <c r="N108" s="477"/>
      <c r="O108" s="902"/>
      <c r="P108" s="902"/>
      <c r="Q108" s="902">
        <f>'T5.2025'!H114</f>
        <v>39</v>
      </c>
      <c r="R108" s="902"/>
      <c r="S108" s="477"/>
      <c r="T108" s="477"/>
      <c r="U108" s="477"/>
      <c r="V108" s="477"/>
      <c r="W108" s="477"/>
      <c r="X108" s="477"/>
      <c r="Y108" s="494">
        <f t="shared" si="0"/>
        <v>39</v>
      </c>
    </row>
    <row r="109" spans="1:25" ht="27" customHeight="1" x14ac:dyDescent="0.2">
      <c r="A109" s="2904" t="s">
        <v>129</v>
      </c>
      <c r="B109" s="2904"/>
      <c r="C109" s="485" t="s">
        <v>21</v>
      </c>
      <c r="D109" s="216">
        <f>Y109</f>
        <v>57309</v>
      </c>
      <c r="E109" s="216">
        <f>Y110</f>
        <v>0</v>
      </c>
      <c r="F109" s="216">
        <f>Y111</f>
        <v>348</v>
      </c>
      <c r="G109" s="216">
        <f>SUM(D109:F109)</f>
        <v>57657</v>
      </c>
      <c r="H109" s="556">
        <f>G109/$G$124*100</f>
        <v>13.524395493041</v>
      </c>
      <c r="I109" s="2950"/>
      <c r="J109" s="2951"/>
      <c r="K109" s="209"/>
      <c r="L109" s="57" t="s">
        <v>18</v>
      </c>
      <c r="M109" s="494">
        <f>'T1.2025'!F119</f>
        <v>27426</v>
      </c>
      <c r="N109" s="477"/>
      <c r="O109" s="902"/>
      <c r="P109" s="902">
        <v>17508</v>
      </c>
      <c r="Q109" s="902">
        <f>'T5.2025'!F104</f>
        <v>12375</v>
      </c>
      <c r="R109" s="902"/>
      <c r="S109" s="477"/>
      <c r="T109" s="477"/>
      <c r="U109" s="477"/>
      <c r="V109" s="477"/>
      <c r="W109" s="477"/>
      <c r="X109" s="477"/>
      <c r="Y109" s="494">
        <f t="shared" si="0"/>
        <v>57309</v>
      </c>
    </row>
    <row r="110" spans="1:25" ht="27" customHeight="1" x14ac:dyDescent="0.2">
      <c r="A110" s="2904"/>
      <c r="B110" s="2904"/>
      <c r="C110" s="485" t="s">
        <v>22</v>
      </c>
      <c r="D110" s="216">
        <f>D109/$G$109*100</f>
        <v>99.396430615536715</v>
      </c>
      <c r="E110" s="216">
        <f>E109/$G$109*100</f>
        <v>0</v>
      </c>
      <c r="F110" s="216">
        <f>F109/$G$109*100</f>
        <v>0.60356938446329156</v>
      </c>
      <c r="G110" s="216">
        <f>SUM(D110:F110)</f>
        <v>100</v>
      </c>
      <c r="H110" s="556"/>
      <c r="I110" s="2950"/>
      <c r="J110" s="2951"/>
      <c r="K110" s="209"/>
      <c r="L110" s="57" t="s">
        <v>19</v>
      </c>
      <c r="M110" s="561">
        <f>'T1.2025'!G119</f>
        <v>0</v>
      </c>
      <c r="N110" s="477"/>
      <c r="O110" s="902"/>
      <c r="P110" s="902"/>
      <c r="Q110" s="902"/>
      <c r="R110" s="902"/>
      <c r="S110" s="477"/>
      <c r="T110" s="477"/>
      <c r="U110" s="477"/>
      <c r="V110" s="477"/>
      <c r="W110" s="477"/>
      <c r="X110" s="477"/>
      <c r="Y110" s="494">
        <f t="shared" si="0"/>
        <v>0</v>
      </c>
    </row>
    <row r="111" spans="1:25" ht="27" customHeight="1" x14ac:dyDescent="0.2">
      <c r="A111" s="2904"/>
      <c r="B111" s="2904"/>
      <c r="C111" s="485"/>
      <c r="D111" s="216"/>
      <c r="E111" s="216"/>
      <c r="F111" s="216"/>
      <c r="G111" s="216"/>
      <c r="H111" s="556"/>
      <c r="I111" s="2950"/>
      <c r="J111" s="2951"/>
      <c r="K111" s="209"/>
      <c r="L111" s="57" t="s">
        <v>20</v>
      </c>
      <c r="M111" s="494">
        <f>'T1.2025'!H119</f>
        <v>168</v>
      </c>
      <c r="N111" s="477"/>
      <c r="O111" s="902"/>
      <c r="P111" s="902">
        <v>84</v>
      </c>
      <c r="Q111" s="902">
        <f>'T5.2025'!H104</f>
        <v>96</v>
      </c>
      <c r="R111" s="902"/>
      <c r="S111" s="477"/>
      <c r="T111" s="477"/>
      <c r="U111" s="477"/>
      <c r="V111" s="477"/>
      <c r="W111" s="477"/>
      <c r="X111" s="477"/>
      <c r="Y111" s="494">
        <f t="shared" si="0"/>
        <v>348</v>
      </c>
    </row>
    <row r="112" spans="1:25" ht="27" customHeight="1" x14ac:dyDescent="0.2">
      <c r="A112" s="2954" t="s">
        <v>322</v>
      </c>
      <c r="B112" s="2955"/>
      <c r="C112" s="485" t="s">
        <v>21</v>
      </c>
      <c r="D112" s="214">
        <f>Y112</f>
        <v>75039.5</v>
      </c>
      <c r="E112" s="214">
        <f>Y113</f>
        <v>0</v>
      </c>
      <c r="F112" s="214">
        <f>Y114</f>
        <v>1218.5</v>
      </c>
      <c r="G112" s="214">
        <f>SUM(D112:F112)</f>
        <v>76258</v>
      </c>
      <c r="H112" s="556">
        <f>G112/$G$124*100</f>
        <v>17.887565282763944</v>
      </c>
      <c r="I112" s="2950"/>
      <c r="J112" s="2951"/>
      <c r="K112" s="209"/>
      <c r="L112" s="57" t="s">
        <v>18</v>
      </c>
      <c r="M112" s="494">
        <f>'T1.2025'!F121</f>
        <v>24566</v>
      </c>
      <c r="N112" s="477"/>
      <c r="O112" s="902"/>
      <c r="P112" s="902">
        <v>24081</v>
      </c>
      <c r="Q112" s="902">
        <f>'T5.2025'!F112</f>
        <v>26392.5</v>
      </c>
      <c r="R112" s="902"/>
      <c r="S112" s="477"/>
      <c r="T112" s="477"/>
      <c r="U112" s="477"/>
      <c r="V112" s="477"/>
      <c r="W112" s="477"/>
      <c r="X112" s="477"/>
      <c r="Y112" s="494">
        <f t="shared" si="0"/>
        <v>75039.5</v>
      </c>
    </row>
    <row r="113" spans="1:25" ht="27" customHeight="1" x14ac:dyDescent="0.2">
      <c r="A113" s="2956"/>
      <c r="B113" s="2957"/>
      <c r="C113" s="485" t="s">
        <v>22</v>
      </c>
      <c r="D113" s="216">
        <f>D112/$G$112*100</f>
        <v>98.402134857982119</v>
      </c>
      <c r="E113" s="216">
        <f>E112/$G$112*100</f>
        <v>0</v>
      </c>
      <c r="F113" s="216">
        <f>F112/$G$112*100</f>
        <v>1.5978651420178867</v>
      </c>
      <c r="G113" s="216">
        <f>SUM(D113:F113)</f>
        <v>100</v>
      </c>
      <c r="H113" s="556"/>
      <c r="I113" s="2950"/>
      <c r="J113" s="2951"/>
      <c r="K113" s="209"/>
      <c r="L113" s="57" t="s">
        <v>19</v>
      </c>
      <c r="M113" s="494">
        <f>'T1.2025'!G121</f>
        <v>0</v>
      </c>
      <c r="N113" s="477"/>
      <c r="O113" s="902"/>
      <c r="P113" s="902"/>
      <c r="Q113" s="902"/>
      <c r="R113" s="902"/>
      <c r="S113" s="477"/>
      <c r="T113" s="477"/>
      <c r="U113" s="477"/>
      <c r="V113" s="477"/>
      <c r="W113" s="477"/>
      <c r="X113" s="477"/>
      <c r="Y113" s="494">
        <f t="shared" si="0"/>
        <v>0</v>
      </c>
    </row>
    <row r="114" spans="1:25" ht="27" customHeight="1" x14ac:dyDescent="0.2">
      <c r="A114" s="2958"/>
      <c r="B114" s="2959"/>
      <c r="C114" s="485"/>
      <c r="D114" s="216"/>
      <c r="E114" s="216"/>
      <c r="F114" s="216"/>
      <c r="G114" s="216"/>
      <c r="H114" s="556"/>
      <c r="I114" s="2950"/>
      <c r="J114" s="2951"/>
      <c r="K114" s="209"/>
      <c r="L114" s="57" t="s">
        <v>20</v>
      </c>
      <c r="M114" s="494">
        <f>'T1.2025'!H121</f>
        <v>198</v>
      </c>
      <c r="N114" s="477"/>
      <c r="O114" s="902"/>
      <c r="P114" s="902">
        <v>536</v>
      </c>
      <c r="Q114" s="902">
        <f>'T5.2025'!H112</f>
        <v>484.5</v>
      </c>
      <c r="R114" s="902"/>
      <c r="S114" s="477"/>
      <c r="T114" s="477"/>
      <c r="U114" s="477"/>
      <c r="V114" s="477"/>
      <c r="W114" s="477"/>
      <c r="X114" s="477"/>
      <c r="Y114" s="494">
        <f t="shared" si="0"/>
        <v>1218.5</v>
      </c>
    </row>
    <row r="115" spans="1:25" ht="27" customHeight="1" x14ac:dyDescent="0.2">
      <c r="A115" s="2905" t="s">
        <v>117</v>
      </c>
      <c r="B115" s="2905"/>
      <c r="C115" s="485" t="s">
        <v>21</v>
      </c>
      <c r="D115" s="214">
        <f>Y115</f>
        <v>33268.5</v>
      </c>
      <c r="E115" s="214">
        <f>Y116</f>
        <v>0</v>
      </c>
      <c r="F115" s="214">
        <f>Y117</f>
        <v>353</v>
      </c>
      <c r="G115" s="214">
        <f>SUM(D115:F115)</f>
        <v>33621.5</v>
      </c>
      <c r="H115" s="556">
        <f>G115/$G$124*100</f>
        <v>7.8864745489581152</v>
      </c>
      <c r="I115" s="2950"/>
      <c r="J115" s="2951"/>
      <c r="K115" s="488"/>
      <c r="L115" s="57" t="s">
        <v>18</v>
      </c>
      <c r="M115" s="494">
        <f>'T1.2025'!F123</f>
        <v>9097.5</v>
      </c>
      <c r="N115" s="477"/>
      <c r="O115" s="902"/>
      <c r="P115" s="902">
        <v>11019</v>
      </c>
      <c r="Q115" s="902">
        <f>'T5.2025'!F110</f>
        <v>13152</v>
      </c>
      <c r="R115" s="902"/>
      <c r="S115" s="477"/>
      <c r="T115" s="477"/>
      <c r="U115" s="477"/>
      <c r="V115" s="477"/>
      <c r="W115" s="477"/>
      <c r="X115" s="477"/>
      <c r="Y115" s="494">
        <f t="shared" si="0"/>
        <v>33268.5</v>
      </c>
    </row>
    <row r="116" spans="1:25" ht="27" customHeight="1" x14ac:dyDescent="0.2">
      <c r="A116" s="2905"/>
      <c r="B116" s="2905"/>
      <c r="C116" s="485" t="s">
        <v>22</v>
      </c>
      <c r="D116" s="216">
        <f>D115/$G$115*100</f>
        <v>98.950076587897627</v>
      </c>
      <c r="E116" s="216">
        <f>E115/$G$115*100</f>
        <v>0</v>
      </c>
      <c r="F116" s="216">
        <f>F115/$G$115*100</f>
        <v>1.0499234121023751</v>
      </c>
      <c r="G116" s="216">
        <f>SUM(D116:F116)</f>
        <v>100</v>
      </c>
      <c r="H116" s="556"/>
      <c r="I116" s="2950"/>
      <c r="J116" s="2951"/>
      <c r="K116" s="488"/>
      <c r="L116" s="57" t="s">
        <v>19</v>
      </c>
      <c r="M116" s="494">
        <f>'T1.2025'!G123</f>
        <v>0</v>
      </c>
      <c r="N116" s="477"/>
      <c r="O116" s="902"/>
      <c r="P116" s="902"/>
      <c r="Q116" s="902">
        <f>'T5.2025'!G110</f>
        <v>0</v>
      </c>
      <c r="R116" s="902"/>
      <c r="S116" s="477"/>
      <c r="T116" s="477"/>
      <c r="U116" s="477"/>
      <c r="V116" s="477"/>
      <c r="W116" s="477"/>
      <c r="X116" s="477"/>
      <c r="Y116" s="494">
        <f t="shared" si="0"/>
        <v>0</v>
      </c>
    </row>
    <row r="117" spans="1:25" ht="27" customHeight="1" x14ac:dyDescent="0.2">
      <c r="A117" s="2905"/>
      <c r="B117" s="2905"/>
      <c r="C117" s="485"/>
      <c r="D117" s="216"/>
      <c r="E117" s="216"/>
      <c r="F117" s="216"/>
      <c r="G117" s="216"/>
      <c r="H117" s="490"/>
      <c r="I117" s="2950"/>
      <c r="J117" s="2951"/>
      <c r="K117" s="488"/>
      <c r="L117" s="57" t="s">
        <v>20</v>
      </c>
      <c r="M117" s="494">
        <f>'T1.2025'!H123</f>
        <v>45</v>
      </c>
      <c r="N117" s="477"/>
      <c r="O117" s="902"/>
      <c r="P117" s="902">
        <v>170</v>
      </c>
      <c r="Q117" s="902">
        <f>'T5.2025'!H110</f>
        <v>138</v>
      </c>
      <c r="R117" s="902"/>
      <c r="S117" s="477"/>
      <c r="T117" s="477"/>
      <c r="U117" s="477"/>
      <c r="V117" s="477"/>
      <c r="W117" s="477"/>
      <c r="X117" s="477"/>
      <c r="Y117" s="494">
        <f t="shared" si="0"/>
        <v>353</v>
      </c>
    </row>
    <row r="118" spans="1:25" ht="27" customHeight="1" x14ac:dyDescent="0.2">
      <c r="A118" s="2962" t="s">
        <v>146</v>
      </c>
      <c r="B118" s="2963"/>
      <c r="C118" s="485" t="s">
        <v>21</v>
      </c>
      <c r="D118" s="214">
        <f>Y118</f>
        <v>5912</v>
      </c>
      <c r="E118" s="214">
        <f>Y119</f>
        <v>0</v>
      </c>
      <c r="F118" s="214">
        <f>Y120</f>
        <v>137</v>
      </c>
      <c r="G118" s="214">
        <f>SUM(D118:F118)</f>
        <v>6049</v>
      </c>
      <c r="H118" s="556">
        <f>G118/$G$124*100</f>
        <v>1.4188922132161752</v>
      </c>
      <c r="I118" s="2950"/>
      <c r="J118" s="2951"/>
      <c r="K118" s="488"/>
      <c r="L118" s="57" t="s">
        <v>18</v>
      </c>
      <c r="M118" s="494"/>
      <c r="N118" s="477"/>
      <c r="O118" s="902"/>
      <c r="P118" s="902">
        <v>1880</v>
      </c>
      <c r="Q118" s="902">
        <f>'T5.2025'!F106</f>
        <v>4032</v>
      </c>
      <c r="R118" s="902"/>
      <c r="S118" s="477"/>
      <c r="T118" s="477"/>
      <c r="U118" s="477"/>
      <c r="V118" s="477"/>
      <c r="W118" s="477"/>
      <c r="X118" s="477"/>
      <c r="Y118" s="494">
        <f t="shared" ref="Y118:Y126" si="4">SUM(M118:X118)</f>
        <v>5912</v>
      </c>
    </row>
    <row r="119" spans="1:25" ht="27" customHeight="1" x14ac:dyDescent="0.2">
      <c r="A119" s="2964"/>
      <c r="B119" s="2965"/>
      <c r="C119" s="485" t="s">
        <v>22</v>
      </c>
      <c r="D119" s="216">
        <f>D118/$G$115*100</f>
        <v>17.583986437249973</v>
      </c>
      <c r="E119" s="216">
        <f>E118/$G$115*100</f>
        <v>0</v>
      </c>
      <c r="F119" s="216">
        <f>F118/$G$115*100</f>
        <v>0.40747735823803222</v>
      </c>
      <c r="G119" s="216">
        <f>SUM(D119:F119)</f>
        <v>17.991463795488006</v>
      </c>
      <c r="H119" s="556"/>
      <c r="I119" s="2950"/>
      <c r="J119" s="2951"/>
      <c r="K119" s="488"/>
      <c r="L119" s="57" t="s">
        <v>19</v>
      </c>
      <c r="M119" s="494"/>
      <c r="N119" s="477"/>
      <c r="O119" s="902"/>
      <c r="P119" s="902"/>
      <c r="Q119" s="902">
        <f>'T5.2025'!G106</f>
        <v>0</v>
      </c>
      <c r="R119" s="902"/>
      <c r="S119" s="477"/>
      <c r="T119" s="477"/>
      <c r="U119" s="477"/>
      <c r="V119" s="477"/>
      <c r="W119" s="477"/>
      <c r="X119" s="477"/>
      <c r="Y119" s="494">
        <f t="shared" si="4"/>
        <v>0</v>
      </c>
    </row>
    <row r="120" spans="1:25" ht="27" customHeight="1" x14ac:dyDescent="0.2">
      <c r="A120" s="2966"/>
      <c r="B120" s="2967"/>
      <c r="C120" s="485"/>
      <c r="D120" s="216"/>
      <c r="E120" s="216"/>
      <c r="F120" s="216"/>
      <c r="G120" s="216"/>
      <c r="H120" s="490"/>
      <c r="I120" s="2950"/>
      <c r="J120" s="2951"/>
      <c r="K120" s="488"/>
      <c r="L120" s="57" t="s">
        <v>20</v>
      </c>
      <c r="M120" s="494"/>
      <c r="N120" s="477"/>
      <c r="O120" s="902"/>
      <c r="P120" s="902">
        <v>113</v>
      </c>
      <c r="Q120" s="902">
        <f>'T5.2025'!H106</f>
        <v>24</v>
      </c>
      <c r="R120" s="902"/>
      <c r="S120" s="477"/>
      <c r="T120" s="477"/>
      <c r="U120" s="477"/>
      <c r="V120" s="477"/>
      <c r="W120" s="477"/>
      <c r="X120" s="477"/>
      <c r="Y120" s="494">
        <f t="shared" si="4"/>
        <v>137</v>
      </c>
    </row>
    <row r="121" spans="1:25" ht="27" customHeight="1" x14ac:dyDescent="0.2">
      <c r="A121" s="2962" t="s">
        <v>541</v>
      </c>
      <c r="B121" s="2963"/>
      <c r="C121" s="485" t="s">
        <v>21</v>
      </c>
      <c r="D121" s="214">
        <f>Y121</f>
        <v>74412.5</v>
      </c>
      <c r="E121" s="214">
        <f>Y122</f>
        <v>0</v>
      </c>
      <c r="F121" s="214">
        <f>Y123</f>
        <v>624.5</v>
      </c>
      <c r="G121" s="214">
        <f>SUM(D121:F121)</f>
        <v>75037</v>
      </c>
      <c r="H121" s="556">
        <f>G121/$G$124*100</f>
        <v>17.601159696330328</v>
      </c>
      <c r="I121" s="2950"/>
      <c r="J121" s="2951"/>
      <c r="K121" s="488"/>
      <c r="L121" s="57" t="s">
        <v>18</v>
      </c>
      <c r="M121" s="494"/>
      <c r="N121" s="477"/>
      <c r="O121" s="902"/>
      <c r="P121" s="902">
        <v>16658</v>
      </c>
      <c r="Q121" s="902">
        <f>'T5.2025'!F108</f>
        <v>57754.5</v>
      </c>
      <c r="R121" s="902"/>
      <c r="S121" s="477"/>
      <c r="T121" s="477"/>
      <c r="U121" s="477"/>
      <c r="V121" s="477"/>
      <c r="W121" s="477"/>
      <c r="X121" s="477"/>
      <c r="Y121" s="494">
        <f t="shared" si="4"/>
        <v>74412.5</v>
      </c>
    </row>
    <row r="122" spans="1:25" ht="27" customHeight="1" x14ac:dyDescent="0.2">
      <c r="A122" s="2964"/>
      <c r="B122" s="2965"/>
      <c r="C122" s="485" t="s">
        <v>22</v>
      </c>
      <c r="D122" s="216">
        <f>D121/$G$115*100</f>
        <v>221.32415269990929</v>
      </c>
      <c r="E122" s="216">
        <f>E121/$G$115*100</f>
        <v>0</v>
      </c>
      <c r="F122" s="216">
        <f>F121/$G$115*100</f>
        <v>1.8574424103624168</v>
      </c>
      <c r="G122" s="216">
        <f>SUM(D122:F122)</f>
        <v>223.1815951102717</v>
      </c>
      <c r="H122" s="556"/>
      <c r="I122" s="2950"/>
      <c r="J122" s="2951"/>
      <c r="K122" s="488"/>
      <c r="L122" s="57" t="s">
        <v>19</v>
      </c>
      <c r="M122" s="494"/>
      <c r="N122" s="477"/>
      <c r="O122" s="902"/>
      <c r="P122" s="902"/>
      <c r="Q122" s="902">
        <f>'T5.2025'!G108</f>
        <v>0</v>
      </c>
      <c r="R122" s="902"/>
      <c r="S122" s="477"/>
      <c r="T122" s="477"/>
      <c r="U122" s="477"/>
      <c r="V122" s="477"/>
      <c r="W122" s="477"/>
      <c r="X122" s="477"/>
      <c r="Y122" s="494">
        <f t="shared" si="4"/>
        <v>0</v>
      </c>
    </row>
    <row r="123" spans="1:25" ht="27" customHeight="1" x14ac:dyDescent="0.2">
      <c r="A123" s="2966"/>
      <c r="B123" s="2967"/>
      <c r="C123" s="485"/>
      <c r="D123" s="216"/>
      <c r="E123" s="216"/>
      <c r="F123" s="216"/>
      <c r="G123" s="216"/>
      <c r="H123" s="490"/>
      <c r="I123" s="2950"/>
      <c r="J123" s="2951"/>
      <c r="K123" s="488"/>
      <c r="L123" s="57" t="s">
        <v>20</v>
      </c>
      <c r="M123" s="494"/>
      <c r="N123" s="477"/>
      <c r="O123" s="902"/>
      <c r="P123" s="902">
        <v>77</v>
      </c>
      <c r="Q123" s="902">
        <f>'T5.2025'!H108</f>
        <v>547.5</v>
      </c>
      <c r="R123" s="902"/>
      <c r="S123" s="477"/>
      <c r="T123" s="477"/>
      <c r="U123" s="477"/>
      <c r="V123" s="477"/>
      <c r="W123" s="477"/>
      <c r="X123" s="477"/>
      <c r="Y123" s="494">
        <f t="shared" si="4"/>
        <v>624.5</v>
      </c>
    </row>
    <row r="124" spans="1:25" ht="27" customHeight="1" x14ac:dyDescent="0.2">
      <c r="A124" s="2774" t="s">
        <v>376</v>
      </c>
      <c r="B124" s="2774"/>
      <c r="C124" s="545" t="s">
        <v>21</v>
      </c>
      <c r="D124" s="1204">
        <f>D103+D106+D109+D112+D115+D118+D121</f>
        <v>420916</v>
      </c>
      <c r="E124" s="1204">
        <f>E103+E106+E109+E112+E115+E118+E121</f>
        <v>0</v>
      </c>
      <c r="F124" s="1204">
        <f>F103+F106+F109+F112+F115+F118+F121</f>
        <v>5402.5</v>
      </c>
      <c r="G124" s="1204">
        <f>SUM(D124:F124)</f>
        <v>426318.5</v>
      </c>
      <c r="H124" s="558"/>
      <c r="I124" s="2950"/>
      <c r="J124" s="2951"/>
      <c r="K124" s="557"/>
      <c r="L124" s="545" t="s">
        <v>18</v>
      </c>
      <c r="M124" s="543"/>
      <c r="N124" s="543"/>
      <c r="O124" s="907"/>
      <c r="P124" s="907"/>
      <c r="Q124" s="907"/>
      <c r="R124" s="907"/>
      <c r="S124" s="543"/>
      <c r="T124" s="543"/>
      <c r="U124" s="543"/>
      <c r="V124" s="543"/>
      <c r="W124" s="543"/>
      <c r="X124" s="543"/>
      <c r="Y124" s="494">
        <f t="shared" si="4"/>
        <v>0</v>
      </c>
    </row>
    <row r="125" spans="1:25" ht="27" customHeight="1" x14ac:dyDescent="0.2">
      <c r="A125" s="2774"/>
      <c r="B125" s="2774"/>
      <c r="C125" s="545" t="s">
        <v>22</v>
      </c>
      <c r="D125" s="551">
        <f>D124/$G$124*100</f>
        <v>98.732754970755437</v>
      </c>
      <c r="E125" s="551">
        <f>E124/$G$124*100</f>
        <v>0</v>
      </c>
      <c r="F125" s="551">
        <f>F124/$G$124*100</f>
        <v>1.2672450292445672</v>
      </c>
      <c r="G125" s="551">
        <f>SUM(D125:F125)</f>
        <v>100</v>
      </c>
      <c r="H125" s="558"/>
      <c r="I125" s="2950"/>
      <c r="J125" s="2951"/>
      <c r="K125" s="557"/>
      <c r="L125" s="545" t="s">
        <v>19</v>
      </c>
      <c r="M125" s="543"/>
      <c r="N125" s="543"/>
      <c r="O125" s="907"/>
      <c r="P125" s="907"/>
      <c r="Q125" s="907"/>
      <c r="R125" s="907"/>
      <c r="S125" s="543"/>
      <c r="T125" s="543"/>
      <c r="U125" s="543"/>
      <c r="V125" s="543"/>
      <c r="W125" s="543"/>
      <c r="X125" s="543"/>
      <c r="Y125" s="494">
        <f t="shared" si="4"/>
        <v>0</v>
      </c>
    </row>
    <row r="126" spans="1:25" ht="27" customHeight="1" x14ac:dyDescent="0.2">
      <c r="A126" s="2774"/>
      <c r="B126" s="2774"/>
      <c r="C126" s="554"/>
      <c r="D126" s="549"/>
      <c r="E126" s="549"/>
      <c r="F126" s="549"/>
      <c r="G126" s="549"/>
      <c r="H126" s="555"/>
      <c r="I126" s="2952"/>
      <c r="J126" s="2953"/>
      <c r="K126" s="557"/>
      <c r="L126" s="545" t="s">
        <v>20</v>
      </c>
      <c r="M126" s="543"/>
      <c r="N126" s="543"/>
      <c r="O126" s="907"/>
      <c r="P126" s="907"/>
      <c r="Q126" s="907"/>
      <c r="R126" s="907"/>
      <c r="S126" s="543"/>
      <c r="T126" s="543"/>
      <c r="U126" s="543"/>
      <c r="V126" s="543"/>
      <c r="W126" s="543"/>
      <c r="X126" s="543"/>
      <c r="Y126" s="494">
        <f t="shared" si="4"/>
        <v>0</v>
      </c>
    </row>
    <row r="127" spans="1:25" ht="27" customHeight="1" x14ac:dyDescent="0.2">
      <c r="A127" s="2960" t="s">
        <v>855</v>
      </c>
      <c r="B127" s="2960"/>
      <c r="C127" s="559" t="s">
        <v>21</v>
      </c>
      <c r="D127" s="1205">
        <f>D37+D67+D82+D100+D124</f>
        <v>1597274.7000000002</v>
      </c>
      <c r="E127" s="1205">
        <f>E37+E67+E82+E100+E124</f>
        <v>184.32</v>
      </c>
      <c r="F127" s="1205">
        <f>F37+F67+F82+F100+F124</f>
        <v>96251.58</v>
      </c>
      <c r="G127" s="1205">
        <f>SUM(D127:F127)</f>
        <v>1693710.6000000003</v>
      </c>
      <c r="H127" s="560"/>
      <c r="I127" s="2974"/>
      <c r="J127" s="2975"/>
      <c r="K127" s="479"/>
      <c r="L127" s="486" t="s">
        <v>359</v>
      </c>
      <c r="M127" s="1196">
        <f t="shared" ref="M127:Y127" si="5">SUM(M7:M126)</f>
        <v>115884.5</v>
      </c>
      <c r="N127" s="561">
        <f t="shared" si="5"/>
        <v>0</v>
      </c>
      <c r="O127" s="908">
        <f t="shared" si="5"/>
        <v>367895.4</v>
      </c>
      <c r="P127" s="908">
        <f t="shared" si="5"/>
        <v>392896</v>
      </c>
      <c r="Q127" s="908">
        <f t="shared" si="5"/>
        <v>386325.89999999997</v>
      </c>
      <c r="R127" s="908">
        <f t="shared" si="5"/>
        <v>430708.80000000005</v>
      </c>
      <c r="S127" s="561">
        <f t="shared" si="5"/>
        <v>0</v>
      </c>
      <c r="T127" s="561">
        <f t="shared" si="5"/>
        <v>0</v>
      </c>
      <c r="U127" s="561">
        <f t="shared" si="5"/>
        <v>0</v>
      </c>
      <c r="V127" s="561">
        <f t="shared" si="5"/>
        <v>0</v>
      </c>
      <c r="W127" s="561">
        <f t="shared" si="5"/>
        <v>0</v>
      </c>
      <c r="X127" s="561">
        <f t="shared" si="5"/>
        <v>0</v>
      </c>
      <c r="Y127" s="561">
        <f t="shared" si="5"/>
        <v>1693710.5999999999</v>
      </c>
    </row>
    <row r="128" spans="1:25" ht="27" customHeight="1" x14ac:dyDescent="0.2">
      <c r="A128" s="2961"/>
      <c r="B128" s="2961"/>
      <c r="C128" s="559" t="s">
        <v>22</v>
      </c>
      <c r="D128" s="560">
        <f>D127/$G$127*100</f>
        <v>94.306235079357705</v>
      </c>
      <c r="E128" s="560">
        <f>E127/$G$127*100</f>
        <v>1.0882614774920814E-2</v>
      </c>
      <c r="F128" s="560">
        <f>F127/$G$127*100</f>
        <v>5.6828823058673645</v>
      </c>
      <c r="G128" s="560">
        <f>SUM(D128:F128)</f>
        <v>99.999999999999986</v>
      </c>
      <c r="H128" s="560" t="e">
        <f>SUM(H14:H125)</f>
        <v>#DIV/0!</v>
      </c>
      <c r="I128" s="2976"/>
      <c r="J128" s="2975"/>
      <c r="K128" s="479"/>
      <c r="L128" s="486" t="s">
        <v>22</v>
      </c>
      <c r="M128" s="562"/>
      <c r="N128" s="477"/>
      <c r="O128" s="902"/>
      <c r="P128" s="902"/>
      <c r="Q128" s="902"/>
      <c r="R128" s="902"/>
      <c r="S128" s="477"/>
      <c r="T128" s="477"/>
      <c r="U128" s="477"/>
      <c r="V128" s="477"/>
      <c r="W128" s="477"/>
      <c r="X128" s="477"/>
      <c r="Y128" s="477"/>
    </row>
    <row r="129" spans="1:12" ht="27" customHeight="1" x14ac:dyDescent="0.2"/>
    <row r="130" spans="1:12" ht="27" customHeight="1" x14ac:dyDescent="0.2">
      <c r="A130" s="2977" t="s">
        <v>133</v>
      </c>
      <c r="B130" s="2978"/>
      <c r="C130" s="2978"/>
      <c r="D130" s="2978"/>
      <c r="E130" s="2978"/>
      <c r="F130" s="2978"/>
      <c r="G130" s="2978"/>
      <c r="H130" s="2978"/>
      <c r="I130" s="2978"/>
      <c r="J130" s="2979"/>
      <c r="K130" s="489"/>
      <c r="L130" s="489"/>
    </row>
    <row r="131" spans="1:12" ht="27" customHeight="1" x14ac:dyDescent="0.2">
      <c r="A131" s="221" t="s">
        <v>39</v>
      </c>
      <c r="B131" s="2551" t="s">
        <v>134</v>
      </c>
      <c r="C131" s="2551"/>
      <c r="D131" s="222" t="s">
        <v>6</v>
      </c>
      <c r="E131" s="222" t="s">
        <v>135</v>
      </c>
      <c r="F131" s="222" t="s">
        <v>43</v>
      </c>
      <c r="G131" s="222" t="s">
        <v>10</v>
      </c>
      <c r="H131" s="44" t="s">
        <v>314</v>
      </c>
      <c r="I131" s="2605" t="s">
        <v>47</v>
      </c>
      <c r="J131" s="2605"/>
      <c r="K131" s="462"/>
      <c r="L131" s="462"/>
    </row>
    <row r="132" spans="1:12" ht="27" customHeight="1" x14ac:dyDescent="0.2">
      <c r="A132" s="223">
        <v>1</v>
      </c>
      <c r="B132" s="2599" t="s">
        <v>137</v>
      </c>
      <c r="C132" s="2599"/>
      <c r="D132" s="224" t="s">
        <v>325</v>
      </c>
      <c r="E132" s="224" t="s">
        <v>140</v>
      </c>
      <c r="F132" s="830">
        <f>G37</f>
        <v>1062374.5999999999</v>
      </c>
      <c r="G132" s="224"/>
      <c r="H132" s="214">
        <f>F132/$F$137*100</f>
        <v>62.724682717342617</v>
      </c>
      <c r="I132" s="2600"/>
      <c r="J132" s="2600"/>
      <c r="K132" s="464"/>
      <c r="L132" s="464"/>
    </row>
    <row r="133" spans="1:12" ht="27" customHeight="1" x14ac:dyDescent="0.2">
      <c r="A133" s="223">
        <v>2</v>
      </c>
      <c r="B133" s="2599" t="s">
        <v>377</v>
      </c>
      <c r="C133" s="2599"/>
      <c r="D133" s="224" t="s">
        <v>328</v>
      </c>
      <c r="E133" s="224" t="s">
        <v>329</v>
      </c>
      <c r="F133" s="830">
        <f>G67</f>
        <v>99238.680000000008</v>
      </c>
      <c r="G133" s="224"/>
      <c r="H133" s="214">
        <f>F133/$F$137*100</f>
        <v>5.8592465560527298</v>
      </c>
      <c r="I133" s="2600"/>
      <c r="J133" s="2600"/>
      <c r="K133" s="464"/>
      <c r="L133" s="464"/>
    </row>
    <row r="134" spans="1:12" ht="27" customHeight="1" x14ac:dyDescent="0.2">
      <c r="A134" s="223">
        <v>3</v>
      </c>
      <c r="B134" s="2599" t="s">
        <v>377</v>
      </c>
      <c r="C134" s="2599"/>
      <c r="D134" s="224" t="s">
        <v>328</v>
      </c>
      <c r="E134" s="224" t="s">
        <v>141</v>
      </c>
      <c r="F134" s="830">
        <f>G82</f>
        <v>17320.32</v>
      </c>
      <c r="G134" s="224"/>
      <c r="H134" s="214">
        <f>F134/$F$137*100</f>
        <v>1.0226257071308404</v>
      </c>
      <c r="I134" s="2600"/>
      <c r="J134" s="2600"/>
      <c r="K134" s="464"/>
      <c r="L134" s="464"/>
    </row>
    <row r="135" spans="1:12" ht="27" customHeight="1" x14ac:dyDescent="0.2">
      <c r="A135" s="223">
        <v>4</v>
      </c>
      <c r="B135" s="2599" t="s">
        <v>377</v>
      </c>
      <c r="C135" s="2599"/>
      <c r="D135" s="224" t="s">
        <v>327</v>
      </c>
      <c r="E135" s="224" t="s">
        <v>329</v>
      </c>
      <c r="F135" s="830">
        <f>G100</f>
        <v>88458.5</v>
      </c>
      <c r="G135" s="224">
        <f>'T1.2025'!J16</f>
        <v>7.15</v>
      </c>
      <c r="H135" s="214">
        <f>F135/$F$137*100</f>
        <v>5.2227635583080136</v>
      </c>
      <c r="I135" s="707"/>
      <c r="J135" s="708"/>
      <c r="K135" s="464"/>
      <c r="L135" s="464"/>
    </row>
    <row r="136" spans="1:12" ht="27" customHeight="1" x14ac:dyDescent="0.2">
      <c r="A136" s="223">
        <v>5</v>
      </c>
      <c r="B136" s="2599" t="s">
        <v>377</v>
      </c>
      <c r="C136" s="2599"/>
      <c r="D136" s="224" t="s">
        <v>327</v>
      </c>
      <c r="E136" s="224" t="s">
        <v>378</v>
      </c>
      <c r="F136" s="830">
        <f>G124</f>
        <v>426318.5</v>
      </c>
      <c r="G136" s="224">
        <f>'T1.2025'!J22</f>
        <v>1.85</v>
      </c>
      <c r="H136" s="214">
        <f>F136/$F$137*100</f>
        <v>25.170681461165799</v>
      </c>
      <c r="I136" s="2695"/>
      <c r="J136" s="2697"/>
      <c r="K136" s="464"/>
      <c r="L136" s="464"/>
    </row>
    <row r="137" spans="1:12" ht="27" customHeight="1" x14ac:dyDescent="0.2">
      <c r="A137" s="563" t="s">
        <v>103</v>
      </c>
      <c r="B137" s="2773" t="s">
        <v>142</v>
      </c>
      <c r="C137" s="2774"/>
      <c r="D137" s="564" t="s">
        <v>142</v>
      </c>
      <c r="E137" s="564" t="s">
        <v>142</v>
      </c>
      <c r="F137" s="1202">
        <f>SUM(F132:F136)</f>
        <v>1693710.5999999999</v>
      </c>
      <c r="G137" s="565">
        <f>SUM(G132:G136)</f>
        <v>9</v>
      </c>
      <c r="H137" s="566">
        <f>SUM(H132:H136)</f>
        <v>100</v>
      </c>
      <c r="I137" s="2775"/>
      <c r="J137" s="2775"/>
      <c r="K137" s="464"/>
      <c r="L137" s="464"/>
    </row>
  </sheetData>
  <autoFilter ref="A6:Y128" xr:uid="{75232EB0-C937-CE41-A645-762EDA14C75D}">
    <filterColumn colId="0" showButton="0"/>
    <filterColumn colId="8" showButton="0"/>
  </autoFilter>
  <mergeCells count="66">
    <mergeCell ref="I136:J136"/>
    <mergeCell ref="B137:C137"/>
    <mergeCell ref="I137:J137"/>
    <mergeCell ref="I70:J84"/>
    <mergeCell ref="A73:B75"/>
    <mergeCell ref="A76:B78"/>
    <mergeCell ref="A79:B81"/>
    <mergeCell ref="A82:B84"/>
    <mergeCell ref="A112:B114"/>
    <mergeCell ref="B136:C136"/>
    <mergeCell ref="B132:C132"/>
    <mergeCell ref="I132:J132"/>
    <mergeCell ref="B133:C133"/>
    <mergeCell ref="I133:J133"/>
    <mergeCell ref="B134:C134"/>
    <mergeCell ref="I134:J134"/>
    <mergeCell ref="I127:J127"/>
    <mergeCell ref="I128:J128"/>
    <mergeCell ref="A130:J130"/>
    <mergeCell ref="B131:C131"/>
    <mergeCell ref="I131:J131"/>
    <mergeCell ref="I103:J126"/>
    <mergeCell ref="A106:B108"/>
    <mergeCell ref="A109:B111"/>
    <mergeCell ref="A115:B117"/>
    <mergeCell ref="A124:B126"/>
    <mergeCell ref="A103:B105"/>
    <mergeCell ref="I40:J69"/>
    <mergeCell ref="A43:B45"/>
    <mergeCell ref="A46:B48"/>
    <mergeCell ref="A49:B51"/>
    <mergeCell ref="A52:B54"/>
    <mergeCell ref="A55:B57"/>
    <mergeCell ref="A58:B60"/>
    <mergeCell ref="A61:B63"/>
    <mergeCell ref="A64:B66"/>
    <mergeCell ref="A67:B69"/>
    <mergeCell ref="A5:B6"/>
    <mergeCell ref="C5:C6"/>
    <mergeCell ref="D5:G5"/>
    <mergeCell ref="I5:J6"/>
    <mergeCell ref="I7:J39"/>
    <mergeCell ref="A10:B12"/>
    <mergeCell ref="A13:B15"/>
    <mergeCell ref="A16:B18"/>
    <mergeCell ref="A25:B27"/>
    <mergeCell ref="A37:B39"/>
    <mergeCell ref="A7:B9"/>
    <mergeCell ref="A19:B21"/>
    <mergeCell ref="A22:B24"/>
    <mergeCell ref="A28:B30"/>
    <mergeCell ref="A31:B33"/>
    <mergeCell ref="A34:B36"/>
    <mergeCell ref="B135:C135"/>
    <mergeCell ref="A40:B42"/>
    <mergeCell ref="A85:B87"/>
    <mergeCell ref="A70:B72"/>
    <mergeCell ref="A127:B128"/>
    <mergeCell ref="A118:B120"/>
    <mergeCell ref="A121:B123"/>
    <mergeCell ref="I85:J102"/>
    <mergeCell ref="A88:B90"/>
    <mergeCell ref="A91:B93"/>
    <mergeCell ref="A94:B96"/>
    <mergeCell ref="A97:B99"/>
    <mergeCell ref="A100:B102"/>
  </mergeCells>
  <pageMargins left="0.25" right="0.2" top="0.25" bottom="0.25" header="0.3" footer="0.3"/>
  <pageSetup paperSize="9" orientation="landscape"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C3A41-7AE8-264F-B7D6-4CCCC5623AAB}">
  <sheetPr codeName="Sheet4"/>
  <dimension ref="A5:AA78"/>
  <sheetViews>
    <sheetView zoomScale="140" zoomScaleNormal="140" workbookViewId="0">
      <pane xSplit="2" ySplit="6" topLeftCell="L13" activePane="bottomRight" state="frozen"/>
      <selection pane="topRight" activeCell="C1" sqref="C1"/>
      <selection pane="bottomLeft" activeCell="A7" sqref="A7"/>
      <selection pane="bottomRight" activeCell="C19" sqref="A19:XFD19"/>
    </sheetView>
  </sheetViews>
  <sheetFormatPr baseColWidth="10" defaultColWidth="10.83203125" defaultRowHeight="16" x14ac:dyDescent="0.2"/>
  <cols>
    <col min="1" max="1" width="10.83203125" style="476" customWidth="1"/>
    <col min="2" max="3" width="10.83203125" style="476"/>
    <col min="4" max="7" width="17.5" style="476" customWidth="1"/>
    <col min="8" max="8" width="13.33203125" style="476" customWidth="1"/>
    <col min="9" max="12" width="9.33203125" style="476" customWidth="1"/>
    <col min="13" max="13" width="12" style="476" bestFit="1" customWidth="1"/>
    <col min="14" max="14" width="12.6640625" style="476" customWidth="1"/>
    <col min="15" max="18" width="10.83203125" style="904"/>
    <col min="19" max="24" width="10.83203125" style="476"/>
    <col min="25" max="26" width="12.1640625" style="476" customWidth="1"/>
    <col min="27" max="16384" width="10.83203125" style="476"/>
  </cols>
  <sheetData>
    <row r="5" spans="1:27" ht="31" customHeight="1" x14ac:dyDescent="0.2">
      <c r="A5" s="2573" t="s">
        <v>105</v>
      </c>
      <c r="B5" s="2574"/>
      <c r="C5" s="2551" t="s">
        <v>17</v>
      </c>
      <c r="D5" s="2577" t="s">
        <v>106</v>
      </c>
      <c r="E5" s="2577"/>
      <c r="F5" s="2577"/>
      <c r="G5" s="2578"/>
      <c r="H5" s="201" t="s">
        <v>107</v>
      </c>
      <c r="I5" s="2551" t="s">
        <v>47</v>
      </c>
      <c r="J5" s="2551"/>
      <c r="K5" s="45"/>
      <c r="L5" s="45"/>
    </row>
    <row r="6" spans="1:27" ht="31" customHeight="1" x14ac:dyDescent="0.2">
      <c r="A6" s="2575"/>
      <c r="B6" s="2576"/>
      <c r="C6" s="2551"/>
      <c r="D6" s="200" t="s">
        <v>18</v>
      </c>
      <c r="E6" s="202" t="s">
        <v>19</v>
      </c>
      <c r="F6" s="202" t="s">
        <v>20</v>
      </c>
      <c r="G6" s="202" t="s">
        <v>108</v>
      </c>
      <c r="H6" s="201" t="s">
        <v>22</v>
      </c>
      <c r="I6" s="2551"/>
      <c r="J6" s="2551"/>
      <c r="K6" s="45"/>
      <c r="L6" s="11" t="s">
        <v>358</v>
      </c>
      <c r="M6" s="11" t="s">
        <v>154</v>
      </c>
      <c r="N6" s="11" t="s">
        <v>155</v>
      </c>
      <c r="O6" s="905" t="s">
        <v>156</v>
      </c>
      <c r="P6" s="905" t="s">
        <v>157</v>
      </c>
      <c r="Q6" s="905" t="s">
        <v>158</v>
      </c>
      <c r="R6" s="905" t="s">
        <v>159</v>
      </c>
      <c r="S6" s="11" t="s">
        <v>160</v>
      </c>
      <c r="T6" s="11" t="s">
        <v>161</v>
      </c>
      <c r="U6" s="11" t="s">
        <v>162</v>
      </c>
      <c r="V6" s="11" t="s">
        <v>111</v>
      </c>
      <c r="W6" s="11" t="s">
        <v>29</v>
      </c>
      <c r="X6" s="11" t="s">
        <v>31</v>
      </c>
      <c r="Y6" s="11" t="s">
        <v>33</v>
      </c>
      <c r="Z6" s="11" t="s">
        <v>450</v>
      </c>
      <c r="AA6" s="477" t="s">
        <v>10</v>
      </c>
    </row>
    <row r="7" spans="1:27" ht="31" customHeight="1" x14ac:dyDescent="0.2">
      <c r="A7" s="2905" t="s">
        <v>109</v>
      </c>
      <c r="B7" s="2905"/>
      <c r="C7" s="487" t="s">
        <v>21</v>
      </c>
      <c r="D7" s="203">
        <f>Y7</f>
        <v>111178.56</v>
      </c>
      <c r="E7" s="203">
        <f>Y8</f>
        <v>3644.6400000000003</v>
      </c>
      <c r="F7" s="203">
        <f>Y9</f>
        <v>18577.439999999999</v>
      </c>
      <c r="G7" s="204">
        <f t="shared" ref="G7:G32" si="0">SUM(D7:F7)</f>
        <v>133400.63999999998</v>
      </c>
      <c r="H7" s="205"/>
      <c r="I7" s="2647" t="s">
        <v>110</v>
      </c>
      <c r="J7" s="2649"/>
      <c r="K7" s="209"/>
      <c r="L7" s="57" t="s">
        <v>18</v>
      </c>
      <c r="M7" s="494">
        <f>'T1.2025'!F45</f>
        <v>0</v>
      </c>
      <c r="N7" s="494"/>
      <c r="O7" s="902">
        <f>'T3.2025 '!F57</f>
        <v>64971.360000000001</v>
      </c>
      <c r="P7" s="902">
        <v>41916</v>
      </c>
      <c r="Q7" s="902">
        <f>'T5.2025'!F70</f>
        <v>4291.2</v>
      </c>
      <c r="R7" s="902"/>
      <c r="S7" s="477"/>
      <c r="T7" s="477"/>
      <c r="U7" s="477"/>
      <c r="V7" s="477"/>
      <c r="W7" s="477"/>
      <c r="X7" s="477"/>
      <c r="Y7" s="959">
        <f t="shared" ref="Y7:Y21" si="1">SUM(M7:X7)</f>
        <v>111178.56</v>
      </c>
      <c r="Z7" s="494"/>
      <c r="AA7" s="477"/>
    </row>
    <row r="8" spans="1:27" ht="31" customHeight="1" x14ac:dyDescent="0.2">
      <c r="A8" s="2905"/>
      <c r="B8" s="2905"/>
      <c r="C8" s="493" t="s">
        <v>22</v>
      </c>
      <c r="D8" s="206">
        <f>D7/$G$7*100</f>
        <v>83.341849034607336</v>
      </c>
      <c r="E8" s="206">
        <f>E7/$G$7*100</f>
        <v>2.7321008354982408</v>
      </c>
      <c r="F8" s="206">
        <f>F7/$G$7*100</f>
        <v>13.926050129894429</v>
      </c>
      <c r="G8" s="207">
        <f t="shared" si="0"/>
        <v>100.00000000000001</v>
      </c>
      <c r="H8" s="208">
        <f>G7/$G$70*100</f>
        <v>7.8349272615655705</v>
      </c>
      <c r="I8" s="2650"/>
      <c r="J8" s="2651"/>
      <c r="K8" s="209"/>
      <c r="L8" s="57" t="s">
        <v>19</v>
      </c>
      <c r="M8" s="494">
        <f>'T1.2025'!G45</f>
        <v>0</v>
      </c>
      <c r="N8" s="477"/>
      <c r="O8" s="902">
        <f>'T3.2025 '!G57</f>
        <v>2617.92</v>
      </c>
      <c r="P8" s="902">
        <v>853.92</v>
      </c>
      <c r="Q8" s="902">
        <f>'T5.2025'!G70</f>
        <v>172.8</v>
      </c>
      <c r="R8" s="902"/>
      <c r="S8" s="477"/>
      <c r="T8" s="477"/>
      <c r="U8" s="477"/>
      <c r="V8" s="477"/>
      <c r="W8" s="477"/>
      <c r="X8" s="477"/>
      <c r="Y8" s="959">
        <f t="shared" si="1"/>
        <v>3644.6400000000003</v>
      </c>
      <c r="Z8" s="494"/>
      <c r="AA8" s="477"/>
    </row>
    <row r="9" spans="1:27" ht="31" customHeight="1" x14ac:dyDescent="0.2">
      <c r="A9" s="2905"/>
      <c r="B9" s="2905"/>
      <c r="C9" s="493"/>
      <c r="D9" s="206"/>
      <c r="E9" s="206"/>
      <c r="F9" s="206"/>
      <c r="G9" s="207"/>
      <c r="H9" s="208"/>
      <c r="I9" s="2650"/>
      <c r="J9" s="2651"/>
      <c r="K9" s="209"/>
      <c r="L9" s="57" t="s">
        <v>20</v>
      </c>
      <c r="M9" s="494">
        <f>'T1.2025'!H45</f>
        <v>0</v>
      </c>
      <c r="N9" s="477"/>
      <c r="O9" s="902">
        <f>'T3.2025 '!H57</f>
        <v>15330.24</v>
      </c>
      <c r="P9" s="902">
        <v>2443.6799999999998</v>
      </c>
      <c r="Q9" s="902">
        <f>'T5.2025'!H70</f>
        <v>803.52</v>
      </c>
      <c r="R9" s="902"/>
      <c r="S9" s="477"/>
      <c r="T9" s="477"/>
      <c r="U9" s="477"/>
      <c r="V9" s="477"/>
      <c r="W9" s="477"/>
      <c r="X9" s="477"/>
      <c r="Y9" s="959">
        <f t="shared" si="1"/>
        <v>18577.439999999999</v>
      </c>
      <c r="Z9" s="494"/>
      <c r="AA9" s="477"/>
    </row>
    <row r="10" spans="1:27" ht="31" customHeight="1" x14ac:dyDescent="0.2">
      <c r="A10" s="2905" t="s">
        <v>112</v>
      </c>
      <c r="B10" s="2905"/>
      <c r="C10" s="493" t="s">
        <v>21</v>
      </c>
      <c r="D10" s="203">
        <f>Y10</f>
        <v>0</v>
      </c>
      <c r="E10" s="203">
        <f>Y11</f>
        <v>0</v>
      </c>
      <c r="F10" s="203">
        <f>Y12</f>
        <v>0</v>
      </c>
      <c r="G10" s="204">
        <f t="shared" si="0"/>
        <v>0</v>
      </c>
      <c r="H10" s="208"/>
      <c r="I10" s="2650"/>
      <c r="J10" s="2651"/>
      <c r="K10" s="209"/>
      <c r="L10" s="57" t="s">
        <v>18</v>
      </c>
      <c r="M10" s="477"/>
      <c r="N10" s="477"/>
      <c r="O10" s="902"/>
      <c r="P10" s="902"/>
      <c r="Q10" s="902"/>
      <c r="R10" s="902"/>
      <c r="S10" s="477"/>
      <c r="T10" s="477"/>
      <c r="U10" s="477"/>
      <c r="V10" s="477"/>
      <c r="W10" s="477"/>
      <c r="X10" s="477"/>
      <c r="Y10" s="494">
        <f t="shared" si="1"/>
        <v>0</v>
      </c>
      <c r="Z10" s="494"/>
      <c r="AA10" s="477"/>
    </row>
    <row r="11" spans="1:27" ht="31" customHeight="1" x14ac:dyDescent="0.2">
      <c r="A11" s="2905"/>
      <c r="B11" s="2905"/>
      <c r="C11" s="493" t="s">
        <v>22</v>
      </c>
      <c r="D11" s="207" t="e">
        <f>D10/$G$10*100</f>
        <v>#DIV/0!</v>
      </c>
      <c r="E11" s="207" t="e">
        <f>E10/$G$10*100</f>
        <v>#DIV/0!</v>
      </c>
      <c r="F11" s="207" t="e">
        <f>F10/$G$10*100</f>
        <v>#DIV/0!</v>
      </c>
      <c r="G11" s="204" t="e">
        <f t="shared" si="0"/>
        <v>#DIV/0!</v>
      </c>
      <c r="H11" s="208">
        <f>G10/$G$70*100</f>
        <v>0</v>
      </c>
      <c r="I11" s="2650"/>
      <c r="J11" s="2651"/>
      <c r="K11" s="209"/>
      <c r="L11" s="57" t="s">
        <v>19</v>
      </c>
      <c r="M11" s="477"/>
      <c r="N11" s="477"/>
      <c r="O11" s="902"/>
      <c r="P11" s="902"/>
      <c r="Q11" s="902"/>
      <c r="R11" s="902"/>
      <c r="S11" s="477"/>
      <c r="T11" s="477"/>
      <c r="U11" s="477"/>
      <c r="V11" s="477"/>
      <c r="W11" s="477"/>
      <c r="X11" s="477"/>
      <c r="Y11" s="494">
        <f t="shared" si="1"/>
        <v>0</v>
      </c>
      <c r="Z11" s="494"/>
      <c r="AA11" s="477"/>
    </row>
    <row r="12" spans="1:27" ht="31" customHeight="1" x14ac:dyDescent="0.2">
      <c r="A12" s="2905"/>
      <c r="B12" s="2905"/>
      <c r="C12" s="493"/>
      <c r="D12" s="207"/>
      <c r="E12" s="207"/>
      <c r="F12" s="207"/>
      <c r="G12" s="204"/>
      <c r="H12" s="208"/>
      <c r="I12" s="2650"/>
      <c r="J12" s="2651"/>
      <c r="K12" s="209"/>
      <c r="L12" s="57" t="s">
        <v>20</v>
      </c>
      <c r="M12" s="477"/>
      <c r="N12" s="477"/>
      <c r="O12" s="902"/>
      <c r="P12" s="902"/>
      <c r="Q12" s="902"/>
      <c r="R12" s="902"/>
      <c r="S12" s="477"/>
      <c r="T12" s="477"/>
      <c r="U12" s="477"/>
      <c r="V12" s="477"/>
      <c r="W12" s="477"/>
      <c r="X12" s="477"/>
      <c r="Y12" s="494">
        <f t="shared" si="1"/>
        <v>0</v>
      </c>
      <c r="Z12" s="494"/>
      <c r="AA12" s="477"/>
    </row>
    <row r="13" spans="1:27" ht="31" customHeight="1" x14ac:dyDescent="0.2">
      <c r="A13" s="2905" t="s">
        <v>113</v>
      </c>
      <c r="B13" s="2905"/>
      <c r="C13" s="493" t="s">
        <v>21</v>
      </c>
      <c r="D13" s="204">
        <f>Y13</f>
        <v>164010.23999999999</v>
      </c>
      <c r="E13" s="204">
        <f>Y14</f>
        <v>0</v>
      </c>
      <c r="F13" s="204">
        <f>Y15</f>
        <v>0</v>
      </c>
      <c r="G13" s="204">
        <f>SUM(D13:F13)</f>
        <v>164010.23999999999</v>
      </c>
      <c r="H13" s="208"/>
      <c r="I13" s="2650"/>
      <c r="J13" s="2651"/>
      <c r="K13" s="209"/>
      <c r="L13" s="57" t="s">
        <v>18</v>
      </c>
      <c r="M13" s="494">
        <f>'T1.2025'!F47</f>
        <v>0</v>
      </c>
      <c r="N13" s="477"/>
      <c r="O13" s="902">
        <f>'T3.2025 '!F55</f>
        <v>164010.23999999999</v>
      </c>
      <c r="P13" s="902"/>
      <c r="Q13" s="902"/>
      <c r="R13" s="902"/>
      <c r="S13" s="477"/>
      <c r="T13" s="477"/>
      <c r="U13" s="477"/>
      <c r="V13" s="477"/>
      <c r="W13" s="477"/>
      <c r="X13" s="477"/>
      <c r="Y13" s="959">
        <f t="shared" si="1"/>
        <v>164010.23999999999</v>
      </c>
      <c r="Z13" s="494"/>
      <c r="AA13" s="477"/>
    </row>
    <row r="14" spans="1:27" ht="31" customHeight="1" x14ac:dyDescent="0.2">
      <c r="A14" s="2905"/>
      <c r="B14" s="2905"/>
      <c r="C14" s="493" t="s">
        <v>22</v>
      </c>
      <c r="D14" s="207">
        <f>D13/$G$13*100</f>
        <v>100</v>
      </c>
      <c r="E14" s="207">
        <f>E13/$G$13*100</f>
        <v>0</v>
      </c>
      <c r="F14" s="207">
        <f>F13/$G$13*100</f>
        <v>0</v>
      </c>
      <c r="G14" s="207">
        <f>SUM(D14:F14)</f>
        <v>100</v>
      </c>
      <c r="H14" s="208">
        <f>G13/$G$70*100</f>
        <v>9.6326996673472625</v>
      </c>
      <c r="I14" s="2650"/>
      <c r="J14" s="2651"/>
      <c r="K14" s="209"/>
      <c r="L14" s="57" t="s">
        <v>19</v>
      </c>
      <c r="M14" s="494">
        <f>'T1.2025'!G47</f>
        <v>0</v>
      </c>
      <c r="N14" s="477"/>
      <c r="O14" s="902"/>
      <c r="P14" s="902"/>
      <c r="Q14" s="902"/>
      <c r="R14" s="902"/>
      <c r="S14" s="477"/>
      <c r="T14" s="477"/>
      <c r="U14" s="477"/>
      <c r="V14" s="477"/>
      <c r="W14" s="477"/>
      <c r="X14" s="477"/>
      <c r="Y14" s="959">
        <f t="shared" si="1"/>
        <v>0</v>
      </c>
      <c r="Z14" s="494"/>
      <c r="AA14" s="477"/>
    </row>
    <row r="15" spans="1:27" ht="31" customHeight="1" x14ac:dyDescent="0.2">
      <c r="A15" s="2905"/>
      <c r="B15" s="2905"/>
      <c r="C15" s="493"/>
      <c r="D15" s="207"/>
      <c r="E15" s="207"/>
      <c r="F15" s="207"/>
      <c r="G15" s="207"/>
      <c r="H15" s="208"/>
      <c r="I15" s="2650"/>
      <c r="J15" s="2651"/>
      <c r="K15" s="209"/>
      <c r="L15" s="57" t="s">
        <v>20</v>
      </c>
      <c r="M15" s="494">
        <f>'T1.2025'!H47</f>
        <v>0</v>
      </c>
      <c r="N15" s="477"/>
      <c r="O15" s="902">
        <f>'T3.2025 '!H55</f>
        <v>0</v>
      </c>
      <c r="P15" s="902"/>
      <c r="Q15" s="902"/>
      <c r="R15" s="902"/>
      <c r="S15" s="477"/>
      <c r="T15" s="477"/>
      <c r="U15" s="477"/>
      <c r="V15" s="477"/>
      <c r="W15" s="477"/>
      <c r="X15" s="477"/>
      <c r="Y15" s="959">
        <f t="shared" si="1"/>
        <v>0</v>
      </c>
      <c r="Z15" s="494"/>
      <c r="AA15" s="477"/>
    </row>
    <row r="16" spans="1:27" ht="31" customHeight="1" x14ac:dyDescent="0.2">
      <c r="A16" s="2905" t="s">
        <v>114</v>
      </c>
      <c r="B16" s="2905"/>
      <c r="C16" s="493" t="s">
        <v>21</v>
      </c>
      <c r="D16" s="204">
        <f>Y16</f>
        <v>26395.200000000001</v>
      </c>
      <c r="E16" s="204">
        <f>Y17</f>
        <v>0</v>
      </c>
      <c r="F16" s="204">
        <f>Y18</f>
        <v>2674.08</v>
      </c>
      <c r="G16" s="204">
        <f t="shared" si="0"/>
        <v>29069.279999999999</v>
      </c>
      <c r="H16" s="208"/>
      <c r="I16" s="2650"/>
      <c r="J16" s="2651"/>
      <c r="K16" s="209"/>
      <c r="L16" s="57" t="s">
        <v>18</v>
      </c>
      <c r="M16" s="494">
        <f>'T1.2025'!F49</f>
        <v>0</v>
      </c>
      <c r="N16" s="477"/>
      <c r="O16" s="902">
        <f>'T3.2025 '!F59</f>
        <v>2779.2</v>
      </c>
      <c r="P16" s="902"/>
      <c r="Q16" s="902">
        <f>'T5.2025'!F74</f>
        <v>23616</v>
      </c>
      <c r="R16" s="902"/>
      <c r="S16" s="477"/>
      <c r="T16" s="477"/>
      <c r="U16" s="477"/>
      <c r="V16" s="477"/>
      <c r="W16" s="477"/>
      <c r="X16" s="477"/>
      <c r="Y16" s="959">
        <f t="shared" si="1"/>
        <v>26395.200000000001</v>
      </c>
      <c r="Z16" s="494"/>
      <c r="AA16" s="477"/>
    </row>
    <row r="17" spans="1:27" ht="31" customHeight="1" x14ac:dyDescent="0.2">
      <c r="A17" s="2905"/>
      <c r="B17" s="2905"/>
      <c r="C17" s="493" t="s">
        <v>22</v>
      </c>
      <c r="D17" s="207">
        <f>D16/$G$16*100</f>
        <v>90.80101055134493</v>
      </c>
      <c r="E17" s="207">
        <f>E16/$G$16*100</f>
        <v>0</v>
      </c>
      <c r="F17" s="207">
        <f>F16/$G$16*100</f>
        <v>9.198989448655075</v>
      </c>
      <c r="G17" s="207">
        <f t="shared" si="0"/>
        <v>100</v>
      </c>
      <c r="H17" s="208">
        <f>G16/$G$70*100</f>
        <v>1.707305859597696</v>
      </c>
      <c r="I17" s="2650"/>
      <c r="J17" s="2651"/>
      <c r="K17" s="209"/>
      <c r="L17" s="57" t="s">
        <v>19</v>
      </c>
      <c r="M17" s="494">
        <f>'T1.2025'!G49</f>
        <v>0</v>
      </c>
      <c r="N17" s="477"/>
      <c r="O17" s="902"/>
      <c r="P17" s="902"/>
      <c r="Q17" s="902">
        <f>'T5.2025'!G74</f>
        <v>0</v>
      </c>
      <c r="R17" s="902"/>
      <c r="S17" s="477"/>
      <c r="T17" s="477"/>
      <c r="U17" s="477"/>
      <c r="V17" s="477"/>
      <c r="W17" s="477"/>
      <c r="X17" s="477"/>
      <c r="Y17" s="959">
        <f t="shared" si="1"/>
        <v>0</v>
      </c>
      <c r="Z17" s="494"/>
      <c r="AA17" s="477"/>
    </row>
    <row r="18" spans="1:27" ht="31" customHeight="1" x14ac:dyDescent="0.2">
      <c r="A18" s="2905"/>
      <c r="B18" s="2905"/>
      <c r="C18" s="493"/>
      <c r="D18" s="207"/>
      <c r="E18" s="207"/>
      <c r="F18" s="207"/>
      <c r="G18" s="204"/>
      <c r="H18" s="208"/>
      <c r="I18" s="2650"/>
      <c r="J18" s="2651"/>
      <c r="K18" s="209"/>
      <c r="L18" s="57" t="s">
        <v>20</v>
      </c>
      <c r="M18" s="494">
        <f>'T1.2025'!H49</f>
        <v>0</v>
      </c>
      <c r="N18" s="477"/>
      <c r="O18" s="902">
        <f>'T3.2025 '!H59</f>
        <v>259.2</v>
      </c>
      <c r="P18" s="902"/>
      <c r="Q18" s="902">
        <f>'T5.2025'!H74</f>
        <v>2414.88</v>
      </c>
      <c r="R18" s="902"/>
      <c r="S18" s="477"/>
      <c r="T18" s="477"/>
      <c r="U18" s="477"/>
      <c r="V18" s="477"/>
      <c r="W18" s="477"/>
      <c r="X18" s="477"/>
      <c r="Y18" s="959">
        <f t="shared" si="1"/>
        <v>2674.08</v>
      </c>
      <c r="Z18" s="494"/>
      <c r="AA18" s="477"/>
    </row>
    <row r="19" spans="1:27" ht="31" customHeight="1" x14ac:dyDescent="0.2">
      <c r="A19" s="2905" t="s">
        <v>117</v>
      </c>
      <c r="B19" s="2905"/>
      <c r="C19" s="493" t="s">
        <v>21</v>
      </c>
      <c r="D19" s="204">
        <f>Y19</f>
        <v>5518.4</v>
      </c>
      <c r="E19" s="204">
        <f>Y20</f>
        <v>0</v>
      </c>
      <c r="F19" s="204">
        <f>Y21</f>
        <v>634.83999999999992</v>
      </c>
      <c r="G19" s="204">
        <f t="shared" si="0"/>
        <v>6153.24</v>
      </c>
      <c r="H19" s="208"/>
      <c r="I19" s="2650"/>
      <c r="J19" s="2651"/>
      <c r="K19" s="209"/>
      <c r="L19" s="57" t="s">
        <v>18</v>
      </c>
      <c r="M19" s="477"/>
      <c r="N19" s="477"/>
      <c r="O19" s="902"/>
      <c r="P19" s="902">
        <v>3020</v>
      </c>
      <c r="Q19" s="902">
        <f>'T5.2025'!F72</f>
        <v>2498.4</v>
      </c>
      <c r="R19" s="902"/>
      <c r="S19" s="477"/>
      <c r="T19" s="477"/>
      <c r="U19" s="477"/>
      <c r="V19" s="477"/>
      <c r="W19" s="477"/>
      <c r="X19" s="477"/>
      <c r="Y19" s="959">
        <f t="shared" si="1"/>
        <v>5518.4</v>
      </c>
      <c r="Z19" s="494"/>
      <c r="AA19" s="477"/>
    </row>
    <row r="20" spans="1:27" ht="31" customHeight="1" x14ac:dyDescent="0.2">
      <c r="A20" s="2905"/>
      <c r="B20" s="2905"/>
      <c r="C20" s="493" t="s">
        <v>22</v>
      </c>
      <c r="D20" s="207">
        <f>D19/$G$19*100</f>
        <v>89.682833759125273</v>
      </c>
      <c r="E20" s="207">
        <f>E19/$G$19*100</f>
        <v>0</v>
      </c>
      <c r="F20" s="207">
        <f>F19/$G$19*100</f>
        <v>10.317166240874725</v>
      </c>
      <c r="G20" s="204">
        <f t="shared" si="0"/>
        <v>100</v>
      </c>
      <c r="H20" s="208">
        <f>G19/$G$70*100</f>
        <v>0.36139397699258213</v>
      </c>
      <c r="I20" s="2650"/>
      <c r="J20" s="2651"/>
      <c r="K20" s="209"/>
      <c r="L20" s="57" t="s">
        <v>19</v>
      </c>
      <c r="M20" s="477"/>
      <c r="N20" s="477"/>
      <c r="O20" s="902"/>
      <c r="P20" s="902"/>
      <c r="Q20" s="902">
        <f>'T5.2025'!G72</f>
        <v>0</v>
      </c>
      <c r="R20" s="902"/>
      <c r="S20" s="477"/>
      <c r="T20" s="477"/>
      <c r="U20" s="477"/>
      <c r="V20" s="477"/>
      <c r="W20" s="477"/>
      <c r="X20" s="477"/>
      <c r="Y20" s="959">
        <f t="shared" si="1"/>
        <v>0</v>
      </c>
      <c r="Z20" s="494"/>
      <c r="AA20" s="477"/>
    </row>
    <row r="21" spans="1:27" ht="31" customHeight="1" x14ac:dyDescent="0.2">
      <c r="A21" s="2905"/>
      <c r="B21" s="2905"/>
      <c r="C21" s="493"/>
      <c r="D21" s="207"/>
      <c r="E21" s="207"/>
      <c r="F21" s="207"/>
      <c r="G21" s="204"/>
      <c r="H21" s="208"/>
      <c r="I21" s="2650"/>
      <c r="J21" s="2651"/>
      <c r="K21" s="209"/>
      <c r="L21" s="57" t="s">
        <v>20</v>
      </c>
      <c r="M21" s="477"/>
      <c r="N21" s="477"/>
      <c r="O21" s="902"/>
      <c r="P21" s="902">
        <v>187</v>
      </c>
      <c r="Q21" s="902">
        <f>'T5.2025'!H72</f>
        <v>447.84</v>
      </c>
      <c r="R21" s="902"/>
      <c r="S21" s="477"/>
      <c r="T21" s="477"/>
      <c r="U21" s="477"/>
      <c r="V21" s="477"/>
      <c r="W21" s="477"/>
      <c r="X21" s="477"/>
      <c r="Y21" s="959">
        <f t="shared" si="1"/>
        <v>634.83999999999992</v>
      </c>
      <c r="Z21" s="494"/>
      <c r="AA21" s="477"/>
    </row>
    <row r="22" spans="1:27" ht="31" customHeight="1" x14ac:dyDescent="0.2">
      <c r="A22" s="2980" t="s">
        <v>366</v>
      </c>
      <c r="B22" s="2981"/>
      <c r="C22" s="538" t="s">
        <v>21</v>
      </c>
      <c r="D22" s="539">
        <f>D7+D10+D13+D16+D19</f>
        <v>307102.40000000002</v>
      </c>
      <c r="E22" s="539">
        <f>E7+E10+E13+E16+E19</f>
        <v>3644.6400000000003</v>
      </c>
      <c r="F22" s="539">
        <f>F7+F10+F13+F16+F19</f>
        <v>21886.359999999997</v>
      </c>
      <c r="G22" s="540">
        <f>SUM(D22:F22)</f>
        <v>332633.40000000002</v>
      </c>
      <c r="H22" s="208"/>
      <c r="I22" s="2650"/>
      <c r="J22" s="2651"/>
      <c r="K22" s="209"/>
      <c r="L22" s="545" t="s">
        <v>18</v>
      </c>
      <c r="M22" s="546"/>
      <c r="N22" s="546"/>
      <c r="O22" s="906"/>
      <c r="P22" s="906"/>
      <c r="Q22" s="906"/>
      <c r="R22" s="906"/>
      <c r="S22" s="546"/>
      <c r="T22" s="546"/>
      <c r="U22" s="546"/>
      <c r="V22" s="546"/>
      <c r="W22" s="546"/>
      <c r="X22" s="546"/>
      <c r="Y22" s="547"/>
      <c r="Z22" s="547"/>
      <c r="AA22" s="546"/>
    </row>
    <row r="23" spans="1:27" ht="31" customHeight="1" x14ac:dyDescent="0.2">
      <c r="A23" s="2982"/>
      <c r="B23" s="2983"/>
      <c r="C23" s="567" t="s">
        <v>22</v>
      </c>
      <c r="D23" s="539">
        <f>D22/$G$22*100</f>
        <v>92.32458315971877</v>
      </c>
      <c r="E23" s="539">
        <f>E22/$G$22*100</f>
        <v>1.095692735606226</v>
      </c>
      <c r="F23" s="539">
        <f>F22/$G$22*100</f>
        <v>6.5797241046749955</v>
      </c>
      <c r="G23" s="539">
        <f>SUM(D23:F23)</f>
        <v>99.999999999999986</v>
      </c>
      <c r="H23" s="208">
        <f>G22/$G$70*100</f>
        <v>19.536326765503116</v>
      </c>
      <c r="I23" s="2650"/>
      <c r="J23" s="2651"/>
      <c r="K23" s="209"/>
      <c r="L23" s="545" t="s">
        <v>19</v>
      </c>
      <c r="M23" s="546"/>
      <c r="N23" s="546"/>
      <c r="O23" s="906"/>
      <c r="P23" s="906"/>
      <c r="Q23" s="906"/>
      <c r="R23" s="906"/>
      <c r="S23" s="546"/>
      <c r="T23" s="546"/>
      <c r="U23" s="546"/>
      <c r="V23" s="546"/>
      <c r="W23" s="546"/>
      <c r="X23" s="546"/>
      <c r="Y23" s="547"/>
      <c r="Z23" s="547"/>
      <c r="AA23" s="546"/>
    </row>
    <row r="24" spans="1:27" ht="31" customHeight="1" x14ac:dyDescent="0.2">
      <c r="A24" s="2984"/>
      <c r="B24" s="2985"/>
      <c r="C24" s="567"/>
      <c r="D24" s="539"/>
      <c r="E24" s="539"/>
      <c r="F24" s="539"/>
      <c r="G24" s="539"/>
      <c r="H24" s="208"/>
      <c r="I24" s="2652"/>
      <c r="J24" s="2653"/>
      <c r="K24" s="209"/>
      <c r="L24" s="545" t="s">
        <v>20</v>
      </c>
      <c r="M24" s="546"/>
      <c r="N24" s="546"/>
      <c r="O24" s="906"/>
      <c r="P24" s="906"/>
      <c r="Q24" s="906"/>
      <c r="R24" s="906"/>
      <c r="S24" s="546"/>
      <c r="T24" s="546"/>
      <c r="U24" s="546"/>
      <c r="V24" s="546"/>
      <c r="W24" s="546"/>
      <c r="X24" s="546"/>
      <c r="Y24" s="547"/>
      <c r="Z24" s="547"/>
      <c r="AA24" s="546"/>
    </row>
    <row r="25" spans="1:27" ht="31" customHeight="1" x14ac:dyDescent="0.2">
      <c r="A25" s="2904" t="s">
        <v>120</v>
      </c>
      <c r="B25" s="2904"/>
      <c r="C25" s="493" t="s">
        <v>21</v>
      </c>
      <c r="D25" s="203">
        <f>Y25</f>
        <v>774043.20000000007</v>
      </c>
      <c r="E25" s="203">
        <f>Y26</f>
        <v>36695.360000000001</v>
      </c>
      <c r="F25" s="203">
        <f>Y27</f>
        <v>41104.6</v>
      </c>
      <c r="G25" s="212">
        <f t="shared" si="0"/>
        <v>851843.16</v>
      </c>
      <c r="H25" s="208"/>
      <c r="I25" s="2647" t="s">
        <v>121</v>
      </c>
      <c r="J25" s="2649"/>
      <c r="K25" s="209"/>
      <c r="L25" s="57" t="s">
        <v>18</v>
      </c>
      <c r="M25" s="494">
        <f>'T1.2025'!F53</f>
        <v>0</v>
      </c>
      <c r="N25" s="902">
        <f>'T2.2025 '!F49</f>
        <v>76659.839999999997</v>
      </c>
      <c r="O25" s="902">
        <f>'T3.2025 '!F37</f>
        <v>152226.72</v>
      </c>
      <c r="P25" s="902">
        <v>228780</v>
      </c>
      <c r="Q25" s="902">
        <f>'T5.2025'!F52</f>
        <v>151758.72</v>
      </c>
      <c r="R25" s="902">
        <f>'T6.2025'!F54</f>
        <v>164617.92000000001</v>
      </c>
      <c r="S25" s="477"/>
      <c r="T25" s="477"/>
      <c r="U25" s="477"/>
      <c r="V25" s="477"/>
      <c r="W25" s="477"/>
      <c r="X25" s="477"/>
      <c r="Y25" s="959">
        <f t="shared" ref="Y25:Y51" si="2">SUM(M25:X25)</f>
        <v>774043.20000000007</v>
      </c>
      <c r="Z25" s="494"/>
      <c r="AA25" s="477"/>
    </row>
    <row r="26" spans="1:27" ht="31" customHeight="1" x14ac:dyDescent="0.2">
      <c r="A26" s="2904"/>
      <c r="B26" s="2904"/>
      <c r="C26" s="493" t="s">
        <v>22</v>
      </c>
      <c r="D26" s="213">
        <f>D25/$G$25*100</f>
        <v>90.866868027677768</v>
      </c>
      <c r="E26" s="213">
        <f>E25/$G$25*100</f>
        <v>4.3077601280498632</v>
      </c>
      <c r="F26" s="213">
        <f>F25/$G$25*100</f>
        <v>4.8253718442723654</v>
      </c>
      <c r="G26" s="207">
        <f t="shared" si="0"/>
        <v>100</v>
      </c>
      <c r="H26" s="208">
        <f>G25/$G$70*100</f>
        <v>50.030713472305401</v>
      </c>
      <c r="I26" s="2650"/>
      <c r="J26" s="2651"/>
      <c r="K26" s="209"/>
      <c r="L26" s="57" t="s">
        <v>19</v>
      </c>
      <c r="M26" s="494">
        <f>'T1.2025'!G53</f>
        <v>0</v>
      </c>
      <c r="N26" s="494">
        <f>'T2.2025 '!G49</f>
        <v>5675.04</v>
      </c>
      <c r="O26" s="902">
        <f>'T3.2025 '!G37</f>
        <v>5929.92</v>
      </c>
      <c r="P26" s="902">
        <v>8696</v>
      </c>
      <c r="Q26" s="902">
        <f>'T5.2025'!G52</f>
        <v>7107.84</v>
      </c>
      <c r="R26" s="902">
        <f>'T6.2025'!G54</f>
        <v>9286.56</v>
      </c>
      <c r="S26" s="477"/>
      <c r="T26" s="477"/>
      <c r="U26" s="477"/>
      <c r="V26" s="477"/>
      <c r="W26" s="477"/>
      <c r="X26" s="477"/>
      <c r="Y26" s="959">
        <f t="shared" si="2"/>
        <v>36695.360000000001</v>
      </c>
      <c r="Z26" s="494"/>
      <c r="AA26" s="477"/>
    </row>
    <row r="27" spans="1:27" ht="31" customHeight="1" x14ac:dyDescent="0.2">
      <c r="A27" s="2904"/>
      <c r="B27" s="2904"/>
      <c r="C27" s="493"/>
      <c r="D27" s="213"/>
      <c r="E27" s="213"/>
      <c r="F27" s="213"/>
      <c r="G27" s="204"/>
      <c r="H27" s="208"/>
      <c r="I27" s="2650"/>
      <c r="J27" s="2651"/>
      <c r="K27" s="209"/>
      <c r="L27" s="57" t="s">
        <v>20</v>
      </c>
      <c r="M27" s="494">
        <f>'T1.2025'!H53</f>
        <v>0</v>
      </c>
      <c r="N27" s="494">
        <f>'T2.2025 '!H49</f>
        <v>4896</v>
      </c>
      <c r="O27" s="902">
        <f>'T3.2025 '!H37</f>
        <v>6896.16</v>
      </c>
      <c r="P27" s="902">
        <v>9871</v>
      </c>
      <c r="Q27" s="902">
        <f>'T5.2025'!H52</f>
        <v>8069.76</v>
      </c>
      <c r="R27" s="902">
        <f>'T6.2025'!H54</f>
        <v>11371.68</v>
      </c>
      <c r="S27" s="477"/>
      <c r="T27" s="477"/>
      <c r="U27" s="477"/>
      <c r="V27" s="477"/>
      <c r="W27" s="477"/>
      <c r="X27" s="477"/>
      <c r="Y27" s="959">
        <f t="shared" si="2"/>
        <v>41104.6</v>
      </c>
      <c r="Z27" s="494"/>
      <c r="AA27" s="477"/>
    </row>
    <row r="28" spans="1:27" ht="31" customHeight="1" x14ac:dyDescent="0.2">
      <c r="A28" s="2904" t="s">
        <v>123</v>
      </c>
      <c r="B28" s="2904"/>
      <c r="C28" s="493" t="s">
        <v>21</v>
      </c>
      <c r="D28" s="203">
        <f>Y28</f>
        <v>0</v>
      </c>
      <c r="E28" s="203">
        <f>Y29</f>
        <v>0</v>
      </c>
      <c r="F28" s="203">
        <f>Y30</f>
        <v>0</v>
      </c>
      <c r="G28" s="212">
        <f t="shared" si="0"/>
        <v>0</v>
      </c>
      <c r="H28" s="208"/>
      <c r="I28" s="2650"/>
      <c r="J28" s="2651"/>
      <c r="K28" s="209"/>
      <c r="L28" s="57" t="s">
        <v>18</v>
      </c>
      <c r="M28" s="477"/>
      <c r="N28" s="477"/>
      <c r="O28" s="902"/>
      <c r="P28" s="902"/>
      <c r="Q28" s="902"/>
      <c r="R28" s="902"/>
      <c r="S28" s="477"/>
      <c r="T28" s="477"/>
      <c r="U28" s="477"/>
      <c r="V28" s="477"/>
      <c r="W28" s="477"/>
      <c r="X28" s="477"/>
      <c r="Y28" s="959">
        <f t="shared" si="2"/>
        <v>0</v>
      </c>
      <c r="Z28" s="494"/>
      <c r="AA28" s="477"/>
    </row>
    <row r="29" spans="1:27" ht="31" customHeight="1" x14ac:dyDescent="0.2">
      <c r="A29" s="2904"/>
      <c r="B29" s="2904"/>
      <c r="C29" s="493" t="s">
        <v>22</v>
      </c>
      <c r="D29" s="213" t="e">
        <f>D28/$H$130*100</f>
        <v>#DIV/0!</v>
      </c>
      <c r="E29" s="213" t="e">
        <f>E28/$H$130*100</f>
        <v>#DIV/0!</v>
      </c>
      <c r="F29" s="213" t="e">
        <f>F28/$H$130*100</f>
        <v>#DIV/0!</v>
      </c>
      <c r="G29" s="204" t="e">
        <f t="shared" si="0"/>
        <v>#DIV/0!</v>
      </c>
      <c r="H29" s="208">
        <f>G28/$G$70*100</f>
        <v>0</v>
      </c>
      <c r="I29" s="2650"/>
      <c r="J29" s="2651"/>
      <c r="K29" s="209"/>
      <c r="L29" s="57" t="s">
        <v>19</v>
      </c>
      <c r="M29" s="477"/>
      <c r="N29" s="477"/>
      <c r="O29" s="902"/>
      <c r="P29" s="902"/>
      <c r="Q29" s="902"/>
      <c r="R29" s="902"/>
      <c r="S29" s="477"/>
      <c r="T29" s="477"/>
      <c r="U29" s="477"/>
      <c r="V29" s="477"/>
      <c r="W29" s="477"/>
      <c r="X29" s="477"/>
      <c r="Y29" s="959">
        <f t="shared" si="2"/>
        <v>0</v>
      </c>
      <c r="Z29" s="494"/>
      <c r="AA29" s="477"/>
    </row>
    <row r="30" spans="1:27" ht="31" customHeight="1" x14ac:dyDescent="0.2">
      <c r="A30" s="2904"/>
      <c r="B30" s="2904"/>
      <c r="C30" s="493"/>
      <c r="D30" s="213"/>
      <c r="E30" s="213"/>
      <c r="F30" s="213"/>
      <c r="G30" s="204"/>
      <c r="H30" s="208"/>
      <c r="I30" s="2650"/>
      <c r="J30" s="2651"/>
      <c r="K30" s="209"/>
      <c r="L30" s="57" t="s">
        <v>20</v>
      </c>
      <c r="M30" s="477"/>
      <c r="N30" s="477"/>
      <c r="O30" s="902"/>
      <c r="P30" s="902"/>
      <c r="Q30" s="902"/>
      <c r="R30" s="902"/>
      <c r="S30" s="477"/>
      <c r="T30" s="477"/>
      <c r="U30" s="477"/>
      <c r="V30" s="477"/>
      <c r="W30" s="477"/>
      <c r="X30" s="477"/>
      <c r="Y30" s="959">
        <f t="shared" si="2"/>
        <v>0</v>
      </c>
      <c r="Z30" s="494"/>
      <c r="AA30" s="477"/>
    </row>
    <row r="31" spans="1:27" ht="31" customHeight="1" x14ac:dyDescent="0.2">
      <c r="A31" s="2904" t="s">
        <v>125</v>
      </c>
      <c r="B31" s="2904"/>
      <c r="C31" s="493" t="s">
        <v>21</v>
      </c>
      <c r="D31" s="203">
        <f>Y31</f>
        <v>83359.760000000009</v>
      </c>
      <c r="E31" s="203">
        <f>Y32</f>
        <v>0</v>
      </c>
      <c r="F31" s="203">
        <f>Y33</f>
        <v>6028.12</v>
      </c>
      <c r="G31" s="204">
        <f t="shared" si="0"/>
        <v>89387.88</v>
      </c>
      <c r="H31" s="208"/>
      <c r="I31" s="2650"/>
      <c r="J31" s="2651"/>
      <c r="K31" s="209"/>
      <c r="L31" s="57" t="s">
        <v>18</v>
      </c>
      <c r="M31" s="494">
        <f>'T1.2025'!F55</f>
        <v>0</v>
      </c>
      <c r="N31" s="494">
        <f>'T2.2025 '!F51</f>
        <v>5196.96</v>
      </c>
      <c r="O31" s="902">
        <f>'T3.2025 '!F41</f>
        <v>11684.16</v>
      </c>
      <c r="P31" s="902">
        <v>19742</v>
      </c>
      <c r="Q31" s="902">
        <f>'T5.2025'!F56</f>
        <v>27426.240000000002</v>
      </c>
      <c r="R31" s="902">
        <f>'T6.2025'!F58</f>
        <v>19310.400000000001</v>
      </c>
      <c r="S31" s="477"/>
      <c r="T31" s="477"/>
      <c r="U31" s="477"/>
      <c r="V31" s="477"/>
      <c r="W31" s="477"/>
      <c r="X31" s="477"/>
      <c r="Y31" s="959">
        <f t="shared" si="2"/>
        <v>83359.760000000009</v>
      </c>
      <c r="Z31" s="494"/>
      <c r="AA31" s="477"/>
    </row>
    <row r="32" spans="1:27" ht="31" customHeight="1" x14ac:dyDescent="0.2">
      <c r="A32" s="2904"/>
      <c r="B32" s="2904"/>
      <c r="C32" s="493" t="s">
        <v>22</v>
      </c>
      <c r="D32" s="207">
        <f>D31/$G$31*100</f>
        <v>93.256222208200938</v>
      </c>
      <c r="E32" s="207">
        <f>E31/$G$31*100</f>
        <v>0</v>
      </c>
      <c r="F32" s="207">
        <f>F31/$G$31*100</f>
        <v>6.743777791799066</v>
      </c>
      <c r="G32" s="207">
        <f t="shared" si="0"/>
        <v>100</v>
      </c>
      <c r="H32" s="208">
        <f>G31/$G$70*100</f>
        <v>5.2499563560231186</v>
      </c>
      <c r="I32" s="2650"/>
      <c r="J32" s="2651"/>
      <c r="K32" s="209"/>
      <c r="L32" s="57" t="s">
        <v>19</v>
      </c>
      <c r="M32" s="494">
        <f>'T1.2025'!G55</f>
        <v>0</v>
      </c>
      <c r="N32" s="494">
        <f>'T2.2025 '!G51</f>
        <v>0</v>
      </c>
      <c r="O32" s="902"/>
      <c r="P32" s="902"/>
      <c r="Q32" s="902">
        <f>'T5.2025'!G56</f>
        <v>0</v>
      </c>
      <c r="R32" s="902"/>
      <c r="S32" s="477"/>
      <c r="T32" s="477"/>
      <c r="U32" s="477"/>
      <c r="V32" s="477"/>
      <c r="W32" s="477"/>
      <c r="X32" s="477"/>
      <c r="Y32" s="959">
        <f t="shared" si="2"/>
        <v>0</v>
      </c>
      <c r="Z32" s="494"/>
      <c r="AA32" s="477"/>
    </row>
    <row r="33" spans="1:27" ht="31" customHeight="1" x14ac:dyDescent="0.2">
      <c r="A33" s="2904"/>
      <c r="B33" s="2904"/>
      <c r="C33" s="493"/>
      <c r="D33" s="207"/>
      <c r="E33" s="207"/>
      <c r="F33" s="207"/>
      <c r="G33" s="204"/>
      <c r="H33" s="208"/>
      <c r="I33" s="2650"/>
      <c r="J33" s="2651"/>
      <c r="K33" s="209"/>
      <c r="L33" s="57" t="s">
        <v>20</v>
      </c>
      <c r="M33" s="494">
        <f>'T1.2025'!H55</f>
        <v>0</v>
      </c>
      <c r="N33" s="494">
        <f>'T2.2025 '!H51</f>
        <v>440.64</v>
      </c>
      <c r="O33" s="902">
        <f>'T3.2025 '!H41</f>
        <v>662.4</v>
      </c>
      <c r="P33" s="902">
        <v>1639</v>
      </c>
      <c r="Q33" s="902">
        <f>'T5.2025'!H56</f>
        <v>1558.08</v>
      </c>
      <c r="R33" s="902">
        <f>'T6.2025'!H58</f>
        <v>1728</v>
      </c>
      <c r="S33" s="477"/>
      <c r="T33" s="477"/>
      <c r="U33" s="477"/>
      <c r="V33" s="477"/>
      <c r="W33" s="477"/>
      <c r="X33" s="477"/>
      <c r="Y33" s="959">
        <f t="shared" si="2"/>
        <v>6028.12</v>
      </c>
      <c r="Z33" s="494"/>
      <c r="AA33" s="477"/>
    </row>
    <row r="34" spans="1:27" ht="31" customHeight="1" x14ac:dyDescent="0.2">
      <c r="A34" s="2904" t="s">
        <v>126</v>
      </c>
      <c r="B34" s="2904"/>
      <c r="C34" s="493" t="s">
        <v>21</v>
      </c>
      <c r="D34" s="203">
        <f>Y34</f>
        <v>32997.360000000001</v>
      </c>
      <c r="E34" s="203">
        <f>Y35</f>
        <v>0</v>
      </c>
      <c r="F34" s="203">
        <f>Y36</f>
        <v>3757.08</v>
      </c>
      <c r="G34" s="204">
        <f t="shared" ref="G34:G40" si="3">SUM(D34:F34)</f>
        <v>36754.44</v>
      </c>
      <c r="H34" s="208"/>
      <c r="I34" s="2650"/>
      <c r="J34" s="2651"/>
      <c r="K34" s="209"/>
      <c r="L34" s="57" t="s">
        <v>18</v>
      </c>
      <c r="M34" s="494">
        <f>'T1.2025'!F57</f>
        <v>0</v>
      </c>
      <c r="N34" s="477"/>
      <c r="O34" s="902">
        <f>'T3.2025 '!F39</f>
        <v>624.96</v>
      </c>
      <c r="P34" s="902">
        <v>14934</v>
      </c>
      <c r="Q34" s="902">
        <f>'T5.2025'!F54</f>
        <v>8082.72</v>
      </c>
      <c r="R34" s="902">
        <f>'T6.2025'!F56</f>
        <v>9355.68</v>
      </c>
      <c r="S34" s="477"/>
      <c r="T34" s="477"/>
      <c r="U34" s="477"/>
      <c r="V34" s="477"/>
      <c r="W34" s="477"/>
      <c r="X34" s="477"/>
      <c r="Y34" s="959">
        <f t="shared" si="2"/>
        <v>32997.360000000001</v>
      </c>
      <c r="Z34" s="494"/>
      <c r="AA34" s="477"/>
    </row>
    <row r="35" spans="1:27" ht="31" customHeight="1" x14ac:dyDescent="0.2">
      <c r="A35" s="2904"/>
      <c r="B35" s="2904"/>
      <c r="C35" s="493" t="s">
        <v>22</v>
      </c>
      <c r="D35" s="207">
        <f>D34/$G$34*100</f>
        <v>89.777888059238549</v>
      </c>
      <c r="E35" s="207">
        <f>E34/$G$34*100</f>
        <v>0</v>
      </c>
      <c r="F35" s="207">
        <f>F34/$G$34*100</f>
        <v>10.222111940761442</v>
      </c>
      <c r="G35" s="207">
        <f t="shared" si="3"/>
        <v>99.999999999999986</v>
      </c>
      <c r="H35" s="208">
        <f>G34/$G$70*100</f>
        <v>2.15867303140057</v>
      </c>
      <c r="I35" s="2650"/>
      <c r="J35" s="2651"/>
      <c r="K35" s="209"/>
      <c r="L35" s="57" t="s">
        <v>19</v>
      </c>
      <c r="M35" s="494">
        <f>'T1.2025'!G57</f>
        <v>0</v>
      </c>
      <c r="N35" s="477"/>
      <c r="O35" s="902"/>
      <c r="P35" s="902"/>
      <c r="Q35" s="902">
        <f>'T5.2025'!G54</f>
        <v>0</v>
      </c>
      <c r="R35" s="902"/>
      <c r="S35" s="477"/>
      <c r="T35" s="477"/>
      <c r="U35" s="477"/>
      <c r="V35" s="477"/>
      <c r="W35" s="477"/>
      <c r="X35" s="477"/>
      <c r="Y35" s="494">
        <f t="shared" si="2"/>
        <v>0</v>
      </c>
      <c r="Z35" s="494"/>
      <c r="AA35" s="477"/>
    </row>
    <row r="36" spans="1:27" ht="31" customHeight="1" x14ac:dyDescent="0.2">
      <c r="A36" s="2904"/>
      <c r="B36" s="2904"/>
      <c r="C36" s="493"/>
      <c r="D36" s="207"/>
      <c r="E36" s="207"/>
      <c r="F36" s="207"/>
      <c r="G36" s="204"/>
      <c r="H36" s="208"/>
      <c r="I36" s="2650"/>
      <c r="J36" s="2651"/>
      <c r="K36" s="209"/>
      <c r="L36" s="57" t="s">
        <v>20</v>
      </c>
      <c r="M36" s="494">
        <f>'T1.2025'!H57</f>
        <v>0</v>
      </c>
      <c r="N36" s="477"/>
      <c r="O36" s="902">
        <f>'T3.2025 '!H39</f>
        <v>79.2</v>
      </c>
      <c r="P36" s="902">
        <v>1083</v>
      </c>
      <c r="Q36" s="902">
        <f>'T5.2025'!H54</f>
        <v>519.84</v>
      </c>
      <c r="R36" s="902">
        <f>'T6.2025'!H56</f>
        <v>2075.04</v>
      </c>
      <c r="S36" s="477"/>
      <c r="T36" s="477"/>
      <c r="U36" s="477"/>
      <c r="V36" s="477"/>
      <c r="W36" s="477"/>
      <c r="X36" s="477"/>
      <c r="Y36" s="959">
        <f t="shared" si="2"/>
        <v>3757.08</v>
      </c>
      <c r="Z36" s="494"/>
      <c r="AA36" s="477"/>
    </row>
    <row r="37" spans="1:27" ht="31" customHeight="1" x14ac:dyDescent="0.2">
      <c r="A37" s="2904" t="s">
        <v>112</v>
      </c>
      <c r="B37" s="2904"/>
      <c r="C37" s="493" t="s">
        <v>21</v>
      </c>
      <c r="D37" s="203">
        <f>Y37</f>
        <v>49259.12</v>
      </c>
      <c r="E37" s="203">
        <f>Y38</f>
        <v>1691.56</v>
      </c>
      <c r="F37" s="203">
        <f>Y39</f>
        <v>2500.8000000000002</v>
      </c>
      <c r="G37" s="204">
        <f t="shared" si="3"/>
        <v>53451.48</v>
      </c>
      <c r="H37" s="208"/>
      <c r="I37" s="2650"/>
      <c r="J37" s="2651"/>
      <c r="K37" s="209"/>
      <c r="L37" s="57" t="s">
        <v>18</v>
      </c>
      <c r="M37" s="477"/>
      <c r="N37" s="477"/>
      <c r="O37" s="902">
        <f>'T3.2025 '!F47</f>
        <v>9253.44</v>
      </c>
      <c r="P37" s="902">
        <v>18518</v>
      </c>
      <c r="Q37" s="902">
        <f>'T5.2025'!F62</f>
        <v>8536.32</v>
      </c>
      <c r="R37" s="902">
        <f>'T6.2025'!F64</f>
        <v>12951.36</v>
      </c>
      <c r="S37" s="477"/>
      <c r="T37" s="477"/>
      <c r="U37" s="477"/>
      <c r="V37" s="477"/>
      <c r="W37" s="477"/>
      <c r="X37" s="477"/>
      <c r="Y37" s="959">
        <f t="shared" si="2"/>
        <v>49259.12</v>
      </c>
      <c r="Z37" s="494"/>
      <c r="AA37" s="477"/>
    </row>
    <row r="38" spans="1:27" ht="31" customHeight="1" x14ac:dyDescent="0.2">
      <c r="A38" s="2904"/>
      <c r="B38" s="2904"/>
      <c r="C38" s="493" t="s">
        <v>22</v>
      </c>
      <c r="D38" s="207" t="e">
        <f>D37/$H$136*100</f>
        <v>#DIV/0!</v>
      </c>
      <c r="E38" s="207" t="e">
        <f>E37/$H$136*100</f>
        <v>#DIV/0!</v>
      </c>
      <c r="F38" s="207" t="e">
        <f>F37/$H$136*100</f>
        <v>#DIV/0!</v>
      </c>
      <c r="G38" s="204" t="e">
        <f t="shared" si="3"/>
        <v>#DIV/0!</v>
      </c>
      <c r="H38" s="208">
        <f>G37/$G$70*100</f>
        <v>3.1393287005446671</v>
      </c>
      <c r="I38" s="2650"/>
      <c r="J38" s="2651"/>
      <c r="K38" s="209"/>
      <c r="L38" s="57" t="s">
        <v>19</v>
      </c>
      <c r="M38" s="477"/>
      <c r="N38" s="477"/>
      <c r="O38" s="902">
        <f>'T3.2025 '!G47</f>
        <v>365.76</v>
      </c>
      <c r="P38" s="902">
        <v>397</v>
      </c>
      <c r="Q38" s="902">
        <f>'T5.2025'!G62</f>
        <v>432</v>
      </c>
      <c r="R38" s="902">
        <f>'T6.2025'!G64</f>
        <v>496.8</v>
      </c>
      <c r="S38" s="477"/>
      <c r="T38" s="477"/>
      <c r="U38" s="477"/>
      <c r="V38" s="477"/>
      <c r="W38" s="477"/>
      <c r="X38" s="477"/>
      <c r="Y38" s="959">
        <f t="shared" si="2"/>
        <v>1691.56</v>
      </c>
      <c r="Z38" s="494"/>
      <c r="AA38" s="477"/>
    </row>
    <row r="39" spans="1:27" ht="31" customHeight="1" x14ac:dyDescent="0.2">
      <c r="A39" s="2904"/>
      <c r="B39" s="2904"/>
      <c r="C39" s="493"/>
      <c r="D39" s="207"/>
      <c r="E39" s="207"/>
      <c r="F39" s="207"/>
      <c r="G39" s="204"/>
      <c r="H39" s="208"/>
      <c r="I39" s="2650"/>
      <c r="J39" s="2651"/>
      <c r="K39" s="209"/>
      <c r="L39" s="57" t="s">
        <v>20</v>
      </c>
      <c r="M39" s="477"/>
      <c r="N39" s="477"/>
      <c r="O39" s="902">
        <f>'T3.2025 '!H47</f>
        <v>217.44</v>
      </c>
      <c r="P39" s="902">
        <v>1032</v>
      </c>
      <c r="Q39" s="902">
        <f>'T5.2025'!H62</f>
        <v>472.32</v>
      </c>
      <c r="R39" s="902">
        <f>'T6.2025'!H64</f>
        <v>779.04</v>
      </c>
      <c r="S39" s="477"/>
      <c r="T39" s="477"/>
      <c r="U39" s="477"/>
      <c r="V39" s="477"/>
      <c r="W39" s="477"/>
      <c r="X39" s="477"/>
      <c r="Y39" s="959">
        <f t="shared" si="2"/>
        <v>2500.8000000000002</v>
      </c>
      <c r="Z39" s="494"/>
      <c r="AA39" s="477"/>
    </row>
    <row r="40" spans="1:27" ht="31" customHeight="1" x14ac:dyDescent="0.2">
      <c r="A40" s="2904" t="s">
        <v>114</v>
      </c>
      <c r="B40" s="2904"/>
      <c r="C40" s="493" t="s">
        <v>21</v>
      </c>
      <c r="D40" s="203">
        <f>Y40</f>
        <v>31897.439999999999</v>
      </c>
      <c r="E40" s="203">
        <f>Y41</f>
        <v>0</v>
      </c>
      <c r="F40" s="203">
        <f>Y42</f>
        <v>2551.6000000000004</v>
      </c>
      <c r="G40" s="204">
        <f t="shared" si="3"/>
        <v>34449.040000000001</v>
      </c>
      <c r="H40" s="208"/>
      <c r="I40" s="2650"/>
      <c r="J40" s="2651"/>
      <c r="K40" s="209"/>
      <c r="L40" s="57" t="s">
        <v>18</v>
      </c>
      <c r="M40" s="477"/>
      <c r="N40" s="494">
        <f>'T2.2025 '!F53</f>
        <v>1958.4</v>
      </c>
      <c r="O40" s="902">
        <f>'T3.2025 '!F43</f>
        <v>2750.4</v>
      </c>
      <c r="P40" s="902">
        <v>19044</v>
      </c>
      <c r="Q40" s="902">
        <f>'T5.2025'!F58</f>
        <v>1929.6</v>
      </c>
      <c r="R40" s="902">
        <f>'T6.2025'!F60</f>
        <v>6215.04</v>
      </c>
      <c r="S40" s="477"/>
      <c r="T40" s="477"/>
      <c r="U40" s="477"/>
      <c r="V40" s="477"/>
      <c r="W40" s="477"/>
      <c r="X40" s="477"/>
      <c r="Y40" s="959">
        <f t="shared" si="2"/>
        <v>31897.439999999999</v>
      </c>
      <c r="Z40" s="494"/>
      <c r="AA40" s="477"/>
    </row>
    <row r="41" spans="1:27" ht="31" customHeight="1" x14ac:dyDescent="0.2">
      <c r="A41" s="2904"/>
      <c r="B41" s="2904"/>
      <c r="C41" s="493" t="s">
        <v>22</v>
      </c>
      <c r="D41" s="207">
        <f>D40/$G$40*100</f>
        <v>92.593117253775432</v>
      </c>
      <c r="E41" s="207">
        <f>E40/$G$40*100</f>
        <v>0</v>
      </c>
      <c r="F41" s="207">
        <f>F40/$G$40*100</f>
        <v>7.4068827462245688</v>
      </c>
      <c r="G41" s="207">
        <f>G40/$G$40*100</f>
        <v>100</v>
      </c>
      <c r="H41" s="208">
        <f>G40/$G$70*100</f>
        <v>2.0232715722410539</v>
      </c>
      <c r="I41" s="2650"/>
      <c r="J41" s="2651"/>
      <c r="K41" s="209"/>
      <c r="L41" s="57" t="s">
        <v>19</v>
      </c>
      <c r="M41" s="477"/>
      <c r="N41" s="494">
        <f>'T2.2025 '!G53</f>
        <v>0</v>
      </c>
      <c r="O41" s="902"/>
      <c r="P41" s="902"/>
      <c r="Q41" s="902">
        <f>'T5.2025'!G58</f>
        <v>0</v>
      </c>
      <c r="R41" s="902"/>
      <c r="S41" s="477"/>
      <c r="T41" s="477"/>
      <c r="U41" s="477"/>
      <c r="V41" s="477"/>
      <c r="W41" s="477"/>
      <c r="X41" s="477"/>
      <c r="Y41" s="959">
        <f t="shared" si="2"/>
        <v>0</v>
      </c>
      <c r="Z41" s="494"/>
      <c r="AA41" s="477"/>
    </row>
    <row r="42" spans="1:27" ht="31" customHeight="1" x14ac:dyDescent="0.2">
      <c r="A42" s="2904"/>
      <c r="B42" s="2904"/>
      <c r="C42" s="493"/>
      <c r="D42" s="207"/>
      <c r="E42" s="207"/>
      <c r="F42" s="207"/>
      <c r="G42" s="207"/>
      <c r="H42" s="208"/>
      <c r="I42" s="2650"/>
      <c r="J42" s="2651"/>
      <c r="K42" s="209"/>
      <c r="L42" s="57" t="s">
        <v>20</v>
      </c>
      <c r="M42" s="477"/>
      <c r="N42" s="494">
        <f>'T2.2025 '!H53</f>
        <v>175.68</v>
      </c>
      <c r="O42" s="902">
        <f>'T3.2025 '!H43</f>
        <v>306.72000000000003</v>
      </c>
      <c r="P42" s="902">
        <v>1414</v>
      </c>
      <c r="Q42" s="902">
        <f>'T5.2025'!H58</f>
        <v>135.36000000000001</v>
      </c>
      <c r="R42" s="902">
        <f>'T6.2025'!H60</f>
        <v>519.84</v>
      </c>
      <c r="S42" s="477"/>
      <c r="T42" s="477"/>
      <c r="U42" s="477"/>
      <c r="V42" s="477"/>
      <c r="W42" s="477"/>
      <c r="X42" s="477"/>
      <c r="Y42" s="959">
        <f t="shared" si="2"/>
        <v>2551.6000000000004</v>
      </c>
      <c r="Z42" s="494"/>
      <c r="AA42" s="477"/>
    </row>
    <row r="43" spans="1:27" ht="31" customHeight="1" x14ac:dyDescent="0.2">
      <c r="A43" s="2904" t="s">
        <v>128</v>
      </c>
      <c r="B43" s="2904"/>
      <c r="C43" s="493" t="s">
        <v>21</v>
      </c>
      <c r="D43" s="835">
        <f>Y43</f>
        <v>29594.880000000001</v>
      </c>
      <c r="E43" s="835">
        <f>Y44</f>
        <v>0</v>
      </c>
      <c r="F43" s="835">
        <f>Y45</f>
        <v>1762.5600000000002</v>
      </c>
      <c r="G43" s="833">
        <f>SUM(D43:F43)</f>
        <v>31357.440000000002</v>
      </c>
      <c r="H43" s="208"/>
      <c r="I43" s="2650"/>
      <c r="J43" s="2651"/>
      <c r="K43" s="209"/>
      <c r="L43" s="57" t="s">
        <v>18</v>
      </c>
      <c r="M43" s="477"/>
      <c r="N43" s="477"/>
      <c r="O43" s="902">
        <f>'T3.2025 '!F49</f>
        <v>8828.64</v>
      </c>
      <c r="P43" s="902"/>
      <c r="Q43" s="902">
        <f>'T5.2025'!F64</f>
        <v>13389.12</v>
      </c>
      <c r="R43" s="902">
        <f>'T6.2025'!F66</f>
        <v>7377.12</v>
      </c>
      <c r="S43" s="477"/>
      <c r="T43" s="477"/>
      <c r="U43" s="477"/>
      <c r="V43" s="477"/>
      <c r="W43" s="477"/>
      <c r="X43" s="477"/>
      <c r="Y43" s="959">
        <f t="shared" si="2"/>
        <v>29594.880000000001</v>
      </c>
      <c r="Z43" s="494"/>
      <c r="AA43" s="477"/>
    </row>
    <row r="44" spans="1:27" ht="31" customHeight="1" x14ac:dyDescent="0.2">
      <c r="A44" s="2904"/>
      <c r="B44" s="2904"/>
      <c r="C44" s="493" t="s">
        <v>22</v>
      </c>
      <c r="D44" s="207" t="e">
        <f>D43/$H$140*100</f>
        <v>#DIV/0!</v>
      </c>
      <c r="E44" s="207" t="e">
        <f>E43/$H$140*100</f>
        <v>#DIV/0!</v>
      </c>
      <c r="F44" s="207" t="e">
        <f>F43/$H$140*100</f>
        <v>#DIV/0!</v>
      </c>
      <c r="G44" s="207" t="e">
        <f>G43/$H$140*100</f>
        <v>#DIV/0!</v>
      </c>
      <c r="H44" s="208">
        <f>G43/$G$70*100</f>
        <v>1.8416947737949885</v>
      </c>
      <c r="I44" s="2650"/>
      <c r="J44" s="2651"/>
      <c r="K44" s="209"/>
      <c r="L44" s="57" t="s">
        <v>19</v>
      </c>
      <c r="M44" s="477"/>
      <c r="N44" s="477"/>
      <c r="O44" s="902"/>
      <c r="P44" s="902"/>
      <c r="Q44" s="902">
        <f>'T5.2025'!G64</f>
        <v>0</v>
      </c>
      <c r="R44" s="902"/>
      <c r="S44" s="477"/>
      <c r="T44" s="477"/>
      <c r="U44" s="477"/>
      <c r="V44" s="477"/>
      <c r="W44" s="477"/>
      <c r="X44" s="477"/>
      <c r="Y44" s="959">
        <f t="shared" si="2"/>
        <v>0</v>
      </c>
      <c r="Z44" s="494"/>
      <c r="AA44" s="477"/>
    </row>
    <row r="45" spans="1:27" ht="31" customHeight="1" x14ac:dyDescent="0.2">
      <c r="A45" s="2904"/>
      <c r="B45" s="2904"/>
      <c r="C45" s="493"/>
      <c r="D45" s="207"/>
      <c r="E45" s="207"/>
      <c r="F45" s="207"/>
      <c r="G45" s="207"/>
      <c r="H45" s="208"/>
      <c r="I45" s="2650"/>
      <c r="J45" s="2651"/>
      <c r="K45" s="209"/>
      <c r="L45" s="57" t="s">
        <v>20</v>
      </c>
      <c r="M45" s="477"/>
      <c r="N45" s="477"/>
      <c r="O45" s="902">
        <f>'T3.2025 '!H49</f>
        <v>560.16</v>
      </c>
      <c r="P45" s="902"/>
      <c r="Q45" s="902">
        <f>'T5.2025'!H64</f>
        <v>918.72</v>
      </c>
      <c r="R45" s="902">
        <f>'T6.2025'!H66</f>
        <v>283.68</v>
      </c>
      <c r="S45" s="477"/>
      <c r="T45" s="477"/>
      <c r="U45" s="477"/>
      <c r="V45" s="477"/>
      <c r="W45" s="477"/>
      <c r="X45" s="477"/>
      <c r="Y45" s="959">
        <f t="shared" si="2"/>
        <v>1762.5600000000002</v>
      </c>
      <c r="Z45" s="494"/>
      <c r="AA45" s="477"/>
    </row>
    <row r="46" spans="1:27" ht="31" customHeight="1" x14ac:dyDescent="0.2">
      <c r="A46" s="2904" t="s">
        <v>541</v>
      </c>
      <c r="B46" s="2904"/>
      <c r="C46" s="493" t="s">
        <v>21</v>
      </c>
      <c r="D46" s="835">
        <f>Y46</f>
        <v>126581.84</v>
      </c>
      <c r="E46" s="835">
        <f>Y47</f>
        <v>5017</v>
      </c>
      <c r="F46" s="835">
        <f>Y48</f>
        <v>5048.84</v>
      </c>
      <c r="G46" s="833">
        <f>SUM(D46:F46)</f>
        <v>136647.67999999999</v>
      </c>
      <c r="H46" s="208"/>
      <c r="I46" s="2650"/>
      <c r="J46" s="2651"/>
      <c r="K46" s="209"/>
      <c r="L46" s="57" t="s">
        <v>18</v>
      </c>
      <c r="M46" s="477"/>
      <c r="N46" s="477"/>
      <c r="O46" s="902">
        <f>'T3.2025 '!F51</f>
        <v>22269.599999999999</v>
      </c>
      <c r="P46" s="902">
        <v>49850</v>
      </c>
      <c r="Q46" s="902">
        <f>'T5.2025'!F66</f>
        <v>13351.68</v>
      </c>
      <c r="R46" s="902">
        <f>'T6.2025'!F68</f>
        <v>41110.559999999998</v>
      </c>
      <c r="S46" s="477"/>
      <c r="T46" s="477"/>
      <c r="U46" s="477"/>
      <c r="V46" s="477"/>
      <c r="W46" s="477"/>
      <c r="X46" s="477"/>
      <c r="Y46" s="959">
        <f t="shared" si="2"/>
        <v>126581.84</v>
      </c>
      <c r="Z46" s="494"/>
      <c r="AA46" s="477"/>
    </row>
    <row r="47" spans="1:27" ht="31" customHeight="1" x14ac:dyDescent="0.2">
      <c r="A47" s="2904"/>
      <c r="B47" s="2904"/>
      <c r="C47" s="493" t="s">
        <v>22</v>
      </c>
      <c r="D47" s="207" t="e">
        <f>D46/$H$142*100</f>
        <v>#DIV/0!</v>
      </c>
      <c r="E47" s="207" t="e">
        <f>E46/$H$142*100</f>
        <v>#DIV/0!</v>
      </c>
      <c r="F47" s="207" t="e">
        <f>F46/$H$142*100</f>
        <v>#DIV/0!</v>
      </c>
      <c r="G47" s="207" t="e">
        <f>G46/$H$142*100</f>
        <v>#DIV/0!</v>
      </c>
      <c r="H47" s="208">
        <f>G46/$G$70*100</f>
        <v>8.0256334097174378</v>
      </c>
      <c r="I47" s="2650"/>
      <c r="J47" s="2651"/>
      <c r="K47" s="209"/>
      <c r="L47" s="57" t="s">
        <v>19</v>
      </c>
      <c r="M47" s="477"/>
      <c r="N47" s="477"/>
      <c r="O47" s="902">
        <f>'T3.2025 '!G51</f>
        <v>518.4</v>
      </c>
      <c r="P47" s="902">
        <v>2065</v>
      </c>
      <c r="Q47" s="902">
        <f>'T5.2025'!G66</f>
        <v>604.79999999999995</v>
      </c>
      <c r="R47" s="902">
        <f>'T6.2025'!G68</f>
        <v>1828.8</v>
      </c>
      <c r="S47" s="477"/>
      <c r="T47" s="477"/>
      <c r="U47" s="477"/>
      <c r="V47" s="477"/>
      <c r="W47" s="477"/>
      <c r="X47" s="477"/>
      <c r="Y47" s="959">
        <f t="shared" si="2"/>
        <v>5017</v>
      </c>
      <c r="Z47" s="494"/>
      <c r="AA47" s="477"/>
    </row>
    <row r="48" spans="1:27" ht="31" customHeight="1" x14ac:dyDescent="0.2">
      <c r="A48" s="2904"/>
      <c r="B48" s="2904"/>
      <c r="C48" s="493"/>
      <c r="D48" s="207"/>
      <c r="E48" s="207"/>
      <c r="F48" s="207"/>
      <c r="G48" s="207"/>
      <c r="H48" s="208"/>
      <c r="I48" s="2650"/>
      <c r="J48" s="2651"/>
      <c r="K48" s="209"/>
      <c r="L48" s="57" t="s">
        <v>20</v>
      </c>
      <c r="M48" s="477"/>
      <c r="N48" s="477"/>
      <c r="O48" s="902">
        <f>'T3.2025 '!H51</f>
        <v>740.16</v>
      </c>
      <c r="P48" s="902">
        <v>2297</v>
      </c>
      <c r="Q48" s="902">
        <f>'T5.2025'!H66</f>
        <v>442.08</v>
      </c>
      <c r="R48" s="902">
        <f>'T6.2025'!H68</f>
        <v>1569.6</v>
      </c>
      <c r="S48" s="477"/>
      <c r="T48" s="477"/>
      <c r="U48" s="477"/>
      <c r="V48" s="477"/>
      <c r="W48" s="477"/>
      <c r="X48" s="477"/>
      <c r="Y48" s="959">
        <f t="shared" si="2"/>
        <v>5048.84</v>
      </c>
      <c r="Z48" s="494"/>
      <c r="AA48" s="477"/>
    </row>
    <row r="49" spans="1:27" ht="31" customHeight="1" x14ac:dyDescent="0.2">
      <c r="A49" s="2904" t="s">
        <v>129</v>
      </c>
      <c r="B49" s="2904"/>
      <c r="C49" s="493" t="s">
        <v>21</v>
      </c>
      <c r="D49" s="203">
        <f>Y49</f>
        <v>75689.680000000008</v>
      </c>
      <c r="E49" s="203">
        <f>Y50</f>
        <v>2856.56</v>
      </c>
      <c r="F49" s="203">
        <f>Y51</f>
        <v>3430</v>
      </c>
      <c r="G49" s="204">
        <f>SUM(D49:F49)</f>
        <v>81976.240000000005</v>
      </c>
      <c r="H49" s="208"/>
      <c r="I49" s="2650"/>
      <c r="J49" s="2651"/>
      <c r="K49" s="209"/>
      <c r="L49" s="57" t="s">
        <v>18</v>
      </c>
      <c r="M49" s="494">
        <f>'T1.2025'!F59</f>
        <v>0</v>
      </c>
      <c r="N49" s="494">
        <f>'T2.2025 '!F55</f>
        <v>7333.92</v>
      </c>
      <c r="O49" s="902">
        <f>'T3.2025 '!F45</f>
        <v>14446.08</v>
      </c>
      <c r="P49" s="902">
        <v>12190</v>
      </c>
      <c r="Q49" s="902">
        <f>'T5.2025'!F60</f>
        <v>25904.16</v>
      </c>
      <c r="R49" s="902">
        <f>'T6.2025'!F62</f>
        <v>15815.52</v>
      </c>
      <c r="S49" s="477"/>
      <c r="T49" s="477"/>
      <c r="U49" s="477"/>
      <c r="V49" s="477"/>
      <c r="W49" s="477"/>
      <c r="X49" s="477"/>
      <c r="Y49" s="959">
        <f t="shared" si="2"/>
        <v>75689.680000000008</v>
      </c>
      <c r="Z49" s="494"/>
      <c r="AA49" s="477"/>
    </row>
    <row r="50" spans="1:27" ht="31" customHeight="1" x14ac:dyDescent="0.2">
      <c r="A50" s="2904"/>
      <c r="B50" s="2904"/>
      <c r="C50" s="493" t="s">
        <v>22</v>
      </c>
      <c r="D50" s="207">
        <f>D49/$G$49*100</f>
        <v>92.331241345053144</v>
      </c>
      <c r="E50" s="207">
        <f>E49/$G$49*100</f>
        <v>3.4846194458296695</v>
      </c>
      <c r="F50" s="207">
        <f>F49/$G$49*100</f>
        <v>4.1841392091171787</v>
      </c>
      <c r="G50" s="207">
        <f>SUM(D50:F50)</f>
        <v>99.999999999999986</v>
      </c>
      <c r="H50" s="208">
        <f>G49/$G$70*100</f>
        <v>4.8146536446649888</v>
      </c>
      <c r="I50" s="2650"/>
      <c r="J50" s="2651"/>
      <c r="K50" s="209"/>
      <c r="L50" s="57" t="s">
        <v>19</v>
      </c>
      <c r="M50" s="494">
        <f>'T1.2025'!G59</f>
        <v>0</v>
      </c>
      <c r="N50" s="494">
        <f>'T2.2025 '!G55</f>
        <v>172.8</v>
      </c>
      <c r="O50" s="902">
        <f>'T3.2025 '!G45</f>
        <v>316.8</v>
      </c>
      <c r="P50" s="902">
        <v>518</v>
      </c>
      <c r="Q50" s="902">
        <f>'T5.2025'!G60</f>
        <v>1036.8</v>
      </c>
      <c r="R50" s="902">
        <f>'T6.2025'!G62</f>
        <v>812.16</v>
      </c>
      <c r="S50" s="477"/>
      <c r="T50" s="477"/>
      <c r="U50" s="477"/>
      <c r="V50" s="477"/>
      <c r="W50" s="477"/>
      <c r="X50" s="477"/>
      <c r="Y50" s="959">
        <f t="shared" si="2"/>
        <v>2856.56</v>
      </c>
      <c r="Z50" s="494"/>
      <c r="AA50" s="477"/>
    </row>
    <row r="51" spans="1:27" ht="31" customHeight="1" x14ac:dyDescent="0.2">
      <c r="A51" s="2904"/>
      <c r="B51" s="2904"/>
      <c r="C51" s="209"/>
      <c r="D51" s="491"/>
      <c r="E51" s="491"/>
      <c r="F51" s="491"/>
      <c r="G51" s="491"/>
      <c r="H51" s="208"/>
      <c r="I51" s="2650"/>
      <c r="J51" s="2651"/>
      <c r="K51" s="209"/>
      <c r="L51" s="57" t="s">
        <v>20</v>
      </c>
      <c r="M51" s="494">
        <f>'T1.2025'!H59</f>
        <v>0</v>
      </c>
      <c r="N51" s="494">
        <f>'T2.2025 '!H55</f>
        <v>292.32</v>
      </c>
      <c r="O51" s="902">
        <f>'T3.2025 '!H45</f>
        <v>531.36</v>
      </c>
      <c r="P51" s="902">
        <v>586</v>
      </c>
      <c r="Q51" s="902">
        <f>'T5.2025'!H60</f>
        <v>928.8</v>
      </c>
      <c r="R51" s="902">
        <f>'T6.2025'!H62</f>
        <v>1091.52</v>
      </c>
      <c r="S51" s="477"/>
      <c r="T51" s="477"/>
      <c r="U51" s="477"/>
      <c r="V51" s="477"/>
      <c r="W51" s="477"/>
      <c r="X51" s="477"/>
      <c r="Y51" s="959">
        <f t="shared" si="2"/>
        <v>3430</v>
      </c>
      <c r="Z51" s="494"/>
      <c r="AA51" s="477"/>
    </row>
    <row r="52" spans="1:27" ht="31" customHeight="1" x14ac:dyDescent="0.2">
      <c r="A52" s="2968" t="s">
        <v>367</v>
      </c>
      <c r="B52" s="2969"/>
      <c r="C52" s="545" t="s">
        <v>21</v>
      </c>
      <c r="D52" s="1204">
        <f>D25+D28+D31+D34+D37+D40+D43+D46+D49</f>
        <v>1203423.28</v>
      </c>
      <c r="E52" s="1204">
        <f>E25+E28+E31+E34+E37+E40+E43+E46+E49</f>
        <v>46260.479999999996</v>
      </c>
      <c r="F52" s="1204">
        <f>F25+F28+F31+F34+F37+F40+F43+F46+F49</f>
        <v>66183.600000000006</v>
      </c>
      <c r="G52" s="1204">
        <f>SUM(D52:F52)</f>
        <v>1315867.3600000001</v>
      </c>
      <c r="H52" s="208"/>
      <c r="I52" s="2650"/>
      <c r="J52" s="2651"/>
      <c r="K52" s="548"/>
      <c r="L52" s="545" t="s">
        <v>18</v>
      </c>
      <c r="M52" s="543"/>
      <c r="N52" s="543"/>
      <c r="O52" s="907"/>
      <c r="P52" s="907"/>
      <c r="Q52" s="907"/>
      <c r="R52" s="907"/>
      <c r="S52" s="543"/>
      <c r="T52" s="543"/>
      <c r="U52" s="543"/>
      <c r="V52" s="543"/>
      <c r="W52" s="543"/>
      <c r="X52" s="543"/>
      <c r="Y52" s="959"/>
      <c r="Z52" s="494"/>
      <c r="AA52" s="543"/>
    </row>
    <row r="53" spans="1:27" ht="31" customHeight="1" x14ac:dyDescent="0.2">
      <c r="A53" s="2970"/>
      <c r="B53" s="2971"/>
      <c r="C53" s="553" t="s">
        <v>22</v>
      </c>
      <c r="D53" s="551">
        <f>D52/$G$52*100</f>
        <v>91.454755743770406</v>
      </c>
      <c r="E53" s="551">
        <f>E52/$G$52*100</f>
        <v>3.515588379667689</v>
      </c>
      <c r="F53" s="551">
        <f>F52/$G$52*100</f>
        <v>5.0296558765619048</v>
      </c>
      <c r="G53" s="551">
        <f>SUM(D53:F53)</f>
        <v>100</v>
      </c>
      <c r="H53" s="208">
        <f>G52/$G$70*100</f>
        <v>77.283924960692232</v>
      </c>
      <c r="I53" s="2650"/>
      <c r="J53" s="2651"/>
      <c r="K53" s="548"/>
      <c r="L53" s="545" t="s">
        <v>19</v>
      </c>
      <c r="M53" s="543"/>
      <c r="N53" s="543"/>
      <c r="O53" s="907"/>
      <c r="P53" s="907"/>
      <c r="Q53" s="907"/>
      <c r="R53" s="907"/>
      <c r="S53" s="543"/>
      <c r="T53" s="543"/>
      <c r="U53" s="543"/>
      <c r="V53" s="543"/>
      <c r="W53" s="543"/>
      <c r="X53" s="543"/>
      <c r="Y53" s="959"/>
      <c r="Z53" s="494"/>
      <c r="AA53" s="543"/>
    </row>
    <row r="54" spans="1:27" ht="31" customHeight="1" x14ac:dyDescent="0.2">
      <c r="A54" s="2972"/>
      <c r="B54" s="2973"/>
      <c r="C54" s="542"/>
      <c r="D54" s="549"/>
      <c r="E54" s="549"/>
      <c r="F54" s="549"/>
      <c r="G54" s="549"/>
      <c r="H54" s="208"/>
      <c r="I54" s="2652"/>
      <c r="J54" s="2653"/>
      <c r="K54" s="548"/>
      <c r="L54" s="545" t="s">
        <v>20</v>
      </c>
      <c r="M54" s="543"/>
      <c r="N54" s="543"/>
      <c r="O54" s="907"/>
      <c r="P54" s="907"/>
      <c r="Q54" s="907"/>
      <c r="R54" s="907"/>
      <c r="S54" s="543"/>
      <c r="T54" s="543"/>
      <c r="U54" s="543"/>
      <c r="V54" s="543"/>
      <c r="W54" s="543"/>
      <c r="X54" s="543"/>
      <c r="Y54" s="959"/>
      <c r="Z54" s="494"/>
      <c r="AA54" s="543"/>
    </row>
    <row r="55" spans="1:27" ht="31" customHeight="1" x14ac:dyDescent="0.2">
      <c r="A55" s="2904" t="s">
        <v>125</v>
      </c>
      <c r="B55" s="2904"/>
      <c r="C55" s="485" t="s">
        <v>21</v>
      </c>
      <c r="D55" s="216">
        <f>Y55</f>
        <v>27152.639999999999</v>
      </c>
      <c r="E55" s="216">
        <f>Y56</f>
        <v>0</v>
      </c>
      <c r="F55" s="216">
        <f>Y57</f>
        <v>1215.3599999999999</v>
      </c>
      <c r="G55" s="216">
        <f>SUM(D55:F55)</f>
        <v>28368</v>
      </c>
      <c r="H55" s="208"/>
      <c r="I55" s="2989" t="s">
        <v>131</v>
      </c>
      <c r="J55" s="2990"/>
      <c r="K55" s="209"/>
      <c r="L55" s="57" t="s">
        <v>18</v>
      </c>
      <c r="M55" s="494">
        <f>'T1.2025'!F63</f>
        <v>0</v>
      </c>
      <c r="N55" s="477"/>
      <c r="O55" s="902"/>
      <c r="P55" s="902"/>
      <c r="Q55" s="902">
        <f>'T5.2025'!F80</f>
        <v>27152.639999999999</v>
      </c>
      <c r="R55" s="902"/>
      <c r="S55" s="477"/>
      <c r="T55" s="477"/>
      <c r="U55" s="477"/>
      <c r="V55" s="477"/>
      <c r="W55" s="477"/>
      <c r="X55" s="477"/>
      <c r="Y55" s="959">
        <f t="shared" ref="Y55:Y69" si="4">SUM(M55:X55)</f>
        <v>27152.639999999999</v>
      </c>
      <c r="Z55" s="494"/>
      <c r="AA55" s="477"/>
    </row>
    <row r="56" spans="1:27" ht="31" customHeight="1" x14ac:dyDescent="0.2">
      <c r="A56" s="2904"/>
      <c r="B56" s="2904"/>
      <c r="C56" s="485" t="s">
        <v>22</v>
      </c>
      <c r="D56" s="216">
        <f>D55/$G$55*100</f>
        <v>95.71573604060913</v>
      </c>
      <c r="E56" s="216">
        <f>E55/$G$55*100</f>
        <v>0</v>
      </c>
      <c r="F56" s="216">
        <f>F55/$G$55*100</f>
        <v>4.2842639593908629</v>
      </c>
      <c r="G56" s="216">
        <f>SUM(D56:F56)</f>
        <v>100</v>
      </c>
      <c r="H56" s="208">
        <f>G55/$G$70*100</f>
        <v>1.6661180677700806</v>
      </c>
      <c r="I56" s="2991"/>
      <c r="J56" s="2992"/>
      <c r="K56" s="209"/>
      <c r="L56" s="57" t="s">
        <v>19</v>
      </c>
      <c r="M56" s="494">
        <f>'T1.2025'!G63</f>
        <v>0</v>
      </c>
      <c r="N56" s="477"/>
      <c r="O56" s="902"/>
      <c r="P56" s="902"/>
      <c r="Q56" s="902">
        <f>'T5.2025'!G80</f>
        <v>0</v>
      </c>
      <c r="R56" s="902"/>
      <c r="S56" s="477"/>
      <c r="T56" s="477"/>
      <c r="U56" s="477"/>
      <c r="V56" s="477"/>
      <c r="W56" s="477"/>
      <c r="X56" s="477"/>
      <c r="Y56" s="959">
        <f t="shared" si="4"/>
        <v>0</v>
      </c>
      <c r="Z56" s="494"/>
      <c r="AA56" s="477"/>
    </row>
    <row r="57" spans="1:27" ht="31" customHeight="1" x14ac:dyDescent="0.2">
      <c r="A57" s="2904"/>
      <c r="B57" s="2904"/>
      <c r="C57" s="485"/>
      <c r="D57" s="216"/>
      <c r="E57" s="216"/>
      <c r="F57" s="216"/>
      <c r="G57" s="216"/>
      <c r="H57" s="208"/>
      <c r="I57" s="2991"/>
      <c r="J57" s="2992"/>
      <c r="K57" s="209"/>
      <c r="L57" s="57" t="s">
        <v>20</v>
      </c>
      <c r="M57" s="494">
        <f>'T1.2025'!H63</f>
        <v>0</v>
      </c>
      <c r="N57" s="477"/>
      <c r="O57" s="902"/>
      <c r="P57" s="902"/>
      <c r="Q57" s="902">
        <f>'T5.2025'!H80</f>
        <v>1215.3599999999999</v>
      </c>
      <c r="R57" s="902"/>
      <c r="S57" s="477"/>
      <c r="T57" s="477"/>
      <c r="U57" s="477"/>
      <c r="V57" s="477"/>
      <c r="W57" s="477"/>
      <c r="X57" s="477"/>
      <c r="Y57" s="959">
        <f t="shared" si="4"/>
        <v>1215.3599999999999</v>
      </c>
      <c r="Z57" s="494"/>
      <c r="AA57" s="477"/>
    </row>
    <row r="58" spans="1:27" ht="31" customHeight="1" x14ac:dyDescent="0.2">
      <c r="A58" s="2904" t="s">
        <v>120</v>
      </c>
      <c r="B58" s="2904"/>
      <c r="C58" s="485" t="s">
        <v>21</v>
      </c>
      <c r="D58" s="216">
        <f>Y58</f>
        <v>8570.8799999999992</v>
      </c>
      <c r="E58" s="216">
        <f>Y59</f>
        <v>86.4</v>
      </c>
      <c r="F58" s="216">
        <f>Y60</f>
        <v>282.24</v>
      </c>
      <c r="G58" s="216">
        <f>SUM(D58:F58)</f>
        <v>8939.5199999999986</v>
      </c>
      <c r="H58" s="208"/>
      <c r="I58" s="2991"/>
      <c r="J58" s="2992"/>
      <c r="K58" s="209"/>
      <c r="L58" s="57" t="s">
        <v>18</v>
      </c>
      <c r="M58" s="494">
        <f>'T1.2025'!F65</f>
        <v>0</v>
      </c>
      <c r="N58" s="477"/>
      <c r="O58" s="902"/>
      <c r="P58" s="902"/>
      <c r="Q58" s="902">
        <f>'T5.2025'!F82</f>
        <v>8570.8799999999992</v>
      </c>
      <c r="R58" s="902"/>
      <c r="S58" s="477"/>
      <c r="T58" s="477"/>
      <c r="U58" s="477"/>
      <c r="V58" s="477"/>
      <c r="W58" s="477"/>
      <c r="X58" s="477"/>
      <c r="Y58" s="959">
        <f t="shared" si="4"/>
        <v>8570.8799999999992</v>
      </c>
      <c r="Z58" s="494"/>
      <c r="AA58" s="477"/>
    </row>
    <row r="59" spans="1:27" ht="31" customHeight="1" x14ac:dyDescent="0.2">
      <c r="A59" s="2904"/>
      <c r="B59" s="2904"/>
      <c r="C59" s="485" t="s">
        <v>22</v>
      </c>
      <c r="D59" s="216">
        <f>D58/$G$58*100</f>
        <v>95.876288659793815</v>
      </c>
      <c r="E59" s="216">
        <f>E58/$G$58*100</f>
        <v>0.96649484536082497</v>
      </c>
      <c r="F59" s="216">
        <f>F58/$G$58*100</f>
        <v>3.1572164948453616</v>
      </c>
      <c r="G59" s="216">
        <f>SUM(D59:F59)</f>
        <v>100</v>
      </c>
      <c r="H59" s="208">
        <f>G58/$G$70*100</f>
        <v>0.52503862765059184</v>
      </c>
      <c r="I59" s="2991"/>
      <c r="J59" s="2992"/>
      <c r="K59" s="209"/>
      <c r="L59" s="57" t="s">
        <v>19</v>
      </c>
      <c r="M59" s="494">
        <f>'T1.2025'!G65</f>
        <v>0</v>
      </c>
      <c r="N59" s="477"/>
      <c r="O59" s="902"/>
      <c r="P59" s="902"/>
      <c r="Q59" s="902">
        <f>'T5.2025'!G82</f>
        <v>86.4</v>
      </c>
      <c r="R59" s="902"/>
      <c r="S59" s="477"/>
      <c r="T59" s="477"/>
      <c r="U59" s="477"/>
      <c r="V59" s="477"/>
      <c r="W59" s="477"/>
      <c r="X59" s="477"/>
      <c r="Y59" s="959">
        <f t="shared" si="4"/>
        <v>86.4</v>
      </c>
      <c r="Z59" s="494"/>
      <c r="AA59" s="477"/>
    </row>
    <row r="60" spans="1:27" ht="31" customHeight="1" x14ac:dyDescent="0.2">
      <c r="A60" s="2904"/>
      <c r="B60" s="2904"/>
      <c r="C60" s="485"/>
      <c r="D60" s="216"/>
      <c r="E60" s="216"/>
      <c r="F60" s="216"/>
      <c r="G60" s="216"/>
      <c r="H60" s="208"/>
      <c r="I60" s="2991"/>
      <c r="J60" s="2992"/>
      <c r="K60" s="209"/>
      <c r="L60" s="57" t="s">
        <v>20</v>
      </c>
      <c r="M60" s="494">
        <f>'T1.2025'!H65</f>
        <v>0</v>
      </c>
      <c r="N60" s="477"/>
      <c r="O60" s="902"/>
      <c r="P60" s="902"/>
      <c r="Q60" s="902">
        <f>'T5.2025'!H82</f>
        <v>282.24</v>
      </c>
      <c r="R60" s="902"/>
      <c r="S60" s="477"/>
      <c r="T60" s="477"/>
      <c r="U60" s="477"/>
      <c r="V60" s="477"/>
      <c r="W60" s="477"/>
      <c r="X60" s="477"/>
      <c r="Y60" s="959">
        <f t="shared" si="4"/>
        <v>282.24</v>
      </c>
      <c r="Z60" s="494"/>
      <c r="AA60" s="477"/>
    </row>
    <row r="61" spans="1:27" ht="31" customHeight="1" x14ac:dyDescent="0.2">
      <c r="A61" s="2905" t="s">
        <v>109</v>
      </c>
      <c r="B61" s="2905"/>
      <c r="C61" s="485" t="s">
        <v>21</v>
      </c>
      <c r="D61" s="216">
        <f>Y61</f>
        <v>14420.16</v>
      </c>
      <c r="E61" s="216">
        <f>Y62</f>
        <v>72</v>
      </c>
      <c r="F61" s="216">
        <f>Y63</f>
        <v>506.88</v>
      </c>
      <c r="G61" s="216">
        <f>SUM(D61:F61)</f>
        <v>14999.039999999999</v>
      </c>
      <c r="H61" s="208"/>
      <c r="I61" s="2991"/>
      <c r="J61" s="2992"/>
      <c r="K61" s="209"/>
      <c r="L61" s="57" t="s">
        <v>18</v>
      </c>
      <c r="M61" s="494">
        <f>'T1.2025'!F67</f>
        <v>0</v>
      </c>
      <c r="N61" s="477"/>
      <c r="O61" s="902"/>
      <c r="P61" s="902"/>
      <c r="Q61" s="902">
        <f>'T5.2025'!F84</f>
        <v>14420.16</v>
      </c>
      <c r="R61" s="902"/>
      <c r="S61" s="477"/>
      <c r="T61" s="477"/>
      <c r="U61" s="477"/>
      <c r="V61" s="477"/>
      <c r="W61" s="477"/>
      <c r="X61" s="477"/>
      <c r="Y61" s="959">
        <f t="shared" si="4"/>
        <v>14420.16</v>
      </c>
      <c r="Z61" s="494"/>
      <c r="AA61" s="477"/>
    </row>
    <row r="62" spans="1:27" ht="31" customHeight="1" x14ac:dyDescent="0.2">
      <c r="A62" s="2905"/>
      <c r="B62" s="2905"/>
      <c r="C62" s="485" t="s">
        <v>22</v>
      </c>
      <c r="D62" s="216">
        <f>D61/$G$61*100</f>
        <v>96.140552995391715</v>
      </c>
      <c r="E62" s="216">
        <f>E61/$G$61*100</f>
        <v>0.48003072196620589</v>
      </c>
      <c r="F62" s="216">
        <f>F61/$G$61*100</f>
        <v>3.3794162826420893</v>
      </c>
      <c r="G62" s="216">
        <f>SUM(D62:F62)</f>
        <v>100</v>
      </c>
      <c r="H62" s="208">
        <f>G61/$G$70*100</f>
        <v>0.88092821288797751</v>
      </c>
      <c r="I62" s="2991"/>
      <c r="J62" s="2992"/>
      <c r="K62" s="209"/>
      <c r="L62" s="57" t="s">
        <v>19</v>
      </c>
      <c r="M62" s="561">
        <f>'T1.2025'!G67</f>
        <v>0</v>
      </c>
      <c r="N62" s="477"/>
      <c r="O62" s="902"/>
      <c r="P62" s="902"/>
      <c r="Q62" s="902">
        <f>'T5.2025'!G84</f>
        <v>72</v>
      </c>
      <c r="R62" s="902"/>
      <c r="S62" s="477"/>
      <c r="T62" s="477"/>
      <c r="U62" s="477"/>
      <c r="V62" s="477"/>
      <c r="W62" s="477"/>
      <c r="X62" s="477"/>
      <c r="Y62" s="959">
        <f t="shared" si="4"/>
        <v>72</v>
      </c>
      <c r="Z62" s="494"/>
      <c r="AA62" s="477"/>
    </row>
    <row r="63" spans="1:27" ht="31" customHeight="1" x14ac:dyDescent="0.2">
      <c r="A63" s="2905"/>
      <c r="B63" s="2905"/>
      <c r="C63" s="485"/>
      <c r="D63" s="216"/>
      <c r="E63" s="216"/>
      <c r="F63" s="216"/>
      <c r="G63" s="216"/>
      <c r="H63" s="208"/>
      <c r="I63" s="2991"/>
      <c r="J63" s="2992"/>
      <c r="K63" s="209"/>
      <c r="L63" s="57" t="s">
        <v>20</v>
      </c>
      <c r="M63" s="494">
        <f>'T1.2025'!H67</f>
        <v>0</v>
      </c>
      <c r="N63" s="477"/>
      <c r="O63" s="902"/>
      <c r="P63" s="902"/>
      <c r="Q63" s="902">
        <f>'T5.2025'!H84</f>
        <v>506.88</v>
      </c>
      <c r="R63" s="902"/>
      <c r="S63" s="477"/>
      <c r="T63" s="477"/>
      <c r="U63" s="477"/>
      <c r="V63" s="477"/>
      <c r="W63" s="477"/>
      <c r="X63" s="477"/>
      <c r="Y63" s="959">
        <f t="shared" si="4"/>
        <v>506.88</v>
      </c>
      <c r="Z63" s="494"/>
      <c r="AA63" s="477"/>
    </row>
    <row r="64" spans="1:27" ht="31" customHeight="1" x14ac:dyDescent="0.2">
      <c r="A64" s="2904" t="s">
        <v>129</v>
      </c>
      <c r="B64" s="2904"/>
      <c r="C64" s="485" t="s">
        <v>21</v>
      </c>
      <c r="D64" s="214">
        <f>Y64</f>
        <v>1752.48</v>
      </c>
      <c r="E64" s="214">
        <f>Y65</f>
        <v>0</v>
      </c>
      <c r="F64" s="214">
        <f>Y66</f>
        <v>80.64</v>
      </c>
      <c r="G64" s="214">
        <f>SUM(D64:F64)</f>
        <v>1833.1200000000001</v>
      </c>
      <c r="H64" s="208"/>
      <c r="I64" s="2991"/>
      <c r="J64" s="2992"/>
      <c r="K64" s="488"/>
      <c r="L64" s="57" t="s">
        <v>18</v>
      </c>
      <c r="M64" s="494">
        <f>'T1.2025'!F69</f>
        <v>0</v>
      </c>
      <c r="N64" s="494"/>
      <c r="O64" s="902"/>
      <c r="P64" s="902"/>
      <c r="Q64" s="902">
        <f>'T5.2025'!F86</f>
        <v>1752.48</v>
      </c>
      <c r="R64" s="902"/>
      <c r="S64" s="477"/>
      <c r="T64" s="477"/>
      <c r="U64" s="477"/>
      <c r="V64" s="477"/>
      <c r="W64" s="477"/>
      <c r="X64" s="477"/>
      <c r="Y64" s="959">
        <f t="shared" si="4"/>
        <v>1752.48</v>
      </c>
      <c r="Z64" s="494"/>
      <c r="AA64" s="477"/>
    </row>
    <row r="65" spans="1:27" ht="31" customHeight="1" x14ac:dyDescent="0.2">
      <c r="A65" s="2904"/>
      <c r="B65" s="2904"/>
      <c r="C65" s="485" t="s">
        <v>22</v>
      </c>
      <c r="D65" s="216">
        <f>D64/$G$64*100</f>
        <v>95.600942655145317</v>
      </c>
      <c r="E65" s="216">
        <f>E64/$G$64*100</f>
        <v>0</v>
      </c>
      <c r="F65" s="216">
        <f>F64/$G$64*100</f>
        <v>4.3990573448546737</v>
      </c>
      <c r="G65" s="216">
        <f>SUM(D65:F65)</f>
        <v>99.999999999999986</v>
      </c>
      <c r="H65" s="208">
        <f>G64/$G$70*100</f>
        <v>0.10766336549600572</v>
      </c>
      <c r="I65" s="2991"/>
      <c r="J65" s="2992"/>
      <c r="K65" s="488"/>
      <c r="L65" s="57" t="s">
        <v>19</v>
      </c>
      <c r="M65" s="494">
        <f>'T1.2025'!G69</f>
        <v>0</v>
      </c>
      <c r="N65" s="494"/>
      <c r="O65" s="902"/>
      <c r="P65" s="902"/>
      <c r="Q65" s="902"/>
      <c r="R65" s="902"/>
      <c r="S65" s="477"/>
      <c r="T65" s="477"/>
      <c r="U65" s="477"/>
      <c r="V65" s="477"/>
      <c r="W65" s="477"/>
      <c r="X65" s="477"/>
      <c r="Y65" s="959">
        <f t="shared" si="4"/>
        <v>0</v>
      </c>
      <c r="Z65" s="494"/>
      <c r="AA65" s="477"/>
    </row>
    <row r="66" spans="1:27" ht="31" customHeight="1" x14ac:dyDescent="0.2">
      <c r="A66" s="2904"/>
      <c r="B66" s="2904"/>
      <c r="C66" s="485"/>
      <c r="D66" s="216"/>
      <c r="E66" s="216"/>
      <c r="F66" s="216"/>
      <c r="G66" s="216"/>
      <c r="H66" s="208"/>
      <c r="I66" s="2991"/>
      <c r="J66" s="2992"/>
      <c r="K66" s="488"/>
      <c r="L66" s="57" t="s">
        <v>20</v>
      </c>
      <c r="M66" s="494">
        <f>'T1.2025'!H69</f>
        <v>0</v>
      </c>
      <c r="N66" s="494"/>
      <c r="O66" s="902"/>
      <c r="P66" s="902"/>
      <c r="Q66" s="902">
        <f>'T5.2025'!H86</f>
        <v>80.64</v>
      </c>
      <c r="R66" s="902"/>
      <c r="S66" s="477"/>
      <c r="T66" s="477"/>
      <c r="U66" s="477"/>
      <c r="V66" s="477"/>
      <c r="W66" s="477"/>
      <c r="X66" s="477"/>
      <c r="Y66" s="959">
        <f t="shared" si="4"/>
        <v>80.64</v>
      </c>
      <c r="Z66" s="494"/>
      <c r="AA66" s="477"/>
    </row>
    <row r="67" spans="1:27" ht="31" customHeight="1" x14ac:dyDescent="0.2">
      <c r="A67" s="2988" t="s">
        <v>369</v>
      </c>
      <c r="B67" s="2988"/>
      <c r="C67" s="545" t="s">
        <v>21</v>
      </c>
      <c r="D67" s="1204">
        <f>D55+D58+D61+D64</f>
        <v>51896.159999999996</v>
      </c>
      <c r="E67" s="1204">
        <f>E55+E58+E61+E64</f>
        <v>158.4</v>
      </c>
      <c r="F67" s="1204">
        <f>F55+F58+F61+F64</f>
        <v>2085.12</v>
      </c>
      <c r="G67" s="1204">
        <f>SUM(D67:F67)</f>
        <v>54139.68</v>
      </c>
      <c r="H67" s="208"/>
      <c r="I67" s="2991"/>
      <c r="J67" s="2992"/>
      <c r="K67" s="557"/>
      <c r="L67" s="545" t="s">
        <v>18</v>
      </c>
      <c r="M67" s="544"/>
      <c r="N67" s="543"/>
      <c r="O67" s="907"/>
      <c r="P67" s="907"/>
      <c r="Q67" s="907"/>
      <c r="R67" s="907"/>
      <c r="S67" s="543"/>
      <c r="T67" s="543"/>
      <c r="U67" s="543"/>
      <c r="V67" s="543"/>
      <c r="W67" s="543"/>
      <c r="X67" s="543"/>
      <c r="Y67" s="959">
        <f t="shared" si="4"/>
        <v>0</v>
      </c>
      <c r="Z67" s="494"/>
      <c r="AA67" s="543"/>
    </row>
    <row r="68" spans="1:27" ht="31" customHeight="1" x14ac:dyDescent="0.2">
      <c r="A68" s="2988"/>
      <c r="B68" s="2988"/>
      <c r="C68" s="545" t="s">
        <v>22</v>
      </c>
      <c r="D68" s="551">
        <f>D67/$G$67*100</f>
        <v>95.856052344601963</v>
      </c>
      <c r="E68" s="551">
        <f>E67/$G$67*100</f>
        <v>0.29257653536186401</v>
      </c>
      <c r="F68" s="551">
        <f>F67/$G$67*100</f>
        <v>3.8513711200361724</v>
      </c>
      <c r="G68" s="551">
        <f>SUM(D68:F68)</f>
        <v>100</v>
      </c>
      <c r="H68" s="208">
        <f>G67/$G$70*100</f>
        <v>3.1797482738046554</v>
      </c>
      <c r="I68" s="2991"/>
      <c r="J68" s="2992"/>
      <c r="K68" s="557"/>
      <c r="L68" s="545" t="s">
        <v>19</v>
      </c>
      <c r="M68" s="544"/>
      <c r="N68" s="543"/>
      <c r="O68" s="907"/>
      <c r="P68" s="907"/>
      <c r="Q68" s="907"/>
      <c r="R68" s="907"/>
      <c r="S68" s="543"/>
      <c r="T68" s="543"/>
      <c r="U68" s="543"/>
      <c r="V68" s="543"/>
      <c r="W68" s="543"/>
      <c r="X68" s="543"/>
      <c r="Y68" s="959">
        <f t="shared" si="4"/>
        <v>0</v>
      </c>
      <c r="Z68" s="494"/>
      <c r="AA68" s="543"/>
    </row>
    <row r="69" spans="1:27" ht="31" customHeight="1" x14ac:dyDescent="0.2">
      <c r="A69" s="2988"/>
      <c r="B69" s="2988"/>
      <c r="C69" s="554"/>
      <c r="D69" s="549"/>
      <c r="E69" s="549"/>
      <c r="F69" s="549"/>
      <c r="G69" s="549"/>
      <c r="H69" s="208"/>
      <c r="I69" s="2993"/>
      <c r="J69" s="2994"/>
      <c r="K69" s="557"/>
      <c r="L69" s="545" t="s">
        <v>20</v>
      </c>
      <c r="M69" s="544"/>
      <c r="N69" s="543"/>
      <c r="O69" s="907"/>
      <c r="P69" s="907"/>
      <c r="Q69" s="907"/>
      <c r="R69" s="907"/>
      <c r="S69" s="543"/>
      <c r="T69" s="543"/>
      <c r="U69" s="543"/>
      <c r="V69" s="543"/>
      <c r="W69" s="543"/>
      <c r="X69" s="543"/>
      <c r="Y69" s="959">
        <f t="shared" si="4"/>
        <v>0</v>
      </c>
      <c r="Z69" s="494"/>
      <c r="AA69" s="543"/>
    </row>
    <row r="70" spans="1:27" ht="31" customHeight="1" x14ac:dyDescent="0.2">
      <c r="A70" s="2960" t="s">
        <v>368</v>
      </c>
      <c r="B70" s="2960"/>
      <c r="C70" s="559" t="s">
        <v>21</v>
      </c>
      <c r="D70" s="1205">
        <f>D22+D52+D67</f>
        <v>1562421.84</v>
      </c>
      <c r="E70" s="1205">
        <f>E22+E52+E67</f>
        <v>50063.519999999997</v>
      </c>
      <c r="F70" s="1205">
        <f>F22+F52+F67</f>
        <v>90155.08</v>
      </c>
      <c r="G70" s="1205">
        <f>SUM(D70:F70)</f>
        <v>1702640.4400000002</v>
      </c>
      <c r="H70" s="560"/>
      <c r="I70" s="2976"/>
      <c r="J70" s="2975"/>
      <c r="K70" s="479"/>
      <c r="L70" s="486" t="s">
        <v>359</v>
      </c>
      <c r="M70" s="561">
        <f t="shared" ref="M70:X70" si="5">SUM(M7:M69)</f>
        <v>0</v>
      </c>
      <c r="N70" s="561">
        <f t="shared" si="5"/>
        <v>102801.59999999999</v>
      </c>
      <c r="O70" s="908">
        <f t="shared" si="5"/>
        <v>489176.63999999996</v>
      </c>
      <c r="P70" s="908">
        <f t="shared" si="5"/>
        <v>441076.6</v>
      </c>
      <c r="Q70" s="908">
        <f t="shared" si="5"/>
        <v>360989.27999999991</v>
      </c>
      <c r="R70" s="908">
        <f t="shared" si="5"/>
        <v>308596.31999999995</v>
      </c>
      <c r="S70" s="561">
        <f t="shared" si="5"/>
        <v>0</v>
      </c>
      <c r="T70" s="561">
        <f t="shared" si="5"/>
        <v>0</v>
      </c>
      <c r="U70" s="561">
        <f t="shared" si="5"/>
        <v>0</v>
      </c>
      <c r="V70" s="561">
        <f t="shared" si="5"/>
        <v>0</v>
      </c>
      <c r="W70" s="561">
        <f t="shared" si="5"/>
        <v>0</v>
      </c>
      <c r="X70" s="561">
        <f t="shared" si="5"/>
        <v>0</v>
      </c>
      <c r="Y70" s="1196">
        <f>SUM(Y7:Y69)</f>
        <v>1702640.4400000004</v>
      </c>
      <c r="Z70" s="561"/>
      <c r="AA70" s="477"/>
    </row>
    <row r="71" spans="1:27" ht="31" customHeight="1" x14ac:dyDescent="0.2">
      <c r="A71" s="2961"/>
      <c r="B71" s="2961"/>
      <c r="C71" s="559" t="s">
        <v>22</v>
      </c>
      <c r="D71" s="560">
        <f>D70/$G$70*100</f>
        <v>91.764638222735968</v>
      </c>
      <c r="E71" s="560">
        <f>E70/$G$70*100</f>
        <v>2.9403459957758309</v>
      </c>
      <c r="F71" s="560">
        <f>F70/$G$70*100</f>
        <v>5.2950157814881926</v>
      </c>
      <c r="G71" s="560">
        <f>SUM(D71:F71)</f>
        <v>99.999999999999986</v>
      </c>
      <c r="H71" s="560">
        <f>H23+H53+H68</f>
        <v>100</v>
      </c>
      <c r="K71" s="479"/>
      <c r="L71" s="486" t="s">
        <v>22</v>
      </c>
      <c r="M71" s="562"/>
      <c r="N71" s="477"/>
      <c r="O71" s="902"/>
      <c r="P71" s="902"/>
      <c r="Q71" s="902"/>
      <c r="R71" s="902"/>
      <c r="S71" s="477"/>
      <c r="T71" s="477"/>
      <c r="U71" s="477"/>
      <c r="V71" s="477"/>
      <c r="W71" s="477"/>
      <c r="X71" s="477"/>
      <c r="Y71" s="477"/>
      <c r="Z71" s="477"/>
      <c r="AA71" s="477"/>
    </row>
    <row r="72" spans="1:27" ht="31" customHeight="1" x14ac:dyDescent="0.2"/>
    <row r="73" spans="1:27" ht="31" customHeight="1" x14ac:dyDescent="0.2">
      <c r="A73" s="2977" t="s">
        <v>133</v>
      </c>
      <c r="B73" s="2978"/>
      <c r="C73" s="2978"/>
      <c r="D73" s="2978"/>
      <c r="E73" s="2978"/>
      <c r="F73" s="2978"/>
      <c r="G73" s="2978"/>
      <c r="H73" s="2978"/>
      <c r="I73" s="2978"/>
      <c r="J73" s="2979"/>
      <c r="K73" s="489"/>
      <c r="L73" s="489"/>
    </row>
    <row r="74" spans="1:27" ht="31" customHeight="1" x14ac:dyDescent="0.2">
      <c r="A74" s="221" t="s">
        <v>39</v>
      </c>
      <c r="B74" s="2660" t="s">
        <v>134</v>
      </c>
      <c r="C74" s="2661"/>
      <c r="D74" s="222" t="s">
        <v>6</v>
      </c>
      <c r="E74" s="222" t="s">
        <v>135</v>
      </c>
      <c r="F74" s="222" t="s">
        <v>43</v>
      </c>
      <c r="G74" s="222" t="s">
        <v>10</v>
      </c>
      <c r="H74" s="44" t="s">
        <v>314</v>
      </c>
      <c r="I74" s="2605" t="s">
        <v>47</v>
      </c>
      <c r="J74" s="2605"/>
      <c r="K74" s="462"/>
      <c r="L74" s="462"/>
    </row>
    <row r="75" spans="1:27" ht="31" customHeight="1" x14ac:dyDescent="0.2">
      <c r="A75" s="223">
        <v>1</v>
      </c>
      <c r="B75" s="2676" t="s">
        <v>137</v>
      </c>
      <c r="C75" s="2677"/>
      <c r="D75" s="224" t="s">
        <v>138</v>
      </c>
      <c r="E75" s="224" t="s">
        <v>139</v>
      </c>
      <c r="F75" s="830">
        <f>G52</f>
        <v>1315867.3600000001</v>
      </c>
      <c r="G75" s="224">
        <f>'TH SX Năm 2025'!H123</f>
        <v>86.756006392385189</v>
      </c>
      <c r="H75" s="214">
        <f>F75/$F$78*100</f>
        <v>77.283924960692232</v>
      </c>
      <c r="I75" s="2600"/>
      <c r="J75" s="2600"/>
      <c r="K75" s="464"/>
      <c r="L75" s="464"/>
    </row>
    <row r="76" spans="1:27" ht="31" customHeight="1" x14ac:dyDescent="0.2">
      <c r="A76" s="223">
        <v>2</v>
      </c>
      <c r="B76" s="2676" t="s">
        <v>137</v>
      </c>
      <c r="C76" s="2677"/>
      <c r="D76" s="224" t="s">
        <v>138</v>
      </c>
      <c r="E76" s="224" t="s">
        <v>140</v>
      </c>
      <c r="F76" s="830">
        <f>G22</f>
        <v>332633.40000000002</v>
      </c>
      <c r="G76" s="224">
        <f>'TH SX Năm 2025'!H124</f>
        <v>21.482097253391224</v>
      </c>
      <c r="H76" s="214">
        <f>F76/$F$78*100</f>
        <v>19.536326765503116</v>
      </c>
      <c r="I76" s="2600"/>
      <c r="J76" s="2600"/>
      <c r="K76" s="464"/>
      <c r="L76" s="464"/>
    </row>
    <row r="77" spans="1:27" ht="31" customHeight="1" x14ac:dyDescent="0.2">
      <c r="A77" s="223">
        <v>3</v>
      </c>
      <c r="B77" s="2676" t="s">
        <v>137</v>
      </c>
      <c r="C77" s="2677"/>
      <c r="D77" s="224" t="s">
        <v>138</v>
      </c>
      <c r="E77" s="224" t="s">
        <v>141</v>
      </c>
      <c r="F77" s="830">
        <f>G67</f>
        <v>54139.68</v>
      </c>
      <c r="G77" s="224">
        <f>'TH SX Năm 2025'!H125</f>
        <v>3.7119026914040227</v>
      </c>
      <c r="H77" s="214">
        <f>F77/$F$78*100</f>
        <v>3.1797482738046554</v>
      </c>
      <c r="I77" s="2600"/>
      <c r="J77" s="2600"/>
      <c r="K77" s="464"/>
      <c r="L77" s="464"/>
    </row>
    <row r="78" spans="1:27" ht="31" customHeight="1" x14ac:dyDescent="0.2">
      <c r="A78" s="563" t="s">
        <v>103</v>
      </c>
      <c r="B78" s="2986" t="s">
        <v>142</v>
      </c>
      <c r="C78" s="2987"/>
      <c r="D78" s="564" t="s">
        <v>142</v>
      </c>
      <c r="E78" s="564" t="s">
        <v>142</v>
      </c>
      <c r="F78" s="1202">
        <f>SUM(F75:F77)</f>
        <v>1702640.4400000002</v>
      </c>
      <c r="G78" s="565">
        <f>SUM(G75:G77)</f>
        <v>111.95000633718044</v>
      </c>
      <c r="H78" s="566">
        <f>SUM(H75:H77)</f>
        <v>100</v>
      </c>
      <c r="I78" s="2775"/>
      <c r="J78" s="2775"/>
      <c r="K78" s="464"/>
      <c r="L78" s="464"/>
    </row>
  </sheetData>
  <autoFilter ref="A6:AA71" xr:uid="{530C3A41-7AE8-264F-B7D6-4CCCC5623AAB}">
    <filterColumn colId="0" showButton="0"/>
    <filterColumn colId="8" showButton="0"/>
  </autoFilter>
  <mergeCells count="41">
    <mergeCell ref="A58:B60"/>
    <mergeCell ref="A61:B63"/>
    <mergeCell ref="A67:B69"/>
    <mergeCell ref="I55:J69"/>
    <mergeCell ref="A64:B66"/>
    <mergeCell ref="A40:B42"/>
    <mergeCell ref="A43:B45"/>
    <mergeCell ref="A46:B48"/>
    <mergeCell ref="A49:B51"/>
    <mergeCell ref="A55:B57"/>
    <mergeCell ref="A25:B27"/>
    <mergeCell ref="A28:B30"/>
    <mergeCell ref="A31:B33"/>
    <mergeCell ref="A34:B36"/>
    <mergeCell ref="A37:B39"/>
    <mergeCell ref="B77:C77"/>
    <mergeCell ref="I77:J77"/>
    <mergeCell ref="B78:C78"/>
    <mergeCell ref="I78:J78"/>
    <mergeCell ref="B74:C74"/>
    <mergeCell ref="I74:J74"/>
    <mergeCell ref="B75:C75"/>
    <mergeCell ref="I75:J75"/>
    <mergeCell ref="B76:C76"/>
    <mergeCell ref="I76:J76"/>
    <mergeCell ref="A73:J73"/>
    <mergeCell ref="A70:B71"/>
    <mergeCell ref="I70:J70"/>
    <mergeCell ref="A5:B6"/>
    <mergeCell ref="C5:C6"/>
    <mergeCell ref="D5:G5"/>
    <mergeCell ref="I5:J6"/>
    <mergeCell ref="A7:B9"/>
    <mergeCell ref="A10:B12"/>
    <mergeCell ref="A13:B15"/>
    <mergeCell ref="A16:B18"/>
    <mergeCell ref="A19:B21"/>
    <mergeCell ref="A52:B54"/>
    <mergeCell ref="A22:B24"/>
    <mergeCell ref="I7:J24"/>
    <mergeCell ref="I25:J54"/>
  </mergeCells>
  <phoneticPr fontId="40" type="noConversion"/>
  <pageMargins left="0.25" right="0.2" top="0.25" bottom="0.25" header="0.3" footer="0.3"/>
  <pageSetup paperSize="9" orientation="landscape"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4B65C-6EC3-2E41-9400-99B416B08125}">
  <sheetPr codeName="Sheet5"/>
  <dimension ref="A1:AB95"/>
  <sheetViews>
    <sheetView topLeftCell="B1" zoomScale="79" zoomScaleNormal="120" workbookViewId="0">
      <selection activeCell="K12" sqref="K12:N12"/>
    </sheetView>
  </sheetViews>
  <sheetFormatPr baseColWidth="10" defaultColWidth="10.83203125" defaultRowHeight="14" x14ac:dyDescent="0.15"/>
  <cols>
    <col min="1" max="1" width="7.83203125" style="340" customWidth="1"/>
    <col min="2" max="2" width="9.6640625" style="340" customWidth="1"/>
    <col min="3" max="3" width="13.83203125" style="340" customWidth="1"/>
    <col min="4" max="4" width="11.83203125" style="340" customWidth="1"/>
    <col min="5" max="5" width="8.1640625" style="340" customWidth="1"/>
    <col min="6" max="6" width="13.83203125" style="340" customWidth="1"/>
    <col min="7" max="7" width="10.33203125" style="340" customWidth="1"/>
    <col min="8" max="8" width="9.1640625" style="340" customWidth="1"/>
    <col min="9" max="9" width="9.83203125" style="340" customWidth="1"/>
    <col min="10" max="10" width="10.83203125" style="340"/>
    <col min="11" max="11" width="9.1640625" style="340" customWidth="1"/>
    <col min="12" max="12" width="10.6640625" style="340" customWidth="1"/>
    <col min="13" max="13" width="9.1640625" style="340" customWidth="1"/>
    <col min="14" max="14" width="9.6640625" style="340" customWidth="1"/>
    <col min="15" max="18" width="9" style="340" customWidth="1"/>
    <col min="19" max="19" width="9" style="781" customWidth="1"/>
    <col min="20" max="21" width="11.1640625" style="781" customWidth="1"/>
    <col min="22" max="23" width="10" style="781" customWidth="1"/>
    <col min="24" max="24" width="9.1640625" style="781" customWidth="1"/>
    <col min="25" max="26" width="10" style="781" customWidth="1"/>
    <col min="27" max="27" width="10.33203125" style="781" customWidth="1"/>
    <col min="28" max="28" width="10.83203125" style="68"/>
    <col min="29" max="16384" width="10.83203125" style="340"/>
  </cols>
  <sheetData>
    <row r="1" spans="1:28" ht="23" customHeight="1" x14ac:dyDescent="0.15">
      <c r="A1" s="2995" t="s">
        <v>0</v>
      </c>
      <c r="B1" s="2996"/>
      <c r="C1" s="2996"/>
      <c r="D1" s="2996"/>
      <c r="E1" s="2996"/>
      <c r="F1" s="2996"/>
      <c r="G1" s="2996"/>
      <c r="H1" s="2996"/>
      <c r="I1" s="2996"/>
      <c r="J1" s="2996"/>
      <c r="K1" s="2996"/>
      <c r="L1" s="2996"/>
      <c r="M1" s="2996"/>
      <c r="N1" s="2997"/>
      <c r="O1" s="49"/>
    </row>
    <row r="2" spans="1:28" ht="23" customHeight="1" x14ac:dyDescent="0.15">
      <c r="A2" s="2998" t="s">
        <v>1</v>
      </c>
      <c r="B2" s="2532"/>
      <c r="C2" s="2532"/>
      <c r="D2" s="2532"/>
      <c r="E2" s="2532"/>
      <c r="F2" s="2532"/>
      <c r="G2" s="2532"/>
      <c r="H2" s="2532"/>
      <c r="I2" s="2532"/>
      <c r="J2" s="2532"/>
      <c r="K2" s="2532"/>
      <c r="L2" s="2532"/>
      <c r="M2" s="2532"/>
      <c r="N2" s="2999"/>
      <c r="O2" s="2"/>
    </row>
    <row r="3" spans="1:28" ht="23" customHeight="1" thickBot="1" x14ac:dyDescent="0.2">
      <c r="A3" s="3000" t="s">
        <v>2</v>
      </c>
      <c r="B3" s="3001"/>
      <c r="C3" s="3001"/>
      <c r="D3" s="3001"/>
      <c r="E3" s="3001"/>
      <c r="F3" s="3001"/>
      <c r="G3" s="3001"/>
      <c r="H3" s="3001"/>
      <c r="I3" s="3001"/>
      <c r="J3" s="3001"/>
      <c r="K3" s="3001"/>
      <c r="L3" s="3001"/>
      <c r="M3" s="3001"/>
      <c r="N3" s="3002"/>
      <c r="O3" s="2"/>
      <c r="S3" s="3012"/>
      <c r="T3" s="3012"/>
      <c r="U3" s="3012"/>
      <c r="V3" s="3012"/>
      <c r="W3" s="3012"/>
      <c r="X3" s="796"/>
      <c r="Y3" s="3012"/>
      <c r="Z3" s="3012"/>
      <c r="AA3" s="3012"/>
      <c r="AB3" s="3012"/>
    </row>
    <row r="4" spans="1:28" ht="32" customHeight="1" x14ac:dyDescent="0.15">
      <c r="A4" s="3003" t="s">
        <v>303</v>
      </c>
      <c r="B4" s="3003"/>
      <c r="C4" s="3003"/>
      <c r="D4" s="3003"/>
      <c r="E4" s="3003"/>
      <c r="F4" s="3003"/>
      <c r="G4" s="3003"/>
      <c r="H4" s="3003"/>
      <c r="I4" s="3003"/>
      <c r="J4" s="3003"/>
      <c r="K4" s="3003"/>
      <c r="L4" s="3003"/>
      <c r="M4" s="3003"/>
      <c r="N4" s="3003"/>
      <c r="O4" s="3"/>
      <c r="P4" s="3004"/>
      <c r="Q4" s="3004"/>
      <c r="R4" s="3004"/>
      <c r="S4" s="3012"/>
      <c r="T4" s="796"/>
      <c r="U4" s="796"/>
      <c r="V4" s="796"/>
      <c r="W4" s="796"/>
      <c r="X4" s="796"/>
      <c r="Y4" s="796"/>
      <c r="Z4" s="796"/>
      <c r="AA4" s="796"/>
      <c r="AB4" s="796"/>
    </row>
    <row r="5" spans="1:28" ht="51" x14ac:dyDescent="0.15">
      <c r="A5" s="3008" t="s">
        <v>39</v>
      </c>
      <c r="B5" s="3008" t="s">
        <v>213</v>
      </c>
      <c r="C5" s="288" t="s">
        <v>214</v>
      </c>
      <c r="D5" s="288" t="s">
        <v>215</v>
      </c>
      <c r="E5" s="289" t="s">
        <v>44</v>
      </c>
      <c r="F5" s="3010" t="s">
        <v>216</v>
      </c>
      <c r="G5" s="3011"/>
      <c r="H5" s="291" t="s">
        <v>217</v>
      </c>
      <c r="I5" s="44" t="s">
        <v>46</v>
      </c>
      <c r="J5" s="341" t="s">
        <v>300</v>
      </c>
      <c r="K5" s="2665" t="s">
        <v>47</v>
      </c>
      <c r="L5" s="2665"/>
      <c r="M5" s="2665"/>
      <c r="N5" s="2665"/>
      <c r="O5" s="49"/>
      <c r="Q5" s="797"/>
      <c r="R5" s="797"/>
      <c r="T5" s="796"/>
      <c r="U5" s="796"/>
      <c r="V5" s="796"/>
      <c r="W5" s="796"/>
      <c r="X5" s="796"/>
      <c r="Y5" s="796"/>
      <c r="Z5" s="796"/>
      <c r="AA5" s="796"/>
    </row>
    <row r="6" spans="1:28" ht="38" customHeight="1" x14ac:dyDescent="0.15">
      <c r="A6" s="3009"/>
      <c r="B6" s="3009"/>
      <c r="C6" s="289" t="s">
        <v>21</v>
      </c>
      <c r="D6" s="44" t="s">
        <v>164</v>
      </c>
      <c r="E6" s="289" t="s">
        <v>218</v>
      </c>
      <c r="F6" s="288" t="s">
        <v>219</v>
      </c>
      <c r="G6" s="288" t="s">
        <v>220</v>
      </c>
      <c r="H6" s="44" t="s">
        <v>164</v>
      </c>
      <c r="I6" s="44" t="s">
        <v>164</v>
      </c>
      <c r="J6" s="290" t="s">
        <v>218</v>
      </c>
      <c r="K6" s="2665"/>
      <c r="L6" s="2665"/>
      <c r="M6" s="2665"/>
      <c r="N6" s="2665"/>
      <c r="O6" s="49"/>
      <c r="Q6" s="797"/>
      <c r="T6" s="796"/>
      <c r="U6" s="798"/>
      <c r="V6" s="796"/>
      <c r="W6" s="796"/>
      <c r="X6" s="796"/>
      <c r="Y6" s="796"/>
      <c r="Z6" s="796"/>
      <c r="AA6" s="796"/>
    </row>
    <row r="7" spans="1:28" ht="53" customHeight="1" x14ac:dyDescent="0.15">
      <c r="A7" s="292">
        <v>1</v>
      </c>
      <c r="B7" s="17" t="s">
        <v>73</v>
      </c>
      <c r="C7" s="293">
        <f>B33</f>
        <v>1702641.6900000002</v>
      </c>
      <c r="D7" s="28">
        <f>D33</f>
        <v>5003816</v>
      </c>
      <c r="E7" s="294">
        <f t="shared" ref="E7:E12" si="0">D7/C7</f>
        <v>2.938854386914489</v>
      </c>
      <c r="F7" s="295">
        <f>E33</f>
        <v>519541</v>
      </c>
      <c r="G7" s="777">
        <f>F7/(D7+F7)*100</f>
        <v>9.4062542037387775</v>
      </c>
      <c r="H7" s="15">
        <f t="shared" ref="H7:H12" si="1">(D7+F7)/C7</f>
        <v>3.2439925748558402</v>
      </c>
      <c r="I7" s="211">
        <f>F33</f>
        <v>34457</v>
      </c>
      <c r="J7" s="343">
        <f t="shared" ref="J7:J12" si="2">(D7+F7+I7)/C7</f>
        <v>3.2642299508124926</v>
      </c>
      <c r="K7" s="2747" t="s">
        <v>578</v>
      </c>
      <c r="L7" s="2747"/>
      <c r="M7" s="2747"/>
      <c r="N7" s="2747"/>
      <c r="O7" s="81"/>
      <c r="Q7" s="797"/>
      <c r="R7" s="797"/>
      <c r="T7" s="796"/>
      <c r="U7" s="796"/>
      <c r="V7" s="796"/>
      <c r="W7" s="796"/>
      <c r="X7" s="796"/>
      <c r="Y7" s="796"/>
      <c r="Z7" s="796"/>
      <c r="AA7" s="796"/>
    </row>
    <row r="8" spans="1:28" ht="53" customHeight="1" x14ac:dyDescent="0.15">
      <c r="A8" s="296">
        <v>2</v>
      </c>
      <c r="B8" s="17" t="s">
        <v>99</v>
      </c>
      <c r="C8" s="28">
        <f>G33</f>
        <v>1062373.1199999999</v>
      </c>
      <c r="D8" s="28">
        <f>I33</f>
        <v>3439724</v>
      </c>
      <c r="E8" s="294">
        <f t="shared" si="0"/>
        <v>3.2377739376538446</v>
      </c>
      <c r="F8" s="28">
        <f>J33</f>
        <v>309127</v>
      </c>
      <c r="G8" s="777">
        <f>F8/(D8+F8)*100</f>
        <v>8.245913214475582</v>
      </c>
      <c r="H8" s="15">
        <f t="shared" si="1"/>
        <v>3.5287517440200298</v>
      </c>
      <c r="I8" s="28">
        <f>K33</f>
        <v>35288</v>
      </c>
      <c r="J8" s="343">
        <f t="shared" si="2"/>
        <v>3.5619679458757396</v>
      </c>
      <c r="K8" s="2749" t="s">
        <v>841</v>
      </c>
      <c r="L8" s="2749"/>
      <c r="M8" s="2749"/>
      <c r="N8" s="2749"/>
      <c r="O8" s="81"/>
      <c r="Q8" s="797"/>
      <c r="R8" s="797"/>
      <c r="T8" s="796"/>
      <c r="U8" s="796"/>
      <c r="V8" s="796"/>
      <c r="W8" s="796"/>
      <c r="X8" s="796"/>
      <c r="Y8" s="796"/>
      <c r="Z8" s="796"/>
      <c r="AA8" s="796"/>
    </row>
    <row r="9" spans="1:28" ht="53" hidden="1" customHeight="1" x14ac:dyDescent="0.15">
      <c r="A9" s="292">
        <v>3</v>
      </c>
      <c r="B9" s="17" t="s">
        <v>91</v>
      </c>
      <c r="C9" s="28"/>
      <c r="D9" s="15"/>
      <c r="E9" s="294"/>
      <c r="F9" s="15"/>
      <c r="G9" s="777" t="e">
        <f>F9/(D9+F9)*100</f>
        <v>#DIV/0!</v>
      </c>
      <c r="H9" s="15"/>
      <c r="I9" s="28"/>
      <c r="J9" s="343"/>
      <c r="K9" s="2747"/>
      <c r="L9" s="2747"/>
      <c r="M9" s="2747"/>
      <c r="N9" s="2747"/>
      <c r="O9" s="81"/>
      <c r="Q9" s="797"/>
      <c r="R9" s="797"/>
      <c r="T9" s="796"/>
      <c r="U9" s="796"/>
      <c r="V9" s="796"/>
      <c r="W9" s="796"/>
      <c r="X9" s="796"/>
      <c r="Y9" s="796"/>
      <c r="Z9" s="796"/>
      <c r="AA9" s="796"/>
    </row>
    <row r="10" spans="1:28" ht="53" customHeight="1" x14ac:dyDescent="0.15">
      <c r="A10" s="296">
        <v>3</v>
      </c>
      <c r="B10" s="17" t="s">
        <v>92</v>
      </c>
      <c r="C10" s="28">
        <f>L33</f>
        <v>514773.5</v>
      </c>
      <c r="D10" s="28">
        <f>N33</f>
        <v>1158501</v>
      </c>
      <c r="E10" s="294">
        <f t="shared" si="0"/>
        <v>2.2505062906307338</v>
      </c>
      <c r="F10" s="28">
        <f>O33</f>
        <v>149956</v>
      </c>
      <c r="G10" s="777">
        <f>F10/(D10+F10)*100</f>
        <v>11.46052182074</v>
      </c>
      <c r="H10" s="15">
        <f t="shared" si="1"/>
        <v>2.5418111072151151</v>
      </c>
      <c r="I10" s="28">
        <f>P33</f>
        <v>2115</v>
      </c>
      <c r="J10" s="343">
        <f t="shared" si="2"/>
        <v>2.5459197103191986</v>
      </c>
      <c r="K10" s="2749" t="s">
        <v>844</v>
      </c>
      <c r="L10" s="2749"/>
      <c r="M10" s="2749"/>
      <c r="N10" s="2749"/>
      <c r="O10" s="80"/>
      <c r="Q10" s="797"/>
      <c r="R10" s="797"/>
      <c r="T10" s="796"/>
      <c r="U10" s="796"/>
      <c r="V10" s="796"/>
      <c r="W10" s="796"/>
      <c r="X10" s="796"/>
      <c r="Y10" s="796"/>
      <c r="Z10" s="796"/>
      <c r="AA10" s="796"/>
    </row>
    <row r="11" spans="1:28" ht="53" customHeight="1" x14ac:dyDescent="0.15">
      <c r="A11" s="292">
        <v>4</v>
      </c>
      <c r="B11" s="17" t="s">
        <v>100</v>
      </c>
      <c r="C11" s="293">
        <f>Q33</f>
        <v>116559</v>
      </c>
      <c r="D11" s="293">
        <f>S33</f>
        <v>224692</v>
      </c>
      <c r="E11" s="294">
        <f t="shared" si="0"/>
        <v>1.9277104299110321</v>
      </c>
      <c r="F11" s="297">
        <f>T33</f>
        <v>39187</v>
      </c>
      <c r="G11" s="777">
        <f>F11/(D11+F11)*100</f>
        <v>14.850367024280068</v>
      </c>
      <c r="H11" s="15">
        <f t="shared" si="1"/>
        <v>2.2639092648358341</v>
      </c>
      <c r="I11" s="293">
        <f>U33</f>
        <v>0</v>
      </c>
      <c r="J11" s="343">
        <f t="shared" si="2"/>
        <v>2.2639092648358341</v>
      </c>
      <c r="K11" s="2749" t="s">
        <v>845</v>
      </c>
      <c r="L11" s="2749"/>
      <c r="M11" s="2749"/>
      <c r="N11" s="2749"/>
      <c r="O11" s="80"/>
      <c r="Q11" s="797"/>
      <c r="R11" s="797"/>
      <c r="T11" s="796"/>
      <c r="U11" s="796"/>
      <c r="V11" s="796"/>
      <c r="W11" s="796"/>
      <c r="X11" s="796"/>
      <c r="Y11" s="796"/>
      <c r="Z11" s="796"/>
      <c r="AA11" s="796"/>
    </row>
    <row r="12" spans="1:28" ht="40" customHeight="1" x14ac:dyDescent="0.15">
      <c r="A12" s="3005" t="s">
        <v>301</v>
      </c>
      <c r="B12" s="3006"/>
      <c r="C12" s="298">
        <f>SUM(C7:C11)</f>
        <v>3396347.31</v>
      </c>
      <c r="D12" s="298">
        <f>SUM(D7:D11)</f>
        <v>9826733</v>
      </c>
      <c r="E12" s="299">
        <f t="shared" si="0"/>
        <v>2.8933239457186137</v>
      </c>
      <c r="F12" s="298">
        <f>SUM(F7:F11)</f>
        <v>1017811</v>
      </c>
      <c r="G12" s="299" t="e">
        <f>SUM(G7:G11)/4</f>
        <v>#DIV/0!</v>
      </c>
      <c r="H12" s="300">
        <f t="shared" si="1"/>
        <v>3.1930020725707231</v>
      </c>
      <c r="I12" s="298">
        <f>SUM(I7:I11)</f>
        <v>71860</v>
      </c>
      <c r="J12" s="344">
        <f t="shared" si="2"/>
        <v>3.2141600971898248</v>
      </c>
      <c r="K12" s="3007"/>
      <c r="L12" s="3007"/>
      <c r="M12" s="3007"/>
      <c r="N12" s="3007"/>
      <c r="O12" s="337"/>
      <c r="Q12" s="797"/>
      <c r="R12" s="797"/>
      <c r="T12" s="796"/>
      <c r="U12" s="796"/>
      <c r="V12" s="796"/>
      <c r="W12" s="796"/>
      <c r="X12" s="796"/>
      <c r="Y12" s="796"/>
      <c r="Z12" s="796"/>
      <c r="AA12" s="796"/>
    </row>
    <row r="13" spans="1:28" ht="17" customHeight="1" x14ac:dyDescent="0.15">
      <c r="A13" s="49"/>
      <c r="B13" s="49"/>
      <c r="C13" s="49"/>
      <c r="D13" s="336"/>
      <c r="E13" s="337"/>
      <c r="F13" s="336"/>
      <c r="G13" s="337"/>
      <c r="H13" s="338"/>
      <c r="I13" s="336"/>
      <c r="J13" s="337"/>
      <c r="K13" s="337"/>
      <c r="L13" s="337"/>
      <c r="M13" s="337"/>
      <c r="N13" s="337"/>
      <c r="O13" s="337"/>
      <c r="Q13" s="797"/>
      <c r="R13" s="797"/>
      <c r="T13" s="796"/>
      <c r="U13" s="796"/>
      <c r="V13" s="796"/>
      <c r="W13" s="796"/>
      <c r="X13" s="796"/>
      <c r="Y13" s="796"/>
      <c r="Z13" s="796"/>
      <c r="AA13" s="796"/>
    </row>
    <row r="14" spans="1:28" ht="30" customHeight="1" x14ac:dyDescent="0.15">
      <c r="A14" s="88" t="s">
        <v>494</v>
      </c>
      <c r="B14" s="49"/>
      <c r="C14" s="49"/>
      <c r="D14" s="336"/>
      <c r="E14" s="337"/>
      <c r="F14" s="336"/>
      <c r="G14" s="337"/>
      <c r="H14" s="338"/>
      <c r="I14" s="336"/>
      <c r="J14" s="337"/>
      <c r="K14" s="337"/>
      <c r="L14" s="337"/>
      <c r="M14" s="337"/>
      <c r="N14" s="337"/>
      <c r="O14" s="337"/>
      <c r="Q14" s="797"/>
      <c r="R14" s="797"/>
      <c r="T14" s="796"/>
      <c r="U14" s="796"/>
      <c r="V14" s="796"/>
      <c r="W14" s="796"/>
      <c r="X14" s="796"/>
      <c r="Y14" s="796"/>
      <c r="Z14" s="796"/>
      <c r="AA14" s="796"/>
    </row>
    <row r="15" spans="1:28" ht="30" customHeight="1" x14ac:dyDescent="0.15">
      <c r="A15" s="1"/>
      <c r="B15" s="1"/>
      <c r="C15" s="1"/>
      <c r="D15" s="42"/>
      <c r="E15" s="43"/>
      <c r="F15" s="43"/>
      <c r="G15" s="1"/>
      <c r="H15" s="43"/>
      <c r="I15" s="2682" t="s">
        <v>449</v>
      </c>
      <c r="J15" s="2682"/>
      <c r="K15" s="2682"/>
      <c r="L15" s="2682"/>
      <c r="M15" s="2682"/>
      <c r="N15" s="856"/>
      <c r="O15" s="89"/>
      <c r="Q15" s="797"/>
      <c r="R15" s="797"/>
      <c r="T15" s="796"/>
      <c r="U15" s="796"/>
      <c r="V15" s="796"/>
      <c r="W15" s="796"/>
      <c r="X15" s="796"/>
      <c r="Y15" s="796"/>
      <c r="Z15" s="796"/>
      <c r="AA15" s="796"/>
    </row>
    <row r="16" spans="1:28" ht="30" customHeight="1" x14ac:dyDescent="0.15">
      <c r="A16" s="84"/>
      <c r="B16" s="84"/>
      <c r="C16" s="84"/>
      <c r="D16" s="84"/>
      <c r="E16" s="2683"/>
      <c r="F16" s="2683"/>
      <c r="G16" s="84"/>
      <c r="H16" s="90"/>
      <c r="I16" s="2683" t="s">
        <v>72</v>
      </c>
      <c r="J16" s="2683"/>
      <c r="K16" s="2683"/>
      <c r="L16" s="2683"/>
      <c r="M16" s="2683"/>
      <c r="N16" s="339"/>
      <c r="O16" s="90"/>
      <c r="Q16" s="797"/>
      <c r="R16" s="797"/>
      <c r="T16" s="796"/>
      <c r="U16" s="796"/>
      <c r="V16" s="796"/>
      <c r="W16" s="796"/>
      <c r="X16" s="796"/>
      <c r="Y16" s="796"/>
      <c r="Z16" s="796"/>
      <c r="AA16" s="796"/>
    </row>
    <row r="17" spans="1:28" ht="30" customHeight="1" x14ac:dyDescent="0.15">
      <c r="A17" s="91"/>
      <c r="B17" s="92"/>
      <c r="C17" s="92"/>
      <c r="D17" s="4"/>
      <c r="E17" s="93"/>
      <c r="F17" s="93"/>
      <c r="G17" s="4"/>
      <c r="H17" s="93"/>
      <c r="I17" s="4"/>
      <c r="J17" s="4"/>
      <c r="K17" s="4"/>
      <c r="L17" s="4"/>
      <c r="M17" s="4"/>
      <c r="N17" s="4"/>
      <c r="O17" s="4"/>
      <c r="Q17" s="345"/>
      <c r="R17" s="345"/>
      <c r="S17" s="1187"/>
      <c r="T17" s="789"/>
      <c r="U17" s="789"/>
      <c r="V17" s="789"/>
      <c r="W17" s="789"/>
      <c r="X17" s="789"/>
      <c r="Y17" s="789"/>
      <c r="Z17" s="789"/>
      <c r="AA17" s="789"/>
      <c r="AB17" s="789"/>
    </row>
    <row r="18" spans="1:28" ht="30" customHeight="1" x14ac:dyDescent="0.15">
      <c r="A18" s="91"/>
      <c r="B18" s="92"/>
      <c r="C18" s="92"/>
      <c r="D18" s="4"/>
      <c r="E18" s="93"/>
      <c r="F18" s="93"/>
      <c r="G18" s="4"/>
      <c r="H18" s="93"/>
      <c r="I18" s="4"/>
      <c r="J18" s="4"/>
      <c r="K18" s="4"/>
      <c r="L18" s="4"/>
      <c r="M18" s="4"/>
      <c r="N18" s="4"/>
      <c r="O18" s="4"/>
      <c r="Q18" s="345"/>
      <c r="R18" s="345"/>
      <c r="S18" s="1187"/>
      <c r="T18" s="789"/>
      <c r="U18" s="789"/>
      <c r="V18" s="789"/>
      <c r="W18" s="789"/>
      <c r="X18" s="789"/>
      <c r="Y18" s="789"/>
      <c r="Z18" s="789"/>
      <c r="AA18" s="789"/>
      <c r="AB18" s="789"/>
    </row>
    <row r="19" spans="1:28" s="886" customFormat="1" ht="30" customHeight="1" x14ac:dyDescent="0.15">
      <c r="A19" s="3015" t="s">
        <v>299</v>
      </c>
      <c r="B19" s="3017" t="s">
        <v>536</v>
      </c>
      <c r="C19" s="3017"/>
      <c r="D19" s="3017"/>
      <c r="E19" s="3017"/>
      <c r="F19" s="3017"/>
      <c r="G19" s="3017" t="s">
        <v>839</v>
      </c>
      <c r="H19" s="3017"/>
      <c r="I19" s="3017"/>
      <c r="J19" s="3017"/>
      <c r="K19" s="3017"/>
      <c r="L19" s="3018" t="s">
        <v>846</v>
      </c>
      <c r="M19" s="3019"/>
      <c r="N19" s="3019"/>
      <c r="O19" s="3019"/>
      <c r="P19" s="3020"/>
      <c r="Q19" s="3017" t="s">
        <v>840</v>
      </c>
      <c r="R19" s="3017"/>
      <c r="S19" s="3017"/>
      <c r="T19" s="3017"/>
      <c r="U19" s="3017"/>
      <c r="V19" s="3017" t="s">
        <v>457</v>
      </c>
      <c r="W19" s="3017"/>
      <c r="X19" s="3017"/>
      <c r="Y19" s="3017"/>
      <c r="Z19" s="3017"/>
      <c r="AA19" s="789"/>
      <c r="AB19" s="789"/>
    </row>
    <row r="20" spans="1:28" s="886" customFormat="1" ht="30" customHeight="1" x14ac:dyDescent="0.15">
      <c r="A20" s="3016"/>
      <c r="B20" s="782" t="s">
        <v>456</v>
      </c>
      <c r="C20" s="782" t="s">
        <v>81</v>
      </c>
      <c r="D20" s="782" t="s">
        <v>453</v>
      </c>
      <c r="E20" s="782" t="s">
        <v>454</v>
      </c>
      <c r="F20" s="782" t="s">
        <v>455</v>
      </c>
      <c r="G20" s="782" t="s">
        <v>456</v>
      </c>
      <c r="H20" s="782" t="s">
        <v>81</v>
      </c>
      <c r="I20" s="782" t="s">
        <v>453</v>
      </c>
      <c r="J20" s="782" t="s">
        <v>454</v>
      </c>
      <c r="K20" s="782" t="s">
        <v>455</v>
      </c>
      <c r="L20" s="782" t="s">
        <v>456</v>
      </c>
      <c r="M20" s="782" t="s">
        <v>81</v>
      </c>
      <c r="N20" s="782" t="s">
        <v>453</v>
      </c>
      <c r="O20" s="782" t="s">
        <v>454</v>
      </c>
      <c r="P20" s="782" t="s">
        <v>455</v>
      </c>
      <c r="Q20" s="782" t="s">
        <v>456</v>
      </c>
      <c r="R20" s="782" t="s">
        <v>81</v>
      </c>
      <c r="S20" s="782" t="s">
        <v>453</v>
      </c>
      <c r="T20" s="782" t="s">
        <v>454</v>
      </c>
      <c r="U20" s="782" t="s">
        <v>455</v>
      </c>
      <c r="V20" s="782" t="s">
        <v>456</v>
      </c>
      <c r="W20" s="782" t="s">
        <v>81</v>
      </c>
      <c r="X20" s="782" t="s">
        <v>453</v>
      </c>
      <c r="Y20" s="782" t="s">
        <v>454</v>
      </c>
      <c r="Z20" s="782" t="s">
        <v>455</v>
      </c>
      <c r="AA20" s="887"/>
      <c r="AB20" s="67"/>
    </row>
    <row r="21" spans="1:28" s="68" customFormat="1" ht="30" customHeight="1" x14ac:dyDescent="0.2">
      <c r="A21" s="51">
        <v>1</v>
      </c>
      <c r="B21" s="342"/>
      <c r="C21" s="342"/>
      <c r="D21" s="342"/>
      <c r="E21" s="342"/>
      <c r="F21" s="342"/>
      <c r="G21" s="342"/>
      <c r="H21" s="342"/>
      <c r="I21" s="342"/>
      <c r="J21" s="51"/>
      <c r="K21" s="51"/>
      <c r="L21" s="342">
        <f>'T1.2025'!F134</f>
        <v>115884.5</v>
      </c>
      <c r="M21" s="51"/>
      <c r="N21" s="342">
        <f>'T1.2025'!I210</f>
        <v>245803</v>
      </c>
      <c r="O21" s="733">
        <f>'T1.2025'!L210</f>
        <v>21106</v>
      </c>
      <c r="P21" s="733">
        <f>'T1.2025'!O210</f>
        <v>355</v>
      </c>
      <c r="Q21" s="342"/>
      <c r="R21" s="342"/>
      <c r="S21" s="783"/>
      <c r="T21" s="783"/>
      <c r="U21" s="783"/>
      <c r="V21" s="783"/>
      <c r="W21" s="783"/>
      <c r="X21" s="783"/>
      <c r="Y21" s="783"/>
      <c r="Z21" s="783"/>
      <c r="AA21" s="784"/>
    </row>
    <row r="22" spans="1:28" s="68" customFormat="1" ht="30" customHeight="1" x14ac:dyDescent="0.2">
      <c r="A22" s="51">
        <v>2</v>
      </c>
      <c r="B22" s="342">
        <f>'T2.2025 '!I11</f>
        <v>102801.59999999999</v>
      </c>
      <c r="C22" s="788">
        <f>'T2.2025 '!M11</f>
        <v>649.44000000000005</v>
      </c>
      <c r="D22" s="342">
        <f>'T2.2025 '!J86</f>
        <v>400363</v>
      </c>
      <c r="E22" s="342">
        <f>'T2.2025 '!M86</f>
        <v>21691</v>
      </c>
      <c r="F22" s="342">
        <f>'T2.2025 '!P86</f>
        <v>0</v>
      </c>
      <c r="G22" s="342"/>
      <c r="H22" s="342"/>
      <c r="I22" s="342"/>
      <c r="J22" s="51"/>
      <c r="K22" s="51"/>
      <c r="L22" s="788"/>
      <c r="M22" s="51"/>
      <c r="N22" s="51"/>
      <c r="O22" s="51"/>
      <c r="P22" s="51"/>
      <c r="Q22" s="342"/>
      <c r="R22" s="342"/>
      <c r="S22" s="342"/>
      <c r="T22" s="342"/>
      <c r="U22" s="342"/>
      <c r="V22" s="342"/>
      <c r="W22" s="342"/>
      <c r="X22" s="342"/>
      <c r="Y22" s="342"/>
      <c r="Z22" s="342"/>
      <c r="AA22" s="781"/>
    </row>
    <row r="23" spans="1:28" s="68" customFormat="1" ht="30" customHeight="1" x14ac:dyDescent="0.2">
      <c r="A23" s="51">
        <v>3</v>
      </c>
      <c r="B23" s="342">
        <f>'T3.2025 '!J154</f>
        <v>489176.73</v>
      </c>
      <c r="C23" s="342">
        <f>'T3.2025 '!M10</f>
        <v>1677.66</v>
      </c>
      <c r="D23" s="342">
        <f>'T3.2025 '!I154</f>
        <v>1499949</v>
      </c>
      <c r="E23" s="342">
        <f>'T3.2025 '!L154</f>
        <v>137444</v>
      </c>
      <c r="F23" s="342">
        <f>'T3.2025 '!O154</f>
        <v>16343</v>
      </c>
      <c r="G23" s="342">
        <f>'T3.2025 '!J165</f>
        <v>367895.03999999998</v>
      </c>
      <c r="H23" s="342">
        <f>'T3.2025 '!M16</f>
        <v>1689.6000000000004</v>
      </c>
      <c r="I23" s="342">
        <f>'T3.2025 '!I165</f>
        <v>1301592</v>
      </c>
      <c r="J23" s="733">
        <f>'T3.2025 '!L165</f>
        <v>121885</v>
      </c>
      <c r="K23" s="733">
        <f>'T3.2025 '!O165</f>
        <v>14492</v>
      </c>
      <c r="L23" s="788"/>
      <c r="M23" s="51"/>
      <c r="N23" s="51"/>
      <c r="O23" s="51"/>
      <c r="P23" s="342"/>
      <c r="Q23" s="342"/>
      <c r="R23" s="787"/>
      <c r="S23" s="342"/>
      <c r="T23" s="342"/>
      <c r="U23" s="342"/>
      <c r="V23" s="342"/>
      <c r="W23" s="342"/>
      <c r="X23" s="342"/>
      <c r="Y23" s="342"/>
      <c r="Z23" s="342"/>
      <c r="AA23" s="781"/>
    </row>
    <row r="24" spans="1:28" s="68" customFormat="1" ht="30" customHeight="1" x14ac:dyDescent="0.2">
      <c r="A24" s="51">
        <v>4</v>
      </c>
      <c r="B24" s="342">
        <f>'T4.2025 '!J196</f>
        <v>441077.76000000001</v>
      </c>
      <c r="C24" s="342">
        <f>'T4.2025 '!M11</f>
        <v>1512</v>
      </c>
      <c r="D24" s="342">
        <f>'T4.2025 '!I196</f>
        <v>1280929</v>
      </c>
      <c r="E24" s="342">
        <f>'T4.2025 '!L196</f>
        <v>110494</v>
      </c>
      <c r="F24" s="342">
        <f>'T4.2025 '!O196</f>
        <v>7653</v>
      </c>
      <c r="G24" s="342">
        <f>'T4.2025 '!J202</f>
        <v>244602.88</v>
      </c>
      <c r="H24" s="342">
        <f>'T4.2025 '!M17</f>
        <v>1286.4000000000001</v>
      </c>
      <c r="I24" s="342">
        <f>'T4.2025 '!I202</f>
        <v>787687</v>
      </c>
      <c r="J24" s="733">
        <f>'T4.2025 '!L202</f>
        <v>67873</v>
      </c>
      <c r="K24" s="733">
        <f>'T4.2025 '!O202</f>
        <v>5105</v>
      </c>
      <c r="L24" s="342">
        <f>'T4.2025 '!I130</f>
        <v>148288.5</v>
      </c>
      <c r="M24" s="51">
        <f>'T4.2025 '!M23</f>
        <v>642</v>
      </c>
      <c r="N24" s="342">
        <f>'T4.2025 '!I208</f>
        <v>357263</v>
      </c>
      <c r="O24" s="733">
        <f>'T4.2025 '!L208</f>
        <v>30883</v>
      </c>
      <c r="P24" s="733">
        <f>'T4.2025 '!O208</f>
        <v>1760</v>
      </c>
      <c r="Q24" s="342"/>
      <c r="R24" s="787"/>
      <c r="S24" s="342"/>
      <c r="T24" s="51"/>
      <c r="U24" s="51"/>
      <c r="V24" s="51"/>
      <c r="W24" s="51"/>
      <c r="X24" s="51"/>
      <c r="Y24" s="51"/>
      <c r="Z24" s="51"/>
    </row>
    <row r="25" spans="1:28" s="68" customFormat="1" ht="30" customHeight="1" x14ac:dyDescent="0.2">
      <c r="A25" s="51">
        <v>5</v>
      </c>
      <c r="B25" s="342">
        <f>'T5.2025'!J265</f>
        <v>360989.28</v>
      </c>
      <c r="C25" s="342">
        <f>'T5.2025'!M11</f>
        <v>1689.12</v>
      </c>
      <c r="D25" s="342">
        <f>'T5.2025'!I265</f>
        <v>906891</v>
      </c>
      <c r="E25" s="342">
        <f>'T5.2025'!L265</f>
        <v>184210</v>
      </c>
      <c r="F25" s="342">
        <f>'T5.2025'!O265</f>
        <v>0</v>
      </c>
      <c r="G25" s="342">
        <f>'T5.2025'!J284</f>
        <v>19166.400000000001</v>
      </c>
      <c r="H25" s="342">
        <f>'T5.2025'!M29</f>
        <v>240</v>
      </c>
      <c r="I25" s="342">
        <f>'T5.2025'!I284</f>
        <v>70279</v>
      </c>
      <c r="J25" s="733">
        <f>'T5.2025'!L284</f>
        <v>13564</v>
      </c>
      <c r="K25" s="733">
        <f>'T5.2025'!O284</f>
        <v>0</v>
      </c>
      <c r="L25" s="458">
        <f>'T5.2025'!J272</f>
        <v>250600.5</v>
      </c>
      <c r="M25" s="51">
        <f>'T5.2025'!M17</f>
        <v>1209</v>
      </c>
      <c r="N25" s="342">
        <f>'T5.2025'!I272</f>
        <v>555435</v>
      </c>
      <c r="O25" s="733">
        <f>'T5.2025'!L272</f>
        <v>97967</v>
      </c>
      <c r="P25" s="733">
        <f>'T5.2025'!O272</f>
        <v>0</v>
      </c>
      <c r="Q25" s="342">
        <f>'T5.2025'!J278</f>
        <v>116559</v>
      </c>
      <c r="R25" s="791">
        <f>'T5.2025'!M23</f>
        <v>712.8</v>
      </c>
      <c r="S25" s="342">
        <f>'T5.2025'!I278</f>
        <v>224692</v>
      </c>
      <c r="T25" s="733">
        <f>'T5.2025'!L278</f>
        <v>39187</v>
      </c>
      <c r="U25" s="733">
        <f>'T5.2025'!O278</f>
        <v>0</v>
      </c>
      <c r="V25" s="51"/>
      <c r="W25" s="51"/>
      <c r="X25" s="51"/>
      <c r="Y25" s="51"/>
      <c r="Z25" s="51"/>
    </row>
    <row r="26" spans="1:28" s="68" customFormat="1" ht="30" customHeight="1" x14ac:dyDescent="0.2">
      <c r="A26" s="51">
        <v>6</v>
      </c>
      <c r="B26" s="342">
        <f>'T6.2025'!J302</f>
        <v>308596.32</v>
      </c>
      <c r="C26" s="342">
        <f>'T6.2025'!M11</f>
        <v>1828.8</v>
      </c>
      <c r="D26" s="342">
        <f>'T6.2025'!I302</f>
        <v>915684</v>
      </c>
      <c r="E26" s="342">
        <f>'T6.2025'!L302</f>
        <v>65702</v>
      </c>
      <c r="F26" s="342">
        <f>'T6.2025'!O302</f>
        <v>10461</v>
      </c>
      <c r="G26" s="342">
        <f>'T6.2025'!J310</f>
        <v>430708.8</v>
      </c>
      <c r="H26" s="342">
        <f>'T6.2025'!M29</f>
        <v>2112</v>
      </c>
      <c r="I26" s="342">
        <f>'T6.2025'!I310</f>
        <v>1280166</v>
      </c>
      <c r="J26" s="733">
        <f>'T6.2025'!L310</f>
        <v>105805</v>
      </c>
      <c r="K26" s="733">
        <f>'T6.2025'!O310</f>
        <v>15691</v>
      </c>
      <c r="L26" s="1167"/>
      <c r="M26" s="51"/>
      <c r="N26" s="51"/>
      <c r="O26" s="51"/>
      <c r="P26" s="51"/>
      <c r="Q26" s="342"/>
      <c r="R26" s="787"/>
      <c r="S26" s="342"/>
      <c r="T26" s="51"/>
      <c r="U26" s="51"/>
      <c r="V26" s="51"/>
      <c r="W26" s="51"/>
      <c r="X26" s="51"/>
      <c r="Y26" s="51"/>
      <c r="Z26" s="51"/>
    </row>
    <row r="27" spans="1:28" s="68" customFormat="1" ht="30" customHeight="1" x14ac:dyDescent="0.2">
      <c r="A27" s="51">
        <v>7</v>
      </c>
      <c r="B27" s="342"/>
      <c r="C27" s="342"/>
      <c r="D27" s="342"/>
      <c r="E27" s="342"/>
      <c r="F27" s="342"/>
      <c r="G27" s="342"/>
      <c r="H27" s="342"/>
      <c r="I27" s="342"/>
      <c r="J27" s="51"/>
      <c r="K27" s="51"/>
      <c r="L27" s="734"/>
      <c r="M27" s="51"/>
      <c r="N27" s="51"/>
      <c r="O27" s="51"/>
      <c r="P27" s="51"/>
      <c r="Q27" s="342"/>
      <c r="R27" s="342"/>
      <c r="S27" s="342"/>
      <c r="T27" s="51"/>
      <c r="U27" s="51"/>
      <c r="V27" s="51"/>
      <c r="W27" s="51"/>
      <c r="X27" s="51"/>
      <c r="Y27" s="51"/>
      <c r="Z27" s="51"/>
    </row>
    <row r="28" spans="1:28" s="68" customFormat="1" ht="30" customHeight="1" x14ac:dyDescent="0.2">
      <c r="A28" s="51">
        <v>8</v>
      </c>
      <c r="B28" s="342"/>
      <c r="C28" s="342"/>
      <c r="D28" s="342"/>
      <c r="E28" s="342"/>
      <c r="F28" s="342"/>
      <c r="G28" s="342"/>
      <c r="H28" s="342"/>
      <c r="I28" s="342"/>
      <c r="J28" s="51"/>
      <c r="K28" s="51"/>
      <c r="L28" s="734"/>
      <c r="M28" s="51"/>
      <c r="N28" s="51"/>
      <c r="O28" s="51"/>
      <c r="P28" s="51"/>
      <c r="Q28" s="342"/>
      <c r="R28" s="342"/>
      <c r="S28" s="342"/>
      <c r="T28" s="51"/>
      <c r="U28" s="51"/>
      <c r="V28" s="51"/>
      <c r="W28" s="51"/>
      <c r="X28" s="51"/>
      <c r="Y28" s="51"/>
      <c r="Z28" s="51"/>
    </row>
    <row r="29" spans="1:28" s="68" customFormat="1" ht="30" customHeight="1" x14ac:dyDescent="0.2">
      <c r="A29" s="51">
        <v>9</v>
      </c>
      <c r="B29" s="342"/>
      <c r="C29" s="342"/>
      <c r="D29" s="342"/>
      <c r="E29" s="342"/>
      <c r="F29" s="342"/>
      <c r="G29" s="342"/>
      <c r="H29" s="342"/>
      <c r="I29" s="342"/>
      <c r="J29" s="51"/>
      <c r="K29" s="51"/>
      <c r="L29" s="794"/>
      <c r="M29" s="51"/>
      <c r="N29" s="51"/>
      <c r="O29" s="51"/>
      <c r="P29" s="51"/>
      <c r="Q29" s="342"/>
      <c r="R29" s="342"/>
      <c r="S29" s="342"/>
      <c r="T29" s="51"/>
      <c r="U29" s="51"/>
      <c r="V29" s="51"/>
      <c r="W29" s="51"/>
      <c r="X29" s="51"/>
      <c r="Y29" s="51"/>
      <c r="Z29" s="51"/>
    </row>
    <row r="30" spans="1:28" s="68" customFormat="1" ht="30" customHeight="1" x14ac:dyDescent="0.2">
      <c r="A30" s="51">
        <v>10</v>
      </c>
      <c r="B30" s="342"/>
      <c r="C30" s="342"/>
      <c r="D30" s="342"/>
      <c r="E30" s="342"/>
      <c r="F30" s="342"/>
      <c r="G30" s="342"/>
      <c r="H30" s="342"/>
      <c r="I30" s="342"/>
      <c r="J30" s="51"/>
      <c r="K30" s="51"/>
      <c r="L30" s="788"/>
      <c r="M30" s="51"/>
      <c r="N30" s="51"/>
      <c r="O30" s="51"/>
      <c r="P30" s="51"/>
      <c r="Q30" s="782"/>
      <c r="R30" s="342"/>
      <c r="S30" s="342"/>
      <c r="T30" s="51"/>
      <c r="U30" s="51"/>
      <c r="V30" s="51"/>
      <c r="W30" s="51"/>
      <c r="X30" s="51"/>
      <c r="Y30" s="51"/>
      <c r="Z30" s="51"/>
    </row>
    <row r="31" spans="1:28" s="68" customFormat="1" ht="30" customHeight="1" x14ac:dyDescent="0.2">
      <c r="A31" s="51">
        <v>11</v>
      </c>
      <c r="B31" s="342"/>
      <c r="C31" s="342"/>
      <c r="D31" s="342"/>
      <c r="E31" s="342"/>
      <c r="F31" s="342"/>
      <c r="G31" s="342"/>
      <c r="H31" s="342"/>
      <c r="I31" s="342"/>
      <c r="J31" s="51"/>
      <c r="K31" s="51"/>
      <c r="L31" s="788"/>
      <c r="M31" s="51"/>
      <c r="N31" s="51"/>
      <c r="O31" s="51"/>
      <c r="P31" s="51"/>
      <c r="Q31" s="51"/>
      <c r="R31" s="342"/>
      <c r="S31" s="342"/>
      <c r="T31" s="51"/>
      <c r="U31" s="51"/>
      <c r="V31" s="51"/>
      <c r="W31" s="51"/>
      <c r="X31" s="51"/>
      <c r="Y31" s="51"/>
      <c r="Z31" s="51"/>
    </row>
    <row r="32" spans="1:28" s="68" customFormat="1" ht="30" customHeight="1" x14ac:dyDescent="0.2">
      <c r="A32" s="51">
        <v>12</v>
      </c>
      <c r="B32" s="785"/>
      <c r="C32" s="785"/>
      <c r="D32" s="785"/>
      <c r="E32" s="785"/>
      <c r="F32" s="785"/>
      <c r="G32" s="785"/>
      <c r="H32" s="785"/>
      <c r="I32" s="785"/>
      <c r="J32" s="51"/>
      <c r="K32" s="51"/>
      <c r="L32" s="788"/>
      <c r="M32" s="51"/>
      <c r="N32" s="51"/>
      <c r="O32" s="51"/>
      <c r="P32" s="51"/>
      <c r="Q32" s="51"/>
      <c r="R32" s="342"/>
      <c r="S32" s="342"/>
      <c r="T32" s="51"/>
      <c r="U32" s="51"/>
      <c r="V32" s="51"/>
      <c r="W32" s="51"/>
      <c r="X32" s="51"/>
      <c r="Y32" s="51"/>
      <c r="Z32" s="51"/>
    </row>
    <row r="33" spans="1:27" s="68" customFormat="1" ht="30" customHeight="1" x14ac:dyDescent="0.2">
      <c r="A33" s="799" t="s">
        <v>33</v>
      </c>
      <c r="B33" s="1316">
        <f>SUM(B21:B32)</f>
        <v>1702641.6900000002</v>
      </c>
      <c r="C33" s="786">
        <f t="shared" ref="C33:Z33" si="3">SUM(C21:C32)</f>
        <v>7357.02</v>
      </c>
      <c r="D33" s="795">
        <f t="shared" si="3"/>
        <v>5003816</v>
      </c>
      <c r="E33" s="795">
        <f t="shared" si="3"/>
        <v>519541</v>
      </c>
      <c r="F33" s="795">
        <f t="shared" si="3"/>
        <v>34457</v>
      </c>
      <c r="G33" s="1316">
        <f t="shared" si="3"/>
        <v>1062373.1199999999</v>
      </c>
      <c r="H33" s="786">
        <f t="shared" si="3"/>
        <v>5328</v>
      </c>
      <c r="I33" s="795">
        <f t="shared" si="3"/>
        <v>3439724</v>
      </c>
      <c r="J33" s="795">
        <f t="shared" si="3"/>
        <v>309127</v>
      </c>
      <c r="K33" s="795">
        <f t="shared" si="3"/>
        <v>35288</v>
      </c>
      <c r="L33" s="1316">
        <f t="shared" si="3"/>
        <v>514773.5</v>
      </c>
      <c r="M33" s="786">
        <f t="shared" si="3"/>
        <v>1851</v>
      </c>
      <c r="N33" s="795">
        <f t="shared" si="3"/>
        <v>1158501</v>
      </c>
      <c r="O33" s="795">
        <f t="shared" si="3"/>
        <v>149956</v>
      </c>
      <c r="P33" s="795">
        <f t="shared" si="3"/>
        <v>2115</v>
      </c>
      <c r="Q33" s="1316">
        <f t="shared" si="3"/>
        <v>116559</v>
      </c>
      <c r="R33" s="786">
        <f t="shared" si="3"/>
        <v>712.8</v>
      </c>
      <c r="S33" s="795">
        <f t="shared" si="3"/>
        <v>224692</v>
      </c>
      <c r="T33" s="786">
        <f t="shared" si="3"/>
        <v>39187</v>
      </c>
      <c r="U33" s="786">
        <f t="shared" si="3"/>
        <v>0</v>
      </c>
      <c r="V33" s="786">
        <f t="shared" si="3"/>
        <v>0</v>
      </c>
      <c r="W33" s="786">
        <f t="shared" si="3"/>
        <v>0</v>
      </c>
      <c r="X33" s="786">
        <f t="shared" si="3"/>
        <v>0</v>
      </c>
      <c r="Y33" s="786">
        <f t="shared" si="3"/>
        <v>0</v>
      </c>
      <c r="Z33" s="786">
        <f t="shared" si="3"/>
        <v>0</v>
      </c>
    </row>
    <row r="34" spans="1:27" s="68" customFormat="1" ht="30" customHeight="1" x14ac:dyDescent="0.2">
      <c r="A34" s="800" t="s">
        <v>458</v>
      </c>
      <c r="B34" s="3022">
        <f>SUM(B33:C33)</f>
        <v>1709998.7100000002</v>
      </c>
      <c r="C34" s="3023"/>
      <c r="D34" s="342"/>
      <c r="E34" s="342"/>
      <c r="F34" s="342"/>
      <c r="G34" s="3024">
        <f>SUM(G33:H33)</f>
        <v>1067701.1199999999</v>
      </c>
      <c r="H34" s="3025"/>
      <c r="I34" s="342"/>
      <c r="J34" s="51"/>
      <c r="K34" s="51"/>
      <c r="L34" s="3024">
        <f>SUM(L33:M33)</f>
        <v>516624.5</v>
      </c>
      <c r="M34" s="3025"/>
      <c r="N34" s="51"/>
      <c r="O34" s="51"/>
      <c r="P34" s="51"/>
      <c r="Q34" s="3024">
        <f>SUM(Q33:R33)</f>
        <v>117271.8</v>
      </c>
      <c r="R34" s="3025"/>
      <c r="S34" s="342"/>
      <c r="T34" s="51"/>
      <c r="U34" s="51"/>
      <c r="V34" s="3013">
        <f>SUM(V33:W33)</f>
        <v>0</v>
      </c>
      <c r="W34" s="3014"/>
      <c r="X34" s="51"/>
      <c r="Y34" s="51"/>
      <c r="Z34" s="51"/>
    </row>
    <row r="35" spans="1:27" s="68" customFormat="1" ht="30" customHeight="1" x14ac:dyDescent="0.2">
      <c r="A35" s="783"/>
      <c r="B35" s="342"/>
      <c r="C35" s="342"/>
      <c r="D35" s="342"/>
      <c r="E35" s="342"/>
      <c r="F35" s="342"/>
      <c r="G35" s="342"/>
      <c r="H35" s="342"/>
      <c r="I35" s="342"/>
      <c r="J35" s="51"/>
      <c r="K35" s="51"/>
      <c r="L35" s="788"/>
      <c r="M35" s="51"/>
      <c r="N35" s="51"/>
      <c r="O35" s="51"/>
      <c r="P35" s="51"/>
      <c r="Q35" s="342"/>
      <c r="R35" s="342"/>
      <c r="S35" s="342"/>
      <c r="T35" s="51"/>
      <c r="U35" s="51"/>
      <c r="V35" s="51"/>
      <c r="W35" s="51"/>
      <c r="X35" s="51"/>
      <c r="Y35" s="51"/>
      <c r="Z35" s="51"/>
    </row>
    <row r="36" spans="1:27" s="68" customFormat="1" ht="30" customHeight="1" x14ac:dyDescent="0.2">
      <c r="Q36" s="781"/>
      <c r="R36" s="781"/>
      <c r="S36" s="781"/>
    </row>
    <row r="37" spans="1:27" s="68" customFormat="1" ht="30" customHeight="1" x14ac:dyDescent="0.2">
      <c r="A37" s="3021" t="s">
        <v>537</v>
      </c>
      <c r="B37" s="3021"/>
      <c r="C37" s="3021"/>
      <c r="D37" s="3021"/>
      <c r="E37" s="3021"/>
      <c r="F37" s="3021"/>
      <c r="G37" s="3021"/>
      <c r="H37" s="3021"/>
      <c r="I37" s="3021"/>
      <c r="J37" s="3021"/>
      <c r="K37" s="3021"/>
      <c r="L37" s="3021"/>
      <c r="M37" s="3021"/>
      <c r="N37" s="3021"/>
      <c r="O37" s="3021"/>
      <c r="P37" s="3021"/>
      <c r="Q37" s="3021"/>
      <c r="R37" s="3021"/>
      <c r="S37" s="3021"/>
      <c r="T37" s="3021"/>
      <c r="U37" s="3021"/>
    </row>
    <row r="38" spans="1:27" s="68" customFormat="1" ht="30" customHeight="1" x14ac:dyDescent="0.2">
      <c r="A38" s="3021" t="s">
        <v>538</v>
      </c>
      <c r="B38" s="3021"/>
      <c r="C38" s="3021"/>
      <c r="D38" s="3021"/>
      <c r="E38" s="3021"/>
      <c r="F38" s="3021"/>
      <c r="G38" s="3021"/>
      <c r="H38" s="3021"/>
      <c r="I38" s="3021"/>
      <c r="J38" s="3021"/>
      <c r="K38" s="3021"/>
      <c r="L38" s="3021"/>
      <c r="M38" s="3021"/>
      <c r="N38" s="3021"/>
      <c r="O38" s="3021"/>
      <c r="P38" s="3021"/>
      <c r="Q38" s="3021"/>
      <c r="R38" s="3021"/>
      <c r="S38" s="3021"/>
      <c r="T38" s="3021"/>
      <c r="U38" s="3021"/>
    </row>
    <row r="39" spans="1:27" s="68" customFormat="1" ht="30" customHeight="1" x14ac:dyDescent="0.2">
      <c r="Q39" s="790"/>
      <c r="R39" s="781"/>
      <c r="S39" s="781"/>
    </row>
    <row r="40" spans="1:27" s="68" customFormat="1" ht="30" customHeight="1" x14ac:dyDescent="0.2">
      <c r="Q40" s="790"/>
      <c r="R40" s="781"/>
      <c r="S40" s="781"/>
    </row>
    <row r="41" spans="1:27" s="68" customFormat="1" ht="30" customHeight="1" x14ac:dyDescent="0.2">
      <c r="P41" s="790"/>
      <c r="Q41" s="790"/>
      <c r="R41" s="781"/>
      <c r="S41" s="781"/>
    </row>
    <row r="42" spans="1:27" s="68" customFormat="1" ht="30" customHeight="1" x14ac:dyDescent="0.2">
      <c r="P42" s="792"/>
      <c r="Q42" s="793"/>
      <c r="S42" s="781"/>
    </row>
    <row r="43" spans="1:27" s="68" customFormat="1" ht="30" customHeight="1" x14ac:dyDescent="0.2">
      <c r="S43" s="781"/>
      <c r="T43" s="781"/>
      <c r="U43" s="781"/>
      <c r="V43" s="781"/>
      <c r="W43" s="781"/>
      <c r="X43" s="781"/>
      <c r="Y43" s="781"/>
      <c r="Z43" s="781"/>
      <c r="AA43" s="781"/>
    </row>
    <row r="44" spans="1:27" s="68" customFormat="1" ht="30" customHeight="1" x14ac:dyDescent="0.2">
      <c r="S44" s="781"/>
      <c r="T44" s="781"/>
      <c r="U44" s="781"/>
      <c r="V44" s="781"/>
      <c r="W44" s="781"/>
      <c r="X44" s="781"/>
      <c r="Y44" s="781"/>
      <c r="Z44" s="781"/>
      <c r="AA44" s="781"/>
    </row>
    <row r="45" spans="1:27" s="68" customFormat="1" ht="30" customHeight="1" x14ac:dyDescent="0.2">
      <c r="S45" s="781"/>
      <c r="T45" s="781"/>
      <c r="U45" s="781"/>
      <c r="V45" s="781"/>
      <c r="W45" s="781"/>
      <c r="X45" s="781"/>
      <c r="Y45" s="781"/>
      <c r="Z45" s="781"/>
      <c r="AA45" s="781"/>
    </row>
    <row r="46" spans="1:27" s="68" customFormat="1" ht="30" customHeight="1" x14ac:dyDescent="0.2">
      <c r="Q46" s="781"/>
      <c r="S46" s="781"/>
      <c r="T46" s="781"/>
      <c r="U46" s="781"/>
      <c r="V46" s="781"/>
      <c r="W46" s="781"/>
      <c r="X46" s="781"/>
      <c r="Y46" s="781"/>
      <c r="Z46" s="781"/>
      <c r="AA46" s="781"/>
    </row>
    <row r="47" spans="1:27" s="68" customFormat="1" ht="30" customHeight="1" x14ac:dyDescent="0.2">
      <c r="Q47" s="781"/>
      <c r="S47" s="781"/>
      <c r="T47" s="781"/>
      <c r="U47" s="781"/>
      <c r="V47" s="781"/>
      <c r="W47" s="781"/>
      <c r="X47" s="781"/>
      <c r="Y47" s="781"/>
      <c r="Z47" s="781"/>
      <c r="AA47" s="781"/>
    </row>
    <row r="48" spans="1:27" s="68" customFormat="1" ht="30" customHeight="1" x14ac:dyDescent="0.2">
      <c r="Q48" s="781"/>
      <c r="S48" s="781"/>
      <c r="T48" s="781"/>
      <c r="U48" s="781"/>
      <c r="V48" s="781"/>
      <c r="W48" s="781"/>
      <c r="X48" s="781"/>
      <c r="Y48" s="781"/>
      <c r="Z48" s="781"/>
      <c r="AA48" s="781"/>
    </row>
    <row r="49" spans="17:27" s="68" customFormat="1" ht="30" customHeight="1" x14ac:dyDescent="0.2">
      <c r="Q49" s="781"/>
      <c r="S49" s="781"/>
      <c r="T49" s="781"/>
      <c r="U49" s="781"/>
      <c r="V49" s="781"/>
      <c r="W49" s="781"/>
      <c r="X49" s="781"/>
      <c r="Y49" s="781"/>
      <c r="Z49" s="781"/>
      <c r="AA49" s="781"/>
    </row>
    <row r="50" spans="17:27" s="68" customFormat="1" ht="30" customHeight="1" x14ac:dyDescent="0.2">
      <c r="Q50" s="781"/>
      <c r="S50" s="781"/>
      <c r="T50" s="781"/>
      <c r="U50" s="781"/>
      <c r="V50" s="781"/>
      <c r="W50" s="781"/>
      <c r="X50" s="781"/>
      <c r="Y50" s="781"/>
      <c r="Z50" s="781"/>
      <c r="AA50" s="781"/>
    </row>
    <row r="51" spans="17:27" s="68" customFormat="1" ht="30" customHeight="1" x14ac:dyDescent="0.2">
      <c r="Q51" s="781"/>
      <c r="S51" s="781"/>
      <c r="T51" s="781"/>
      <c r="U51" s="781"/>
      <c r="V51" s="781"/>
      <c r="W51" s="781"/>
      <c r="X51" s="781"/>
      <c r="Y51" s="781"/>
      <c r="Z51" s="781"/>
      <c r="AA51" s="781"/>
    </row>
    <row r="52" spans="17:27" s="68" customFormat="1" ht="30" customHeight="1" x14ac:dyDescent="0.2">
      <c r="Q52" s="781"/>
      <c r="S52" s="781"/>
      <c r="T52" s="781"/>
      <c r="U52" s="781"/>
      <c r="V52" s="781"/>
      <c r="W52" s="781"/>
      <c r="X52" s="781"/>
      <c r="Y52" s="781"/>
      <c r="Z52" s="781"/>
      <c r="AA52" s="781"/>
    </row>
    <row r="53" spans="17:27" s="68" customFormat="1" ht="30" customHeight="1" x14ac:dyDescent="0.2">
      <c r="Q53" s="781"/>
      <c r="S53" s="781"/>
      <c r="T53" s="781"/>
      <c r="U53" s="781"/>
      <c r="V53" s="781"/>
      <c r="W53" s="781"/>
      <c r="X53" s="781"/>
      <c r="Y53" s="781"/>
      <c r="Z53" s="781"/>
      <c r="AA53" s="781"/>
    </row>
    <row r="54" spans="17:27" s="68" customFormat="1" ht="30" customHeight="1" x14ac:dyDescent="0.2">
      <c r="Q54" s="781"/>
      <c r="S54" s="781"/>
      <c r="T54" s="781"/>
      <c r="U54" s="781"/>
      <c r="V54" s="781"/>
      <c r="W54" s="781"/>
      <c r="X54" s="781"/>
      <c r="Y54" s="781"/>
      <c r="Z54" s="781"/>
      <c r="AA54" s="781"/>
    </row>
    <row r="55" spans="17:27" s="68" customFormat="1" ht="30" customHeight="1" x14ac:dyDescent="0.2">
      <c r="Q55" s="781"/>
      <c r="S55" s="781"/>
      <c r="T55" s="781"/>
      <c r="U55" s="781"/>
      <c r="V55" s="781"/>
      <c r="W55" s="781"/>
      <c r="X55" s="781"/>
      <c r="Y55" s="781"/>
      <c r="Z55" s="781"/>
      <c r="AA55" s="781"/>
    </row>
    <row r="56" spans="17:27" s="68" customFormat="1" ht="30" customHeight="1" x14ac:dyDescent="0.2">
      <c r="Q56" s="781"/>
      <c r="S56" s="781"/>
      <c r="T56" s="781"/>
      <c r="U56" s="781"/>
      <c r="V56" s="781"/>
      <c r="W56" s="781"/>
      <c r="X56" s="781"/>
      <c r="Y56" s="781"/>
      <c r="Z56" s="781"/>
      <c r="AA56" s="781"/>
    </row>
    <row r="57" spans="17:27" s="68" customFormat="1" ht="30" customHeight="1" x14ac:dyDescent="0.2">
      <c r="Q57" s="781"/>
      <c r="S57" s="781"/>
      <c r="T57" s="781"/>
      <c r="U57" s="781"/>
      <c r="V57" s="781"/>
      <c r="W57" s="781"/>
      <c r="X57" s="781"/>
      <c r="Y57" s="781"/>
      <c r="Z57" s="781"/>
      <c r="AA57" s="781"/>
    </row>
    <row r="58" spans="17:27" s="68" customFormat="1" ht="30" customHeight="1" x14ac:dyDescent="0.2">
      <c r="Q58" s="781"/>
      <c r="S58" s="781"/>
      <c r="T58" s="781"/>
      <c r="U58" s="781"/>
      <c r="V58" s="781"/>
      <c r="W58" s="781"/>
      <c r="X58" s="781"/>
      <c r="Y58" s="781"/>
      <c r="Z58" s="781"/>
      <c r="AA58" s="781"/>
    </row>
    <row r="59" spans="17:27" s="68" customFormat="1" ht="30" customHeight="1" x14ac:dyDescent="0.2">
      <c r="S59" s="781"/>
      <c r="T59" s="781"/>
      <c r="U59" s="781"/>
      <c r="V59" s="781"/>
      <c r="W59" s="781"/>
      <c r="X59" s="781"/>
      <c r="Y59" s="781"/>
      <c r="Z59" s="781"/>
      <c r="AA59" s="781"/>
    </row>
    <row r="60" spans="17:27" s="68" customFormat="1" ht="30" customHeight="1" x14ac:dyDescent="0.2">
      <c r="S60" s="781"/>
      <c r="T60" s="781"/>
      <c r="U60" s="781"/>
      <c r="V60" s="781"/>
      <c r="W60" s="781"/>
      <c r="X60" s="781"/>
      <c r="Y60" s="781"/>
      <c r="Z60" s="781"/>
      <c r="AA60" s="781"/>
    </row>
    <row r="61" spans="17:27" s="68" customFormat="1" ht="30" customHeight="1" x14ac:dyDescent="0.2">
      <c r="S61" s="781"/>
      <c r="T61" s="781"/>
      <c r="U61" s="781"/>
      <c r="V61" s="781"/>
      <c r="W61" s="781"/>
      <c r="X61" s="781"/>
      <c r="Y61" s="781"/>
      <c r="Z61" s="781"/>
      <c r="AA61" s="781"/>
    </row>
    <row r="62" spans="17:27" s="68" customFormat="1" ht="30" customHeight="1" x14ac:dyDescent="0.2">
      <c r="S62" s="781"/>
      <c r="T62" s="781"/>
      <c r="U62" s="781"/>
      <c r="V62" s="781"/>
      <c r="W62" s="781"/>
      <c r="X62" s="781"/>
      <c r="Y62" s="781"/>
      <c r="Z62" s="781"/>
      <c r="AA62" s="781"/>
    </row>
    <row r="63" spans="17:27" s="68" customFormat="1" ht="30" customHeight="1" x14ac:dyDescent="0.2">
      <c r="S63" s="781"/>
      <c r="T63" s="781"/>
      <c r="U63" s="781"/>
      <c r="V63" s="781"/>
      <c r="W63" s="781"/>
      <c r="X63" s="781"/>
      <c r="Y63" s="781"/>
      <c r="Z63" s="781"/>
      <c r="AA63" s="781"/>
    </row>
    <row r="64" spans="17:27" s="68" customFormat="1" ht="30" customHeight="1" x14ac:dyDescent="0.2">
      <c r="S64" s="781"/>
      <c r="T64" s="781"/>
      <c r="U64" s="781"/>
      <c r="V64" s="781"/>
      <c r="W64" s="781"/>
      <c r="X64" s="781"/>
      <c r="Y64" s="781"/>
      <c r="Z64" s="781"/>
      <c r="AA64" s="781"/>
    </row>
    <row r="65" spans="19:27" s="68" customFormat="1" ht="30" customHeight="1" x14ac:dyDescent="0.2">
      <c r="S65" s="781"/>
      <c r="T65" s="781"/>
      <c r="U65" s="781"/>
      <c r="V65" s="781"/>
      <c r="W65" s="781"/>
      <c r="X65" s="781"/>
      <c r="Y65" s="781"/>
      <c r="Z65" s="781"/>
      <c r="AA65" s="781"/>
    </row>
    <row r="66" spans="19:27" s="68" customFormat="1" ht="30" customHeight="1" x14ac:dyDescent="0.2">
      <c r="S66" s="781"/>
      <c r="T66" s="781"/>
      <c r="U66" s="781"/>
      <c r="V66" s="781"/>
      <c r="W66" s="781"/>
      <c r="X66" s="781"/>
      <c r="Y66" s="781"/>
      <c r="Z66" s="781"/>
      <c r="AA66" s="781"/>
    </row>
    <row r="67" spans="19:27" s="68" customFormat="1" ht="30" customHeight="1" x14ac:dyDescent="0.2">
      <c r="S67" s="781"/>
      <c r="T67" s="781"/>
      <c r="U67" s="781"/>
      <c r="V67" s="781"/>
      <c r="W67" s="781"/>
      <c r="X67" s="781"/>
      <c r="Y67" s="781"/>
      <c r="Z67" s="781"/>
      <c r="AA67" s="781"/>
    </row>
    <row r="68" spans="19:27" s="68" customFormat="1" ht="30" customHeight="1" x14ac:dyDescent="0.2">
      <c r="S68" s="781"/>
      <c r="T68" s="781"/>
      <c r="U68" s="781"/>
      <c r="V68" s="781"/>
      <c r="W68" s="781"/>
      <c r="X68" s="781"/>
      <c r="Y68" s="781"/>
      <c r="Z68" s="781"/>
      <c r="AA68" s="781"/>
    </row>
    <row r="69" spans="19:27" s="68" customFormat="1" ht="30" customHeight="1" x14ac:dyDescent="0.2">
      <c r="S69" s="781"/>
      <c r="T69" s="781"/>
      <c r="U69" s="781"/>
      <c r="V69" s="781"/>
      <c r="W69" s="781"/>
      <c r="X69" s="781"/>
      <c r="Y69" s="781"/>
      <c r="Z69" s="781"/>
      <c r="AA69" s="781"/>
    </row>
    <row r="70" spans="19:27" s="68" customFormat="1" ht="30" customHeight="1" x14ac:dyDescent="0.2">
      <c r="S70" s="781"/>
      <c r="T70" s="781"/>
      <c r="U70" s="781"/>
      <c r="V70" s="781"/>
      <c r="W70" s="781"/>
      <c r="X70" s="781"/>
      <c r="Y70" s="781"/>
      <c r="Z70" s="781"/>
      <c r="AA70" s="781"/>
    </row>
    <row r="71" spans="19:27" s="68" customFormat="1" ht="30" customHeight="1" x14ac:dyDescent="0.2">
      <c r="S71" s="781"/>
      <c r="T71" s="781"/>
      <c r="U71" s="781"/>
      <c r="V71" s="781"/>
      <c r="W71" s="781"/>
      <c r="X71" s="781"/>
      <c r="Y71" s="781"/>
      <c r="Z71" s="781"/>
      <c r="AA71" s="781"/>
    </row>
    <row r="72" spans="19:27" s="68" customFormat="1" ht="30" customHeight="1" x14ac:dyDescent="0.2">
      <c r="S72" s="781"/>
      <c r="T72" s="781"/>
      <c r="U72" s="781"/>
      <c r="V72" s="781"/>
      <c r="W72" s="781"/>
      <c r="X72" s="781"/>
      <c r="Y72" s="781"/>
      <c r="Z72" s="781"/>
      <c r="AA72" s="781"/>
    </row>
    <row r="73" spans="19:27" s="68" customFormat="1" ht="30" customHeight="1" x14ac:dyDescent="0.2">
      <c r="S73" s="781"/>
      <c r="T73" s="781"/>
      <c r="U73" s="781"/>
      <c r="V73" s="781"/>
      <c r="W73" s="781"/>
      <c r="X73" s="781"/>
      <c r="Y73" s="781"/>
      <c r="Z73" s="781"/>
      <c r="AA73" s="781"/>
    </row>
    <row r="74" spans="19:27" s="68" customFormat="1" ht="30" customHeight="1" x14ac:dyDescent="0.2">
      <c r="S74" s="781"/>
      <c r="T74" s="781"/>
      <c r="U74" s="781"/>
      <c r="V74" s="781"/>
      <c r="W74" s="781"/>
      <c r="X74" s="781"/>
      <c r="Y74" s="781"/>
      <c r="Z74" s="781"/>
      <c r="AA74" s="781"/>
    </row>
    <row r="75" spans="19:27" s="68" customFormat="1" ht="30" customHeight="1" x14ac:dyDescent="0.2">
      <c r="S75" s="781"/>
      <c r="T75" s="781"/>
      <c r="U75" s="781"/>
      <c r="V75" s="781"/>
      <c r="W75" s="781"/>
      <c r="X75" s="781"/>
      <c r="Y75" s="781"/>
      <c r="Z75" s="781"/>
      <c r="AA75" s="781"/>
    </row>
    <row r="76" spans="19:27" s="68" customFormat="1" ht="30" customHeight="1" x14ac:dyDescent="0.2">
      <c r="S76" s="781"/>
      <c r="T76" s="781"/>
      <c r="U76" s="781"/>
      <c r="V76" s="781"/>
      <c r="W76" s="781"/>
      <c r="X76" s="781"/>
      <c r="Y76" s="781"/>
      <c r="Z76" s="781"/>
      <c r="AA76" s="781"/>
    </row>
    <row r="77" spans="19:27" s="68" customFormat="1" ht="30" customHeight="1" x14ac:dyDescent="0.2">
      <c r="S77" s="781"/>
      <c r="T77" s="781"/>
      <c r="U77" s="781"/>
      <c r="V77" s="781"/>
      <c r="W77" s="781"/>
      <c r="X77" s="781"/>
      <c r="Y77" s="781"/>
      <c r="Z77" s="781"/>
      <c r="AA77" s="781"/>
    </row>
    <row r="78" spans="19:27" s="68" customFormat="1" ht="29" customHeight="1" x14ac:dyDescent="0.2">
      <c r="S78" s="781"/>
      <c r="T78" s="781"/>
      <c r="U78" s="781"/>
      <c r="V78" s="781"/>
      <c r="W78" s="781"/>
      <c r="X78" s="781"/>
      <c r="Y78" s="781"/>
      <c r="Z78" s="781"/>
      <c r="AA78" s="781"/>
    </row>
    <row r="79" spans="19:27" s="68" customFormat="1" ht="29" customHeight="1" x14ac:dyDescent="0.2">
      <c r="S79" s="781"/>
      <c r="T79" s="781"/>
      <c r="U79" s="781"/>
      <c r="V79" s="781"/>
      <c r="W79" s="781"/>
      <c r="X79" s="781"/>
      <c r="Y79" s="781"/>
      <c r="Z79" s="781"/>
      <c r="AA79" s="781"/>
    </row>
    <row r="80" spans="19:27" s="68" customFormat="1" ht="29" customHeight="1" x14ac:dyDescent="0.2">
      <c r="S80" s="781"/>
      <c r="T80" s="781"/>
      <c r="U80" s="781"/>
      <c r="V80" s="781"/>
      <c r="W80" s="781"/>
      <c r="X80" s="781"/>
      <c r="Y80" s="781"/>
      <c r="Z80" s="781"/>
      <c r="AA80" s="781"/>
    </row>
    <row r="81" spans="19:27" s="68" customFormat="1" ht="29" customHeight="1" x14ac:dyDescent="0.2">
      <c r="S81" s="781"/>
      <c r="T81" s="781"/>
      <c r="U81" s="781"/>
      <c r="V81" s="781"/>
      <c r="W81" s="781"/>
      <c r="X81" s="781"/>
      <c r="Y81" s="781"/>
      <c r="Z81" s="781"/>
      <c r="AA81" s="781"/>
    </row>
    <row r="82" spans="19:27" s="68" customFormat="1" ht="29" customHeight="1" x14ac:dyDescent="0.2">
      <c r="S82" s="781"/>
      <c r="T82" s="781"/>
      <c r="U82" s="781"/>
      <c r="V82" s="781"/>
      <c r="W82" s="781"/>
      <c r="X82" s="781"/>
      <c r="Y82" s="781"/>
      <c r="Z82" s="781"/>
      <c r="AA82" s="781"/>
    </row>
    <row r="83" spans="19:27" s="68" customFormat="1" ht="29" customHeight="1" x14ac:dyDescent="0.2">
      <c r="S83" s="781"/>
      <c r="T83" s="781"/>
      <c r="U83" s="781"/>
      <c r="V83" s="781"/>
      <c r="W83" s="781"/>
      <c r="X83" s="781"/>
      <c r="Y83" s="781"/>
      <c r="Z83" s="781"/>
      <c r="AA83" s="781"/>
    </row>
    <row r="84" spans="19:27" s="68" customFormat="1" ht="29" customHeight="1" x14ac:dyDescent="0.2">
      <c r="S84" s="781"/>
      <c r="T84" s="781"/>
      <c r="U84" s="781"/>
      <c r="V84" s="781"/>
      <c r="W84" s="781"/>
      <c r="X84" s="781"/>
      <c r="Y84" s="781"/>
      <c r="Z84" s="781"/>
      <c r="AA84" s="781"/>
    </row>
    <row r="85" spans="19:27" s="68" customFormat="1" ht="29" customHeight="1" x14ac:dyDescent="0.2">
      <c r="S85" s="781"/>
      <c r="T85" s="781"/>
      <c r="U85" s="781"/>
      <c r="V85" s="781"/>
      <c r="W85" s="781"/>
      <c r="X85" s="781"/>
      <c r="Y85" s="781"/>
      <c r="Z85" s="781"/>
      <c r="AA85" s="781"/>
    </row>
    <row r="86" spans="19:27" s="68" customFormat="1" ht="29" customHeight="1" x14ac:dyDescent="0.2">
      <c r="S86" s="781"/>
      <c r="T86" s="781"/>
      <c r="U86" s="781"/>
      <c r="V86" s="781"/>
      <c r="W86" s="781"/>
      <c r="X86" s="781"/>
      <c r="Y86" s="781"/>
      <c r="Z86" s="781"/>
      <c r="AA86" s="781"/>
    </row>
    <row r="87" spans="19:27" s="68" customFormat="1" ht="29" customHeight="1" x14ac:dyDescent="0.2">
      <c r="S87" s="781"/>
      <c r="T87" s="781"/>
      <c r="U87" s="781"/>
      <c r="V87" s="781"/>
      <c r="W87" s="781"/>
      <c r="X87" s="781"/>
      <c r="Y87" s="781"/>
      <c r="Z87" s="781"/>
      <c r="AA87" s="781"/>
    </row>
    <row r="88" spans="19:27" ht="29" customHeight="1" x14ac:dyDescent="0.15"/>
    <row r="89" spans="19:27" ht="29" customHeight="1" x14ac:dyDescent="0.15"/>
    <row r="90" spans="19:27" ht="29" customHeight="1" x14ac:dyDescent="0.15"/>
    <row r="91" spans="19:27" ht="29" customHeight="1" x14ac:dyDescent="0.15"/>
    <row r="92" spans="19:27" ht="29" customHeight="1" x14ac:dyDescent="0.15"/>
    <row r="93" spans="19:27" ht="29" customHeight="1" x14ac:dyDescent="0.15"/>
    <row r="94" spans="19:27" ht="29" customHeight="1" x14ac:dyDescent="0.15"/>
    <row r="95" spans="19:27" ht="29" customHeight="1" x14ac:dyDescent="0.15"/>
  </sheetData>
  <mergeCells count="37">
    <mergeCell ref="A37:U37"/>
    <mergeCell ref="A38:U38"/>
    <mergeCell ref="I16:M16"/>
    <mergeCell ref="I15:M15"/>
    <mergeCell ref="B34:C34"/>
    <mergeCell ref="G34:H34"/>
    <mergeCell ref="L34:M34"/>
    <mergeCell ref="Q34:R34"/>
    <mergeCell ref="E16:F16"/>
    <mergeCell ref="V34:W34"/>
    <mergeCell ref="A19:A20"/>
    <mergeCell ref="B19:F19"/>
    <mergeCell ref="G19:K19"/>
    <mergeCell ref="L19:P19"/>
    <mergeCell ref="Q19:U19"/>
    <mergeCell ref="V19:Z19"/>
    <mergeCell ref="AA3:AB3"/>
    <mergeCell ref="Y3:Z3"/>
    <mergeCell ref="V3:W3"/>
    <mergeCell ref="T3:U3"/>
    <mergeCell ref="S3:S4"/>
    <mergeCell ref="A5:A6"/>
    <mergeCell ref="B5:B6"/>
    <mergeCell ref="F5:G5"/>
    <mergeCell ref="K5:N6"/>
    <mergeCell ref="K7:N7"/>
    <mergeCell ref="K8:N8"/>
    <mergeCell ref="K9:N9"/>
    <mergeCell ref="K10:N10"/>
    <mergeCell ref="K11:N11"/>
    <mergeCell ref="A12:B12"/>
    <mergeCell ref="K12:N12"/>
    <mergeCell ref="A1:N1"/>
    <mergeCell ref="A2:N2"/>
    <mergeCell ref="A3:N3"/>
    <mergeCell ref="A4:N4"/>
    <mergeCell ref="P4:R4"/>
  </mergeCells>
  <phoneticPr fontId="40" type="noConversion"/>
  <pageMargins left="0.2" right="0.2" top="0.25" bottom="0.25" header="0.3" footer="0.3"/>
  <pageSetup paperSize="9" orientation="landscape" horizontalDpi="0" verticalDpi="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CBA55-EE6D-3E46-BFC0-DA0C55266EE4}">
  <sheetPr codeName="Sheet6"/>
  <dimension ref="A1:AB95"/>
  <sheetViews>
    <sheetView zoomScaleNormal="100" workbookViewId="0">
      <selection activeCell="J13" sqref="J13"/>
    </sheetView>
  </sheetViews>
  <sheetFormatPr baseColWidth="10" defaultColWidth="10.83203125" defaultRowHeight="14" x14ac:dyDescent="0.15"/>
  <cols>
    <col min="1" max="1" width="6.5" style="340" customWidth="1"/>
    <col min="2" max="2" width="9.6640625" style="340" customWidth="1"/>
    <col min="3" max="3" width="13" style="340" bestFit="1" customWidth="1"/>
    <col min="4" max="4" width="11.83203125" style="340" customWidth="1"/>
    <col min="5" max="5" width="10.83203125" style="340" customWidth="1"/>
    <col min="6" max="6" width="10.83203125" style="340"/>
    <col min="7" max="7" width="10.5" style="340" customWidth="1"/>
    <col min="8" max="8" width="9.1640625" style="340" customWidth="1"/>
    <col min="9" max="9" width="11.1640625" style="340" customWidth="1"/>
    <col min="10" max="10" width="10.83203125" style="340"/>
    <col min="11" max="11" width="9.1640625" style="340" customWidth="1"/>
    <col min="12" max="12" width="10.6640625" style="340" customWidth="1"/>
    <col min="13" max="13" width="9.1640625" style="340" customWidth="1"/>
    <col min="14" max="14" width="9.33203125" style="340" customWidth="1"/>
    <col min="15" max="18" width="9" style="340" customWidth="1"/>
    <col min="19" max="19" width="9" style="781" customWidth="1"/>
    <col min="20" max="21" width="11.1640625" style="781" customWidth="1"/>
    <col min="22" max="23" width="10" style="781" customWidth="1"/>
    <col min="24" max="24" width="9.1640625" style="781" customWidth="1"/>
    <col min="25" max="26" width="10" style="781" customWidth="1"/>
    <col min="27" max="27" width="10.33203125" style="781" customWidth="1"/>
    <col min="28" max="28" width="10.83203125" style="68"/>
    <col min="29" max="16384" width="10.83203125" style="340"/>
  </cols>
  <sheetData>
    <row r="1" spans="1:28" ht="23" customHeight="1" x14ac:dyDescent="0.15">
      <c r="A1" s="2995" t="s">
        <v>0</v>
      </c>
      <c r="B1" s="2996"/>
      <c r="C1" s="2996"/>
      <c r="D1" s="2996"/>
      <c r="E1" s="2996"/>
      <c r="F1" s="2996"/>
      <c r="G1" s="2996"/>
      <c r="H1" s="2996"/>
      <c r="I1" s="2996"/>
      <c r="J1" s="2996"/>
      <c r="K1" s="2996"/>
      <c r="L1" s="2996"/>
      <c r="M1" s="2996"/>
      <c r="N1" s="2997"/>
      <c r="O1" s="49"/>
    </row>
    <row r="2" spans="1:28" ht="23" customHeight="1" x14ac:dyDescent="0.15">
      <c r="A2" s="2998" t="s">
        <v>1</v>
      </c>
      <c r="B2" s="2532"/>
      <c r="C2" s="2532"/>
      <c r="D2" s="2532"/>
      <c r="E2" s="2532"/>
      <c r="F2" s="2532"/>
      <c r="G2" s="2532"/>
      <c r="H2" s="2532"/>
      <c r="I2" s="2532"/>
      <c r="J2" s="2532"/>
      <c r="K2" s="2532"/>
      <c r="L2" s="2532"/>
      <c r="M2" s="2532"/>
      <c r="N2" s="2999"/>
      <c r="O2" s="2"/>
    </row>
    <row r="3" spans="1:28" ht="23" customHeight="1" thickBot="1" x14ac:dyDescent="0.2">
      <c r="A3" s="3000" t="s">
        <v>2</v>
      </c>
      <c r="B3" s="3001"/>
      <c r="C3" s="3001"/>
      <c r="D3" s="3001"/>
      <c r="E3" s="3001"/>
      <c r="F3" s="3001"/>
      <c r="G3" s="3001"/>
      <c r="H3" s="3001"/>
      <c r="I3" s="3001"/>
      <c r="J3" s="3001"/>
      <c r="K3" s="3001"/>
      <c r="L3" s="3001"/>
      <c r="M3" s="3001"/>
      <c r="N3" s="3002"/>
      <c r="O3" s="2"/>
      <c r="S3" s="3012"/>
      <c r="T3" s="3012"/>
      <c r="U3" s="3012"/>
      <c r="V3" s="3012"/>
      <c r="W3" s="3012"/>
      <c r="X3" s="796"/>
      <c r="Y3" s="3012"/>
      <c r="Z3" s="3012"/>
      <c r="AA3" s="3012"/>
      <c r="AB3" s="3012"/>
    </row>
    <row r="4" spans="1:28" ht="32" customHeight="1" x14ac:dyDescent="0.15">
      <c r="A4" s="3003" t="s">
        <v>923</v>
      </c>
      <c r="B4" s="3003"/>
      <c r="C4" s="3003"/>
      <c r="D4" s="3003"/>
      <c r="E4" s="3003"/>
      <c r="F4" s="3003"/>
      <c r="G4" s="3003"/>
      <c r="H4" s="3003"/>
      <c r="I4" s="3003"/>
      <c r="J4" s="3003"/>
      <c r="K4" s="3003"/>
      <c r="L4" s="3003"/>
      <c r="M4" s="3003"/>
      <c r="N4" s="3003"/>
      <c r="O4" s="3"/>
      <c r="P4" s="3004"/>
      <c r="Q4" s="3004"/>
      <c r="R4" s="3004"/>
      <c r="S4" s="3012"/>
      <c r="T4" s="796"/>
      <c r="U4" s="796"/>
      <c r="V4" s="796"/>
      <c r="W4" s="796"/>
      <c r="X4" s="796"/>
      <c r="Y4" s="796"/>
      <c r="Z4" s="796"/>
      <c r="AA4" s="796"/>
      <c r="AB4" s="796"/>
    </row>
    <row r="5" spans="1:28" ht="51" x14ac:dyDescent="0.15">
      <c r="A5" s="3008" t="s">
        <v>39</v>
      </c>
      <c r="B5" s="3008" t="s">
        <v>213</v>
      </c>
      <c r="C5" s="288" t="s">
        <v>214</v>
      </c>
      <c r="D5" s="289" t="s">
        <v>215</v>
      </c>
      <c r="E5" s="289" t="s">
        <v>44</v>
      </c>
      <c r="F5" s="3010" t="s">
        <v>216</v>
      </c>
      <c r="G5" s="3011"/>
      <c r="H5" s="291" t="s">
        <v>217</v>
      </c>
      <c r="I5" s="44" t="s">
        <v>46</v>
      </c>
      <c r="J5" s="341" t="s">
        <v>300</v>
      </c>
      <c r="K5" s="2665" t="s">
        <v>47</v>
      </c>
      <c r="L5" s="2665"/>
      <c r="M5" s="2665"/>
      <c r="N5" s="2665"/>
      <c r="O5" s="49"/>
      <c r="Q5" s="797"/>
      <c r="R5" s="797"/>
      <c r="T5" s="796"/>
      <c r="U5" s="796"/>
      <c r="V5" s="796"/>
      <c r="W5" s="796"/>
      <c r="X5" s="796"/>
      <c r="Y5" s="796"/>
      <c r="Z5" s="796"/>
      <c r="AA5" s="796"/>
    </row>
    <row r="6" spans="1:28" ht="38" customHeight="1" x14ac:dyDescent="0.15">
      <c r="A6" s="3009"/>
      <c r="B6" s="3009"/>
      <c r="C6" s="289" t="s">
        <v>21</v>
      </c>
      <c r="D6" s="44" t="s">
        <v>164</v>
      </c>
      <c r="E6" s="289" t="s">
        <v>218</v>
      </c>
      <c r="F6" s="288" t="s">
        <v>219</v>
      </c>
      <c r="G6" s="288" t="s">
        <v>220</v>
      </c>
      <c r="H6" s="44" t="s">
        <v>164</v>
      </c>
      <c r="I6" s="44" t="s">
        <v>164</v>
      </c>
      <c r="J6" s="290" t="s">
        <v>218</v>
      </c>
      <c r="K6" s="2665"/>
      <c r="L6" s="2665"/>
      <c r="M6" s="2665"/>
      <c r="N6" s="2665"/>
      <c r="O6" s="49"/>
      <c r="Q6" s="797"/>
      <c r="T6" s="796"/>
      <c r="U6" s="798"/>
      <c r="V6" s="796"/>
      <c r="W6" s="796"/>
      <c r="X6" s="796"/>
      <c r="Y6" s="796"/>
      <c r="Z6" s="796"/>
      <c r="AA6" s="796"/>
    </row>
    <row r="7" spans="1:28" ht="41" customHeight="1" x14ac:dyDescent="0.15">
      <c r="A7" s="292">
        <v>1</v>
      </c>
      <c r="B7" s="17" t="s">
        <v>73</v>
      </c>
      <c r="C7" s="293">
        <f>B33</f>
        <v>1702641.6900000002</v>
      </c>
      <c r="D7" s="28">
        <f>D33</f>
        <v>5003816</v>
      </c>
      <c r="E7" s="294">
        <f t="shared" ref="E7:E13" si="0">D7/C7</f>
        <v>2.938854386914489</v>
      </c>
      <c r="F7" s="295">
        <f>E33</f>
        <v>519541</v>
      </c>
      <c r="G7" s="777">
        <f>F7/(D7+F7)*100</f>
        <v>9.4062542037387775</v>
      </c>
      <c r="H7" s="15">
        <f t="shared" ref="H7:H13" si="1">(D7+F7)/C7</f>
        <v>3.2439925748558402</v>
      </c>
      <c r="I7" s="211">
        <f>F33</f>
        <v>34457</v>
      </c>
      <c r="J7" s="343">
        <f t="shared" ref="J7:J13" si="2">(D7+F7+I7)/C7</f>
        <v>3.2642299508124926</v>
      </c>
      <c r="K7" s="2664" t="s">
        <v>971</v>
      </c>
      <c r="L7" s="2664"/>
      <c r="M7" s="2664"/>
      <c r="N7" s="2664"/>
      <c r="O7" s="81"/>
      <c r="Q7" s="797"/>
      <c r="R7" s="797"/>
      <c r="T7" s="796"/>
      <c r="U7" s="796"/>
      <c r="V7" s="796"/>
      <c r="W7" s="796"/>
      <c r="X7" s="796"/>
      <c r="Y7" s="796"/>
      <c r="Z7" s="796"/>
      <c r="AA7" s="796"/>
    </row>
    <row r="8" spans="1:28" ht="41" customHeight="1" x14ac:dyDescent="0.2">
      <c r="A8" s="296">
        <v>2</v>
      </c>
      <c r="B8" s="17" t="s">
        <v>99</v>
      </c>
      <c r="C8" s="28">
        <f>G33</f>
        <v>1062373.1199999999</v>
      </c>
      <c r="D8" s="28">
        <f>I33</f>
        <v>3439724</v>
      </c>
      <c r="E8" s="294">
        <f t="shared" si="0"/>
        <v>3.2377739376538446</v>
      </c>
      <c r="F8" s="28">
        <f>J33</f>
        <v>309127</v>
      </c>
      <c r="G8" s="777">
        <f>F8/(D8+F8)*100</f>
        <v>8.245913214475582</v>
      </c>
      <c r="H8" s="15">
        <f t="shared" si="1"/>
        <v>3.5287517440200298</v>
      </c>
      <c r="I8" s="28">
        <f>K33</f>
        <v>35288</v>
      </c>
      <c r="J8" s="343">
        <f t="shared" si="2"/>
        <v>3.5619679458757396</v>
      </c>
      <c r="K8" s="2906" t="s">
        <v>960</v>
      </c>
      <c r="L8" s="2906"/>
      <c r="M8" s="2906"/>
      <c r="N8" s="2906"/>
      <c r="O8" s="636"/>
      <c r="Q8" s="797"/>
      <c r="R8" s="797"/>
      <c r="T8" s="796"/>
      <c r="U8" s="796"/>
      <c r="V8" s="796"/>
      <c r="W8" s="796"/>
      <c r="X8" s="796"/>
      <c r="Y8" s="796"/>
      <c r="Z8" s="796"/>
      <c r="AA8" s="796"/>
    </row>
    <row r="9" spans="1:28" ht="53" hidden="1" customHeight="1" x14ac:dyDescent="0.15">
      <c r="A9" s="292">
        <v>3</v>
      </c>
      <c r="B9" s="17" t="s">
        <v>91</v>
      </c>
      <c r="C9" s="28"/>
      <c r="D9" s="15"/>
      <c r="E9" s="294"/>
      <c r="F9" s="15"/>
      <c r="G9" s="777" t="e">
        <f>F9/(D9+F9)*100</f>
        <v>#DIV/0!</v>
      </c>
      <c r="H9" s="15"/>
      <c r="I9" s="28"/>
      <c r="J9" s="343"/>
      <c r="K9" s="2747"/>
      <c r="L9" s="2747"/>
      <c r="M9" s="2747"/>
      <c r="N9" s="2747"/>
      <c r="O9" s="81"/>
      <c r="Q9" s="797"/>
      <c r="R9" s="797"/>
      <c r="T9" s="796"/>
      <c r="U9" s="796"/>
      <c r="V9" s="796"/>
      <c r="W9" s="796"/>
      <c r="X9" s="796"/>
      <c r="Y9" s="796"/>
      <c r="Z9" s="796"/>
      <c r="AA9" s="796"/>
    </row>
    <row r="10" spans="1:28" ht="41" customHeight="1" x14ac:dyDescent="0.2">
      <c r="A10" s="296">
        <v>3</v>
      </c>
      <c r="B10" s="17" t="s">
        <v>92</v>
      </c>
      <c r="C10" s="28">
        <f>L33</f>
        <v>514773.5</v>
      </c>
      <c r="D10" s="28">
        <f>N33</f>
        <v>1158501</v>
      </c>
      <c r="E10" s="294">
        <f t="shared" si="0"/>
        <v>2.2505062906307338</v>
      </c>
      <c r="F10" s="28">
        <f>O33</f>
        <v>149956</v>
      </c>
      <c r="G10" s="777">
        <f>F10/(D10+F10)*100</f>
        <v>11.46052182074</v>
      </c>
      <c r="H10" s="15">
        <f t="shared" si="1"/>
        <v>2.5418111072151151</v>
      </c>
      <c r="I10" s="28">
        <f>P33</f>
        <v>2115</v>
      </c>
      <c r="J10" s="343">
        <f t="shared" si="2"/>
        <v>2.5459197103191986</v>
      </c>
      <c r="K10" s="2906" t="s">
        <v>961</v>
      </c>
      <c r="L10" s="2906"/>
      <c r="M10" s="2906"/>
      <c r="N10" s="2906"/>
      <c r="O10" s="636"/>
      <c r="Q10" s="797"/>
      <c r="R10" s="797"/>
      <c r="T10" s="796"/>
      <c r="U10" s="796"/>
      <c r="V10" s="796"/>
      <c r="W10" s="796"/>
      <c r="X10" s="796"/>
      <c r="Y10" s="796"/>
      <c r="Z10" s="796"/>
      <c r="AA10" s="796"/>
    </row>
    <row r="11" spans="1:28" ht="41" customHeight="1" x14ac:dyDescent="0.2">
      <c r="A11" s="292">
        <v>4</v>
      </c>
      <c r="B11" s="17" t="s">
        <v>100</v>
      </c>
      <c r="C11" s="293">
        <f>Q33</f>
        <v>116559</v>
      </c>
      <c r="D11" s="293">
        <f>S33</f>
        <v>224692</v>
      </c>
      <c r="E11" s="294">
        <f t="shared" si="0"/>
        <v>1.9277104299110321</v>
      </c>
      <c r="F11" s="297">
        <f>T33</f>
        <v>39187</v>
      </c>
      <c r="G11" s="777">
        <f>F11/(D11+F11)*100</f>
        <v>14.850367024280068</v>
      </c>
      <c r="H11" s="15">
        <f t="shared" si="1"/>
        <v>2.2639092648358341</v>
      </c>
      <c r="I11" s="293">
        <f>U33</f>
        <v>0</v>
      </c>
      <c r="J11" s="343">
        <f t="shared" si="2"/>
        <v>2.2639092648358341</v>
      </c>
      <c r="K11" s="2906" t="s">
        <v>962</v>
      </c>
      <c r="L11" s="2906"/>
      <c r="M11" s="2906"/>
      <c r="N11" s="2906"/>
      <c r="O11" s="636"/>
      <c r="Q11" s="797"/>
      <c r="R11" s="797"/>
      <c r="T11" s="796"/>
      <c r="U11" s="796"/>
      <c r="V11" s="796"/>
      <c r="W11" s="796"/>
      <c r="X11" s="796"/>
      <c r="Y11" s="796"/>
      <c r="Z11" s="796"/>
      <c r="AA11" s="796"/>
    </row>
    <row r="12" spans="1:28" ht="54" customHeight="1" x14ac:dyDescent="0.15">
      <c r="A12" s="3029" t="s">
        <v>924</v>
      </c>
      <c r="B12" s="3030"/>
      <c r="C12" s="298">
        <f>SUM(C7:C11)</f>
        <v>3396347.31</v>
      </c>
      <c r="D12" s="298">
        <f>SUM(D7:D11)</f>
        <v>9826733</v>
      </c>
      <c r="E12" s="299">
        <f t="shared" si="0"/>
        <v>2.8933239457186137</v>
      </c>
      <c r="F12" s="298">
        <f>SUM(F7:F11)</f>
        <v>1017811</v>
      </c>
      <c r="G12" s="299">
        <f>F12/(F12+D12)*100</f>
        <v>9.3854660924424298</v>
      </c>
      <c r="H12" s="300">
        <f t="shared" si="1"/>
        <v>3.1930020725707231</v>
      </c>
      <c r="I12" s="298">
        <f>SUM(I7:I11)</f>
        <v>71860</v>
      </c>
      <c r="J12" s="344">
        <f t="shared" si="2"/>
        <v>3.2141600971898248</v>
      </c>
      <c r="K12" s="3007"/>
      <c r="L12" s="3007"/>
      <c r="M12" s="3007"/>
      <c r="N12" s="3007"/>
      <c r="O12" s="337"/>
      <c r="Q12" s="797"/>
      <c r="R12" s="797"/>
      <c r="T12" s="796"/>
      <c r="U12" s="796"/>
      <c r="V12" s="796"/>
      <c r="W12" s="796"/>
      <c r="X12" s="796"/>
      <c r="Y12" s="796"/>
      <c r="Z12" s="796"/>
      <c r="AA12" s="796"/>
    </row>
    <row r="13" spans="1:28" ht="54" customHeight="1" x14ac:dyDescent="0.15">
      <c r="A13" s="3026" t="s">
        <v>925</v>
      </c>
      <c r="B13" s="3027"/>
      <c r="C13" s="1369" t="e">
        <f>'[2]6 tháng cuối năm a viện'!$J$98</f>
        <v>#REF!</v>
      </c>
      <c r="D13" s="1370" t="e">
        <f>'[2]6 tháng cuối năm a viện'!$H$98</f>
        <v>#REF!</v>
      </c>
      <c r="E13" s="1301" t="e">
        <f t="shared" si="0"/>
        <v>#REF!</v>
      </c>
      <c r="F13" s="1370" t="e">
        <f>'[2]6 tháng cuối năm a viện'!$L$98</f>
        <v>#REF!</v>
      </c>
      <c r="G13" s="1301" t="e">
        <f>F13/(F13+D13)*100</f>
        <v>#REF!</v>
      </c>
      <c r="H13" s="1302" t="e">
        <f t="shared" si="1"/>
        <v>#REF!</v>
      </c>
      <c r="I13" s="1370" t="e">
        <f>'[2]6 tháng cuối năm a viện'!$Q$98</f>
        <v>#REF!</v>
      </c>
      <c r="J13" s="1303" t="e">
        <f t="shared" si="2"/>
        <v>#REF!</v>
      </c>
      <c r="K13" s="3028"/>
      <c r="L13" s="3028"/>
      <c r="M13" s="3028"/>
      <c r="N13" s="3028"/>
      <c r="O13" s="337"/>
      <c r="Q13" s="797"/>
      <c r="R13" s="797"/>
      <c r="T13" s="796"/>
      <c r="U13" s="796"/>
      <c r="V13" s="796"/>
      <c r="W13" s="796"/>
      <c r="X13" s="796"/>
      <c r="Y13" s="796"/>
      <c r="Z13" s="796"/>
      <c r="AA13" s="796"/>
    </row>
    <row r="14" spans="1:28" ht="30" customHeight="1" x14ac:dyDescent="0.15">
      <c r="A14" s="88" t="s">
        <v>494</v>
      </c>
      <c r="B14" s="49"/>
      <c r="C14" s="49"/>
      <c r="D14" s="336"/>
      <c r="E14" s="337"/>
      <c r="F14" s="336"/>
      <c r="G14" s="337"/>
      <c r="H14" s="338"/>
      <c r="I14" s="336"/>
      <c r="J14" s="337"/>
      <c r="K14" s="337"/>
      <c r="L14" s="337"/>
      <c r="M14" s="337"/>
      <c r="N14" s="337"/>
      <c r="O14" s="337"/>
      <c r="Q14" s="797"/>
      <c r="R14" s="797"/>
      <c r="T14" s="796"/>
      <c r="U14" s="796"/>
      <c r="V14" s="796"/>
      <c r="W14" s="796"/>
      <c r="X14" s="796"/>
      <c r="Y14" s="796"/>
      <c r="Z14" s="796"/>
      <c r="AA14" s="796"/>
    </row>
    <row r="15" spans="1:28" ht="30" customHeight="1" x14ac:dyDescent="0.15">
      <c r="A15" s="1"/>
      <c r="B15" s="1"/>
      <c r="C15" s="1"/>
      <c r="D15" s="42"/>
      <c r="E15" s="43"/>
      <c r="F15" s="43"/>
      <c r="G15" s="1"/>
      <c r="H15" s="43"/>
      <c r="I15" s="2682" t="s">
        <v>933</v>
      </c>
      <c r="J15" s="2682"/>
      <c r="K15" s="2682"/>
      <c r="L15" s="2682"/>
      <c r="M15" s="2682"/>
      <c r="N15" s="856"/>
      <c r="O15" s="89"/>
      <c r="Q15" s="797"/>
      <c r="R15" s="797"/>
      <c r="T15" s="796"/>
      <c r="U15" s="796"/>
      <c r="V15" s="796"/>
      <c r="W15" s="796"/>
      <c r="X15" s="796"/>
      <c r="Y15" s="796"/>
      <c r="Z15" s="796"/>
      <c r="AA15" s="796"/>
    </row>
    <row r="16" spans="1:28" ht="30" customHeight="1" x14ac:dyDescent="0.15">
      <c r="A16" s="84"/>
      <c r="B16" s="84"/>
      <c r="C16" s="84"/>
      <c r="D16" s="84"/>
      <c r="E16" s="2683"/>
      <c r="F16" s="2683"/>
      <c r="G16" s="84"/>
      <c r="H16" s="90"/>
      <c r="I16" s="2683" t="s">
        <v>897</v>
      </c>
      <c r="J16" s="2683"/>
      <c r="K16" s="2683"/>
      <c r="L16" s="2683"/>
      <c r="M16" s="2683"/>
      <c r="N16" s="339"/>
      <c r="O16" s="90"/>
      <c r="Q16" s="797"/>
      <c r="R16" s="797"/>
      <c r="T16" s="796"/>
      <c r="U16" s="796"/>
      <c r="V16" s="796"/>
      <c r="W16" s="796"/>
      <c r="X16" s="796"/>
      <c r="Y16" s="796"/>
      <c r="Z16" s="796"/>
      <c r="AA16" s="796"/>
    </row>
    <row r="17" spans="1:28" ht="30" customHeight="1" x14ac:dyDescent="0.15">
      <c r="A17" s="91"/>
      <c r="B17" s="92"/>
      <c r="C17" s="92"/>
      <c r="D17" s="4"/>
      <c r="E17" s="93"/>
      <c r="F17" s="93"/>
      <c r="G17" s="4"/>
      <c r="H17" s="93"/>
      <c r="I17" s="4"/>
      <c r="J17" s="4"/>
      <c r="K17" s="4"/>
      <c r="L17" s="4"/>
      <c r="M17" s="4"/>
      <c r="N17" s="4"/>
      <c r="O17" s="4"/>
      <c r="Q17" s="345"/>
      <c r="R17" s="345"/>
      <c r="S17" s="1187"/>
      <c r="T17" s="789"/>
      <c r="U17" s="789"/>
      <c r="V17" s="789"/>
      <c r="W17" s="789"/>
      <c r="X17" s="789"/>
      <c r="Y17" s="789"/>
      <c r="Z17" s="789"/>
      <c r="AA17" s="789"/>
      <c r="AB17" s="789"/>
    </row>
    <row r="18" spans="1:28" ht="30" customHeight="1" x14ac:dyDescent="0.15">
      <c r="A18" s="91"/>
      <c r="B18" s="92"/>
      <c r="C18" s="92"/>
      <c r="D18" s="4"/>
      <c r="E18" s="93"/>
      <c r="F18" s="93"/>
      <c r="G18" s="4"/>
      <c r="H18" s="93"/>
      <c r="I18" s="4"/>
      <c r="J18" s="4"/>
      <c r="K18" s="4"/>
      <c r="L18" s="4"/>
      <c r="M18" s="4"/>
      <c r="N18" s="4"/>
      <c r="O18" s="4"/>
      <c r="Q18" s="345"/>
      <c r="R18" s="345"/>
      <c r="S18" s="1187"/>
      <c r="T18" s="789"/>
      <c r="U18" s="789"/>
      <c r="V18" s="789"/>
      <c r="W18" s="789"/>
      <c r="X18" s="789"/>
      <c r="Y18" s="789"/>
      <c r="Z18" s="789"/>
      <c r="AA18" s="789"/>
      <c r="AB18" s="789"/>
    </row>
    <row r="19" spans="1:28" s="886" customFormat="1" ht="30" customHeight="1" x14ac:dyDescent="0.15">
      <c r="A19" s="3015" t="s">
        <v>299</v>
      </c>
      <c r="B19" s="3017" t="s">
        <v>536</v>
      </c>
      <c r="C19" s="3017"/>
      <c r="D19" s="3017"/>
      <c r="E19" s="3017"/>
      <c r="F19" s="3017"/>
      <c r="G19" s="3017" t="s">
        <v>839</v>
      </c>
      <c r="H19" s="3017"/>
      <c r="I19" s="3017"/>
      <c r="J19" s="3017"/>
      <c r="K19" s="3017"/>
      <c r="L19" s="3018" t="s">
        <v>846</v>
      </c>
      <c r="M19" s="3019"/>
      <c r="N19" s="3019"/>
      <c r="O19" s="3019"/>
      <c r="P19" s="3020"/>
      <c r="Q19" s="3017" t="s">
        <v>840</v>
      </c>
      <c r="R19" s="3017"/>
      <c r="S19" s="3017"/>
      <c r="T19" s="3017"/>
      <c r="U19" s="3017"/>
      <c r="V19" s="3017" t="s">
        <v>457</v>
      </c>
      <c r="W19" s="3017"/>
      <c r="X19" s="3017"/>
      <c r="Y19" s="3017"/>
      <c r="Z19" s="3017"/>
      <c r="AA19" s="789"/>
      <c r="AB19" s="789"/>
    </row>
    <row r="20" spans="1:28" s="886" customFormat="1" ht="30" customHeight="1" x14ac:dyDescent="0.15">
      <c r="A20" s="3016"/>
      <c r="B20" s="782" t="s">
        <v>456</v>
      </c>
      <c r="C20" s="782" t="s">
        <v>81</v>
      </c>
      <c r="D20" s="782" t="s">
        <v>453</v>
      </c>
      <c r="E20" s="782" t="s">
        <v>454</v>
      </c>
      <c r="F20" s="782" t="s">
        <v>455</v>
      </c>
      <c r="G20" s="782" t="s">
        <v>456</v>
      </c>
      <c r="H20" s="782" t="s">
        <v>81</v>
      </c>
      <c r="I20" s="782" t="s">
        <v>453</v>
      </c>
      <c r="J20" s="782" t="s">
        <v>454</v>
      </c>
      <c r="K20" s="782" t="s">
        <v>455</v>
      </c>
      <c r="L20" s="782" t="s">
        <v>456</v>
      </c>
      <c r="M20" s="782" t="s">
        <v>81</v>
      </c>
      <c r="N20" s="782" t="s">
        <v>453</v>
      </c>
      <c r="O20" s="782" t="s">
        <v>454</v>
      </c>
      <c r="P20" s="782" t="s">
        <v>455</v>
      </c>
      <c r="Q20" s="782" t="s">
        <v>456</v>
      </c>
      <c r="R20" s="782" t="s">
        <v>81</v>
      </c>
      <c r="S20" s="782" t="s">
        <v>453</v>
      </c>
      <c r="T20" s="782" t="s">
        <v>454</v>
      </c>
      <c r="U20" s="782" t="s">
        <v>455</v>
      </c>
      <c r="V20" s="782" t="s">
        <v>456</v>
      </c>
      <c r="W20" s="782" t="s">
        <v>81</v>
      </c>
      <c r="X20" s="782" t="s">
        <v>453</v>
      </c>
      <c r="Y20" s="782" t="s">
        <v>454</v>
      </c>
      <c r="Z20" s="782" t="s">
        <v>455</v>
      </c>
      <c r="AA20" s="887"/>
      <c r="AB20" s="67"/>
    </row>
    <row r="21" spans="1:28" s="68" customFormat="1" ht="30" customHeight="1" x14ac:dyDescent="0.2">
      <c r="A21" s="51">
        <v>1</v>
      </c>
      <c r="B21" s="342"/>
      <c r="C21" s="342"/>
      <c r="D21" s="342"/>
      <c r="E21" s="342"/>
      <c r="F21" s="342"/>
      <c r="G21" s="342"/>
      <c r="H21" s="342"/>
      <c r="I21" s="342"/>
      <c r="J21" s="51"/>
      <c r="K21" s="51"/>
      <c r="L21" s="342">
        <f>'T1.2025'!F134</f>
        <v>115884.5</v>
      </c>
      <c r="M21" s="51"/>
      <c r="N21" s="1514">
        <f>'T1.2025'!I210</f>
        <v>245803</v>
      </c>
      <c r="O21" s="733">
        <f>'T1.2025'!L210</f>
        <v>21106</v>
      </c>
      <c r="P21" s="733">
        <f>'T1.2025'!O210</f>
        <v>355</v>
      </c>
      <c r="Q21" s="342"/>
      <c r="R21" s="342"/>
      <c r="S21" s="783"/>
      <c r="T21" s="783"/>
      <c r="U21" s="783"/>
      <c r="V21" s="783"/>
      <c r="W21" s="783"/>
      <c r="X21" s="783"/>
      <c r="Y21" s="783"/>
      <c r="Z21" s="783"/>
      <c r="AA21" s="784"/>
    </row>
    <row r="22" spans="1:28" s="68" customFormat="1" ht="30" customHeight="1" x14ac:dyDescent="0.2">
      <c r="A22" s="51">
        <v>2</v>
      </c>
      <c r="B22" s="342">
        <f>'T2.2025 '!I11</f>
        <v>102801.59999999999</v>
      </c>
      <c r="C22" s="788">
        <f>'T2.2025 '!M11</f>
        <v>649.44000000000005</v>
      </c>
      <c r="D22" s="342">
        <f>'T2.2025 '!J86</f>
        <v>400363</v>
      </c>
      <c r="E22" s="342">
        <f>'T2.2025 '!M86</f>
        <v>21691</v>
      </c>
      <c r="F22" s="342">
        <f>'T2.2025 '!P86</f>
        <v>0</v>
      </c>
      <c r="G22" s="342"/>
      <c r="H22" s="342"/>
      <c r="I22" s="342"/>
      <c r="J22" s="51"/>
      <c r="K22" s="51"/>
      <c r="L22" s="788"/>
      <c r="M22" s="51"/>
      <c r="N22" s="51"/>
      <c r="O22" s="51"/>
      <c r="P22" s="51"/>
      <c r="Q22" s="342"/>
      <c r="R22" s="342"/>
      <c r="S22" s="342"/>
      <c r="T22" s="342"/>
      <c r="U22" s="342"/>
      <c r="V22" s="342"/>
      <c r="W22" s="342"/>
      <c r="X22" s="342"/>
      <c r="Y22" s="342"/>
      <c r="Z22" s="342"/>
      <c r="AA22" s="781"/>
    </row>
    <row r="23" spans="1:28" s="68" customFormat="1" ht="30" customHeight="1" x14ac:dyDescent="0.2">
      <c r="A23" s="51">
        <v>3</v>
      </c>
      <c r="B23" s="342">
        <f>'T3.2025 '!J154</f>
        <v>489176.73</v>
      </c>
      <c r="C23" s="342">
        <f>'T3.2025 '!M10</f>
        <v>1677.66</v>
      </c>
      <c r="D23" s="342">
        <f>'T3.2025 '!I154</f>
        <v>1499949</v>
      </c>
      <c r="E23" s="342">
        <f>'T3.2025 '!L154</f>
        <v>137444</v>
      </c>
      <c r="F23" s="342">
        <f>'T3.2025 '!O154</f>
        <v>16343</v>
      </c>
      <c r="G23" s="342">
        <f>'T3.2025 '!J165</f>
        <v>367895.03999999998</v>
      </c>
      <c r="H23" s="342">
        <f>'T3.2025 '!M16</f>
        <v>1689.6000000000004</v>
      </c>
      <c r="I23" s="342">
        <f>'T3.2025 '!I165</f>
        <v>1301592</v>
      </c>
      <c r="J23" s="733">
        <f>'T3.2025 '!L165</f>
        <v>121885</v>
      </c>
      <c r="K23" s="733">
        <f>'T3.2025 '!O165</f>
        <v>14492</v>
      </c>
      <c r="L23" s="788"/>
      <c r="M23" s="51"/>
      <c r="N23" s="51"/>
      <c r="O23" s="51"/>
      <c r="P23" s="342"/>
      <c r="Q23" s="342"/>
      <c r="R23" s="787"/>
      <c r="S23" s="342"/>
      <c r="T23" s="342"/>
      <c r="U23" s="342"/>
      <c r="V23" s="342"/>
      <c r="W23" s="342"/>
      <c r="X23" s="342"/>
      <c r="Y23" s="342"/>
      <c r="Z23" s="342"/>
      <c r="AA23" s="781"/>
    </row>
    <row r="24" spans="1:28" s="68" customFormat="1" ht="30" customHeight="1" x14ac:dyDescent="0.2">
      <c r="A24" s="51">
        <v>4</v>
      </c>
      <c r="B24" s="342">
        <f>'T4.2025 '!J196</f>
        <v>441077.76000000001</v>
      </c>
      <c r="C24" s="342">
        <f>'T4.2025 '!M11</f>
        <v>1512</v>
      </c>
      <c r="D24" s="342">
        <f>'T4.2025 '!I196</f>
        <v>1280929</v>
      </c>
      <c r="E24" s="342">
        <f>'T4.2025 '!L196</f>
        <v>110494</v>
      </c>
      <c r="F24" s="342">
        <f>'T4.2025 '!O196</f>
        <v>7653</v>
      </c>
      <c r="G24" s="342">
        <f>'T4.2025 '!J202</f>
        <v>244602.88</v>
      </c>
      <c r="H24" s="342">
        <f>'T4.2025 '!M17</f>
        <v>1286.4000000000001</v>
      </c>
      <c r="I24" s="342">
        <f>'T4.2025 '!I202</f>
        <v>787687</v>
      </c>
      <c r="J24" s="733">
        <f>'T4.2025 '!L202</f>
        <v>67873</v>
      </c>
      <c r="K24" s="733">
        <f>'T4.2025 '!O202</f>
        <v>5105</v>
      </c>
      <c r="L24" s="342">
        <f>'T4.2025 '!I130</f>
        <v>148288.5</v>
      </c>
      <c r="M24" s="51">
        <f>'T4.2025 '!M23</f>
        <v>642</v>
      </c>
      <c r="N24" s="342">
        <f>'T4.2025 '!I208</f>
        <v>357263</v>
      </c>
      <c r="O24" s="733">
        <f>'T4.2025 '!L208</f>
        <v>30883</v>
      </c>
      <c r="P24" s="733">
        <f>'T4.2025 '!O208</f>
        <v>1760</v>
      </c>
      <c r="Q24" s="342"/>
      <c r="R24" s="787"/>
      <c r="S24" s="342"/>
      <c r="T24" s="51"/>
      <c r="U24" s="51"/>
      <c r="V24" s="51"/>
      <c r="W24" s="51"/>
      <c r="X24" s="51"/>
      <c r="Y24" s="51"/>
      <c r="Z24" s="51"/>
    </row>
    <row r="25" spans="1:28" s="68" customFormat="1" ht="30" customHeight="1" x14ac:dyDescent="0.2">
      <c r="A25" s="51">
        <v>5</v>
      </c>
      <c r="B25" s="342">
        <f>'T5.2025'!J265</f>
        <v>360989.28</v>
      </c>
      <c r="C25" s="342">
        <f>'T5.2025'!M11</f>
        <v>1689.12</v>
      </c>
      <c r="D25" s="342">
        <f>'T5.2025'!I265</f>
        <v>906891</v>
      </c>
      <c r="E25" s="342">
        <f>'T5.2025'!L265</f>
        <v>184210</v>
      </c>
      <c r="F25" s="342">
        <f>'T5.2025'!O265</f>
        <v>0</v>
      </c>
      <c r="G25" s="342">
        <f>'T5.2025'!J284</f>
        <v>19166.400000000001</v>
      </c>
      <c r="H25" s="342">
        <f>'T5.2025'!M29</f>
        <v>240</v>
      </c>
      <c r="I25" s="342">
        <f>'T5.2025'!I284</f>
        <v>70279</v>
      </c>
      <c r="J25" s="733">
        <f>'T5.2025'!L284</f>
        <v>13564</v>
      </c>
      <c r="K25" s="733">
        <f>'T5.2025'!O284</f>
        <v>0</v>
      </c>
      <c r="L25" s="458">
        <f>'T5.2025'!J272</f>
        <v>250600.5</v>
      </c>
      <c r="M25" s="51">
        <f>'T5.2025'!M17</f>
        <v>1209</v>
      </c>
      <c r="N25" s="342">
        <f>'T5.2025'!I272</f>
        <v>555435</v>
      </c>
      <c r="O25" s="733">
        <f>'T5.2025'!L272</f>
        <v>97967</v>
      </c>
      <c r="P25" s="733">
        <f>'T5.2025'!O272</f>
        <v>0</v>
      </c>
      <c r="Q25" s="342">
        <f>'T5.2025'!J278</f>
        <v>116559</v>
      </c>
      <c r="R25" s="791">
        <f>'T5.2025'!M23</f>
        <v>712.8</v>
      </c>
      <c r="S25" s="342">
        <f>'T5.2025'!I278</f>
        <v>224692</v>
      </c>
      <c r="T25" s="733">
        <f>'T5.2025'!L278</f>
        <v>39187</v>
      </c>
      <c r="U25" s="733">
        <f>'T5.2025'!O278</f>
        <v>0</v>
      </c>
      <c r="V25" s="51"/>
      <c r="W25" s="51"/>
      <c r="X25" s="51"/>
      <c r="Y25" s="51"/>
      <c r="Z25" s="51"/>
    </row>
    <row r="26" spans="1:28" s="68" customFormat="1" ht="30" customHeight="1" x14ac:dyDescent="0.2">
      <c r="A26" s="51">
        <v>6</v>
      </c>
      <c r="B26" s="342">
        <f>'T6.2025'!J302</f>
        <v>308596.32</v>
      </c>
      <c r="C26" s="342">
        <f>'T6.2025'!M11</f>
        <v>1828.8</v>
      </c>
      <c r="D26" s="342">
        <f>'T6.2025'!I302</f>
        <v>915684</v>
      </c>
      <c r="E26" s="342">
        <f>'T6.2025'!L302</f>
        <v>65702</v>
      </c>
      <c r="F26" s="342">
        <f>'T6.2025'!O302</f>
        <v>10461</v>
      </c>
      <c r="G26" s="342">
        <f>'T6.2025'!J310</f>
        <v>430708.8</v>
      </c>
      <c r="H26" s="342">
        <f>'T6.2025'!M29</f>
        <v>2112</v>
      </c>
      <c r="I26" s="342">
        <f>'T6.2025'!I310</f>
        <v>1280166</v>
      </c>
      <c r="J26" s="733">
        <f>'T6.2025'!L310</f>
        <v>105805</v>
      </c>
      <c r="K26" s="733">
        <f>'T6.2025'!O310</f>
        <v>15691</v>
      </c>
      <c r="L26" s="1167"/>
      <c r="M26" s="51"/>
      <c r="N26" s="51"/>
      <c r="O26" s="51"/>
      <c r="P26" s="51"/>
      <c r="Q26" s="342"/>
      <c r="R26" s="787"/>
      <c r="S26" s="342"/>
      <c r="T26" s="51"/>
      <c r="U26" s="51"/>
      <c r="V26" s="51"/>
      <c r="W26" s="51"/>
      <c r="X26" s="51"/>
      <c r="Y26" s="51"/>
      <c r="Z26" s="51"/>
    </row>
    <row r="27" spans="1:28" s="68" customFormat="1" ht="30" customHeight="1" x14ac:dyDescent="0.2">
      <c r="A27" s="51">
        <v>7</v>
      </c>
      <c r="B27" s="342"/>
      <c r="C27" s="342"/>
      <c r="D27" s="342"/>
      <c r="E27" s="342"/>
      <c r="F27" s="342"/>
      <c r="G27" s="342"/>
      <c r="H27" s="342"/>
      <c r="I27" s="342"/>
      <c r="J27" s="51"/>
      <c r="K27" s="51"/>
      <c r="L27" s="734"/>
      <c r="M27" s="51"/>
      <c r="N27" s="51"/>
      <c r="O27" s="51"/>
      <c r="P27" s="51"/>
      <c r="Q27" s="342"/>
      <c r="R27" s="342"/>
      <c r="S27" s="342"/>
      <c r="T27" s="51"/>
      <c r="U27" s="51"/>
      <c r="V27" s="51"/>
      <c r="W27" s="51"/>
      <c r="X27" s="51"/>
      <c r="Y27" s="51"/>
      <c r="Z27" s="51"/>
    </row>
    <row r="28" spans="1:28" s="68" customFormat="1" ht="30" customHeight="1" x14ac:dyDescent="0.2">
      <c r="A28" s="51">
        <v>8</v>
      </c>
      <c r="B28" s="342"/>
      <c r="C28" s="342"/>
      <c r="D28" s="342"/>
      <c r="E28" s="342"/>
      <c r="F28" s="342"/>
      <c r="G28" s="342"/>
      <c r="H28" s="342"/>
      <c r="I28" s="342"/>
      <c r="J28" s="51"/>
      <c r="K28" s="51"/>
      <c r="L28" s="734"/>
      <c r="M28" s="51"/>
      <c r="N28" s="51"/>
      <c r="O28" s="51"/>
      <c r="P28" s="51"/>
      <c r="Q28" s="342"/>
      <c r="R28" s="342"/>
      <c r="S28" s="342"/>
      <c r="T28" s="51"/>
      <c r="U28" s="51"/>
      <c r="V28" s="51"/>
      <c r="W28" s="51"/>
      <c r="X28" s="51"/>
      <c r="Y28" s="51"/>
      <c r="Z28" s="51"/>
    </row>
    <row r="29" spans="1:28" s="68" customFormat="1" ht="30" customHeight="1" x14ac:dyDescent="0.2">
      <c r="A29" s="51">
        <v>9</v>
      </c>
      <c r="B29" s="342"/>
      <c r="C29" s="342"/>
      <c r="D29" s="342"/>
      <c r="E29" s="342"/>
      <c r="F29" s="342"/>
      <c r="G29" s="342"/>
      <c r="H29" s="342"/>
      <c r="I29" s="342"/>
      <c r="J29" s="51"/>
      <c r="K29" s="51"/>
      <c r="L29" s="794"/>
      <c r="M29" s="51"/>
      <c r="N29" s="51"/>
      <c r="O29" s="51"/>
      <c r="P29" s="51"/>
      <c r="Q29" s="342"/>
      <c r="R29" s="342"/>
      <c r="S29" s="342"/>
      <c r="T29" s="51"/>
      <c r="U29" s="51"/>
      <c r="V29" s="51"/>
      <c r="W29" s="51"/>
      <c r="X29" s="51"/>
      <c r="Y29" s="51"/>
      <c r="Z29" s="51"/>
    </row>
    <row r="30" spans="1:28" s="68" customFormat="1" ht="30" customHeight="1" x14ac:dyDescent="0.2">
      <c r="A30" s="51">
        <v>10</v>
      </c>
      <c r="B30" s="342"/>
      <c r="C30" s="342"/>
      <c r="D30" s="342"/>
      <c r="E30" s="342"/>
      <c r="F30" s="342"/>
      <c r="G30" s="342"/>
      <c r="H30" s="342"/>
      <c r="I30" s="342"/>
      <c r="J30" s="51"/>
      <c r="K30" s="51"/>
      <c r="L30" s="788"/>
      <c r="M30" s="51"/>
      <c r="N30" s="51"/>
      <c r="O30" s="51"/>
      <c r="P30" s="51"/>
      <c r="Q30" s="782"/>
      <c r="R30" s="342"/>
      <c r="S30" s="342"/>
      <c r="T30" s="51"/>
      <c r="U30" s="51"/>
      <c r="V30" s="51"/>
      <c r="W30" s="51"/>
      <c r="X30" s="51"/>
      <c r="Y30" s="51"/>
      <c r="Z30" s="51"/>
    </row>
    <row r="31" spans="1:28" s="68" customFormat="1" ht="30" customHeight="1" x14ac:dyDescent="0.2">
      <c r="A31" s="51">
        <v>11</v>
      </c>
      <c r="B31" s="342"/>
      <c r="C31" s="342"/>
      <c r="D31" s="342"/>
      <c r="E31" s="342"/>
      <c r="F31" s="342"/>
      <c r="G31" s="342"/>
      <c r="H31" s="342"/>
      <c r="I31" s="342"/>
      <c r="J31" s="51"/>
      <c r="K31" s="51"/>
      <c r="L31" s="788"/>
      <c r="M31" s="51"/>
      <c r="N31" s="51"/>
      <c r="O31" s="51"/>
      <c r="P31" s="51"/>
      <c r="Q31" s="51"/>
      <c r="R31" s="342"/>
      <c r="S31" s="342"/>
      <c r="T31" s="51"/>
      <c r="U31" s="51"/>
      <c r="V31" s="51"/>
      <c r="W31" s="51"/>
      <c r="X31" s="51"/>
      <c r="Y31" s="51"/>
      <c r="Z31" s="51"/>
    </row>
    <row r="32" spans="1:28" s="68" customFormat="1" ht="30" customHeight="1" x14ac:dyDescent="0.2">
      <c r="A32" s="51">
        <v>12</v>
      </c>
      <c r="B32" s="785"/>
      <c r="C32" s="785"/>
      <c r="D32" s="785"/>
      <c r="E32" s="785"/>
      <c r="F32" s="785"/>
      <c r="G32" s="785"/>
      <c r="H32" s="785"/>
      <c r="I32" s="785"/>
      <c r="J32" s="51"/>
      <c r="K32" s="51"/>
      <c r="L32" s="788"/>
      <c r="M32" s="51"/>
      <c r="N32" s="51"/>
      <c r="O32" s="51"/>
      <c r="P32" s="51"/>
      <c r="Q32" s="51"/>
      <c r="R32" s="342"/>
      <c r="S32" s="342"/>
      <c r="T32" s="51"/>
      <c r="U32" s="51"/>
      <c r="V32" s="51"/>
      <c r="W32" s="51"/>
      <c r="X32" s="51"/>
      <c r="Y32" s="51"/>
      <c r="Z32" s="51"/>
    </row>
    <row r="33" spans="1:27" s="68" customFormat="1" ht="30" customHeight="1" x14ac:dyDescent="0.2">
      <c r="A33" s="799" t="s">
        <v>33</v>
      </c>
      <c r="B33" s="795">
        <f>SUM(B21:B32)</f>
        <v>1702641.6900000002</v>
      </c>
      <c r="C33" s="786">
        <f t="shared" ref="C33:Z33" si="3">SUM(C21:C32)</f>
        <v>7357.02</v>
      </c>
      <c r="D33" s="795">
        <f t="shared" si="3"/>
        <v>5003816</v>
      </c>
      <c r="E33" s="795">
        <f t="shared" si="3"/>
        <v>519541</v>
      </c>
      <c r="F33" s="795">
        <f t="shared" si="3"/>
        <v>34457</v>
      </c>
      <c r="G33" s="795">
        <f t="shared" si="3"/>
        <v>1062373.1199999999</v>
      </c>
      <c r="H33" s="786">
        <f t="shared" si="3"/>
        <v>5328</v>
      </c>
      <c r="I33" s="795">
        <f t="shared" si="3"/>
        <v>3439724</v>
      </c>
      <c r="J33" s="795">
        <f t="shared" si="3"/>
        <v>309127</v>
      </c>
      <c r="K33" s="795">
        <f t="shared" si="3"/>
        <v>35288</v>
      </c>
      <c r="L33" s="795">
        <f t="shared" si="3"/>
        <v>514773.5</v>
      </c>
      <c r="M33" s="786">
        <f t="shared" si="3"/>
        <v>1851</v>
      </c>
      <c r="N33" s="1516">
        <f t="shared" si="3"/>
        <v>1158501</v>
      </c>
      <c r="O33" s="795">
        <f t="shared" si="3"/>
        <v>149956</v>
      </c>
      <c r="P33" s="795">
        <f t="shared" si="3"/>
        <v>2115</v>
      </c>
      <c r="Q33" s="795">
        <f t="shared" si="3"/>
        <v>116559</v>
      </c>
      <c r="R33" s="786">
        <f t="shared" si="3"/>
        <v>712.8</v>
      </c>
      <c r="S33" s="795">
        <f t="shared" si="3"/>
        <v>224692</v>
      </c>
      <c r="T33" s="786">
        <f t="shared" si="3"/>
        <v>39187</v>
      </c>
      <c r="U33" s="786">
        <f t="shared" si="3"/>
        <v>0</v>
      </c>
      <c r="V33" s="786">
        <f t="shared" si="3"/>
        <v>0</v>
      </c>
      <c r="W33" s="786">
        <f t="shared" si="3"/>
        <v>0</v>
      </c>
      <c r="X33" s="786">
        <f t="shared" si="3"/>
        <v>0</v>
      </c>
      <c r="Y33" s="786">
        <f t="shared" si="3"/>
        <v>0</v>
      </c>
      <c r="Z33" s="786">
        <f t="shared" si="3"/>
        <v>0</v>
      </c>
    </row>
    <row r="34" spans="1:27" s="68" customFormat="1" ht="30" customHeight="1" x14ac:dyDescent="0.2">
      <c r="A34" s="800" t="s">
        <v>458</v>
      </c>
      <c r="B34" s="3022">
        <f>SUM(B33:C33)</f>
        <v>1709998.7100000002</v>
      </c>
      <c r="C34" s="3023"/>
      <c r="D34" s="342"/>
      <c r="E34" s="342"/>
      <c r="F34" s="342"/>
      <c r="G34" s="3024">
        <f>SUM(G33:H33)</f>
        <v>1067701.1199999999</v>
      </c>
      <c r="H34" s="3025"/>
      <c r="I34" s="342"/>
      <c r="J34" s="51"/>
      <c r="K34" s="51"/>
      <c r="L34" s="3024">
        <f>SUM(L33:M33)</f>
        <v>516624.5</v>
      </c>
      <c r="M34" s="3025"/>
      <c r="N34" s="51"/>
      <c r="O34" s="51"/>
      <c r="P34" s="51"/>
      <c r="Q34" s="3024">
        <f>SUM(Q33:R33)</f>
        <v>117271.8</v>
      </c>
      <c r="R34" s="3025"/>
      <c r="S34" s="342"/>
      <c r="T34" s="51"/>
      <c r="U34" s="51"/>
      <c r="V34" s="3013">
        <f>SUM(V33:W33)</f>
        <v>0</v>
      </c>
      <c r="W34" s="3014"/>
      <c r="X34" s="51"/>
      <c r="Y34" s="51"/>
      <c r="Z34" s="51"/>
    </row>
    <row r="35" spans="1:27" s="68" customFormat="1" ht="30" customHeight="1" x14ac:dyDescent="0.2">
      <c r="A35" s="783"/>
      <c r="B35" s="342"/>
      <c r="C35" s="342"/>
      <c r="D35" s="342"/>
      <c r="E35" s="342"/>
      <c r="F35" s="342"/>
      <c r="G35" s="342"/>
      <c r="H35" s="342"/>
      <c r="I35" s="342"/>
      <c r="J35" s="51"/>
      <c r="K35" s="51"/>
      <c r="L35" s="788"/>
      <c r="M35" s="51"/>
      <c r="N35" s="51"/>
      <c r="O35" s="51"/>
      <c r="P35" s="51"/>
      <c r="Q35" s="342"/>
      <c r="R35" s="342"/>
      <c r="S35" s="342"/>
      <c r="T35" s="51"/>
      <c r="U35" s="51"/>
      <c r="V35" s="51"/>
      <c r="W35" s="51"/>
      <c r="X35" s="51"/>
      <c r="Y35" s="51"/>
      <c r="Z35" s="51"/>
    </row>
    <row r="36" spans="1:27" s="68" customFormat="1" ht="30" customHeight="1" x14ac:dyDescent="0.2">
      <c r="Q36" s="781"/>
      <c r="R36" s="781"/>
      <c r="S36" s="781"/>
    </row>
    <row r="37" spans="1:27" s="68" customFormat="1" ht="30" customHeight="1" x14ac:dyDescent="0.2">
      <c r="A37" s="3021" t="s">
        <v>537</v>
      </c>
      <c r="B37" s="3021"/>
      <c r="C37" s="3021"/>
      <c r="D37" s="3021"/>
      <c r="E37" s="3021"/>
      <c r="F37" s="3021"/>
      <c r="G37" s="3021"/>
      <c r="H37" s="3021"/>
      <c r="I37" s="3021"/>
      <c r="J37" s="3021"/>
      <c r="K37" s="3021"/>
      <c r="L37" s="3021"/>
      <c r="M37" s="3021"/>
      <c r="N37" s="3021"/>
      <c r="O37" s="3021"/>
      <c r="P37" s="3021"/>
      <c r="Q37" s="3021"/>
      <c r="R37" s="3021"/>
      <c r="S37" s="3021"/>
      <c r="T37" s="3021"/>
      <c r="U37" s="3021"/>
    </row>
    <row r="38" spans="1:27" s="68" customFormat="1" ht="30" customHeight="1" x14ac:dyDescent="0.2">
      <c r="A38" s="3021" t="s">
        <v>538</v>
      </c>
      <c r="B38" s="3021"/>
      <c r="C38" s="3021"/>
      <c r="D38" s="3021"/>
      <c r="E38" s="3021"/>
      <c r="F38" s="3021"/>
      <c r="G38" s="3021"/>
      <c r="H38" s="3021"/>
      <c r="I38" s="3021"/>
      <c r="J38" s="3021"/>
      <c r="K38" s="3021"/>
      <c r="L38" s="3021"/>
      <c r="M38" s="3021"/>
      <c r="N38" s="3021"/>
      <c r="O38" s="3021"/>
      <c r="P38" s="3021"/>
      <c r="Q38" s="3021"/>
      <c r="R38" s="3021"/>
      <c r="S38" s="3021"/>
      <c r="T38" s="3021"/>
      <c r="U38" s="3021"/>
    </row>
    <row r="39" spans="1:27" s="68" customFormat="1" ht="30" customHeight="1" x14ac:dyDescent="0.2">
      <c r="Q39" s="790"/>
      <c r="R39" s="781"/>
      <c r="S39" s="781"/>
    </row>
    <row r="40" spans="1:27" s="68" customFormat="1" ht="30" customHeight="1" x14ac:dyDescent="0.2">
      <c r="Q40" s="790"/>
      <c r="R40" s="781"/>
      <c r="S40" s="781"/>
    </row>
    <row r="41" spans="1:27" s="68" customFormat="1" ht="30" customHeight="1" x14ac:dyDescent="0.2">
      <c r="P41" s="790"/>
      <c r="Q41" s="790"/>
      <c r="R41" s="781"/>
      <c r="S41" s="781"/>
    </row>
    <row r="42" spans="1:27" s="68" customFormat="1" ht="30" customHeight="1" x14ac:dyDescent="0.2">
      <c r="P42" s="792"/>
      <c r="Q42" s="793"/>
      <c r="S42" s="781"/>
    </row>
    <row r="43" spans="1:27" s="68" customFormat="1" ht="30" customHeight="1" x14ac:dyDescent="0.2">
      <c r="S43" s="781"/>
      <c r="T43" s="781"/>
      <c r="U43" s="781"/>
      <c r="V43" s="781"/>
      <c r="W43" s="781"/>
      <c r="X43" s="781"/>
      <c r="Y43" s="781"/>
      <c r="Z43" s="781"/>
      <c r="AA43" s="781"/>
    </row>
    <row r="44" spans="1:27" s="68" customFormat="1" ht="30" customHeight="1" x14ac:dyDescent="0.2">
      <c r="S44" s="781"/>
      <c r="T44" s="781"/>
      <c r="U44" s="781"/>
      <c r="V44" s="781"/>
      <c r="W44" s="781"/>
      <c r="X44" s="781"/>
      <c r="Y44" s="781"/>
      <c r="Z44" s="781"/>
      <c r="AA44" s="781"/>
    </row>
    <row r="45" spans="1:27" s="68" customFormat="1" ht="30" customHeight="1" x14ac:dyDescent="0.2">
      <c r="S45" s="781"/>
      <c r="T45" s="781"/>
      <c r="U45" s="781"/>
      <c r="V45" s="781"/>
      <c r="W45" s="781"/>
      <c r="X45" s="781"/>
      <c r="Y45" s="781"/>
      <c r="Z45" s="781"/>
      <c r="AA45" s="781"/>
    </row>
    <row r="46" spans="1:27" s="68" customFormat="1" ht="30" customHeight="1" x14ac:dyDescent="0.2">
      <c r="Q46" s="781"/>
      <c r="S46" s="781"/>
      <c r="T46" s="781"/>
      <c r="U46" s="781"/>
      <c r="V46" s="781"/>
      <c r="W46" s="781"/>
      <c r="X46" s="781"/>
      <c r="Y46" s="781"/>
      <c r="Z46" s="781"/>
      <c r="AA46" s="781"/>
    </row>
    <row r="47" spans="1:27" s="68" customFormat="1" ht="30" customHeight="1" x14ac:dyDescent="0.2">
      <c r="Q47" s="781"/>
      <c r="S47" s="781"/>
      <c r="T47" s="781"/>
      <c r="U47" s="781"/>
      <c r="V47" s="781"/>
      <c r="W47" s="781"/>
      <c r="X47" s="781"/>
      <c r="Y47" s="781"/>
      <c r="Z47" s="781"/>
      <c r="AA47" s="781"/>
    </row>
    <row r="48" spans="1:27" s="68" customFormat="1" ht="30" customHeight="1" x14ac:dyDescent="0.2">
      <c r="Q48" s="781"/>
      <c r="S48" s="781"/>
      <c r="T48" s="781"/>
      <c r="U48" s="781"/>
      <c r="V48" s="781"/>
      <c r="W48" s="781"/>
      <c r="X48" s="781"/>
      <c r="Y48" s="781"/>
      <c r="Z48" s="781"/>
      <c r="AA48" s="781"/>
    </row>
    <row r="49" spans="17:27" s="68" customFormat="1" ht="30" customHeight="1" x14ac:dyDescent="0.2">
      <c r="Q49" s="781"/>
      <c r="S49" s="781"/>
      <c r="T49" s="781"/>
      <c r="U49" s="781"/>
      <c r="V49" s="781"/>
      <c r="W49" s="781"/>
      <c r="X49" s="781"/>
      <c r="Y49" s="781"/>
      <c r="Z49" s="781"/>
      <c r="AA49" s="781"/>
    </row>
    <row r="50" spans="17:27" s="68" customFormat="1" ht="30" customHeight="1" x14ac:dyDescent="0.2">
      <c r="Q50" s="781"/>
      <c r="S50" s="781"/>
      <c r="T50" s="781"/>
      <c r="U50" s="781"/>
      <c r="V50" s="781"/>
      <c r="W50" s="781"/>
      <c r="X50" s="781"/>
      <c r="Y50" s="781"/>
      <c r="Z50" s="781"/>
      <c r="AA50" s="781"/>
    </row>
    <row r="51" spans="17:27" s="68" customFormat="1" ht="30" customHeight="1" x14ac:dyDescent="0.2">
      <c r="Q51" s="781"/>
      <c r="S51" s="781"/>
      <c r="T51" s="781"/>
      <c r="U51" s="781"/>
      <c r="V51" s="781"/>
      <c r="W51" s="781"/>
      <c r="X51" s="781"/>
      <c r="Y51" s="781"/>
      <c r="Z51" s="781"/>
      <c r="AA51" s="781"/>
    </row>
    <row r="52" spans="17:27" s="68" customFormat="1" ht="30" customHeight="1" x14ac:dyDescent="0.2">
      <c r="Q52" s="781"/>
      <c r="S52" s="781"/>
      <c r="T52" s="781"/>
      <c r="U52" s="781"/>
      <c r="V52" s="781"/>
      <c r="W52" s="781"/>
      <c r="X52" s="781"/>
      <c r="Y52" s="781"/>
      <c r="Z52" s="781"/>
      <c r="AA52" s="781"/>
    </row>
    <row r="53" spans="17:27" s="68" customFormat="1" ht="30" customHeight="1" x14ac:dyDescent="0.2">
      <c r="Q53" s="781"/>
      <c r="S53" s="781"/>
      <c r="T53" s="781"/>
      <c r="U53" s="781"/>
      <c r="V53" s="781"/>
      <c r="W53" s="781"/>
      <c r="X53" s="781"/>
      <c r="Y53" s="781"/>
      <c r="Z53" s="781"/>
      <c r="AA53" s="781"/>
    </row>
    <row r="54" spans="17:27" s="68" customFormat="1" ht="30" customHeight="1" x14ac:dyDescent="0.2">
      <c r="Q54" s="781"/>
      <c r="S54" s="781"/>
      <c r="T54" s="781"/>
      <c r="U54" s="781"/>
      <c r="V54" s="781"/>
      <c r="W54" s="781"/>
      <c r="X54" s="781"/>
      <c r="Y54" s="781"/>
      <c r="Z54" s="781"/>
      <c r="AA54" s="781"/>
    </row>
    <row r="55" spans="17:27" s="68" customFormat="1" ht="30" customHeight="1" x14ac:dyDescent="0.2">
      <c r="Q55" s="781"/>
      <c r="S55" s="781"/>
      <c r="T55" s="781"/>
      <c r="U55" s="781"/>
      <c r="V55" s="781"/>
      <c r="W55" s="781"/>
      <c r="X55" s="781"/>
      <c r="Y55" s="781"/>
      <c r="Z55" s="781"/>
      <c r="AA55" s="781"/>
    </row>
    <row r="56" spans="17:27" s="68" customFormat="1" ht="30" customHeight="1" x14ac:dyDescent="0.2">
      <c r="Q56" s="781"/>
      <c r="S56" s="781"/>
      <c r="T56" s="781"/>
      <c r="U56" s="781"/>
      <c r="V56" s="781"/>
      <c r="W56" s="781"/>
      <c r="X56" s="781"/>
      <c r="Y56" s="781"/>
      <c r="Z56" s="781"/>
      <c r="AA56" s="781"/>
    </row>
    <row r="57" spans="17:27" s="68" customFormat="1" ht="30" customHeight="1" x14ac:dyDescent="0.2">
      <c r="Q57" s="781"/>
      <c r="S57" s="781"/>
      <c r="T57" s="781"/>
      <c r="U57" s="781"/>
      <c r="V57" s="781"/>
      <c r="W57" s="781"/>
      <c r="X57" s="781"/>
      <c r="Y57" s="781"/>
      <c r="Z57" s="781"/>
      <c r="AA57" s="781"/>
    </row>
    <row r="58" spans="17:27" s="68" customFormat="1" ht="30" customHeight="1" x14ac:dyDescent="0.2">
      <c r="Q58" s="781"/>
      <c r="S58" s="781"/>
      <c r="T58" s="781"/>
      <c r="U58" s="781"/>
      <c r="V58" s="781"/>
      <c r="W58" s="781"/>
      <c r="X58" s="781"/>
      <c r="Y58" s="781"/>
      <c r="Z58" s="781"/>
      <c r="AA58" s="781"/>
    </row>
    <row r="59" spans="17:27" s="68" customFormat="1" ht="30" customHeight="1" x14ac:dyDescent="0.2">
      <c r="S59" s="781"/>
      <c r="T59" s="781"/>
      <c r="U59" s="781"/>
      <c r="V59" s="781"/>
      <c r="W59" s="781"/>
      <c r="X59" s="781"/>
      <c r="Y59" s="781"/>
      <c r="Z59" s="781"/>
      <c r="AA59" s="781"/>
    </row>
    <row r="60" spans="17:27" s="68" customFormat="1" ht="30" customHeight="1" x14ac:dyDescent="0.2">
      <c r="S60" s="781"/>
      <c r="T60" s="781"/>
      <c r="U60" s="781"/>
      <c r="V60" s="781"/>
      <c r="W60" s="781"/>
      <c r="X60" s="781"/>
      <c r="Y60" s="781"/>
      <c r="Z60" s="781"/>
      <c r="AA60" s="781"/>
    </row>
    <row r="61" spans="17:27" s="68" customFormat="1" ht="30" customHeight="1" x14ac:dyDescent="0.2">
      <c r="S61" s="781"/>
      <c r="T61" s="781"/>
      <c r="U61" s="781"/>
      <c r="V61" s="781"/>
      <c r="W61" s="781"/>
      <c r="X61" s="781"/>
      <c r="Y61" s="781"/>
      <c r="Z61" s="781"/>
      <c r="AA61" s="781"/>
    </row>
    <row r="62" spans="17:27" s="68" customFormat="1" ht="30" customHeight="1" x14ac:dyDescent="0.2">
      <c r="S62" s="781"/>
      <c r="T62" s="781"/>
      <c r="U62" s="781"/>
      <c r="V62" s="781"/>
      <c r="W62" s="781"/>
      <c r="X62" s="781"/>
      <c r="Y62" s="781"/>
      <c r="Z62" s="781"/>
      <c r="AA62" s="781"/>
    </row>
    <row r="63" spans="17:27" s="68" customFormat="1" ht="30" customHeight="1" x14ac:dyDescent="0.2">
      <c r="S63" s="781"/>
      <c r="T63" s="781"/>
      <c r="U63" s="781"/>
      <c r="V63" s="781"/>
      <c r="W63" s="781"/>
      <c r="X63" s="781"/>
      <c r="Y63" s="781"/>
      <c r="Z63" s="781"/>
      <c r="AA63" s="781"/>
    </row>
    <row r="64" spans="17:27" s="68" customFormat="1" ht="30" customHeight="1" x14ac:dyDescent="0.2">
      <c r="S64" s="781"/>
      <c r="T64" s="781"/>
      <c r="U64" s="781"/>
      <c r="V64" s="781"/>
      <c r="W64" s="781"/>
      <c r="X64" s="781"/>
      <c r="Y64" s="781"/>
      <c r="Z64" s="781"/>
      <c r="AA64" s="781"/>
    </row>
    <row r="65" spans="19:27" s="68" customFormat="1" ht="30" customHeight="1" x14ac:dyDescent="0.2">
      <c r="S65" s="781"/>
      <c r="T65" s="781"/>
      <c r="U65" s="781"/>
      <c r="V65" s="781"/>
      <c r="W65" s="781"/>
      <c r="X65" s="781"/>
      <c r="Y65" s="781"/>
      <c r="Z65" s="781"/>
      <c r="AA65" s="781"/>
    </row>
    <row r="66" spans="19:27" s="68" customFormat="1" ht="30" customHeight="1" x14ac:dyDescent="0.2">
      <c r="S66" s="781"/>
      <c r="T66" s="781"/>
      <c r="U66" s="781"/>
      <c r="V66" s="781"/>
      <c r="W66" s="781"/>
      <c r="X66" s="781"/>
      <c r="Y66" s="781"/>
      <c r="Z66" s="781"/>
      <c r="AA66" s="781"/>
    </row>
    <row r="67" spans="19:27" s="68" customFormat="1" ht="30" customHeight="1" x14ac:dyDescent="0.2">
      <c r="S67" s="781"/>
      <c r="T67" s="781"/>
      <c r="U67" s="781"/>
      <c r="V67" s="781"/>
      <c r="W67" s="781"/>
      <c r="X67" s="781"/>
      <c r="Y67" s="781"/>
      <c r="Z67" s="781"/>
      <c r="AA67" s="781"/>
    </row>
    <row r="68" spans="19:27" s="68" customFormat="1" ht="30" customHeight="1" x14ac:dyDescent="0.2">
      <c r="S68" s="781"/>
      <c r="T68" s="781"/>
      <c r="U68" s="781"/>
      <c r="V68" s="781"/>
      <c r="W68" s="781"/>
      <c r="X68" s="781"/>
      <c r="Y68" s="781"/>
      <c r="Z68" s="781"/>
      <c r="AA68" s="781"/>
    </row>
    <row r="69" spans="19:27" s="68" customFormat="1" ht="30" customHeight="1" x14ac:dyDescent="0.2">
      <c r="S69" s="781"/>
      <c r="T69" s="781"/>
      <c r="U69" s="781"/>
      <c r="V69" s="781"/>
      <c r="W69" s="781"/>
      <c r="X69" s="781"/>
      <c r="Y69" s="781"/>
      <c r="Z69" s="781"/>
      <c r="AA69" s="781"/>
    </row>
    <row r="70" spans="19:27" s="68" customFormat="1" ht="30" customHeight="1" x14ac:dyDescent="0.2">
      <c r="S70" s="781"/>
      <c r="T70" s="781"/>
      <c r="U70" s="781"/>
      <c r="V70" s="781"/>
      <c r="W70" s="781"/>
      <c r="X70" s="781"/>
      <c r="Y70" s="781"/>
      <c r="Z70" s="781"/>
      <c r="AA70" s="781"/>
    </row>
    <row r="71" spans="19:27" s="68" customFormat="1" ht="30" customHeight="1" x14ac:dyDescent="0.2">
      <c r="S71" s="781"/>
      <c r="T71" s="781"/>
      <c r="U71" s="781"/>
      <c r="V71" s="781"/>
      <c r="W71" s="781"/>
      <c r="X71" s="781"/>
      <c r="Y71" s="781"/>
      <c r="Z71" s="781"/>
      <c r="AA71" s="781"/>
    </row>
    <row r="72" spans="19:27" s="68" customFormat="1" ht="30" customHeight="1" x14ac:dyDescent="0.2">
      <c r="S72" s="781"/>
      <c r="T72" s="781"/>
      <c r="U72" s="781"/>
      <c r="V72" s="781"/>
      <c r="W72" s="781"/>
      <c r="X72" s="781"/>
      <c r="Y72" s="781"/>
      <c r="Z72" s="781"/>
      <c r="AA72" s="781"/>
    </row>
    <row r="73" spans="19:27" s="68" customFormat="1" ht="30" customHeight="1" x14ac:dyDescent="0.2">
      <c r="S73" s="781"/>
      <c r="T73" s="781"/>
      <c r="U73" s="781"/>
      <c r="V73" s="781"/>
      <c r="W73" s="781"/>
      <c r="X73" s="781"/>
      <c r="Y73" s="781"/>
      <c r="Z73" s="781"/>
      <c r="AA73" s="781"/>
    </row>
    <row r="74" spans="19:27" s="68" customFormat="1" ht="30" customHeight="1" x14ac:dyDescent="0.2">
      <c r="S74" s="781"/>
      <c r="T74" s="781"/>
      <c r="U74" s="781"/>
      <c r="V74" s="781"/>
      <c r="W74" s="781"/>
      <c r="X74" s="781"/>
      <c r="Y74" s="781"/>
      <c r="Z74" s="781"/>
      <c r="AA74" s="781"/>
    </row>
    <row r="75" spans="19:27" s="68" customFormat="1" ht="30" customHeight="1" x14ac:dyDescent="0.2">
      <c r="S75" s="781"/>
      <c r="T75" s="781"/>
      <c r="U75" s="781"/>
      <c r="V75" s="781"/>
      <c r="W75" s="781"/>
      <c r="X75" s="781"/>
      <c r="Y75" s="781"/>
      <c r="Z75" s="781"/>
      <c r="AA75" s="781"/>
    </row>
    <row r="76" spans="19:27" s="68" customFormat="1" ht="30" customHeight="1" x14ac:dyDescent="0.2">
      <c r="S76" s="781"/>
      <c r="T76" s="781"/>
      <c r="U76" s="781"/>
      <c r="V76" s="781"/>
      <c r="W76" s="781"/>
      <c r="X76" s="781"/>
      <c r="Y76" s="781"/>
      <c r="Z76" s="781"/>
      <c r="AA76" s="781"/>
    </row>
    <row r="77" spans="19:27" s="68" customFormat="1" ht="30" customHeight="1" x14ac:dyDescent="0.2">
      <c r="S77" s="781"/>
      <c r="T77" s="781"/>
      <c r="U77" s="781"/>
      <c r="V77" s="781"/>
      <c r="W77" s="781"/>
      <c r="X77" s="781"/>
      <c r="Y77" s="781"/>
      <c r="Z77" s="781"/>
      <c r="AA77" s="781"/>
    </row>
    <row r="78" spans="19:27" s="68" customFormat="1" ht="29" customHeight="1" x14ac:dyDescent="0.2">
      <c r="S78" s="781"/>
      <c r="T78" s="781"/>
      <c r="U78" s="781"/>
      <c r="V78" s="781"/>
      <c r="W78" s="781"/>
      <c r="X78" s="781"/>
      <c r="Y78" s="781"/>
      <c r="Z78" s="781"/>
      <c r="AA78" s="781"/>
    </row>
    <row r="79" spans="19:27" s="68" customFormat="1" ht="29" customHeight="1" x14ac:dyDescent="0.2">
      <c r="S79" s="781"/>
      <c r="T79" s="781"/>
      <c r="U79" s="781"/>
      <c r="V79" s="781"/>
      <c r="W79" s="781"/>
      <c r="X79" s="781"/>
      <c r="Y79" s="781"/>
      <c r="Z79" s="781"/>
      <c r="AA79" s="781"/>
    </row>
    <row r="80" spans="19:27" s="68" customFormat="1" ht="29" customHeight="1" x14ac:dyDescent="0.2">
      <c r="S80" s="781"/>
      <c r="T80" s="781"/>
      <c r="U80" s="781"/>
      <c r="V80" s="781"/>
      <c r="W80" s="781"/>
      <c r="X80" s="781"/>
      <c r="Y80" s="781"/>
      <c r="Z80" s="781"/>
      <c r="AA80" s="781"/>
    </row>
    <row r="81" spans="19:27" s="68" customFormat="1" ht="29" customHeight="1" x14ac:dyDescent="0.2">
      <c r="S81" s="781"/>
      <c r="T81" s="781"/>
      <c r="U81" s="781"/>
      <c r="V81" s="781"/>
      <c r="W81" s="781"/>
      <c r="X81" s="781"/>
      <c r="Y81" s="781"/>
      <c r="Z81" s="781"/>
      <c r="AA81" s="781"/>
    </row>
    <row r="82" spans="19:27" s="68" customFormat="1" ht="29" customHeight="1" x14ac:dyDescent="0.2">
      <c r="S82" s="781"/>
      <c r="T82" s="781"/>
      <c r="U82" s="781"/>
      <c r="V82" s="781"/>
      <c r="W82" s="781"/>
      <c r="X82" s="781"/>
      <c r="Y82" s="781"/>
      <c r="Z82" s="781"/>
      <c r="AA82" s="781"/>
    </row>
    <row r="83" spans="19:27" s="68" customFormat="1" ht="29" customHeight="1" x14ac:dyDescent="0.2">
      <c r="S83" s="781"/>
      <c r="T83" s="781"/>
      <c r="U83" s="781"/>
      <c r="V83" s="781"/>
      <c r="W83" s="781"/>
      <c r="X83" s="781"/>
      <c r="Y83" s="781"/>
      <c r="Z83" s="781"/>
      <c r="AA83" s="781"/>
    </row>
    <row r="84" spans="19:27" s="68" customFormat="1" ht="29" customHeight="1" x14ac:dyDescent="0.2">
      <c r="S84" s="781"/>
      <c r="T84" s="781"/>
      <c r="U84" s="781"/>
      <c r="V84" s="781"/>
      <c r="W84" s="781"/>
      <c r="X84" s="781"/>
      <c r="Y84" s="781"/>
      <c r="Z84" s="781"/>
      <c r="AA84" s="781"/>
    </row>
    <row r="85" spans="19:27" s="68" customFormat="1" ht="29" customHeight="1" x14ac:dyDescent="0.2">
      <c r="S85" s="781"/>
      <c r="T85" s="781"/>
      <c r="U85" s="781"/>
      <c r="V85" s="781"/>
      <c r="W85" s="781"/>
      <c r="X85" s="781"/>
      <c r="Y85" s="781"/>
      <c r="Z85" s="781"/>
      <c r="AA85" s="781"/>
    </row>
    <row r="86" spans="19:27" s="68" customFormat="1" ht="29" customHeight="1" x14ac:dyDescent="0.2">
      <c r="S86" s="781"/>
      <c r="T86" s="781"/>
      <c r="U86" s="781"/>
      <c r="V86" s="781"/>
      <c r="W86" s="781"/>
      <c r="X86" s="781"/>
      <c r="Y86" s="781"/>
      <c r="Z86" s="781"/>
      <c r="AA86" s="781"/>
    </row>
    <row r="87" spans="19:27" s="68" customFormat="1" ht="29" customHeight="1" x14ac:dyDescent="0.2">
      <c r="S87" s="781"/>
      <c r="T87" s="781"/>
      <c r="U87" s="781"/>
      <c r="V87" s="781"/>
      <c r="W87" s="781"/>
      <c r="X87" s="781"/>
      <c r="Y87" s="781"/>
      <c r="Z87" s="781"/>
      <c r="AA87" s="781"/>
    </row>
    <row r="88" spans="19:27" ht="29" customHeight="1" x14ac:dyDescent="0.15"/>
    <row r="89" spans="19:27" ht="29" customHeight="1" x14ac:dyDescent="0.15"/>
    <row r="90" spans="19:27" ht="29" customHeight="1" x14ac:dyDescent="0.15"/>
    <row r="91" spans="19:27" ht="29" customHeight="1" x14ac:dyDescent="0.15"/>
    <row r="92" spans="19:27" ht="29" customHeight="1" x14ac:dyDescent="0.15"/>
    <row r="93" spans="19:27" ht="29" customHeight="1" x14ac:dyDescent="0.15"/>
    <row r="94" spans="19:27" ht="29" customHeight="1" x14ac:dyDescent="0.15"/>
    <row r="95" spans="19:27" ht="29" customHeight="1" x14ac:dyDescent="0.15"/>
  </sheetData>
  <mergeCells count="39">
    <mergeCell ref="A1:N1"/>
    <mergeCell ref="A2:N2"/>
    <mergeCell ref="A3:N3"/>
    <mergeCell ref="S3:S4"/>
    <mergeCell ref="T3:U3"/>
    <mergeCell ref="A12:B12"/>
    <mergeCell ref="K12:N12"/>
    <mergeCell ref="Y3:Z3"/>
    <mergeCell ref="AA3:AB3"/>
    <mergeCell ref="A4:N4"/>
    <mergeCell ref="P4:R4"/>
    <mergeCell ref="A5:A6"/>
    <mergeCell ref="B5:B6"/>
    <mergeCell ref="F5:G5"/>
    <mergeCell ref="K5:N6"/>
    <mergeCell ref="V3:W3"/>
    <mergeCell ref="K7:N7"/>
    <mergeCell ref="K8:N8"/>
    <mergeCell ref="K9:N9"/>
    <mergeCell ref="K10:N10"/>
    <mergeCell ref="K11:N11"/>
    <mergeCell ref="V19:Z19"/>
    <mergeCell ref="B34:C34"/>
    <mergeCell ref="G34:H34"/>
    <mergeCell ref="L34:M34"/>
    <mergeCell ref="Q34:R34"/>
    <mergeCell ref="V34:W34"/>
    <mergeCell ref="B19:F19"/>
    <mergeCell ref="G19:K19"/>
    <mergeCell ref="L19:P19"/>
    <mergeCell ref="A37:U37"/>
    <mergeCell ref="A38:U38"/>
    <mergeCell ref="A13:B13"/>
    <mergeCell ref="K13:N13"/>
    <mergeCell ref="Q19:U19"/>
    <mergeCell ref="I15:M15"/>
    <mergeCell ref="E16:F16"/>
    <mergeCell ref="I16:M16"/>
    <mergeCell ref="A19:A20"/>
  </mergeCells>
  <pageMargins left="0.2" right="0.2" top="0.25" bottom="0.25" header="0.3" footer="0.3"/>
  <pageSetup paperSize="9" orientation="landscape" horizontalDpi="0" verticalDpi="0"/>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A93C3-1E4E-415B-8DF5-0FFAED9B6A27}">
  <sheetPr codeName="Sheet19"/>
  <dimension ref="A1:V454"/>
  <sheetViews>
    <sheetView topLeftCell="A356" zoomScale="150" zoomScaleNormal="150" workbookViewId="0">
      <selection activeCell="U3" sqref="U3"/>
    </sheetView>
  </sheetViews>
  <sheetFormatPr baseColWidth="10" defaultColWidth="8.6640625" defaultRowHeight="14" x14ac:dyDescent="0.2"/>
  <cols>
    <col min="1" max="1" width="4.33203125" style="4" customWidth="1"/>
    <col min="2" max="2" width="6.5" style="4" customWidth="1"/>
    <col min="3" max="3" width="10" style="4" customWidth="1"/>
    <col min="4" max="4" width="8.6640625" style="4" customWidth="1"/>
    <col min="5" max="5" width="9.1640625" style="93" customWidth="1"/>
    <col min="6" max="6" width="11.33203125" style="93" customWidth="1"/>
    <col min="7" max="7" width="11.33203125" style="4" customWidth="1"/>
    <col min="8" max="8" width="11.33203125" style="395" customWidth="1"/>
    <col min="9" max="9" width="11.33203125" style="452" customWidth="1"/>
    <col min="10" max="10" width="8" style="356" customWidth="1"/>
    <col min="11" max="11" width="8.33203125" style="356" customWidth="1"/>
    <col min="12" max="13" width="8.33203125" style="4" customWidth="1"/>
    <col min="14" max="14" width="8.33203125" style="272" customWidth="1"/>
    <col min="15" max="15" width="11.1640625" style="4" customWidth="1"/>
    <col min="16" max="16" width="15" style="4" customWidth="1"/>
    <col min="17" max="17" width="17.83203125" style="4" bestFit="1" customWidth="1"/>
    <col min="18" max="20" width="8.6640625" style="4"/>
    <col min="21" max="21" width="9" style="4" bestFit="1" customWidth="1"/>
    <col min="22" max="16384" width="8.6640625" style="4"/>
  </cols>
  <sheetData>
    <row r="1" spans="1:21" s="1" customFormat="1" ht="21" customHeight="1" thickBot="1" x14ac:dyDescent="0.25">
      <c r="A1" s="2995" t="s">
        <v>0</v>
      </c>
      <c r="B1" s="2996"/>
      <c r="C1" s="2996"/>
      <c r="D1" s="2996"/>
      <c r="E1" s="2996"/>
      <c r="F1" s="2996"/>
      <c r="G1" s="2996"/>
      <c r="H1" s="2996"/>
      <c r="I1" s="2996"/>
      <c r="J1" s="2996"/>
      <c r="K1" s="2996"/>
      <c r="L1" s="2996"/>
      <c r="M1" s="2996"/>
      <c r="N1" s="2997"/>
    </row>
    <row r="2" spans="1:21" s="1" customFormat="1" ht="21" customHeight="1" thickBot="1" x14ac:dyDescent="0.25">
      <c r="A2" s="2998" t="s">
        <v>1</v>
      </c>
      <c r="B2" s="2532"/>
      <c r="C2" s="2532"/>
      <c r="D2" s="2532"/>
      <c r="E2" s="2532"/>
      <c r="F2" s="2532"/>
      <c r="G2" s="2532"/>
      <c r="H2" s="2532"/>
      <c r="I2" s="2532"/>
      <c r="J2" s="2532"/>
      <c r="K2" s="2532"/>
      <c r="L2" s="2532"/>
      <c r="M2" s="2532"/>
      <c r="N2" s="2999"/>
      <c r="T2" s="1896" t="s">
        <v>1010</v>
      </c>
      <c r="U2" s="1897">
        <v>12</v>
      </c>
    </row>
    <row r="3" spans="1:21" s="1" customFormat="1" ht="21" customHeight="1" thickBot="1" x14ac:dyDescent="0.25">
      <c r="A3" s="3000" t="s">
        <v>2</v>
      </c>
      <c r="B3" s="3001"/>
      <c r="C3" s="3001"/>
      <c r="D3" s="3001"/>
      <c r="E3" s="3001"/>
      <c r="F3" s="3001"/>
      <c r="G3" s="3001"/>
      <c r="H3" s="3001"/>
      <c r="I3" s="3001"/>
      <c r="J3" s="3001"/>
      <c r="K3" s="3001"/>
      <c r="L3" s="3001"/>
      <c r="M3" s="3001"/>
      <c r="N3" s="3002"/>
    </row>
    <row r="4" spans="1:21" ht="25" customHeight="1" x14ac:dyDescent="0.2">
      <c r="A4" s="3126" t="s">
        <v>1239</v>
      </c>
      <c r="B4" s="3126"/>
      <c r="C4" s="3126"/>
      <c r="D4" s="3126"/>
      <c r="E4" s="3126"/>
      <c r="F4" s="3126"/>
      <c r="G4" s="3126"/>
      <c r="H4" s="3126"/>
      <c r="I4" s="3126"/>
      <c r="J4" s="3126"/>
      <c r="K4" s="3126"/>
      <c r="L4" s="3126"/>
      <c r="M4" s="3126"/>
      <c r="N4" s="3126"/>
    </row>
    <row r="5" spans="1:21" s="1" customFormat="1" ht="23" customHeight="1" x14ac:dyDescent="0.2">
      <c r="A5" s="2475" t="s">
        <v>507</v>
      </c>
      <c r="B5" s="2475"/>
      <c r="C5" s="2475"/>
      <c r="D5" s="2475"/>
      <c r="E5" s="2475"/>
      <c r="F5" s="2475"/>
      <c r="G5" s="2475"/>
      <c r="H5" s="2475"/>
      <c r="I5" s="2475"/>
      <c r="J5" s="2475"/>
      <c r="K5" s="2475"/>
      <c r="L5" s="2475"/>
      <c r="M5" s="2475"/>
      <c r="N5" s="2475"/>
    </row>
    <row r="6" spans="1:21" s="71" customFormat="1" ht="33" customHeight="1" x14ac:dyDescent="0.2">
      <c r="A6" s="3127" t="s">
        <v>34</v>
      </c>
      <c r="B6" s="3129" t="s">
        <v>6</v>
      </c>
      <c r="C6" s="3129" t="s">
        <v>16</v>
      </c>
      <c r="D6" s="3129" t="s">
        <v>17</v>
      </c>
      <c r="E6" s="3129" t="s">
        <v>864</v>
      </c>
      <c r="F6" s="3131" t="s">
        <v>8</v>
      </c>
      <c r="G6" s="3132"/>
      <c r="H6" s="3133"/>
      <c r="I6" s="3134" t="s">
        <v>9</v>
      </c>
      <c r="J6" s="3129" t="s">
        <v>10</v>
      </c>
      <c r="K6" s="2068" t="s">
        <v>11</v>
      </c>
      <c r="L6" s="2068" t="s">
        <v>12</v>
      </c>
      <c r="M6" s="2068" t="s">
        <v>13</v>
      </c>
      <c r="N6" s="2068" t="s">
        <v>14</v>
      </c>
      <c r="O6" s="2068" t="s">
        <v>15</v>
      </c>
    </row>
    <row r="7" spans="1:21" s="71" customFormat="1" ht="25" customHeight="1" x14ac:dyDescent="0.2">
      <c r="A7" s="3128"/>
      <c r="B7" s="3130"/>
      <c r="C7" s="3130"/>
      <c r="D7" s="3130"/>
      <c r="E7" s="3130"/>
      <c r="F7" s="2069" t="s">
        <v>18</v>
      </c>
      <c r="G7" s="2069" t="s">
        <v>19</v>
      </c>
      <c r="H7" s="2068" t="s">
        <v>20</v>
      </c>
      <c r="I7" s="3135"/>
      <c r="J7" s="3130"/>
      <c r="K7" s="2068" t="s">
        <v>21</v>
      </c>
      <c r="L7" s="3131" t="s">
        <v>22</v>
      </c>
      <c r="M7" s="3132"/>
      <c r="N7" s="3133"/>
      <c r="O7" s="2068" t="s">
        <v>23</v>
      </c>
      <c r="U7" s="1109"/>
    </row>
    <row r="8" spans="1:21" s="71" customFormat="1" ht="25" hidden="1" customHeight="1" x14ac:dyDescent="0.2">
      <c r="A8" s="1581"/>
      <c r="B8" s="1591" t="s">
        <v>6</v>
      </c>
      <c r="C8" s="1559" t="s">
        <v>16</v>
      </c>
      <c r="D8" s="8" t="s">
        <v>17</v>
      </c>
      <c r="E8" s="1546" t="s">
        <v>864</v>
      </c>
      <c r="F8" s="10" t="s">
        <v>18</v>
      </c>
      <c r="G8" s="10" t="s">
        <v>19</v>
      </c>
      <c r="H8" s="8" t="s">
        <v>20</v>
      </c>
      <c r="I8" s="1523" t="s">
        <v>9</v>
      </c>
      <c r="J8" s="1546" t="s">
        <v>10</v>
      </c>
      <c r="K8" s="8" t="s">
        <v>11</v>
      </c>
      <c r="L8" s="8" t="s">
        <v>12</v>
      </c>
      <c r="M8" s="8" t="s">
        <v>13</v>
      </c>
      <c r="N8" s="8" t="s">
        <v>14</v>
      </c>
      <c r="O8" s="8" t="s">
        <v>15</v>
      </c>
      <c r="U8" s="1109"/>
    </row>
    <row r="9" spans="1:21" s="1" customFormat="1" ht="23" customHeight="1" x14ac:dyDescent="0.2">
      <c r="A9" s="1898" t="s">
        <v>5</v>
      </c>
      <c r="B9" s="1901" t="s">
        <v>115</v>
      </c>
      <c r="C9" s="2074" t="s">
        <v>883</v>
      </c>
      <c r="D9" s="2104" t="s">
        <v>21</v>
      </c>
      <c r="E9" s="2072">
        <f>SUMIFS(
  INDEX('Data tổng hợp I'!$G$2:$Q$1858,0,MATCH(E$8,'Data tổng hợp I'!$G$2:$Q$2,0)),
  'Data tổng hợp I'!$B$2:$B$1858,'Form mẫu'!$U$2,
  'Data tổng hợp I'!$C$2:$C$1858,'Form mẫu'!$A9,
  'Data tổng hợp I'!$D$2:$D$1858,'Form mẫu'!$B9,
  'Data tổng hợp I'!$E$2:$E$1858,'Form mẫu'!$C9,
  'Data tổng hợp I'!$F$2:$F$1858,'Form mẫu'!$D9
)</f>
        <v>0</v>
      </c>
      <c r="F9" s="2072">
        <f>SUMIFS(
  INDEX('Data tổng hợp I'!$G$2:$Q$1858,0,MATCH(F$8,'Data tổng hợp I'!$G$2:$Q$2,0)),
  'Data tổng hợp I'!$B$2:$B$1858,'Form mẫu'!$U$2,
  'Data tổng hợp I'!$C$2:$C$1858,'Form mẫu'!$A9,
  'Data tổng hợp I'!$D$2:$D$1858,'Form mẫu'!$B9,
  'Data tổng hợp I'!$E$2:$E$1858,'Form mẫu'!$C9,
  'Data tổng hợp I'!$F$2:$F$1858,'Form mẫu'!$D9
)</f>
        <v>0</v>
      </c>
      <c r="G9" s="2072">
        <f>SUMIFS(
  INDEX('Data tổng hợp I'!$G$2:$Q$1858,0,MATCH(G$8,'Data tổng hợp I'!$G$2:$Q$2,0)),
  'Data tổng hợp I'!$B$2:$B$1858,'Form mẫu'!$U$2,
  'Data tổng hợp I'!$C$2:$C$1858,'Form mẫu'!$A9,
  'Data tổng hợp I'!$D$2:$D$1858,'Form mẫu'!$B9,
  'Data tổng hợp I'!$E$2:$E$1858,'Form mẫu'!$C9,
  'Data tổng hợp I'!$F$2:$F$1858,'Form mẫu'!$D9
)</f>
        <v>0</v>
      </c>
      <c r="H9" s="2072">
        <f>SUMIFS(
  INDEX('Data tổng hợp I'!$G$2:$Q$1858,0,MATCH(H$8,'Data tổng hợp I'!$G$2:$Q$2,0)),
  'Data tổng hợp I'!$B$2:$B$1858,'Form mẫu'!$U$2,
  'Data tổng hợp I'!$C$2:$C$1858,'Form mẫu'!$A9,
  'Data tổng hợp I'!$D$2:$D$1858,'Form mẫu'!$B9,
  'Data tổng hợp I'!$E$2:$E$1858,'Form mẫu'!$C9,
  'Data tổng hợp I'!$F$2:$F$1858,'Form mẫu'!$D9
)</f>
        <v>0</v>
      </c>
      <c r="I9" s="2072">
        <f>SUMIFS(
  INDEX('Data tổng hợp I'!$G$2:$Q$1858,0,MATCH(I$8,'Data tổng hợp I'!$G$2:$Q$2,0)),
  'Data tổng hợp I'!$B$2:$B$1858,'Form mẫu'!$U$2,
  'Data tổng hợp I'!$C$2:$C$1858,'Form mẫu'!$A9,
  'Data tổng hợp I'!$D$2:$D$1858,'Form mẫu'!$B9,
  'Data tổng hợp I'!$E$2:$E$1858,'Form mẫu'!$C9,
  'Data tổng hợp I'!$F$2:$F$1858,'Form mẫu'!$D9
)</f>
        <v>0</v>
      </c>
      <c r="J9" s="2072">
        <f>SUMIFS(
  INDEX('Data tổng hợp I'!$G$2:$Q$1858,0,MATCH(J$8,'Data tổng hợp I'!$G$2:$Q$2,0)),
  'Data tổng hợp I'!$B$2:$B$1858,'Form mẫu'!$U$2,
  'Data tổng hợp I'!$C$2:$C$1858,'Form mẫu'!$A9,
  'Data tổng hợp I'!$D$2:$D$1858,'Form mẫu'!$B9,
  'Data tổng hợp I'!$E$2:$E$1858,'Form mẫu'!$C9,
  'Data tổng hợp I'!$F$2:$F$1858,'Form mẫu'!$D9
)</f>
        <v>0</v>
      </c>
      <c r="K9" s="2072">
        <f>SUMIFS(
  INDEX('Data tổng hợp I'!$G$2:$Q$1858,0,MATCH(K$8,'Data tổng hợp I'!$G$2:$Q$2,0)),
  'Data tổng hợp I'!$B$2:$B$1858,'Form mẫu'!$U$2,
  'Data tổng hợp I'!$C$2:$C$1858,'Form mẫu'!$A9,
  'Data tổng hợp I'!$D$2:$D$1858,'Form mẫu'!$B9,
  'Data tổng hợp I'!$E$2:$E$1858,'Form mẫu'!$C9,
  'Data tổng hợp I'!$F$2:$F$1858,'Form mẫu'!$D9
)</f>
        <v>0</v>
      </c>
      <c r="L9" s="2072">
        <f>SUMIFS(
  INDEX('Data tổng hợp I'!$G$2:$Q$1858,0,MATCH(L$8,'Data tổng hợp I'!$G$2:$Q$2,0)),
  'Data tổng hợp I'!$B$2:$B$1858,'Form mẫu'!$U$2,
  'Data tổng hợp I'!$C$2:$C$1858,'Form mẫu'!$A9,
  'Data tổng hợp I'!$D$2:$D$1858,'Form mẫu'!$B9,
  'Data tổng hợp I'!$E$2:$E$1858,'Form mẫu'!$C9,
  'Data tổng hợp I'!$F$2:$F$1858,'Form mẫu'!$D9
)</f>
        <v>0</v>
      </c>
      <c r="M9" s="2072">
        <f>SUMIFS(
  INDEX('Data tổng hợp I'!$G$2:$Q$1858,0,MATCH(M$8,'Data tổng hợp I'!$G$2:$Q$2,0)),
  'Data tổng hợp I'!$B$2:$B$1858,'Form mẫu'!$U$2,
  'Data tổng hợp I'!$C$2:$C$1858,'Form mẫu'!$A9,
  'Data tổng hợp I'!$D$2:$D$1858,'Form mẫu'!$B9,
  'Data tổng hợp I'!$E$2:$E$1858,'Form mẫu'!$C9,
  'Data tổng hợp I'!$F$2:$F$1858,'Form mẫu'!$D9
)</f>
        <v>0</v>
      </c>
      <c r="N9" s="2072">
        <f>SUMIFS(
  INDEX('Data tổng hợp I'!$G$2:$Q$1858,0,MATCH(N$8,'Data tổng hợp I'!$G$2:$Q$2,0)),
  'Data tổng hợp I'!$B$2:$B$1858,'Form mẫu'!$U$2,
  'Data tổng hợp I'!$C$2:$C$1858,'Form mẫu'!$A9,
  'Data tổng hợp I'!$D$2:$D$1858,'Form mẫu'!$B9,
  'Data tổng hợp I'!$E$2:$E$1858,'Form mẫu'!$C9,
  'Data tổng hợp I'!$F$2:$F$1858,'Form mẫu'!$D9
)</f>
        <v>0</v>
      </c>
      <c r="O9" s="2072">
        <f>SUMIFS(
  INDEX('Data tổng hợp I'!$G$2:$Q$1858,0,MATCH(O$8,'Data tổng hợp I'!$G$2:$Q$2,0)),
  'Data tổng hợp I'!$B$2:$B$1858,'Form mẫu'!$U$2,
  'Data tổng hợp I'!$C$2:$C$1858,'Form mẫu'!$A9,
  'Data tổng hợp I'!$D$2:$D$1858,'Form mẫu'!$B9,
  'Data tổng hợp I'!$E$2:$E$1858,'Form mẫu'!$C9,
  'Data tổng hợp I'!$F$2:$F$1858,'Form mẫu'!$D9
)</f>
        <v>0</v>
      </c>
      <c r="U9" s="1109"/>
    </row>
    <row r="10" spans="1:21" s="1" customFormat="1" ht="23" customHeight="1" x14ac:dyDescent="0.2">
      <c r="A10" s="1899" t="s">
        <v>5</v>
      </c>
      <c r="B10" s="1902" t="s">
        <v>115</v>
      </c>
      <c r="C10" s="2070" t="s">
        <v>883</v>
      </c>
      <c r="D10" s="2071" t="s">
        <v>22</v>
      </c>
      <c r="E10" s="2072">
        <f>SUMIFS(
  INDEX('Data tổng hợp I'!$G$2:$Q$1858,0,MATCH(E$8,'Data tổng hợp I'!$G$2:$Q$2,0)),
  'Data tổng hợp I'!$B$2:$B$1858,'Form mẫu'!$U$2,
  'Data tổng hợp I'!$C$2:$C$1858,'Form mẫu'!$A10,
  'Data tổng hợp I'!$D$2:$D$1858,'Form mẫu'!$B10,
  'Data tổng hợp I'!$E$2:$E$1858,'Form mẫu'!$C10,
  'Data tổng hợp I'!$F$2:$F$1858,'Form mẫu'!$D10
)</f>
        <v>0</v>
      </c>
      <c r="F10" s="2073">
        <f>SUMIFS(
  INDEX('Data tổng hợp I'!$G$2:$Q$1858,0,MATCH(F$8,'Data tổng hợp I'!$G$2:$Q$2,0)),
  'Data tổng hợp I'!$B$2:$B$1858,'Form mẫu'!$U$2,
  'Data tổng hợp I'!$C$2:$C$1858,'Form mẫu'!$A10,
  'Data tổng hợp I'!$D$2:$D$1858,'Form mẫu'!$B10,
  'Data tổng hợp I'!$E$2:$E$1858,'Form mẫu'!$C10,
  'Data tổng hợp I'!$F$2:$F$1858,'Form mẫu'!$D10
)</f>
        <v>0</v>
      </c>
      <c r="G10" s="2073">
        <f>SUMIFS(
  INDEX('Data tổng hợp I'!$G$2:$Q$1858,0,MATCH(G$8,'Data tổng hợp I'!$G$2:$Q$2,0)),
  'Data tổng hợp I'!$B$2:$B$1858,'Form mẫu'!$U$2,
  'Data tổng hợp I'!$C$2:$C$1858,'Form mẫu'!$A10,
  'Data tổng hợp I'!$D$2:$D$1858,'Form mẫu'!$B10,
  'Data tổng hợp I'!$E$2:$E$1858,'Form mẫu'!$C10,
  'Data tổng hợp I'!$F$2:$F$1858,'Form mẫu'!$D10
)</f>
        <v>0</v>
      </c>
      <c r="H10" s="2073">
        <f>SUMIFS(
  INDEX('Data tổng hợp I'!$G$2:$Q$1858,0,MATCH(H$8,'Data tổng hợp I'!$G$2:$Q$2,0)),
  'Data tổng hợp I'!$B$2:$B$1858,'Form mẫu'!$U$2,
  'Data tổng hợp I'!$C$2:$C$1858,'Form mẫu'!$A10,
  'Data tổng hợp I'!$D$2:$D$1858,'Form mẫu'!$B10,
  'Data tổng hợp I'!$E$2:$E$1858,'Form mẫu'!$C10,
  'Data tổng hợp I'!$F$2:$F$1858,'Form mẫu'!$D10
)</f>
        <v>0</v>
      </c>
      <c r="I10" s="2073">
        <f>SUMIFS(
  INDEX('Data tổng hợp I'!$G$2:$Q$1858,0,MATCH(I$8,'Data tổng hợp I'!$G$2:$Q$2,0)),
  'Data tổng hợp I'!$B$2:$B$1858,'Form mẫu'!$U$2,
  'Data tổng hợp I'!$C$2:$C$1858,'Form mẫu'!$A10,
  'Data tổng hợp I'!$D$2:$D$1858,'Form mẫu'!$B10,
  'Data tổng hợp I'!$E$2:$E$1858,'Form mẫu'!$C10,
  'Data tổng hợp I'!$F$2:$F$1858,'Form mẫu'!$D10
)</f>
        <v>0</v>
      </c>
      <c r="J10" s="2072">
        <f>SUMIFS(
  INDEX('Data tổng hợp I'!$G$2:$Q$1858,0,MATCH(J$8,'Data tổng hợp I'!$G$2:$Q$2,0)),
  'Data tổng hợp I'!$B$2:$B$1858,'Form mẫu'!$U$2,
  'Data tổng hợp I'!$C$2:$C$1858,'Form mẫu'!$A10,
  'Data tổng hợp I'!$D$2:$D$1858,'Form mẫu'!$B10,
  'Data tổng hợp I'!$E$2:$E$1858,'Form mẫu'!$C10,
  'Data tổng hợp I'!$F$2:$F$1858,'Form mẫu'!$D10
)</f>
        <v>0</v>
      </c>
      <c r="K10" s="2072">
        <f>SUMIFS(
  INDEX('Data tổng hợp I'!$G$2:$Q$1858,0,MATCH(K$8,'Data tổng hợp I'!$G$2:$Q$2,0)),
  'Data tổng hợp I'!$B$2:$B$1858,'Form mẫu'!$U$2,
  'Data tổng hợp I'!$C$2:$C$1858,'Form mẫu'!$A10,
  'Data tổng hợp I'!$D$2:$D$1858,'Form mẫu'!$B10,
  'Data tổng hợp I'!$E$2:$E$1858,'Form mẫu'!$C10,
  'Data tổng hợp I'!$F$2:$F$1858,'Form mẫu'!$D10
)</f>
        <v>0</v>
      </c>
      <c r="L10" s="2073">
        <f>SUMIFS(
  INDEX('Data tổng hợp I'!$G$2:$Q$1858,0,MATCH(L$8,'Data tổng hợp I'!$G$2:$Q$2,0)),
  'Data tổng hợp I'!$B$2:$B$1858,'Form mẫu'!$U$2,
  'Data tổng hợp I'!$C$2:$C$1858,'Form mẫu'!$A10,
  'Data tổng hợp I'!$D$2:$D$1858,'Form mẫu'!$B10,
  'Data tổng hợp I'!$E$2:$E$1858,'Form mẫu'!$C10,
  'Data tổng hợp I'!$F$2:$F$1858,'Form mẫu'!$D10
)</f>
        <v>0</v>
      </c>
      <c r="M10" s="2073">
        <f>SUMIFS(
  INDEX('Data tổng hợp I'!$G$2:$Q$1858,0,MATCH(M$8,'Data tổng hợp I'!$G$2:$Q$2,0)),
  'Data tổng hợp I'!$B$2:$B$1858,'Form mẫu'!$U$2,
  'Data tổng hợp I'!$C$2:$C$1858,'Form mẫu'!$A10,
  'Data tổng hợp I'!$D$2:$D$1858,'Form mẫu'!$B10,
  'Data tổng hợp I'!$E$2:$E$1858,'Form mẫu'!$C10,
  'Data tổng hợp I'!$F$2:$F$1858,'Form mẫu'!$D10
)</f>
        <v>0</v>
      </c>
      <c r="N10" s="2072">
        <f>SUMIFS(
  INDEX('Data tổng hợp I'!$G$2:$Q$1858,0,MATCH(N$8,'Data tổng hợp I'!$G$2:$Q$2,0)),
  'Data tổng hợp I'!$B$2:$B$1858,'Form mẫu'!$U$2,
  'Data tổng hợp I'!$C$2:$C$1858,'Form mẫu'!$A10,
  'Data tổng hợp I'!$D$2:$D$1858,'Form mẫu'!$B10,
  'Data tổng hợp I'!$E$2:$E$1858,'Form mẫu'!$C10,
  'Data tổng hợp I'!$F$2:$F$1858,'Form mẫu'!$D10
)</f>
        <v>0</v>
      </c>
      <c r="O10" s="2072">
        <f>SUMIFS(
  INDEX('Data tổng hợp I'!$G$2:$Q$1858,0,MATCH(O$8,'Data tổng hợp I'!$G$2:$Q$2,0)),
  'Data tổng hợp I'!$B$2:$B$1858,'Form mẫu'!$U$2,
  'Data tổng hợp I'!$C$2:$C$1858,'Form mẫu'!$A10,
  'Data tổng hợp I'!$D$2:$D$1858,'Form mẫu'!$B10,
  'Data tổng hợp I'!$E$2:$E$1858,'Form mẫu'!$C10,
  'Data tổng hợp I'!$F$2:$F$1858,'Form mẫu'!$D10
)</f>
        <v>0</v>
      </c>
      <c r="U10" s="1109"/>
    </row>
    <row r="11" spans="1:21" s="1" customFormat="1" ht="23" customHeight="1" x14ac:dyDescent="0.2">
      <c r="A11" s="1900" t="s">
        <v>5</v>
      </c>
      <c r="B11" s="1903" t="s">
        <v>115</v>
      </c>
      <c r="C11" s="2074" t="s">
        <v>1013</v>
      </c>
      <c r="D11" s="2075" t="s">
        <v>21</v>
      </c>
      <c r="E11" s="2072">
        <f>SUMIFS(
  INDEX('Data tổng hợp I'!$G$2:$Q$1858,0,MATCH(E$8,'Data tổng hợp I'!$G$2:$Q$2,0)),
  'Data tổng hợp I'!$B$2:$B$1858,'Form mẫu'!$U$2,
  'Data tổng hợp I'!$C$2:$C$1858,'Form mẫu'!$A11,
  'Data tổng hợp I'!$D$2:$D$1858,'Form mẫu'!$B11,
  'Data tổng hợp I'!$E$2:$E$1858,'Form mẫu'!$C11,
  'Data tổng hợp I'!$F$2:$F$1858,'Form mẫu'!$D11
)</f>
        <v>0</v>
      </c>
      <c r="F11" s="2072">
        <f>SUMIFS(
  INDEX('Data tổng hợp I'!$G$2:$Q$1858,0,MATCH(F$8,'Data tổng hợp I'!$G$2:$Q$2,0)),
  'Data tổng hợp I'!$B$2:$B$1858,'Form mẫu'!$U$2,
  'Data tổng hợp I'!$C$2:$C$1858,'Form mẫu'!$A11,
  'Data tổng hợp I'!$D$2:$D$1858,'Form mẫu'!$B11,
  'Data tổng hợp I'!$E$2:$E$1858,'Form mẫu'!$C11,
  'Data tổng hợp I'!$F$2:$F$1858,'Form mẫu'!$D11
)</f>
        <v>0</v>
      </c>
      <c r="G11" s="2072">
        <f>SUMIFS(
  INDEX('Data tổng hợp I'!$G$2:$Q$1858,0,MATCH(G$8,'Data tổng hợp I'!$G$2:$Q$2,0)),
  'Data tổng hợp I'!$B$2:$B$1858,'Form mẫu'!$U$2,
  'Data tổng hợp I'!$C$2:$C$1858,'Form mẫu'!$A11,
  'Data tổng hợp I'!$D$2:$D$1858,'Form mẫu'!$B11,
  'Data tổng hợp I'!$E$2:$E$1858,'Form mẫu'!$C11,
  'Data tổng hợp I'!$F$2:$F$1858,'Form mẫu'!$D11
)</f>
        <v>0</v>
      </c>
      <c r="H11" s="2072">
        <f>SUMIFS(
  INDEX('Data tổng hợp I'!$G$2:$Q$1858,0,MATCH(H$8,'Data tổng hợp I'!$G$2:$Q$2,0)),
  'Data tổng hợp I'!$B$2:$B$1858,'Form mẫu'!$U$2,
  'Data tổng hợp I'!$C$2:$C$1858,'Form mẫu'!$A11,
  'Data tổng hợp I'!$D$2:$D$1858,'Form mẫu'!$B11,
  'Data tổng hợp I'!$E$2:$E$1858,'Form mẫu'!$C11,
  'Data tổng hợp I'!$F$2:$F$1858,'Form mẫu'!$D11
)</f>
        <v>0</v>
      </c>
      <c r="I11" s="2073">
        <f>SUMIFS(
  INDEX('Data tổng hợp I'!$G$2:$Q$1858,0,MATCH(I$8,'Data tổng hợp I'!$G$2:$Q$2,0)),
  'Data tổng hợp I'!$B$2:$B$1858,'Form mẫu'!$U$2,
  'Data tổng hợp I'!$C$2:$C$1858,'Form mẫu'!$A11,
  'Data tổng hợp I'!$D$2:$D$1858,'Form mẫu'!$B11,
  'Data tổng hợp I'!$E$2:$E$1858,'Form mẫu'!$C11,
  'Data tổng hợp I'!$F$2:$F$1858,'Form mẫu'!$D11
)</f>
        <v>0</v>
      </c>
      <c r="J11" s="2072">
        <f>SUMIFS(
  INDEX('Data tổng hợp I'!$G$2:$Q$1858,0,MATCH(J$8,'Data tổng hợp I'!$G$2:$Q$2,0)),
  'Data tổng hợp I'!$B$2:$B$1858,'Form mẫu'!$U$2,
  'Data tổng hợp I'!$C$2:$C$1858,'Form mẫu'!$A11,
  'Data tổng hợp I'!$D$2:$D$1858,'Form mẫu'!$B11,
  'Data tổng hợp I'!$E$2:$E$1858,'Form mẫu'!$C11,
  'Data tổng hợp I'!$F$2:$F$1858,'Form mẫu'!$D11
)</f>
        <v>0</v>
      </c>
      <c r="K11" s="2072">
        <f>SUMIFS(
  INDEX('Data tổng hợp I'!$G$2:$Q$1858,0,MATCH(K$8,'Data tổng hợp I'!$G$2:$Q$2,0)),
  'Data tổng hợp I'!$B$2:$B$1858,'Form mẫu'!$U$2,
  'Data tổng hợp I'!$C$2:$C$1858,'Form mẫu'!$A11,
  'Data tổng hợp I'!$D$2:$D$1858,'Form mẫu'!$B11,
  'Data tổng hợp I'!$E$2:$E$1858,'Form mẫu'!$C11,
  'Data tổng hợp I'!$F$2:$F$1858,'Form mẫu'!$D11
)</f>
        <v>0</v>
      </c>
      <c r="L11" s="2072">
        <f>SUMIFS(
  INDEX('Data tổng hợp I'!$G$2:$Q$1858,0,MATCH(L$8,'Data tổng hợp I'!$G$2:$Q$2,0)),
  'Data tổng hợp I'!$B$2:$B$1858,'Form mẫu'!$U$2,
  'Data tổng hợp I'!$C$2:$C$1858,'Form mẫu'!$A11,
  'Data tổng hợp I'!$D$2:$D$1858,'Form mẫu'!$B11,
  'Data tổng hợp I'!$E$2:$E$1858,'Form mẫu'!$C11,
  'Data tổng hợp I'!$F$2:$F$1858,'Form mẫu'!$D11
)</f>
        <v>0</v>
      </c>
      <c r="M11" s="2072">
        <f>SUMIFS(
  INDEX('Data tổng hợp I'!$G$2:$Q$1858,0,MATCH(M$8,'Data tổng hợp I'!$G$2:$Q$2,0)),
  'Data tổng hợp I'!$B$2:$B$1858,'Form mẫu'!$U$2,
  'Data tổng hợp I'!$C$2:$C$1858,'Form mẫu'!$A11,
  'Data tổng hợp I'!$D$2:$D$1858,'Form mẫu'!$B11,
  'Data tổng hợp I'!$E$2:$E$1858,'Form mẫu'!$C11,
  'Data tổng hợp I'!$F$2:$F$1858,'Form mẫu'!$D11
)</f>
        <v>0</v>
      </c>
      <c r="N11" s="2072">
        <f>SUMIFS(
  INDEX('Data tổng hợp I'!$G$2:$Q$1858,0,MATCH(N$8,'Data tổng hợp I'!$G$2:$Q$2,0)),
  'Data tổng hợp I'!$B$2:$B$1858,'Form mẫu'!$U$2,
  'Data tổng hợp I'!$C$2:$C$1858,'Form mẫu'!$A11,
  'Data tổng hợp I'!$D$2:$D$1858,'Form mẫu'!$B11,
  'Data tổng hợp I'!$E$2:$E$1858,'Form mẫu'!$C11,
  'Data tổng hợp I'!$F$2:$F$1858,'Form mẫu'!$D11
)</f>
        <v>0</v>
      </c>
      <c r="O11" s="2072">
        <f>SUMIFS(
  INDEX('Data tổng hợp I'!$G$2:$Q$1858,0,MATCH(O$8,'Data tổng hợp I'!$G$2:$Q$2,0)),
  'Data tổng hợp I'!$B$2:$B$1858,'Form mẫu'!$U$2,
  'Data tổng hợp I'!$C$2:$C$1858,'Form mẫu'!$A11,
  'Data tổng hợp I'!$D$2:$D$1858,'Form mẫu'!$B11,
  'Data tổng hợp I'!$E$2:$E$1858,'Form mẫu'!$C11,
  'Data tổng hợp I'!$F$2:$F$1858,'Form mẫu'!$D11
)</f>
        <v>0</v>
      </c>
      <c r="U11" s="1109"/>
    </row>
    <row r="12" spans="1:21" s="1" customFormat="1" ht="23" customHeight="1" x14ac:dyDescent="0.2">
      <c r="A12" s="1899" t="s">
        <v>5</v>
      </c>
      <c r="B12" s="1902" t="s">
        <v>115</v>
      </c>
      <c r="C12" s="2070" t="s">
        <v>1013</v>
      </c>
      <c r="D12" s="2076" t="s">
        <v>22</v>
      </c>
      <c r="E12" s="2072">
        <f>SUMIFS(
  INDEX('Data tổng hợp I'!$G$2:$Q$1858,0,MATCH(E$8,'Data tổng hợp I'!$G$2:$Q$2,0)),
  'Data tổng hợp I'!$B$2:$B$1858,'Form mẫu'!$U$2,
  'Data tổng hợp I'!$C$2:$C$1858,'Form mẫu'!$A12,
  'Data tổng hợp I'!$D$2:$D$1858,'Form mẫu'!$B12,
  'Data tổng hợp I'!$E$2:$E$1858,'Form mẫu'!$C12,
  'Data tổng hợp I'!$F$2:$F$1858,'Form mẫu'!$D12
)</f>
        <v>0</v>
      </c>
      <c r="F12" s="2073">
        <f>SUMIFS(
  INDEX('Data tổng hợp I'!$G$2:$Q$1858,0,MATCH(F$8,'Data tổng hợp I'!$G$2:$Q$2,0)),
  'Data tổng hợp I'!$B$2:$B$1858,'Form mẫu'!$U$2,
  'Data tổng hợp I'!$C$2:$C$1858,'Form mẫu'!$A12,
  'Data tổng hợp I'!$D$2:$D$1858,'Form mẫu'!$B12,
  'Data tổng hợp I'!$E$2:$E$1858,'Form mẫu'!$C12,
  'Data tổng hợp I'!$F$2:$F$1858,'Form mẫu'!$D12
)</f>
        <v>0</v>
      </c>
      <c r="G12" s="2073">
        <f>SUMIFS(
  INDEX('Data tổng hợp I'!$G$2:$Q$1858,0,MATCH(G$8,'Data tổng hợp I'!$G$2:$Q$2,0)),
  'Data tổng hợp I'!$B$2:$B$1858,'Form mẫu'!$U$2,
  'Data tổng hợp I'!$C$2:$C$1858,'Form mẫu'!$A12,
  'Data tổng hợp I'!$D$2:$D$1858,'Form mẫu'!$B12,
  'Data tổng hợp I'!$E$2:$E$1858,'Form mẫu'!$C12,
  'Data tổng hợp I'!$F$2:$F$1858,'Form mẫu'!$D12
)</f>
        <v>0</v>
      </c>
      <c r="H12" s="2073">
        <f>SUMIFS(
  INDEX('Data tổng hợp I'!$G$2:$Q$1858,0,MATCH(H$8,'Data tổng hợp I'!$G$2:$Q$2,0)),
  'Data tổng hợp I'!$B$2:$B$1858,'Form mẫu'!$U$2,
  'Data tổng hợp I'!$C$2:$C$1858,'Form mẫu'!$A12,
  'Data tổng hợp I'!$D$2:$D$1858,'Form mẫu'!$B12,
  'Data tổng hợp I'!$E$2:$E$1858,'Form mẫu'!$C12,
  'Data tổng hợp I'!$F$2:$F$1858,'Form mẫu'!$D12
)</f>
        <v>0</v>
      </c>
      <c r="I12" s="2073">
        <f>SUMIFS(
  INDEX('Data tổng hợp I'!$G$2:$Q$1858,0,MATCH(I$8,'Data tổng hợp I'!$G$2:$Q$2,0)),
  'Data tổng hợp I'!$B$2:$B$1858,'Form mẫu'!$U$2,
  'Data tổng hợp I'!$C$2:$C$1858,'Form mẫu'!$A12,
  'Data tổng hợp I'!$D$2:$D$1858,'Form mẫu'!$B12,
  'Data tổng hợp I'!$E$2:$E$1858,'Form mẫu'!$C12,
  'Data tổng hợp I'!$F$2:$F$1858,'Form mẫu'!$D12
)</f>
        <v>0</v>
      </c>
      <c r="J12" s="2072">
        <f>SUMIFS(
  INDEX('Data tổng hợp I'!$G$2:$Q$1858,0,MATCH(J$8,'Data tổng hợp I'!$G$2:$Q$2,0)),
  'Data tổng hợp I'!$B$2:$B$1858,'Form mẫu'!$U$2,
  'Data tổng hợp I'!$C$2:$C$1858,'Form mẫu'!$A12,
  'Data tổng hợp I'!$D$2:$D$1858,'Form mẫu'!$B12,
  'Data tổng hợp I'!$E$2:$E$1858,'Form mẫu'!$C12,
  'Data tổng hợp I'!$F$2:$F$1858,'Form mẫu'!$D12
)</f>
        <v>0</v>
      </c>
      <c r="K12" s="2072">
        <f>SUMIFS(
  INDEX('Data tổng hợp I'!$G$2:$Q$1858,0,MATCH(K$8,'Data tổng hợp I'!$G$2:$Q$2,0)),
  'Data tổng hợp I'!$B$2:$B$1858,'Form mẫu'!$U$2,
  'Data tổng hợp I'!$C$2:$C$1858,'Form mẫu'!$A12,
  'Data tổng hợp I'!$D$2:$D$1858,'Form mẫu'!$B12,
  'Data tổng hợp I'!$E$2:$E$1858,'Form mẫu'!$C12,
  'Data tổng hợp I'!$F$2:$F$1858,'Form mẫu'!$D12
)</f>
        <v>0</v>
      </c>
      <c r="L12" s="2073">
        <f>SUMIFS(
  INDEX('Data tổng hợp I'!$G$2:$Q$1858,0,MATCH(L$8,'Data tổng hợp I'!$G$2:$Q$2,0)),
  'Data tổng hợp I'!$B$2:$B$1858,'Form mẫu'!$U$2,
  'Data tổng hợp I'!$C$2:$C$1858,'Form mẫu'!$A12,
  'Data tổng hợp I'!$D$2:$D$1858,'Form mẫu'!$B12,
  'Data tổng hợp I'!$E$2:$E$1858,'Form mẫu'!$C12,
  'Data tổng hợp I'!$F$2:$F$1858,'Form mẫu'!$D12
)</f>
        <v>0</v>
      </c>
      <c r="M12" s="2073">
        <f>SUMIFS(
  INDEX('Data tổng hợp I'!$G$2:$Q$1858,0,MATCH(M$8,'Data tổng hợp I'!$G$2:$Q$2,0)),
  'Data tổng hợp I'!$B$2:$B$1858,'Form mẫu'!$U$2,
  'Data tổng hợp I'!$C$2:$C$1858,'Form mẫu'!$A12,
  'Data tổng hợp I'!$D$2:$D$1858,'Form mẫu'!$B12,
  'Data tổng hợp I'!$E$2:$E$1858,'Form mẫu'!$C12,
  'Data tổng hợp I'!$F$2:$F$1858,'Form mẫu'!$D12
)</f>
        <v>0</v>
      </c>
      <c r="N12" s="2072">
        <f>SUMIFS(
  INDEX('Data tổng hợp I'!$G$2:$Q$1858,0,MATCH(N$8,'Data tổng hợp I'!$G$2:$Q$2,0)),
  'Data tổng hợp I'!$B$2:$B$1858,'Form mẫu'!$U$2,
  'Data tổng hợp I'!$C$2:$C$1858,'Form mẫu'!$A12,
  'Data tổng hợp I'!$D$2:$D$1858,'Form mẫu'!$B12,
  'Data tổng hợp I'!$E$2:$E$1858,'Form mẫu'!$C12,
  'Data tổng hợp I'!$F$2:$F$1858,'Form mẫu'!$D12
)</f>
        <v>0</v>
      </c>
      <c r="O12" s="2072">
        <f>SUMIFS(
  INDEX('Data tổng hợp I'!$G$2:$Q$1858,0,MATCH(O$8,'Data tổng hợp I'!$G$2:$Q$2,0)),
  'Data tổng hợp I'!$B$2:$B$1858,'Form mẫu'!$U$2,
  'Data tổng hợp I'!$C$2:$C$1858,'Form mẫu'!$A12,
  'Data tổng hợp I'!$D$2:$D$1858,'Form mẫu'!$B12,
  'Data tổng hợp I'!$E$2:$E$1858,'Form mẫu'!$C12,
  'Data tổng hợp I'!$F$2:$F$1858,'Form mẫu'!$D12
)</f>
        <v>0</v>
      </c>
      <c r="U12" s="1111"/>
    </row>
    <row r="13" spans="1:21" s="1" customFormat="1" ht="23" customHeight="1" x14ac:dyDescent="0.2">
      <c r="A13" s="1899" t="s">
        <v>5</v>
      </c>
      <c r="B13" s="1902" t="s">
        <v>115</v>
      </c>
      <c r="C13" s="3148" t="s">
        <v>83</v>
      </c>
      <c r="D13" s="2077" t="s">
        <v>21</v>
      </c>
      <c r="E13" s="2078">
        <f t="shared" ref="E13:K13" si="0">E11-E9</f>
        <v>0</v>
      </c>
      <c r="F13" s="2078">
        <f t="shared" si="0"/>
        <v>0</v>
      </c>
      <c r="G13" s="2078">
        <f t="shared" si="0"/>
        <v>0</v>
      </c>
      <c r="H13" s="2078">
        <f t="shared" si="0"/>
        <v>0</v>
      </c>
      <c r="I13" s="2078">
        <f t="shared" si="0"/>
        <v>0</v>
      </c>
      <c r="J13" s="2079">
        <f t="shared" si="0"/>
        <v>0</v>
      </c>
      <c r="K13" s="2078">
        <f t="shared" si="0"/>
        <v>0</v>
      </c>
      <c r="L13" s="2080"/>
      <c r="M13" s="2081"/>
      <c r="N13" s="2081"/>
      <c r="O13" s="2078"/>
    </row>
    <row r="14" spans="1:21" s="1" customFormat="1" ht="23" customHeight="1" x14ac:dyDescent="0.2">
      <c r="A14" s="1899" t="s">
        <v>5</v>
      </c>
      <c r="B14" s="2082" t="s">
        <v>115</v>
      </c>
      <c r="C14" s="3149"/>
      <c r="D14" s="2083" t="s">
        <v>22</v>
      </c>
      <c r="E14" s="2084"/>
      <c r="F14" s="2079">
        <f>F12-F10</f>
        <v>0</v>
      </c>
      <c r="G14" s="2079">
        <f>G12-G10</f>
        <v>0</v>
      </c>
      <c r="H14" s="2079">
        <f>H12-H10</f>
        <v>0</v>
      </c>
      <c r="I14" s="2084"/>
      <c r="J14" s="2085"/>
      <c r="K14" s="2085"/>
      <c r="L14" s="2086"/>
      <c r="M14" s="2087"/>
      <c r="N14" s="2087"/>
      <c r="O14" s="2088"/>
      <c r="U14" s="1111"/>
    </row>
    <row r="15" spans="1:21" s="273" customFormat="1" ht="25" customHeight="1" x14ac:dyDescent="0.2">
      <c r="A15" s="1901" t="s">
        <v>25</v>
      </c>
      <c r="B15" s="1902" t="s">
        <v>119</v>
      </c>
      <c r="C15" s="2074" t="s">
        <v>883</v>
      </c>
      <c r="D15" s="2089" t="s">
        <v>21</v>
      </c>
      <c r="E15" s="2072">
        <f>SUMIFS(
  INDEX('Data tổng hợp I'!$G$2:$Q$1858,0,MATCH(E$8,'Data tổng hợp I'!$G$2:$Q$2,0)),
  'Data tổng hợp I'!$B$2:$B$1858,'Form mẫu'!$U$2,
  'Data tổng hợp I'!$C$2:$C$1858,'Form mẫu'!$A15,
  'Data tổng hợp I'!$D$2:$D$1858,'Form mẫu'!$B15,
  'Data tổng hợp I'!$E$2:$E$1858,'Form mẫu'!$C15,
  'Data tổng hợp I'!$F$2:$F$1858,'Form mẫu'!$D15
)</f>
        <v>0</v>
      </c>
      <c r="F15" s="2072">
        <f>SUMIFS(
  INDEX('Data tổng hợp I'!$G$2:$Q$1858,0,MATCH(F$8,'Data tổng hợp I'!$G$2:$Q$2,0)),
  'Data tổng hợp I'!$B$2:$B$1858,'Form mẫu'!$U$2,
  'Data tổng hợp I'!$C$2:$C$1858,'Form mẫu'!$A15,
  'Data tổng hợp I'!$D$2:$D$1858,'Form mẫu'!$B15,
  'Data tổng hợp I'!$E$2:$E$1858,'Form mẫu'!$C15,
  'Data tổng hợp I'!$F$2:$F$1858,'Form mẫu'!$D15
)</f>
        <v>0</v>
      </c>
      <c r="G15" s="2072">
        <f>SUMIFS(
  INDEX('Data tổng hợp I'!$G$2:$Q$1858,0,MATCH(G$8,'Data tổng hợp I'!$G$2:$Q$2,0)),
  'Data tổng hợp I'!$B$2:$B$1858,'Form mẫu'!$U$2,
  'Data tổng hợp I'!$C$2:$C$1858,'Form mẫu'!$A15,
  'Data tổng hợp I'!$D$2:$D$1858,'Form mẫu'!$B15,
  'Data tổng hợp I'!$E$2:$E$1858,'Form mẫu'!$C15,
  'Data tổng hợp I'!$F$2:$F$1858,'Form mẫu'!$D15
)</f>
        <v>0</v>
      </c>
      <c r="H15" s="2072">
        <f>SUMIFS(
  INDEX('Data tổng hợp I'!$G$2:$Q$1858,0,MATCH(H$8,'Data tổng hợp I'!$G$2:$Q$2,0)),
  'Data tổng hợp I'!$B$2:$B$1858,'Form mẫu'!$U$2,
  'Data tổng hợp I'!$C$2:$C$1858,'Form mẫu'!$A15,
  'Data tổng hợp I'!$D$2:$D$1858,'Form mẫu'!$B15,
  'Data tổng hợp I'!$E$2:$E$1858,'Form mẫu'!$C15,
  'Data tổng hợp I'!$F$2:$F$1858,'Form mẫu'!$D15
)</f>
        <v>0</v>
      </c>
      <c r="I15" s="2072">
        <f>SUMIFS(
  INDEX('Data tổng hợp I'!$G$2:$Q$1858,0,MATCH(I$8,'Data tổng hợp I'!$G$2:$Q$2,0)),
  'Data tổng hợp I'!$B$2:$B$1858,'Form mẫu'!$U$2,
  'Data tổng hợp I'!$C$2:$C$1858,'Form mẫu'!$A15,
  'Data tổng hợp I'!$D$2:$D$1858,'Form mẫu'!$B15,
  'Data tổng hợp I'!$E$2:$E$1858,'Form mẫu'!$C15,
  'Data tổng hợp I'!$F$2:$F$1858,'Form mẫu'!$D15
)</f>
        <v>0</v>
      </c>
      <c r="J15" s="2072">
        <f>SUMIFS(
  INDEX('Data tổng hợp I'!$G$2:$Q$1858,0,MATCH(J$8,'Data tổng hợp I'!$G$2:$Q$2,0)),
  'Data tổng hợp I'!$B$2:$B$1858,'Form mẫu'!$U$2,
  'Data tổng hợp I'!$C$2:$C$1858,'Form mẫu'!$A15,
  'Data tổng hợp I'!$D$2:$D$1858,'Form mẫu'!$B15,
  'Data tổng hợp I'!$E$2:$E$1858,'Form mẫu'!$C15,
  'Data tổng hợp I'!$F$2:$F$1858,'Form mẫu'!$D15
)</f>
        <v>0</v>
      </c>
      <c r="K15" s="2072">
        <f>SUMIFS(
  INDEX('Data tổng hợp I'!$G$2:$Q$1858,0,MATCH(K$8,'Data tổng hợp I'!$G$2:$Q$2,0)),
  'Data tổng hợp I'!$B$2:$B$1858,'Form mẫu'!$U$2,
  'Data tổng hợp I'!$C$2:$C$1858,'Form mẫu'!$A15,
  'Data tổng hợp I'!$D$2:$D$1858,'Form mẫu'!$B15,
  'Data tổng hợp I'!$E$2:$E$1858,'Form mẫu'!$C15,
  'Data tổng hợp I'!$F$2:$F$1858,'Form mẫu'!$D15
)</f>
        <v>0</v>
      </c>
      <c r="L15" s="2072">
        <f>SUMIFS(
  INDEX('Data tổng hợp I'!$G$2:$Q$1858,0,MATCH(L$8,'Data tổng hợp I'!$G$2:$Q$2,0)),
  'Data tổng hợp I'!$B$2:$B$1858,'Form mẫu'!$U$2,
  'Data tổng hợp I'!$C$2:$C$1858,'Form mẫu'!$A15,
  'Data tổng hợp I'!$D$2:$D$1858,'Form mẫu'!$B15,
  'Data tổng hợp I'!$E$2:$E$1858,'Form mẫu'!$C15,
  'Data tổng hợp I'!$F$2:$F$1858,'Form mẫu'!$D15
)</f>
        <v>0</v>
      </c>
      <c r="M15" s="2072">
        <f>SUMIFS(
  INDEX('Data tổng hợp I'!$G$2:$Q$1858,0,MATCH(M$8,'Data tổng hợp I'!$G$2:$Q$2,0)),
  'Data tổng hợp I'!$B$2:$B$1858,'Form mẫu'!$U$2,
  'Data tổng hợp I'!$C$2:$C$1858,'Form mẫu'!$A15,
  'Data tổng hợp I'!$D$2:$D$1858,'Form mẫu'!$B15,
  'Data tổng hợp I'!$E$2:$E$1858,'Form mẫu'!$C15,
  'Data tổng hợp I'!$F$2:$F$1858,'Form mẫu'!$D15
)</f>
        <v>0</v>
      </c>
      <c r="N15" s="2072">
        <f>SUMIFS(
  INDEX('Data tổng hợp I'!$G$2:$Q$1858,0,MATCH(N$8,'Data tổng hợp I'!$G$2:$Q$2,0)),
  'Data tổng hợp I'!$B$2:$B$1858,'Form mẫu'!$U$2,
  'Data tổng hợp I'!$C$2:$C$1858,'Form mẫu'!$A15,
  'Data tổng hợp I'!$D$2:$D$1858,'Form mẫu'!$B15,
  'Data tổng hợp I'!$E$2:$E$1858,'Form mẫu'!$C15,
  'Data tổng hợp I'!$F$2:$F$1858,'Form mẫu'!$D15
)</f>
        <v>0</v>
      </c>
      <c r="O15" s="2072">
        <f>SUMIFS(
  INDEX('Data tổng hợp I'!$G$2:$Q$1858,0,MATCH(O$8,'Data tổng hợp I'!$G$2:$Q$2,0)),
  'Data tổng hợp I'!$B$2:$B$1858,'Form mẫu'!$U$2,
  'Data tổng hợp I'!$C$2:$C$1858,'Form mẫu'!$A15,
  'Data tổng hợp I'!$D$2:$D$1858,'Form mẫu'!$B15,
  'Data tổng hợp I'!$E$2:$E$1858,'Form mẫu'!$C15,
  'Data tổng hợp I'!$F$2:$F$1858,'Form mẫu'!$D15
)</f>
        <v>0</v>
      </c>
      <c r="P15" s="1"/>
      <c r="Q15" s="1"/>
      <c r="R15" s="1"/>
      <c r="S15" s="1"/>
      <c r="T15" s="1"/>
      <c r="U15" s="1110"/>
    </row>
    <row r="16" spans="1:21" s="1" customFormat="1" ht="25" customHeight="1" x14ac:dyDescent="0.2">
      <c r="A16" s="1902" t="s">
        <v>25</v>
      </c>
      <c r="B16" s="1902" t="s">
        <v>119</v>
      </c>
      <c r="C16" s="2070" t="s">
        <v>883</v>
      </c>
      <c r="D16" s="2089" t="s">
        <v>22</v>
      </c>
      <c r="E16" s="2072">
        <f>SUMIFS(
  INDEX('Data tổng hợp I'!$G$2:$Q$1858,0,MATCH(E$8,'Data tổng hợp I'!$G$2:$Q$2,0)),
  'Data tổng hợp I'!$B$2:$B$1858,'Form mẫu'!$U$2,
  'Data tổng hợp I'!$C$2:$C$1858,'Form mẫu'!$A16,
  'Data tổng hợp I'!$D$2:$D$1858,'Form mẫu'!$B16,
  'Data tổng hợp I'!$E$2:$E$1858,'Form mẫu'!$C16,
  'Data tổng hợp I'!$F$2:$F$1858,'Form mẫu'!$D16
)</f>
        <v>0</v>
      </c>
      <c r="F16" s="2073">
        <f>SUMIFS(
  INDEX('Data tổng hợp I'!$G$2:$Q$1858,0,MATCH(F$8,'Data tổng hợp I'!$G$2:$Q$2,0)),
  'Data tổng hợp I'!$B$2:$B$1858,'Form mẫu'!$U$2,
  'Data tổng hợp I'!$C$2:$C$1858,'Form mẫu'!$A16,
  'Data tổng hợp I'!$D$2:$D$1858,'Form mẫu'!$B16,
  'Data tổng hợp I'!$E$2:$E$1858,'Form mẫu'!$C16,
  'Data tổng hợp I'!$F$2:$F$1858,'Form mẫu'!$D16
)</f>
        <v>0</v>
      </c>
      <c r="G16" s="2073">
        <f>SUMIFS(
  INDEX('Data tổng hợp I'!$G$2:$Q$1858,0,MATCH(G$8,'Data tổng hợp I'!$G$2:$Q$2,0)),
  'Data tổng hợp I'!$B$2:$B$1858,'Form mẫu'!$U$2,
  'Data tổng hợp I'!$C$2:$C$1858,'Form mẫu'!$A16,
  'Data tổng hợp I'!$D$2:$D$1858,'Form mẫu'!$B16,
  'Data tổng hợp I'!$E$2:$E$1858,'Form mẫu'!$C16,
  'Data tổng hợp I'!$F$2:$F$1858,'Form mẫu'!$D16
)</f>
        <v>0</v>
      </c>
      <c r="H16" s="2073">
        <f>SUMIFS(
  INDEX('Data tổng hợp I'!$G$2:$Q$1858,0,MATCH(H$8,'Data tổng hợp I'!$G$2:$Q$2,0)),
  'Data tổng hợp I'!$B$2:$B$1858,'Form mẫu'!$U$2,
  'Data tổng hợp I'!$C$2:$C$1858,'Form mẫu'!$A16,
  'Data tổng hợp I'!$D$2:$D$1858,'Form mẫu'!$B16,
  'Data tổng hợp I'!$E$2:$E$1858,'Form mẫu'!$C16,
  'Data tổng hợp I'!$F$2:$F$1858,'Form mẫu'!$D16
)</f>
        <v>0</v>
      </c>
      <c r="I16" s="2073">
        <f>SUMIFS(
  INDEX('Data tổng hợp I'!$G$2:$Q$1858,0,MATCH(I$8,'Data tổng hợp I'!$G$2:$Q$2,0)),
  'Data tổng hợp I'!$B$2:$B$1858,'Form mẫu'!$U$2,
  'Data tổng hợp I'!$C$2:$C$1858,'Form mẫu'!$A16,
  'Data tổng hợp I'!$D$2:$D$1858,'Form mẫu'!$B16,
  'Data tổng hợp I'!$E$2:$E$1858,'Form mẫu'!$C16,
  'Data tổng hợp I'!$F$2:$F$1858,'Form mẫu'!$D16
)</f>
        <v>0</v>
      </c>
      <c r="J16" s="2073">
        <f>SUMIFS(
  INDEX('Data tổng hợp I'!$G$2:$Q$1858,0,MATCH(J$8,'Data tổng hợp I'!$G$2:$Q$2,0)),
  'Data tổng hợp I'!$B$2:$B$1858,'Form mẫu'!$U$2,
  'Data tổng hợp I'!$C$2:$C$1858,'Form mẫu'!$A16,
  'Data tổng hợp I'!$D$2:$D$1858,'Form mẫu'!$B16,
  'Data tổng hợp I'!$E$2:$E$1858,'Form mẫu'!$C16,
  'Data tổng hợp I'!$F$2:$F$1858,'Form mẫu'!$D16
)</f>
        <v>0</v>
      </c>
      <c r="K16" s="2073">
        <f>SUMIFS(
  INDEX('Data tổng hợp I'!$G$2:$Q$1858,0,MATCH(K$8,'Data tổng hợp I'!$G$2:$Q$2,0)),
  'Data tổng hợp I'!$B$2:$B$1858,'Form mẫu'!$U$2,
  'Data tổng hợp I'!$C$2:$C$1858,'Form mẫu'!$A16,
  'Data tổng hợp I'!$D$2:$D$1858,'Form mẫu'!$B16,
  'Data tổng hợp I'!$E$2:$E$1858,'Form mẫu'!$C16,
  'Data tổng hợp I'!$F$2:$F$1858,'Form mẫu'!$D16
)</f>
        <v>0</v>
      </c>
      <c r="L16" s="2073">
        <f>SUMIFS(
  INDEX('Data tổng hợp I'!$G$2:$Q$1858,0,MATCH(L$8,'Data tổng hợp I'!$G$2:$Q$2,0)),
  'Data tổng hợp I'!$B$2:$B$1858,'Form mẫu'!$U$2,
  'Data tổng hợp I'!$C$2:$C$1858,'Form mẫu'!$A16,
  'Data tổng hợp I'!$D$2:$D$1858,'Form mẫu'!$B16,
  'Data tổng hợp I'!$E$2:$E$1858,'Form mẫu'!$C16,
  'Data tổng hợp I'!$F$2:$F$1858,'Form mẫu'!$D16
)</f>
        <v>0</v>
      </c>
      <c r="M16" s="2073">
        <f>SUMIFS(
  INDEX('Data tổng hợp I'!$G$2:$Q$1858,0,MATCH(M$8,'Data tổng hợp I'!$G$2:$Q$2,0)),
  'Data tổng hợp I'!$B$2:$B$1858,'Form mẫu'!$U$2,
  'Data tổng hợp I'!$C$2:$C$1858,'Form mẫu'!$A16,
  'Data tổng hợp I'!$D$2:$D$1858,'Form mẫu'!$B16,
  'Data tổng hợp I'!$E$2:$E$1858,'Form mẫu'!$C16,
  'Data tổng hợp I'!$F$2:$F$1858,'Form mẫu'!$D16
)</f>
        <v>0</v>
      </c>
      <c r="N16" s="2072">
        <f>SUMIFS(
  INDEX('Data tổng hợp I'!$G$2:$Q$1858,0,MATCH(N$8,'Data tổng hợp I'!$G$2:$Q$2,0)),
  'Data tổng hợp I'!$B$2:$B$1858,'Form mẫu'!$U$2,
  'Data tổng hợp I'!$C$2:$C$1858,'Form mẫu'!$A16,
  'Data tổng hợp I'!$D$2:$D$1858,'Form mẫu'!$B16,
  'Data tổng hợp I'!$E$2:$E$1858,'Form mẫu'!$C16,
  'Data tổng hợp I'!$F$2:$F$1858,'Form mẫu'!$D16
)</f>
        <v>0</v>
      </c>
      <c r="O16" s="2072">
        <f>SUMIFS(
  INDEX('Data tổng hợp I'!$G$2:$Q$1858,0,MATCH(O$8,'Data tổng hợp I'!$G$2:$Q$2,0)),
  'Data tổng hợp I'!$B$2:$B$1858,'Form mẫu'!$U$2,
  'Data tổng hợp I'!$C$2:$C$1858,'Form mẫu'!$A16,
  'Data tổng hợp I'!$D$2:$D$1858,'Form mẫu'!$B16,
  'Data tổng hợp I'!$E$2:$E$1858,'Form mẫu'!$C16,
  'Data tổng hợp I'!$F$2:$F$1858,'Form mẫu'!$D16
)</f>
        <v>0</v>
      </c>
      <c r="U16" s="1111"/>
    </row>
    <row r="17" spans="1:17" s="1" customFormat="1" ht="25" customHeight="1" x14ac:dyDescent="0.2">
      <c r="A17" s="1902" t="s">
        <v>25</v>
      </c>
      <c r="B17" s="1903" t="s">
        <v>119</v>
      </c>
      <c r="C17" s="2074" t="s">
        <v>1013</v>
      </c>
      <c r="D17" s="2089" t="s">
        <v>21</v>
      </c>
      <c r="E17" s="2072">
        <f>SUMIFS(
  INDEX('Data tổng hợp I'!$G$2:$Q$1858,0,MATCH(E$8,'Data tổng hợp I'!$G$2:$Q$2,0)),
  'Data tổng hợp I'!$B$2:$B$1858,'Form mẫu'!$U$2,
  'Data tổng hợp I'!$C$2:$C$1858,'Form mẫu'!$A17,
  'Data tổng hợp I'!$D$2:$D$1858,'Form mẫu'!$B17,
  'Data tổng hợp I'!$E$2:$E$1858,'Form mẫu'!$C17,
  'Data tổng hợp I'!$F$2:$F$1858,'Form mẫu'!$D17
)</f>
        <v>0</v>
      </c>
      <c r="F17" s="2072">
        <f>SUMIFS(
  INDEX('Data tổng hợp I'!$G$2:$Q$1858,0,MATCH(F$8,'Data tổng hợp I'!$G$2:$Q$2,0)),
  'Data tổng hợp I'!$B$2:$B$1858,'Form mẫu'!$U$2,
  'Data tổng hợp I'!$C$2:$C$1858,'Form mẫu'!$A17,
  'Data tổng hợp I'!$D$2:$D$1858,'Form mẫu'!$B17,
  'Data tổng hợp I'!$E$2:$E$1858,'Form mẫu'!$C17,
  'Data tổng hợp I'!$F$2:$F$1858,'Form mẫu'!$D17
)</f>
        <v>0</v>
      </c>
      <c r="G17" s="2072">
        <f>SUMIFS(
  INDEX('Data tổng hợp I'!$G$2:$Q$1858,0,MATCH(G$8,'Data tổng hợp I'!$G$2:$Q$2,0)),
  'Data tổng hợp I'!$B$2:$B$1858,'Form mẫu'!$U$2,
  'Data tổng hợp I'!$C$2:$C$1858,'Form mẫu'!$A17,
  'Data tổng hợp I'!$D$2:$D$1858,'Form mẫu'!$B17,
  'Data tổng hợp I'!$E$2:$E$1858,'Form mẫu'!$C17,
  'Data tổng hợp I'!$F$2:$F$1858,'Form mẫu'!$D17
)</f>
        <v>0</v>
      </c>
      <c r="H17" s="2072">
        <f>SUMIFS(
  INDEX('Data tổng hợp I'!$G$2:$Q$1858,0,MATCH(H$8,'Data tổng hợp I'!$G$2:$Q$2,0)),
  'Data tổng hợp I'!$B$2:$B$1858,'Form mẫu'!$U$2,
  'Data tổng hợp I'!$C$2:$C$1858,'Form mẫu'!$A17,
  'Data tổng hợp I'!$D$2:$D$1858,'Form mẫu'!$B17,
  'Data tổng hợp I'!$E$2:$E$1858,'Form mẫu'!$C17,
  'Data tổng hợp I'!$F$2:$F$1858,'Form mẫu'!$D17
)</f>
        <v>0</v>
      </c>
      <c r="I17" s="2072">
        <f>SUMIFS(
  INDEX('Data tổng hợp I'!$G$2:$Q$1858,0,MATCH(I$8,'Data tổng hợp I'!$G$2:$Q$2,0)),
  'Data tổng hợp I'!$B$2:$B$1858,'Form mẫu'!$U$2,
  'Data tổng hợp I'!$C$2:$C$1858,'Form mẫu'!$A17,
  'Data tổng hợp I'!$D$2:$D$1858,'Form mẫu'!$B17,
  'Data tổng hợp I'!$E$2:$E$1858,'Form mẫu'!$C17,
  'Data tổng hợp I'!$F$2:$F$1858,'Form mẫu'!$D17
)</f>
        <v>0</v>
      </c>
      <c r="J17" s="2072">
        <f>SUMIFS(
  INDEX('Data tổng hợp I'!$G$2:$Q$1858,0,MATCH(J$8,'Data tổng hợp I'!$G$2:$Q$2,0)),
  'Data tổng hợp I'!$B$2:$B$1858,'Form mẫu'!$U$2,
  'Data tổng hợp I'!$C$2:$C$1858,'Form mẫu'!$A17,
  'Data tổng hợp I'!$D$2:$D$1858,'Form mẫu'!$B17,
  'Data tổng hợp I'!$E$2:$E$1858,'Form mẫu'!$C17,
  'Data tổng hợp I'!$F$2:$F$1858,'Form mẫu'!$D17
)</f>
        <v>0</v>
      </c>
      <c r="K17" s="2072">
        <f>SUMIFS(
  INDEX('Data tổng hợp I'!$G$2:$Q$1858,0,MATCH(K$8,'Data tổng hợp I'!$G$2:$Q$2,0)),
  'Data tổng hợp I'!$B$2:$B$1858,'Form mẫu'!$U$2,
  'Data tổng hợp I'!$C$2:$C$1858,'Form mẫu'!$A17,
  'Data tổng hợp I'!$D$2:$D$1858,'Form mẫu'!$B17,
  'Data tổng hợp I'!$E$2:$E$1858,'Form mẫu'!$C17,
  'Data tổng hợp I'!$F$2:$F$1858,'Form mẫu'!$D17
)</f>
        <v>0</v>
      </c>
      <c r="L17" s="2072">
        <f>SUMIFS(
  INDEX('Data tổng hợp I'!$G$2:$Q$1858,0,MATCH(L$8,'Data tổng hợp I'!$G$2:$Q$2,0)),
  'Data tổng hợp I'!$B$2:$B$1858,'Form mẫu'!$U$2,
  'Data tổng hợp I'!$C$2:$C$1858,'Form mẫu'!$A17,
  'Data tổng hợp I'!$D$2:$D$1858,'Form mẫu'!$B17,
  'Data tổng hợp I'!$E$2:$E$1858,'Form mẫu'!$C17,
  'Data tổng hợp I'!$F$2:$F$1858,'Form mẫu'!$D17
)</f>
        <v>0</v>
      </c>
      <c r="M17" s="2072">
        <f>SUMIFS(
  INDEX('Data tổng hợp I'!$G$2:$Q$1858,0,MATCH(M$8,'Data tổng hợp I'!$G$2:$Q$2,0)),
  'Data tổng hợp I'!$B$2:$B$1858,'Form mẫu'!$U$2,
  'Data tổng hợp I'!$C$2:$C$1858,'Form mẫu'!$A17,
  'Data tổng hợp I'!$D$2:$D$1858,'Form mẫu'!$B17,
  'Data tổng hợp I'!$E$2:$E$1858,'Form mẫu'!$C17,
  'Data tổng hợp I'!$F$2:$F$1858,'Form mẫu'!$D17
)</f>
        <v>0</v>
      </c>
      <c r="N17" s="2072">
        <f>SUMIFS(
  INDEX('Data tổng hợp I'!$G$2:$Q$1858,0,MATCH(N$8,'Data tổng hợp I'!$G$2:$Q$2,0)),
  'Data tổng hợp I'!$B$2:$B$1858,'Form mẫu'!$U$2,
  'Data tổng hợp I'!$C$2:$C$1858,'Form mẫu'!$A17,
  'Data tổng hợp I'!$D$2:$D$1858,'Form mẫu'!$B17,
  'Data tổng hợp I'!$E$2:$E$1858,'Form mẫu'!$C17,
  'Data tổng hợp I'!$F$2:$F$1858,'Form mẫu'!$D17
)</f>
        <v>0</v>
      </c>
      <c r="O17" s="2072">
        <f>SUMIFS(
  INDEX('Data tổng hợp I'!$G$2:$Q$1858,0,MATCH(O$8,'Data tổng hợp I'!$G$2:$Q$2,0)),
  'Data tổng hợp I'!$B$2:$B$1858,'Form mẫu'!$U$2,
  'Data tổng hợp I'!$C$2:$C$1858,'Form mẫu'!$A17,
  'Data tổng hợp I'!$D$2:$D$1858,'Form mẫu'!$B17,
  'Data tổng hợp I'!$E$2:$E$1858,'Form mẫu'!$C17,
  'Data tổng hợp I'!$F$2:$F$1858,'Form mẫu'!$D17
)</f>
        <v>0</v>
      </c>
    </row>
    <row r="18" spans="1:17" s="1" customFormat="1" ht="25" customHeight="1" x14ac:dyDescent="0.2">
      <c r="A18" s="1902" t="s">
        <v>25</v>
      </c>
      <c r="B18" s="1902" t="s">
        <v>119</v>
      </c>
      <c r="C18" s="2070" t="s">
        <v>1013</v>
      </c>
      <c r="D18" s="2089" t="s">
        <v>22</v>
      </c>
      <c r="E18" s="2072">
        <f>SUMIFS(
  INDEX('Data tổng hợp I'!$G$2:$Q$1858,0,MATCH(E$8,'Data tổng hợp I'!$G$2:$Q$2,0)),
  'Data tổng hợp I'!$B$2:$B$1858,'Form mẫu'!$U$2,
  'Data tổng hợp I'!$C$2:$C$1858,'Form mẫu'!$A18,
  'Data tổng hợp I'!$D$2:$D$1858,'Form mẫu'!$B18,
  'Data tổng hợp I'!$E$2:$E$1858,'Form mẫu'!$C18,
  'Data tổng hợp I'!$F$2:$F$1858,'Form mẫu'!$D18
)</f>
        <v>0</v>
      </c>
      <c r="F18" s="2073">
        <f>SUMIFS(
  INDEX('Data tổng hợp I'!$G$2:$Q$1858,0,MATCH(F$8,'Data tổng hợp I'!$G$2:$Q$2,0)),
  'Data tổng hợp I'!$B$2:$B$1858,'Form mẫu'!$U$2,
  'Data tổng hợp I'!$C$2:$C$1858,'Form mẫu'!$A18,
  'Data tổng hợp I'!$D$2:$D$1858,'Form mẫu'!$B18,
  'Data tổng hợp I'!$E$2:$E$1858,'Form mẫu'!$C18,
  'Data tổng hợp I'!$F$2:$F$1858,'Form mẫu'!$D18
)</f>
        <v>0</v>
      </c>
      <c r="G18" s="2073">
        <f>SUMIFS(
  INDEX('Data tổng hợp I'!$G$2:$Q$1858,0,MATCH(G$8,'Data tổng hợp I'!$G$2:$Q$2,0)),
  'Data tổng hợp I'!$B$2:$B$1858,'Form mẫu'!$U$2,
  'Data tổng hợp I'!$C$2:$C$1858,'Form mẫu'!$A18,
  'Data tổng hợp I'!$D$2:$D$1858,'Form mẫu'!$B18,
  'Data tổng hợp I'!$E$2:$E$1858,'Form mẫu'!$C18,
  'Data tổng hợp I'!$F$2:$F$1858,'Form mẫu'!$D18
)</f>
        <v>0</v>
      </c>
      <c r="H18" s="2073">
        <f>SUMIFS(
  INDEX('Data tổng hợp I'!$G$2:$Q$1858,0,MATCH(H$8,'Data tổng hợp I'!$G$2:$Q$2,0)),
  'Data tổng hợp I'!$B$2:$B$1858,'Form mẫu'!$U$2,
  'Data tổng hợp I'!$C$2:$C$1858,'Form mẫu'!$A18,
  'Data tổng hợp I'!$D$2:$D$1858,'Form mẫu'!$B18,
  'Data tổng hợp I'!$E$2:$E$1858,'Form mẫu'!$C18,
  'Data tổng hợp I'!$F$2:$F$1858,'Form mẫu'!$D18
)</f>
        <v>0</v>
      </c>
      <c r="I18" s="2073">
        <f>SUMIFS(
  INDEX('Data tổng hợp I'!$G$2:$Q$1858,0,MATCH(I$8,'Data tổng hợp I'!$G$2:$Q$2,0)),
  'Data tổng hợp I'!$B$2:$B$1858,'Form mẫu'!$U$2,
  'Data tổng hợp I'!$C$2:$C$1858,'Form mẫu'!$A18,
  'Data tổng hợp I'!$D$2:$D$1858,'Form mẫu'!$B18,
  'Data tổng hợp I'!$E$2:$E$1858,'Form mẫu'!$C18,
  'Data tổng hợp I'!$F$2:$F$1858,'Form mẫu'!$D18
)</f>
        <v>0</v>
      </c>
      <c r="J18" s="2073">
        <f>SUMIFS(
  INDEX('Data tổng hợp I'!$G$2:$Q$1858,0,MATCH(J$8,'Data tổng hợp I'!$G$2:$Q$2,0)),
  'Data tổng hợp I'!$B$2:$B$1858,'Form mẫu'!$U$2,
  'Data tổng hợp I'!$C$2:$C$1858,'Form mẫu'!$A18,
  'Data tổng hợp I'!$D$2:$D$1858,'Form mẫu'!$B18,
  'Data tổng hợp I'!$E$2:$E$1858,'Form mẫu'!$C18,
  'Data tổng hợp I'!$F$2:$F$1858,'Form mẫu'!$D18
)</f>
        <v>0</v>
      </c>
      <c r="K18" s="2073">
        <f>SUMIFS(
  INDEX('Data tổng hợp I'!$G$2:$Q$1858,0,MATCH(K$8,'Data tổng hợp I'!$G$2:$Q$2,0)),
  'Data tổng hợp I'!$B$2:$B$1858,'Form mẫu'!$U$2,
  'Data tổng hợp I'!$C$2:$C$1858,'Form mẫu'!$A18,
  'Data tổng hợp I'!$D$2:$D$1858,'Form mẫu'!$B18,
  'Data tổng hợp I'!$E$2:$E$1858,'Form mẫu'!$C18,
  'Data tổng hợp I'!$F$2:$F$1858,'Form mẫu'!$D18
)</f>
        <v>0</v>
      </c>
      <c r="L18" s="2073">
        <f>SUMIFS(
  INDEX('Data tổng hợp I'!$G$2:$Q$1858,0,MATCH(L$8,'Data tổng hợp I'!$G$2:$Q$2,0)),
  'Data tổng hợp I'!$B$2:$B$1858,'Form mẫu'!$U$2,
  'Data tổng hợp I'!$C$2:$C$1858,'Form mẫu'!$A18,
  'Data tổng hợp I'!$D$2:$D$1858,'Form mẫu'!$B18,
  'Data tổng hợp I'!$E$2:$E$1858,'Form mẫu'!$C18,
  'Data tổng hợp I'!$F$2:$F$1858,'Form mẫu'!$D18
)</f>
        <v>0</v>
      </c>
      <c r="M18" s="2073">
        <f>SUMIFS(
  INDEX('Data tổng hợp I'!$G$2:$Q$1858,0,MATCH(M$8,'Data tổng hợp I'!$G$2:$Q$2,0)),
  'Data tổng hợp I'!$B$2:$B$1858,'Form mẫu'!$U$2,
  'Data tổng hợp I'!$C$2:$C$1858,'Form mẫu'!$A18,
  'Data tổng hợp I'!$D$2:$D$1858,'Form mẫu'!$B18,
  'Data tổng hợp I'!$E$2:$E$1858,'Form mẫu'!$C18,
  'Data tổng hợp I'!$F$2:$F$1858,'Form mẫu'!$D18
)</f>
        <v>0</v>
      </c>
      <c r="N18" s="2072">
        <f>SUMIFS(
  INDEX('Data tổng hợp I'!$G$2:$Q$1858,0,MATCH(N$8,'Data tổng hợp I'!$G$2:$Q$2,0)),
  'Data tổng hợp I'!$B$2:$B$1858,'Form mẫu'!$U$2,
  'Data tổng hợp I'!$C$2:$C$1858,'Form mẫu'!$A18,
  'Data tổng hợp I'!$D$2:$D$1858,'Form mẫu'!$B18,
  'Data tổng hợp I'!$E$2:$E$1858,'Form mẫu'!$C18,
  'Data tổng hợp I'!$F$2:$F$1858,'Form mẫu'!$D18
)</f>
        <v>0</v>
      </c>
      <c r="O18" s="2072">
        <f>SUMIFS(
  INDEX('Data tổng hợp I'!$G$2:$Q$1858,0,MATCH(O$8,'Data tổng hợp I'!$G$2:$Q$2,0)),
  'Data tổng hợp I'!$B$2:$B$1858,'Form mẫu'!$U$2,
  'Data tổng hợp I'!$C$2:$C$1858,'Form mẫu'!$A18,
  'Data tổng hợp I'!$D$2:$D$1858,'Form mẫu'!$B18,
  'Data tổng hợp I'!$E$2:$E$1858,'Form mẫu'!$C18,
  'Data tổng hợp I'!$F$2:$F$1858,'Form mẫu'!$D18
)</f>
        <v>0</v>
      </c>
    </row>
    <row r="19" spans="1:17" s="1" customFormat="1" ht="36" customHeight="1" x14ac:dyDescent="0.2">
      <c r="A19" s="1902" t="s">
        <v>25</v>
      </c>
      <c r="B19" s="1902" t="s">
        <v>119</v>
      </c>
      <c r="C19" s="2090" t="s">
        <v>83</v>
      </c>
      <c r="D19" s="2091" t="s">
        <v>21</v>
      </c>
      <c r="E19" s="2078">
        <f t="shared" ref="E19:K19" si="1">E17-E15</f>
        <v>0</v>
      </c>
      <c r="F19" s="2078">
        <f t="shared" si="1"/>
        <v>0</v>
      </c>
      <c r="G19" s="2078">
        <f t="shared" si="1"/>
        <v>0</v>
      </c>
      <c r="H19" s="2078">
        <f t="shared" si="1"/>
        <v>0</v>
      </c>
      <c r="I19" s="2078">
        <f t="shared" si="1"/>
        <v>0</v>
      </c>
      <c r="J19" s="2079">
        <f t="shared" si="1"/>
        <v>0</v>
      </c>
      <c r="K19" s="2078">
        <f t="shared" si="1"/>
        <v>0</v>
      </c>
      <c r="L19" s="2080"/>
      <c r="M19" s="2081"/>
      <c r="N19" s="2081"/>
      <c r="O19" s="2078"/>
    </row>
    <row r="20" spans="1:17" s="1" customFormat="1" ht="25" customHeight="1" x14ac:dyDescent="0.2">
      <c r="A20" s="1903" t="s">
        <v>25</v>
      </c>
      <c r="B20" s="2082" t="s">
        <v>119</v>
      </c>
      <c r="C20" s="2092" t="s">
        <v>83</v>
      </c>
      <c r="D20" s="2093" t="s">
        <v>22</v>
      </c>
      <c r="E20" s="2079"/>
      <c r="F20" s="2079">
        <f>F18-F16</f>
        <v>0</v>
      </c>
      <c r="G20" s="2079">
        <f>G18-G16</f>
        <v>0</v>
      </c>
      <c r="H20" s="2079">
        <f>H18-H16</f>
        <v>0</v>
      </c>
      <c r="I20" s="2079"/>
      <c r="J20" s="2094"/>
      <c r="K20" s="2094"/>
      <c r="L20" s="2095"/>
      <c r="M20" s="2096"/>
      <c r="N20" s="2096"/>
      <c r="O20" s="2097"/>
    </row>
    <row r="21" spans="1:17" s="1" customFormat="1" ht="25" hidden="1" customHeight="1" x14ac:dyDescent="0.2">
      <c r="A21" s="1902" t="s">
        <v>25</v>
      </c>
      <c r="B21" s="1901" t="s">
        <v>122</v>
      </c>
      <c r="C21" s="2074" t="s">
        <v>883</v>
      </c>
      <c r="D21" s="2089" t="s">
        <v>21</v>
      </c>
      <c r="E21" s="2072">
        <f>SUMIFS(
  INDEX('Data tổng hợp I'!$G$2:$Q$1858,0,MATCH(E$8,'Data tổng hợp I'!$G$2:$Q$2,0)),
  'Data tổng hợp I'!$B$2:$B$1858,'Form mẫu'!$U$2,
  'Data tổng hợp I'!$C$2:$C$1858,'Form mẫu'!$A21,
  'Data tổng hợp I'!$D$2:$D$1858,'Form mẫu'!$B21,
  'Data tổng hợp I'!$E$2:$E$1858,'Form mẫu'!$C21,
  'Data tổng hợp I'!$F$2:$F$1858,'Form mẫu'!$D21
)</f>
        <v>0</v>
      </c>
      <c r="F21" s="2072">
        <f>SUMIFS(
  INDEX('Data tổng hợp I'!$G$2:$Q$1858,0,MATCH(F$8,'Data tổng hợp I'!$G$2:$Q$2,0)),
  'Data tổng hợp I'!$B$2:$B$1858,'Form mẫu'!$U$2,
  'Data tổng hợp I'!$C$2:$C$1858,'Form mẫu'!$A21,
  'Data tổng hợp I'!$D$2:$D$1858,'Form mẫu'!$B21,
  'Data tổng hợp I'!$E$2:$E$1858,'Form mẫu'!$C21,
  'Data tổng hợp I'!$F$2:$F$1858,'Form mẫu'!$D21
)</f>
        <v>0</v>
      </c>
      <c r="G21" s="2072">
        <f>SUMIFS(
  INDEX('Data tổng hợp I'!$G$2:$Q$1858,0,MATCH(G$8,'Data tổng hợp I'!$G$2:$Q$2,0)),
  'Data tổng hợp I'!$B$2:$B$1858,'Form mẫu'!$U$2,
  'Data tổng hợp I'!$C$2:$C$1858,'Form mẫu'!$A21,
  'Data tổng hợp I'!$D$2:$D$1858,'Form mẫu'!$B21,
  'Data tổng hợp I'!$E$2:$E$1858,'Form mẫu'!$C21,
  'Data tổng hợp I'!$F$2:$F$1858,'Form mẫu'!$D21
)</f>
        <v>0</v>
      </c>
      <c r="H21" s="2072">
        <f>SUMIFS(
  INDEX('Data tổng hợp I'!$G$2:$Q$1858,0,MATCH(H$8,'Data tổng hợp I'!$G$2:$Q$2,0)),
  'Data tổng hợp I'!$B$2:$B$1858,'Form mẫu'!$U$2,
  'Data tổng hợp I'!$C$2:$C$1858,'Form mẫu'!$A21,
  'Data tổng hợp I'!$D$2:$D$1858,'Form mẫu'!$B21,
  'Data tổng hợp I'!$E$2:$E$1858,'Form mẫu'!$C21,
  'Data tổng hợp I'!$F$2:$F$1858,'Form mẫu'!$D21
)</f>
        <v>0</v>
      </c>
      <c r="I21" s="2072">
        <f>SUMIFS(
  INDEX('Data tổng hợp I'!$G$2:$Q$1858,0,MATCH(I$8,'Data tổng hợp I'!$G$2:$Q$2,0)),
  'Data tổng hợp I'!$B$2:$B$1858,'Form mẫu'!$U$2,
  'Data tổng hợp I'!$C$2:$C$1858,'Form mẫu'!$A21,
  'Data tổng hợp I'!$D$2:$D$1858,'Form mẫu'!$B21,
  'Data tổng hợp I'!$E$2:$E$1858,'Form mẫu'!$C21,
  'Data tổng hợp I'!$F$2:$F$1858,'Form mẫu'!$D21
)</f>
        <v>0</v>
      </c>
      <c r="J21" s="2072">
        <f>SUMIFS(
  INDEX('Data tổng hợp I'!$G$2:$Q$1858,0,MATCH(J$8,'Data tổng hợp I'!$G$2:$Q$2,0)),
  'Data tổng hợp I'!$B$2:$B$1858,'Form mẫu'!$U$2,
  'Data tổng hợp I'!$C$2:$C$1858,'Form mẫu'!$A21,
  'Data tổng hợp I'!$D$2:$D$1858,'Form mẫu'!$B21,
  'Data tổng hợp I'!$E$2:$E$1858,'Form mẫu'!$C21,
  'Data tổng hợp I'!$F$2:$F$1858,'Form mẫu'!$D21
)</f>
        <v>0</v>
      </c>
      <c r="K21" s="2072">
        <f>SUMIFS(
  INDEX('Data tổng hợp I'!$G$2:$Q$1858,0,MATCH(K$8,'Data tổng hợp I'!$G$2:$Q$2,0)),
  'Data tổng hợp I'!$B$2:$B$1858,'Form mẫu'!$U$2,
  'Data tổng hợp I'!$C$2:$C$1858,'Form mẫu'!$A21,
  'Data tổng hợp I'!$D$2:$D$1858,'Form mẫu'!$B21,
  'Data tổng hợp I'!$E$2:$E$1858,'Form mẫu'!$C21,
  'Data tổng hợp I'!$F$2:$F$1858,'Form mẫu'!$D21
)</f>
        <v>0</v>
      </c>
      <c r="L21" s="2072">
        <f>SUMIFS(
  INDEX('Data tổng hợp I'!$G$2:$Q$1858,0,MATCH(L$8,'Data tổng hợp I'!$G$2:$Q$2,0)),
  'Data tổng hợp I'!$B$2:$B$1858,'Form mẫu'!$U$2,
  'Data tổng hợp I'!$C$2:$C$1858,'Form mẫu'!$A21,
  'Data tổng hợp I'!$D$2:$D$1858,'Form mẫu'!$B21,
  'Data tổng hợp I'!$E$2:$E$1858,'Form mẫu'!$C21,
  'Data tổng hợp I'!$F$2:$F$1858,'Form mẫu'!$D21
)</f>
        <v>0</v>
      </c>
      <c r="M21" s="2072">
        <f>SUMIFS(
  INDEX('Data tổng hợp I'!$G$2:$Q$1858,0,MATCH(M$8,'Data tổng hợp I'!$G$2:$Q$2,0)),
  'Data tổng hợp I'!$B$2:$B$1858,'Form mẫu'!$U$2,
  'Data tổng hợp I'!$C$2:$C$1858,'Form mẫu'!$A21,
  'Data tổng hợp I'!$D$2:$D$1858,'Form mẫu'!$B21,
  'Data tổng hợp I'!$E$2:$E$1858,'Form mẫu'!$C21,
  'Data tổng hợp I'!$F$2:$F$1858,'Form mẫu'!$D21
)</f>
        <v>0</v>
      </c>
      <c r="N21" s="2072">
        <f>SUMIFS(
  INDEX('Data tổng hợp I'!$G$2:$Q$1858,0,MATCH(N$8,'Data tổng hợp I'!$G$2:$Q$2,0)),
  'Data tổng hợp I'!$B$2:$B$1858,'Form mẫu'!$U$2,
  'Data tổng hợp I'!$C$2:$C$1858,'Form mẫu'!$A21,
  'Data tổng hợp I'!$D$2:$D$1858,'Form mẫu'!$B21,
  'Data tổng hợp I'!$E$2:$E$1858,'Form mẫu'!$C21,
  'Data tổng hợp I'!$F$2:$F$1858,'Form mẫu'!$D21
)</f>
        <v>0</v>
      </c>
      <c r="O21" s="2072">
        <f>SUMIFS(
  INDEX('Data tổng hợp I'!$G$2:$Q$1858,0,MATCH(O$8,'Data tổng hợp I'!$G$2:$Q$2,0)),
  'Data tổng hợp I'!$B$2:$B$1858,'Form mẫu'!$U$2,
  'Data tổng hợp I'!$C$2:$C$1858,'Form mẫu'!$A21,
  'Data tổng hợp I'!$D$2:$D$1858,'Form mẫu'!$B21,
  'Data tổng hợp I'!$E$2:$E$1858,'Form mẫu'!$C21,
  'Data tổng hợp I'!$F$2:$F$1858,'Form mẫu'!$D21
)</f>
        <v>0</v>
      </c>
      <c r="Q21" s="1895"/>
    </row>
    <row r="22" spans="1:17" s="1" customFormat="1" ht="25" hidden="1" customHeight="1" x14ac:dyDescent="0.2">
      <c r="A22" s="1902" t="s">
        <v>25</v>
      </c>
      <c r="B22" s="1902" t="s">
        <v>122</v>
      </c>
      <c r="C22" s="2070" t="s">
        <v>883</v>
      </c>
      <c r="D22" s="2089" t="s">
        <v>22</v>
      </c>
      <c r="E22" s="2098">
        <f>SUMIFS(
  INDEX('Data tổng hợp I'!$G$2:$Q$1858,0,MATCH(E$8,'Data tổng hợp I'!$G$2:$Q$2,0)),
  'Data tổng hợp I'!$B$2:$B$1858,'Form mẫu'!$U$2,
  'Data tổng hợp I'!$C$2:$C$1858,'Form mẫu'!$A22,
  'Data tổng hợp I'!$D$2:$D$1858,'Form mẫu'!$B22,
  'Data tổng hợp I'!$E$2:$E$1858,'Form mẫu'!$C22,
  'Data tổng hợp I'!$F$2:$F$1858,'Form mẫu'!$D22
)</f>
        <v>0</v>
      </c>
      <c r="F22" s="2099">
        <f>SUMIFS(
  INDEX('Data tổng hợp I'!$G$2:$Q$1858,0,MATCH(F$8,'Data tổng hợp I'!$G$2:$Q$2,0)),
  'Data tổng hợp I'!$B$2:$B$1858,'Form mẫu'!$U$2,
  'Data tổng hợp I'!$C$2:$C$1858,'Form mẫu'!$A22,
  'Data tổng hợp I'!$D$2:$D$1858,'Form mẫu'!$B22,
  'Data tổng hợp I'!$E$2:$E$1858,'Form mẫu'!$C22,
  'Data tổng hợp I'!$F$2:$F$1858,'Form mẫu'!$D22
)</f>
        <v>0</v>
      </c>
      <c r="G22" s="2099">
        <f>SUMIFS(
  INDEX('Data tổng hợp I'!$G$2:$Q$1858,0,MATCH(G$8,'Data tổng hợp I'!$G$2:$Q$2,0)),
  'Data tổng hợp I'!$B$2:$B$1858,'Form mẫu'!$U$2,
  'Data tổng hợp I'!$C$2:$C$1858,'Form mẫu'!$A22,
  'Data tổng hợp I'!$D$2:$D$1858,'Form mẫu'!$B22,
  'Data tổng hợp I'!$E$2:$E$1858,'Form mẫu'!$C22,
  'Data tổng hợp I'!$F$2:$F$1858,'Form mẫu'!$D22
)</f>
        <v>0</v>
      </c>
      <c r="H22" s="2099">
        <f>SUMIFS(
  INDEX('Data tổng hợp I'!$G$2:$Q$1858,0,MATCH(H$8,'Data tổng hợp I'!$G$2:$Q$2,0)),
  'Data tổng hợp I'!$B$2:$B$1858,'Form mẫu'!$U$2,
  'Data tổng hợp I'!$C$2:$C$1858,'Form mẫu'!$A22,
  'Data tổng hợp I'!$D$2:$D$1858,'Form mẫu'!$B22,
  'Data tổng hợp I'!$E$2:$E$1858,'Form mẫu'!$C22,
  'Data tổng hợp I'!$F$2:$F$1858,'Form mẫu'!$D22
)</f>
        <v>0</v>
      </c>
      <c r="I22" s="2099">
        <f>SUMIFS(
  INDEX('Data tổng hợp I'!$G$2:$Q$1858,0,MATCH(I$8,'Data tổng hợp I'!$G$2:$Q$2,0)),
  'Data tổng hợp I'!$B$2:$B$1858,'Form mẫu'!$U$2,
  'Data tổng hợp I'!$C$2:$C$1858,'Form mẫu'!$A22,
  'Data tổng hợp I'!$D$2:$D$1858,'Form mẫu'!$B22,
  'Data tổng hợp I'!$E$2:$E$1858,'Form mẫu'!$C22,
  'Data tổng hợp I'!$F$2:$F$1858,'Form mẫu'!$D22
)</f>
        <v>0</v>
      </c>
      <c r="J22" s="2099">
        <f>SUMIFS(
  INDEX('Data tổng hợp I'!$G$2:$Q$1858,0,MATCH(J$8,'Data tổng hợp I'!$G$2:$Q$2,0)),
  'Data tổng hợp I'!$B$2:$B$1858,'Form mẫu'!$U$2,
  'Data tổng hợp I'!$C$2:$C$1858,'Form mẫu'!$A22,
  'Data tổng hợp I'!$D$2:$D$1858,'Form mẫu'!$B22,
  'Data tổng hợp I'!$E$2:$E$1858,'Form mẫu'!$C22,
  'Data tổng hợp I'!$F$2:$F$1858,'Form mẫu'!$D22
)</f>
        <v>0</v>
      </c>
      <c r="K22" s="2099">
        <f>SUMIFS(
  INDEX('Data tổng hợp I'!$G$2:$Q$1858,0,MATCH(K$8,'Data tổng hợp I'!$G$2:$Q$2,0)),
  'Data tổng hợp I'!$B$2:$B$1858,'Form mẫu'!$U$2,
  'Data tổng hợp I'!$C$2:$C$1858,'Form mẫu'!$A22,
  'Data tổng hợp I'!$D$2:$D$1858,'Form mẫu'!$B22,
  'Data tổng hợp I'!$E$2:$E$1858,'Form mẫu'!$C22,
  'Data tổng hợp I'!$F$2:$F$1858,'Form mẫu'!$D22
)</f>
        <v>0</v>
      </c>
      <c r="L22" s="2099">
        <f>SUMIFS(
  INDEX('Data tổng hợp I'!$G$2:$Q$1858,0,MATCH(L$8,'Data tổng hợp I'!$G$2:$Q$2,0)),
  'Data tổng hợp I'!$B$2:$B$1858,'Form mẫu'!$U$2,
  'Data tổng hợp I'!$C$2:$C$1858,'Form mẫu'!$A22,
  'Data tổng hợp I'!$D$2:$D$1858,'Form mẫu'!$B22,
  'Data tổng hợp I'!$E$2:$E$1858,'Form mẫu'!$C22,
  'Data tổng hợp I'!$F$2:$F$1858,'Form mẫu'!$D22
)</f>
        <v>0</v>
      </c>
      <c r="M22" s="2099">
        <f>SUMIFS(
  INDEX('Data tổng hợp I'!$G$2:$Q$1858,0,MATCH(M$8,'Data tổng hợp I'!$G$2:$Q$2,0)),
  'Data tổng hợp I'!$B$2:$B$1858,'Form mẫu'!$U$2,
  'Data tổng hợp I'!$C$2:$C$1858,'Form mẫu'!$A22,
  'Data tổng hợp I'!$D$2:$D$1858,'Form mẫu'!$B22,
  'Data tổng hợp I'!$E$2:$E$1858,'Form mẫu'!$C22,
  'Data tổng hợp I'!$F$2:$F$1858,'Form mẫu'!$D22
)</f>
        <v>0</v>
      </c>
      <c r="N22" s="2098">
        <f>SUMIFS(
  INDEX('Data tổng hợp I'!$G$2:$Q$1858,0,MATCH(N$8,'Data tổng hợp I'!$G$2:$Q$2,0)),
  'Data tổng hợp I'!$B$2:$B$1858,'Form mẫu'!$U$2,
  'Data tổng hợp I'!$C$2:$C$1858,'Form mẫu'!$A22,
  'Data tổng hợp I'!$D$2:$D$1858,'Form mẫu'!$B22,
  'Data tổng hợp I'!$E$2:$E$1858,'Form mẫu'!$C22,
  'Data tổng hợp I'!$F$2:$F$1858,'Form mẫu'!$D22
)</f>
        <v>0</v>
      </c>
      <c r="O22" s="2098">
        <f>SUMIFS(
  INDEX('Data tổng hợp I'!$G$2:$Q$1858,0,MATCH(O$8,'Data tổng hợp I'!$G$2:$Q$2,0)),
  'Data tổng hợp I'!$B$2:$B$1858,'Form mẫu'!$U$2,
  'Data tổng hợp I'!$C$2:$C$1858,'Form mẫu'!$A22,
  'Data tổng hợp I'!$D$2:$D$1858,'Form mẫu'!$B22,
  'Data tổng hợp I'!$E$2:$E$1858,'Form mẫu'!$C22,
  'Data tổng hợp I'!$F$2:$F$1858,'Form mẫu'!$D22
)</f>
        <v>0</v>
      </c>
    </row>
    <row r="23" spans="1:17" s="1" customFormat="1" ht="25" hidden="1" customHeight="1" x14ac:dyDescent="0.2">
      <c r="A23" s="1902" t="s">
        <v>25</v>
      </c>
      <c r="B23" s="1903" t="s">
        <v>122</v>
      </c>
      <c r="C23" s="2074" t="s">
        <v>1013</v>
      </c>
      <c r="D23" s="2089" t="s">
        <v>21</v>
      </c>
      <c r="E23" s="2072">
        <f>SUMIFS(
  INDEX('Data tổng hợp I'!$G$2:$Q$1858,0,MATCH(E$8,'Data tổng hợp I'!$G$2:$Q$2,0)),
  'Data tổng hợp I'!$B$2:$B$1858,'Form mẫu'!$U$2,
  'Data tổng hợp I'!$C$2:$C$1858,'Form mẫu'!$A23,
  'Data tổng hợp I'!$D$2:$D$1858,'Form mẫu'!$B23,
  'Data tổng hợp I'!$E$2:$E$1858,'Form mẫu'!$C23,
  'Data tổng hợp I'!$F$2:$F$1858,'Form mẫu'!$D23
)</f>
        <v>0</v>
      </c>
      <c r="F23" s="2072">
        <f>SUMIFS(
  INDEX('Data tổng hợp I'!$G$2:$Q$1858,0,MATCH(F$8,'Data tổng hợp I'!$G$2:$Q$2,0)),
  'Data tổng hợp I'!$B$2:$B$1858,'Form mẫu'!$U$2,
  'Data tổng hợp I'!$C$2:$C$1858,'Form mẫu'!$A23,
  'Data tổng hợp I'!$D$2:$D$1858,'Form mẫu'!$B23,
  'Data tổng hợp I'!$E$2:$E$1858,'Form mẫu'!$C23,
  'Data tổng hợp I'!$F$2:$F$1858,'Form mẫu'!$D23
)</f>
        <v>0</v>
      </c>
      <c r="G23" s="2072">
        <f>SUMIFS(
  INDEX('Data tổng hợp I'!$G$2:$Q$1858,0,MATCH(G$8,'Data tổng hợp I'!$G$2:$Q$2,0)),
  'Data tổng hợp I'!$B$2:$B$1858,'Form mẫu'!$U$2,
  'Data tổng hợp I'!$C$2:$C$1858,'Form mẫu'!$A23,
  'Data tổng hợp I'!$D$2:$D$1858,'Form mẫu'!$B23,
  'Data tổng hợp I'!$E$2:$E$1858,'Form mẫu'!$C23,
  'Data tổng hợp I'!$F$2:$F$1858,'Form mẫu'!$D23
)</f>
        <v>0</v>
      </c>
      <c r="H23" s="2072">
        <f>SUMIFS(
  INDEX('Data tổng hợp I'!$G$2:$Q$1858,0,MATCH(H$8,'Data tổng hợp I'!$G$2:$Q$2,0)),
  'Data tổng hợp I'!$B$2:$B$1858,'Form mẫu'!$U$2,
  'Data tổng hợp I'!$C$2:$C$1858,'Form mẫu'!$A23,
  'Data tổng hợp I'!$D$2:$D$1858,'Form mẫu'!$B23,
  'Data tổng hợp I'!$E$2:$E$1858,'Form mẫu'!$C23,
  'Data tổng hợp I'!$F$2:$F$1858,'Form mẫu'!$D23
)</f>
        <v>0</v>
      </c>
      <c r="I23" s="2072">
        <f>SUMIFS(
  INDEX('Data tổng hợp I'!$G$2:$Q$1858,0,MATCH(I$8,'Data tổng hợp I'!$G$2:$Q$2,0)),
  'Data tổng hợp I'!$B$2:$B$1858,'Form mẫu'!$U$2,
  'Data tổng hợp I'!$C$2:$C$1858,'Form mẫu'!$A23,
  'Data tổng hợp I'!$D$2:$D$1858,'Form mẫu'!$B23,
  'Data tổng hợp I'!$E$2:$E$1858,'Form mẫu'!$C23,
  'Data tổng hợp I'!$F$2:$F$1858,'Form mẫu'!$D23
)</f>
        <v>0</v>
      </c>
      <c r="J23" s="2073">
        <f>SUMIFS(
  INDEX('Data tổng hợp I'!$G$2:$Q$1858,0,MATCH(J$8,'Data tổng hợp I'!$G$2:$Q$2,0)),
  'Data tổng hợp I'!$B$2:$B$1858,'Form mẫu'!$U$2,
  'Data tổng hợp I'!$C$2:$C$1858,'Form mẫu'!$A23,
  'Data tổng hợp I'!$D$2:$D$1858,'Form mẫu'!$B23,
  'Data tổng hợp I'!$E$2:$E$1858,'Form mẫu'!$C23,
  'Data tổng hợp I'!$F$2:$F$1858,'Form mẫu'!$D23
)</f>
        <v>0</v>
      </c>
      <c r="K23" s="2072">
        <f>SUMIFS(
  INDEX('Data tổng hợp I'!$G$2:$Q$1858,0,MATCH(K$8,'Data tổng hợp I'!$G$2:$Q$2,0)),
  'Data tổng hợp I'!$B$2:$B$1858,'Form mẫu'!$U$2,
  'Data tổng hợp I'!$C$2:$C$1858,'Form mẫu'!$A23,
  'Data tổng hợp I'!$D$2:$D$1858,'Form mẫu'!$B23,
  'Data tổng hợp I'!$E$2:$E$1858,'Form mẫu'!$C23,
  'Data tổng hợp I'!$F$2:$F$1858,'Form mẫu'!$D23
)</f>
        <v>0</v>
      </c>
      <c r="L23" s="2072">
        <f>SUMIFS(
  INDEX('Data tổng hợp I'!$G$2:$Q$1858,0,MATCH(L$8,'Data tổng hợp I'!$G$2:$Q$2,0)),
  'Data tổng hợp I'!$B$2:$B$1858,'Form mẫu'!$U$2,
  'Data tổng hợp I'!$C$2:$C$1858,'Form mẫu'!$A23,
  'Data tổng hợp I'!$D$2:$D$1858,'Form mẫu'!$B23,
  'Data tổng hợp I'!$E$2:$E$1858,'Form mẫu'!$C23,
  'Data tổng hợp I'!$F$2:$F$1858,'Form mẫu'!$D23
)</f>
        <v>0</v>
      </c>
      <c r="M23" s="2072">
        <f>SUMIFS(
  INDEX('Data tổng hợp I'!$G$2:$Q$1858,0,MATCH(M$8,'Data tổng hợp I'!$G$2:$Q$2,0)),
  'Data tổng hợp I'!$B$2:$B$1858,'Form mẫu'!$U$2,
  'Data tổng hợp I'!$C$2:$C$1858,'Form mẫu'!$A23,
  'Data tổng hợp I'!$D$2:$D$1858,'Form mẫu'!$B23,
  'Data tổng hợp I'!$E$2:$E$1858,'Form mẫu'!$C23,
  'Data tổng hợp I'!$F$2:$F$1858,'Form mẫu'!$D23
)</f>
        <v>0</v>
      </c>
      <c r="N23" s="2072">
        <f>SUMIFS(
  INDEX('Data tổng hợp I'!$G$2:$Q$1858,0,MATCH(N$8,'Data tổng hợp I'!$G$2:$Q$2,0)),
  'Data tổng hợp I'!$B$2:$B$1858,'Form mẫu'!$U$2,
  'Data tổng hợp I'!$C$2:$C$1858,'Form mẫu'!$A23,
  'Data tổng hợp I'!$D$2:$D$1858,'Form mẫu'!$B23,
  'Data tổng hợp I'!$E$2:$E$1858,'Form mẫu'!$C23,
  'Data tổng hợp I'!$F$2:$F$1858,'Form mẫu'!$D23
)</f>
        <v>0</v>
      </c>
      <c r="O23" s="2072">
        <f>SUMIFS(
  INDEX('Data tổng hợp I'!$G$2:$Q$1858,0,MATCH(O$8,'Data tổng hợp I'!$G$2:$Q$2,0)),
  'Data tổng hợp I'!$B$2:$B$1858,'Form mẫu'!$U$2,
  'Data tổng hợp I'!$C$2:$C$1858,'Form mẫu'!$A23,
  'Data tổng hợp I'!$D$2:$D$1858,'Form mẫu'!$B23,
  'Data tổng hợp I'!$E$2:$E$1858,'Form mẫu'!$C23,
  'Data tổng hợp I'!$F$2:$F$1858,'Form mẫu'!$D23
)</f>
        <v>0</v>
      </c>
    </row>
    <row r="24" spans="1:17" s="1" customFormat="1" ht="25" hidden="1" customHeight="1" x14ac:dyDescent="0.2">
      <c r="A24" s="1902" t="s">
        <v>25</v>
      </c>
      <c r="B24" s="1902" t="s">
        <v>122</v>
      </c>
      <c r="C24" s="2070" t="s">
        <v>1013</v>
      </c>
      <c r="D24" s="2089" t="s">
        <v>22</v>
      </c>
      <c r="E24" s="2098">
        <f>SUMIFS(
  INDEX('Data tổng hợp I'!$G$2:$Q$1858,0,MATCH(E$8,'Data tổng hợp I'!$G$2:$Q$2,0)),
  'Data tổng hợp I'!$B$2:$B$1858,'Form mẫu'!$U$2,
  'Data tổng hợp I'!$C$2:$C$1858,'Form mẫu'!$A24,
  'Data tổng hợp I'!$D$2:$D$1858,'Form mẫu'!$B24,
  'Data tổng hợp I'!$E$2:$E$1858,'Form mẫu'!$C24,
  'Data tổng hợp I'!$F$2:$F$1858,'Form mẫu'!$D24
)</f>
        <v>0</v>
      </c>
      <c r="F24" s="2099">
        <f>SUMIFS(
  INDEX('Data tổng hợp I'!$G$2:$Q$1858,0,MATCH(F$8,'Data tổng hợp I'!$G$2:$Q$2,0)),
  'Data tổng hợp I'!$B$2:$B$1858,'Form mẫu'!$U$2,
  'Data tổng hợp I'!$C$2:$C$1858,'Form mẫu'!$A24,
  'Data tổng hợp I'!$D$2:$D$1858,'Form mẫu'!$B24,
  'Data tổng hợp I'!$E$2:$E$1858,'Form mẫu'!$C24,
  'Data tổng hợp I'!$F$2:$F$1858,'Form mẫu'!$D24
)</f>
        <v>0</v>
      </c>
      <c r="G24" s="2099">
        <f>SUMIFS(
  INDEX('Data tổng hợp I'!$G$2:$Q$1858,0,MATCH(G$8,'Data tổng hợp I'!$G$2:$Q$2,0)),
  'Data tổng hợp I'!$B$2:$B$1858,'Form mẫu'!$U$2,
  'Data tổng hợp I'!$C$2:$C$1858,'Form mẫu'!$A24,
  'Data tổng hợp I'!$D$2:$D$1858,'Form mẫu'!$B24,
  'Data tổng hợp I'!$E$2:$E$1858,'Form mẫu'!$C24,
  'Data tổng hợp I'!$F$2:$F$1858,'Form mẫu'!$D24
)</f>
        <v>0</v>
      </c>
      <c r="H24" s="2099">
        <f>SUMIFS(
  INDEX('Data tổng hợp I'!$G$2:$Q$1858,0,MATCH(H$8,'Data tổng hợp I'!$G$2:$Q$2,0)),
  'Data tổng hợp I'!$B$2:$B$1858,'Form mẫu'!$U$2,
  'Data tổng hợp I'!$C$2:$C$1858,'Form mẫu'!$A24,
  'Data tổng hợp I'!$D$2:$D$1858,'Form mẫu'!$B24,
  'Data tổng hợp I'!$E$2:$E$1858,'Form mẫu'!$C24,
  'Data tổng hợp I'!$F$2:$F$1858,'Form mẫu'!$D24
)</f>
        <v>0</v>
      </c>
      <c r="I24" s="2099">
        <f>SUMIFS(
  INDEX('Data tổng hợp I'!$G$2:$Q$1858,0,MATCH(I$8,'Data tổng hợp I'!$G$2:$Q$2,0)),
  'Data tổng hợp I'!$B$2:$B$1858,'Form mẫu'!$U$2,
  'Data tổng hợp I'!$C$2:$C$1858,'Form mẫu'!$A24,
  'Data tổng hợp I'!$D$2:$D$1858,'Form mẫu'!$B24,
  'Data tổng hợp I'!$E$2:$E$1858,'Form mẫu'!$C24,
  'Data tổng hợp I'!$F$2:$F$1858,'Form mẫu'!$D24
)</f>
        <v>0</v>
      </c>
      <c r="J24" s="2099">
        <f>SUMIFS(
  INDEX('Data tổng hợp I'!$G$2:$Q$1858,0,MATCH(J$8,'Data tổng hợp I'!$G$2:$Q$2,0)),
  'Data tổng hợp I'!$B$2:$B$1858,'Form mẫu'!$U$2,
  'Data tổng hợp I'!$C$2:$C$1858,'Form mẫu'!$A24,
  'Data tổng hợp I'!$D$2:$D$1858,'Form mẫu'!$B24,
  'Data tổng hợp I'!$E$2:$E$1858,'Form mẫu'!$C24,
  'Data tổng hợp I'!$F$2:$F$1858,'Form mẫu'!$D24
)</f>
        <v>0</v>
      </c>
      <c r="K24" s="2099">
        <f>SUMIFS(
  INDEX('Data tổng hợp I'!$G$2:$Q$1858,0,MATCH(K$8,'Data tổng hợp I'!$G$2:$Q$2,0)),
  'Data tổng hợp I'!$B$2:$B$1858,'Form mẫu'!$U$2,
  'Data tổng hợp I'!$C$2:$C$1858,'Form mẫu'!$A24,
  'Data tổng hợp I'!$D$2:$D$1858,'Form mẫu'!$B24,
  'Data tổng hợp I'!$E$2:$E$1858,'Form mẫu'!$C24,
  'Data tổng hợp I'!$F$2:$F$1858,'Form mẫu'!$D24
)</f>
        <v>0</v>
      </c>
      <c r="L24" s="2099">
        <f>SUMIFS(
  INDEX('Data tổng hợp I'!$G$2:$Q$1858,0,MATCH(L$8,'Data tổng hợp I'!$G$2:$Q$2,0)),
  'Data tổng hợp I'!$B$2:$B$1858,'Form mẫu'!$U$2,
  'Data tổng hợp I'!$C$2:$C$1858,'Form mẫu'!$A24,
  'Data tổng hợp I'!$D$2:$D$1858,'Form mẫu'!$B24,
  'Data tổng hợp I'!$E$2:$E$1858,'Form mẫu'!$C24,
  'Data tổng hợp I'!$F$2:$F$1858,'Form mẫu'!$D24
)</f>
        <v>0</v>
      </c>
      <c r="M24" s="2099">
        <f>SUMIFS(
  INDEX('Data tổng hợp I'!$G$2:$Q$1858,0,MATCH(M$8,'Data tổng hợp I'!$G$2:$Q$2,0)),
  'Data tổng hợp I'!$B$2:$B$1858,'Form mẫu'!$U$2,
  'Data tổng hợp I'!$C$2:$C$1858,'Form mẫu'!$A24,
  'Data tổng hợp I'!$D$2:$D$1858,'Form mẫu'!$B24,
  'Data tổng hợp I'!$E$2:$E$1858,'Form mẫu'!$C24,
  'Data tổng hợp I'!$F$2:$F$1858,'Form mẫu'!$D24
)</f>
        <v>0</v>
      </c>
      <c r="N24" s="2098">
        <f>SUMIFS(
  INDEX('Data tổng hợp I'!$G$2:$Q$1858,0,MATCH(N$8,'Data tổng hợp I'!$G$2:$Q$2,0)),
  'Data tổng hợp I'!$B$2:$B$1858,'Form mẫu'!$U$2,
  'Data tổng hợp I'!$C$2:$C$1858,'Form mẫu'!$A24,
  'Data tổng hợp I'!$D$2:$D$1858,'Form mẫu'!$B24,
  'Data tổng hợp I'!$E$2:$E$1858,'Form mẫu'!$C24,
  'Data tổng hợp I'!$F$2:$F$1858,'Form mẫu'!$D24
)</f>
        <v>0</v>
      </c>
      <c r="O24" s="2098">
        <f>SUMIFS(
  INDEX('Data tổng hợp I'!$G$2:$Q$1858,0,MATCH(O$8,'Data tổng hợp I'!$G$2:$Q$2,0)),
  'Data tổng hợp I'!$B$2:$B$1858,'Form mẫu'!$U$2,
  'Data tổng hợp I'!$C$2:$C$1858,'Form mẫu'!$A24,
  'Data tổng hợp I'!$D$2:$D$1858,'Form mẫu'!$B24,
  'Data tổng hợp I'!$E$2:$E$1858,'Form mẫu'!$C24,
  'Data tổng hợp I'!$F$2:$F$1858,'Form mẫu'!$D24
)</f>
        <v>0</v>
      </c>
    </row>
    <row r="25" spans="1:17" s="1" customFormat="1" ht="35" hidden="1" customHeight="1" x14ac:dyDescent="0.2">
      <c r="A25" s="1902" t="s">
        <v>25</v>
      </c>
      <c r="B25" s="1902" t="s">
        <v>122</v>
      </c>
      <c r="C25" s="2090" t="s">
        <v>83</v>
      </c>
      <c r="D25" s="2091" t="s">
        <v>21</v>
      </c>
      <c r="E25" s="2078">
        <f t="shared" ref="E25:K25" si="2">E23-E21</f>
        <v>0</v>
      </c>
      <c r="F25" s="2078">
        <f t="shared" si="2"/>
        <v>0</v>
      </c>
      <c r="G25" s="2078">
        <f t="shared" si="2"/>
        <v>0</v>
      </c>
      <c r="H25" s="2078">
        <f t="shared" si="2"/>
        <v>0</v>
      </c>
      <c r="I25" s="2078">
        <f t="shared" si="2"/>
        <v>0</v>
      </c>
      <c r="J25" s="2079">
        <f t="shared" si="2"/>
        <v>0</v>
      </c>
      <c r="K25" s="2078">
        <f t="shared" si="2"/>
        <v>0</v>
      </c>
      <c r="L25" s="2080"/>
      <c r="M25" s="2081"/>
      <c r="N25" s="2100"/>
      <c r="O25" s="2101"/>
    </row>
    <row r="26" spans="1:17" s="1" customFormat="1" ht="25" hidden="1" customHeight="1" x14ac:dyDescent="0.2">
      <c r="A26" s="1902" t="s">
        <v>25</v>
      </c>
      <c r="B26" s="2082" t="s">
        <v>122</v>
      </c>
      <c r="C26" s="2092" t="s">
        <v>83</v>
      </c>
      <c r="D26" s="2093" t="s">
        <v>22</v>
      </c>
      <c r="E26" s="2079"/>
      <c r="F26" s="2079">
        <f>F24-F22</f>
        <v>0</v>
      </c>
      <c r="G26" s="2079">
        <f>G24-G22</f>
        <v>0</v>
      </c>
      <c r="H26" s="2079">
        <f>H24-H22</f>
        <v>0</v>
      </c>
      <c r="I26" s="2079"/>
      <c r="J26" s="2094"/>
      <c r="K26" s="2094"/>
      <c r="L26" s="2095"/>
      <c r="M26" s="2096"/>
      <c r="N26" s="2102"/>
      <c r="O26" s="2103"/>
    </row>
    <row r="27" spans="1:17" s="1" customFormat="1" ht="28" customHeight="1" x14ac:dyDescent="0.2">
      <c r="A27" s="1901" t="s">
        <v>25</v>
      </c>
      <c r="B27" s="1593" t="s">
        <v>116</v>
      </c>
      <c r="C27" s="2074" t="s">
        <v>883</v>
      </c>
      <c r="D27" s="2089" t="s">
        <v>21</v>
      </c>
      <c r="E27" s="2072">
        <f>SUMIFS(
  INDEX('Data tổng hợp I'!$G$2:$Q$1858,0,MATCH(E$8,'Data tổng hợp I'!$G$2:$Q$2,0)),
  'Data tổng hợp I'!$B$2:$B$1858,'Form mẫu'!$U$2,
  'Data tổng hợp I'!$C$2:$C$1858,'Form mẫu'!$A27,
  'Data tổng hợp I'!$D$2:$D$1858,'Form mẫu'!$B27,
  'Data tổng hợp I'!$E$2:$E$1858,'Form mẫu'!$C27,
  'Data tổng hợp I'!$F$2:$F$1858,'Form mẫu'!$D27
)</f>
        <v>0</v>
      </c>
      <c r="F27" s="2072">
        <f>SUMIFS(
  INDEX('Data tổng hợp I'!$G$2:$Q$1858,0,MATCH(F$8,'Data tổng hợp I'!$G$2:$Q$2,0)),
  'Data tổng hợp I'!$B$2:$B$1858,'Form mẫu'!$U$2,
  'Data tổng hợp I'!$C$2:$C$1858,'Form mẫu'!$A27,
  'Data tổng hợp I'!$D$2:$D$1858,'Form mẫu'!$B27,
  'Data tổng hợp I'!$E$2:$E$1858,'Form mẫu'!$C27,
  'Data tổng hợp I'!$F$2:$F$1858,'Form mẫu'!$D27
)</f>
        <v>0</v>
      </c>
      <c r="G27" s="2072">
        <f>SUMIFS(
  INDEX('Data tổng hợp I'!$G$2:$Q$1858,0,MATCH(G$8,'Data tổng hợp I'!$G$2:$Q$2,0)),
  'Data tổng hợp I'!$B$2:$B$1858,'Form mẫu'!$U$2,
  'Data tổng hợp I'!$C$2:$C$1858,'Form mẫu'!$A27,
  'Data tổng hợp I'!$D$2:$D$1858,'Form mẫu'!$B27,
  'Data tổng hợp I'!$E$2:$E$1858,'Form mẫu'!$C27,
  'Data tổng hợp I'!$F$2:$F$1858,'Form mẫu'!$D27
)</f>
        <v>0</v>
      </c>
      <c r="H27" s="2072">
        <f>SUMIFS(
  INDEX('Data tổng hợp I'!$G$2:$Q$1858,0,MATCH(H$8,'Data tổng hợp I'!$G$2:$Q$2,0)),
  'Data tổng hợp I'!$B$2:$B$1858,'Form mẫu'!$U$2,
  'Data tổng hợp I'!$C$2:$C$1858,'Form mẫu'!$A27,
  'Data tổng hợp I'!$D$2:$D$1858,'Form mẫu'!$B27,
  'Data tổng hợp I'!$E$2:$E$1858,'Form mẫu'!$C27,
  'Data tổng hợp I'!$F$2:$F$1858,'Form mẫu'!$D27
)</f>
        <v>0</v>
      </c>
      <c r="I27" s="2072">
        <f>SUMIFS(
  INDEX('Data tổng hợp I'!$G$2:$Q$1858,0,MATCH(I$8,'Data tổng hợp I'!$G$2:$Q$2,0)),
  'Data tổng hợp I'!$B$2:$B$1858,'Form mẫu'!$U$2,
  'Data tổng hợp I'!$C$2:$C$1858,'Form mẫu'!$A27,
  'Data tổng hợp I'!$D$2:$D$1858,'Form mẫu'!$B27,
  'Data tổng hợp I'!$E$2:$E$1858,'Form mẫu'!$C27,
  'Data tổng hợp I'!$F$2:$F$1858,'Form mẫu'!$D27
)</f>
        <v>0</v>
      </c>
      <c r="J27" s="2072">
        <f>SUMIFS(
  INDEX('Data tổng hợp I'!$G$2:$Q$1858,0,MATCH(J$8,'Data tổng hợp I'!$G$2:$Q$2,0)),
  'Data tổng hợp I'!$B$2:$B$1858,'Form mẫu'!$U$2,
  'Data tổng hợp I'!$C$2:$C$1858,'Form mẫu'!$A27,
  'Data tổng hợp I'!$D$2:$D$1858,'Form mẫu'!$B27,
  'Data tổng hợp I'!$E$2:$E$1858,'Form mẫu'!$C27,
  'Data tổng hợp I'!$F$2:$F$1858,'Form mẫu'!$D27
)</f>
        <v>0</v>
      </c>
      <c r="K27" s="2072">
        <f>SUMIFS(
  INDEX('Data tổng hợp I'!$G$2:$Q$1858,0,MATCH(K$8,'Data tổng hợp I'!$G$2:$Q$2,0)),
  'Data tổng hợp I'!$B$2:$B$1858,'Form mẫu'!$U$2,
  'Data tổng hợp I'!$C$2:$C$1858,'Form mẫu'!$A27,
  'Data tổng hợp I'!$D$2:$D$1858,'Form mẫu'!$B27,
  'Data tổng hợp I'!$E$2:$E$1858,'Form mẫu'!$C27,
  'Data tổng hợp I'!$F$2:$F$1858,'Form mẫu'!$D27
)</f>
        <v>0</v>
      </c>
      <c r="L27" s="2072">
        <f>SUMIFS(
  INDEX('Data tổng hợp I'!$G$2:$Q$1858,0,MATCH(L$8,'Data tổng hợp I'!$G$2:$Q$2,0)),
  'Data tổng hợp I'!$B$2:$B$1858,'Form mẫu'!$U$2,
  'Data tổng hợp I'!$C$2:$C$1858,'Form mẫu'!$A27,
  'Data tổng hợp I'!$D$2:$D$1858,'Form mẫu'!$B27,
  'Data tổng hợp I'!$E$2:$E$1858,'Form mẫu'!$C27,
  'Data tổng hợp I'!$F$2:$F$1858,'Form mẫu'!$D27
)</f>
        <v>0</v>
      </c>
      <c r="M27" s="2072">
        <f>SUMIFS(
  INDEX('Data tổng hợp I'!$G$2:$Q$1858,0,MATCH(M$8,'Data tổng hợp I'!$G$2:$Q$2,0)),
  'Data tổng hợp I'!$B$2:$B$1858,'Form mẫu'!$U$2,
  'Data tổng hợp I'!$C$2:$C$1858,'Form mẫu'!$A27,
  'Data tổng hợp I'!$D$2:$D$1858,'Form mẫu'!$B27,
  'Data tổng hợp I'!$E$2:$E$1858,'Form mẫu'!$C27,
  'Data tổng hợp I'!$F$2:$F$1858,'Form mẫu'!$D27
)</f>
        <v>0</v>
      </c>
      <c r="N27" s="2072">
        <f>SUMIFS(
  INDEX('Data tổng hợp I'!$G$2:$Q$1858,0,MATCH(N$8,'Data tổng hợp I'!$G$2:$Q$2,0)),
  'Data tổng hợp I'!$B$2:$B$1858,'Form mẫu'!$U$2,
  'Data tổng hợp I'!$C$2:$C$1858,'Form mẫu'!$A27,
  'Data tổng hợp I'!$D$2:$D$1858,'Form mẫu'!$B27,
  'Data tổng hợp I'!$E$2:$E$1858,'Form mẫu'!$C27,
  'Data tổng hợp I'!$F$2:$F$1858,'Form mẫu'!$D27
)</f>
        <v>0</v>
      </c>
      <c r="O27" s="2379">
        <f>SUMIFS(
  INDEX('Data tổng hợp I'!$G$2:$Q$1858,0,MATCH(O$8,'Data tổng hợp I'!$G$2:$Q$2,0)),
  'Data tổng hợp I'!$B$2:$B$1858,'Form mẫu'!$U$2,
  'Data tổng hợp I'!$C$2:$C$1858,'Form mẫu'!$A27,
  'Data tổng hợp I'!$D$2:$D$1858,'Form mẫu'!$B27,
  'Data tổng hợp I'!$E$2:$E$1858,'Form mẫu'!$C27,
  'Data tổng hợp I'!$F$2:$F$1858,'Form mẫu'!$D27
)</f>
        <v>0</v>
      </c>
    </row>
    <row r="28" spans="1:17" s="1" customFormat="1" ht="28" customHeight="1" x14ac:dyDescent="0.2">
      <c r="A28" s="1902" t="s">
        <v>25</v>
      </c>
      <c r="B28" s="1568" t="s">
        <v>116</v>
      </c>
      <c r="C28" s="2070" t="s">
        <v>883</v>
      </c>
      <c r="D28" s="2089" t="s">
        <v>22</v>
      </c>
      <c r="E28" s="2098">
        <f>SUMIFS(
  INDEX('Data tổng hợp I'!$G$2:$Q$1858,0,MATCH(E$8,'Data tổng hợp I'!$G$2:$Q$2,0)),
  'Data tổng hợp I'!$B$2:$B$1858,'Form mẫu'!$U$2,
  'Data tổng hợp I'!$C$2:$C$1858,'Form mẫu'!$A28,
  'Data tổng hợp I'!$D$2:$D$1858,'Form mẫu'!$B28,
  'Data tổng hợp I'!$E$2:$E$1858,'Form mẫu'!$C28,
  'Data tổng hợp I'!$F$2:$F$1858,'Form mẫu'!$D28
)</f>
        <v>0</v>
      </c>
      <c r="F28" s="2099">
        <f>SUMIFS(
  INDEX('Data tổng hợp I'!$G$2:$Q$1858,0,MATCH(F$8,'Data tổng hợp I'!$G$2:$Q$2,0)),
  'Data tổng hợp I'!$B$2:$B$1858,'Form mẫu'!$U$2,
  'Data tổng hợp I'!$C$2:$C$1858,'Form mẫu'!$A28,
  'Data tổng hợp I'!$D$2:$D$1858,'Form mẫu'!$B28,
  'Data tổng hợp I'!$E$2:$E$1858,'Form mẫu'!$C28,
  'Data tổng hợp I'!$F$2:$F$1858,'Form mẫu'!$D28
)</f>
        <v>0</v>
      </c>
      <c r="G28" s="2099">
        <f>SUMIFS(
  INDEX('Data tổng hợp I'!$G$2:$Q$1858,0,MATCH(G$8,'Data tổng hợp I'!$G$2:$Q$2,0)),
  'Data tổng hợp I'!$B$2:$B$1858,'Form mẫu'!$U$2,
  'Data tổng hợp I'!$C$2:$C$1858,'Form mẫu'!$A28,
  'Data tổng hợp I'!$D$2:$D$1858,'Form mẫu'!$B28,
  'Data tổng hợp I'!$E$2:$E$1858,'Form mẫu'!$C28,
  'Data tổng hợp I'!$F$2:$F$1858,'Form mẫu'!$D28
)</f>
        <v>0</v>
      </c>
      <c r="H28" s="2099">
        <f>SUMIFS(
  INDEX('Data tổng hợp I'!$G$2:$Q$1858,0,MATCH(H$8,'Data tổng hợp I'!$G$2:$Q$2,0)),
  'Data tổng hợp I'!$B$2:$B$1858,'Form mẫu'!$U$2,
  'Data tổng hợp I'!$C$2:$C$1858,'Form mẫu'!$A28,
  'Data tổng hợp I'!$D$2:$D$1858,'Form mẫu'!$B28,
  'Data tổng hợp I'!$E$2:$E$1858,'Form mẫu'!$C28,
  'Data tổng hợp I'!$F$2:$F$1858,'Form mẫu'!$D28
)</f>
        <v>0</v>
      </c>
      <c r="I28" s="2099">
        <f>SUMIFS(
  INDEX('Data tổng hợp I'!$G$2:$Q$1858,0,MATCH(I$8,'Data tổng hợp I'!$G$2:$Q$2,0)),
  'Data tổng hợp I'!$B$2:$B$1858,'Form mẫu'!$U$2,
  'Data tổng hợp I'!$C$2:$C$1858,'Form mẫu'!$A28,
  'Data tổng hợp I'!$D$2:$D$1858,'Form mẫu'!$B28,
  'Data tổng hợp I'!$E$2:$E$1858,'Form mẫu'!$C28,
  'Data tổng hợp I'!$F$2:$F$1858,'Form mẫu'!$D28
)</f>
        <v>0</v>
      </c>
      <c r="J28" s="2099">
        <f>SUMIFS(
  INDEX('Data tổng hợp I'!$G$2:$Q$1858,0,MATCH(J$8,'Data tổng hợp I'!$G$2:$Q$2,0)),
  'Data tổng hợp I'!$B$2:$B$1858,'Form mẫu'!$U$2,
  'Data tổng hợp I'!$C$2:$C$1858,'Form mẫu'!$A28,
  'Data tổng hợp I'!$D$2:$D$1858,'Form mẫu'!$B28,
  'Data tổng hợp I'!$E$2:$E$1858,'Form mẫu'!$C28,
  'Data tổng hợp I'!$F$2:$F$1858,'Form mẫu'!$D28
)</f>
        <v>0</v>
      </c>
      <c r="K28" s="2099">
        <f>SUMIFS(
  INDEX('Data tổng hợp I'!$G$2:$Q$1858,0,MATCH(K$8,'Data tổng hợp I'!$G$2:$Q$2,0)),
  'Data tổng hợp I'!$B$2:$B$1858,'Form mẫu'!$U$2,
  'Data tổng hợp I'!$C$2:$C$1858,'Form mẫu'!$A28,
  'Data tổng hợp I'!$D$2:$D$1858,'Form mẫu'!$B28,
  'Data tổng hợp I'!$E$2:$E$1858,'Form mẫu'!$C28,
  'Data tổng hợp I'!$F$2:$F$1858,'Form mẫu'!$D28
)</f>
        <v>0</v>
      </c>
      <c r="L28" s="2099">
        <f>SUMIFS(
  INDEX('Data tổng hợp I'!$G$2:$Q$1858,0,MATCH(L$8,'Data tổng hợp I'!$G$2:$Q$2,0)),
  'Data tổng hợp I'!$B$2:$B$1858,'Form mẫu'!$U$2,
  'Data tổng hợp I'!$C$2:$C$1858,'Form mẫu'!$A28,
  'Data tổng hợp I'!$D$2:$D$1858,'Form mẫu'!$B28,
  'Data tổng hợp I'!$E$2:$E$1858,'Form mẫu'!$C28,
  'Data tổng hợp I'!$F$2:$F$1858,'Form mẫu'!$D28
)</f>
        <v>0</v>
      </c>
      <c r="M28" s="2099">
        <f>SUMIFS(
  INDEX('Data tổng hợp I'!$G$2:$Q$1858,0,MATCH(M$8,'Data tổng hợp I'!$G$2:$Q$2,0)),
  'Data tổng hợp I'!$B$2:$B$1858,'Form mẫu'!$U$2,
  'Data tổng hợp I'!$C$2:$C$1858,'Form mẫu'!$A28,
  'Data tổng hợp I'!$D$2:$D$1858,'Form mẫu'!$B28,
  'Data tổng hợp I'!$E$2:$E$1858,'Form mẫu'!$C28,
  'Data tổng hợp I'!$F$2:$F$1858,'Form mẫu'!$D28
)</f>
        <v>0</v>
      </c>
      <c r="N28" s="2098">
        <f>SUMIFS(
  INDEX('Data tổng hợp I'!$G$2:$Q$1858,0,MATCH(N$8,'Data tổng hợp I'!$G$2:$Q$2,0)),
  'Data tổng hợp I'!$B$2:$B$1858,'Form mẫu'!$U$2,
  'Data tổng hợp I'!$C$2:$C$1858,'Form mẫu'!$A28,
  'Data tổng hợp I'!$D$2:$D$1858,'Form mẫu'!$B28,
  'Data tổng hợp I'!$E$2:$E$1858,'Form mẫu'!$C28,
  'Data tổng hợp I'!$F$2:$F$1858,'Form mẫu'!$D28
)</f>
        <v>0</v>
      </c>
      <c r="O28" s="2098">
        <f>SUMIFS(
  INDEX('Data tổng hợp I'!$G$2:$Q$1858,0,MATCH(O$8,'Data tổng hợp I'!$G$2:$Q$2,0)),
  'Data tổng hợp I'!$B$2:$B$1858,'Form mẫu'!$U$2,
  'Data tổng hợp I'!$C$2:$C$1858,'Form mẫu'!$A28,
  'Data tổng hợp I'!$D$2:$D$1858,'Form mẫu'!$B28,
  'Data tổng hợp I'!$E$2:$E$1858,'Form mẫu'!$C28,
  'Data tổng hợp I'!$F$2:$F$1858,'Form mẫu'!$D28
)</f>
        <v>0</v>
      </c>
    </row>
    <row r="29" spans="1:17" s="1" customFormat="1" ht="28" customHeight="1" x14ac:dyDescent="0.2">
      <c r="A29" s="1903" t="s">
        <v>25</v>
      </c>
      <c r="B29" s="1903" t="s">
        <v>116</v>
      </c>
      <c r="C29" s="2074" t="s">
        <v>1013</v>
      </c>
      <c r="D29" s="2089" t="s">
        <v>21</v>
      </c>
      <c r="E29" s="2072">
        <f>SUMIFS(
  INDEX('Data tổng hợp I'!$G$2:$Q$1858,0,MATCH(E$8,'Data tổng hợp I'!$G$2:$Q$2,0)),
  'Data tổng hợp I'!$B$2:$B$1858,'Form mẫu'!$U$2,
  'Data tổng hợp I'!$C$2:$C$1858,'Form mẫu'!$A29,
  'Data tổng hợp I'!$D$2:$D$1858,'Form mẫu'!$B29,
  'Data tổng hợp I'!$E$2:$E$1858,'Form mẫu'!$C29,
  'Data tổng hợp I'!$F$2:$F$1858,'Form mẫu'!$D29
)</f>
        <v>0</v>
      </c>
      <c r="F29" s="2072">
        <f>SUMIFS(
  INDEX('Data tổng hợp I'!$G$2:$Q$1858,0,MATCH(F$8,'Data tổng hợp I'!$G$2:$Q$2,0)),
  'Data tổng hợp I'!$B$2:$B$1858,'Form mẫu'!$U$2,
  'Data tổng hợp I'!$C$2:$C$1858,'Form mẫu'!$A29,
  'Data tổng hợp I'!$D$2:$D$1858,'Form mẫu'!$B29,
  'Data tổng hợp I'!$E$2:$E$1858,'Form mẫu'!$C29,
  'Data tổng hợp I'!$F$2:$F$1858,'Form mẫu'!$D29
)</f>
        <v>0</v>
      </c>
      <c r="G29" s="2072">
        <f>SUMIFS(
  INDEX('Data tổng hợp I'!$G$2:$Q$1858,0,MATCH(G$8,'Data tổng hợp I'!$G$2:$Q$2,0)),
  'Data tổng hợp I'!$B$2:$B$1858,'Form mẫu'!$U$2,
  'Data tổng hợp I'!$C$2:$C$1858,'Form mẫu'!$A29,
  'Data tổng hợp I'!$D$2:$D$1858,'Form mẫu'!$B29,
  'Data tổng hợp I'!$E$2:$E$1858,'Form mẫu'!$C29,
  'Data tổng hợp I'!$F$2:$F$1858,'Form mẫu'!$D29
)</f>
        <v>0</v>
      </c>
      <c r="H29" s="2072">
        <f>SUMIFS(
  INDEX('Data tổng hợp I'!$G$2:$Q$1858,0,MATCH(H$8,'Data tổng hợp I'!$G$2:$Q$2,0)),
  'Data tổng hợp I'!$B$2:$B$1858,'Form mẫu'!$U$2,
  'Data tổng hợp I'!$C$2:$C$1858,'Form mẫu'!$A29,
  'Data tổng hợp I'!$D$2:$D$1858,'Form mẫu'!$B29,
  'Data tổng hợp I'!$E$2:$E$1858,'Form mẫu'!$C29,
  'Data tổng hợp I'!$F$2:$F$1858,'Form mẫu'!$D29
)</f>
        <v>0</v>
      </c>
      <c r="I29" s="2072">
        <f>SUMIFS(
  INDEX('Data tổng hợp I'!$G$2:$Q$1858,0,MATCH(I$8,'Data tổng hợp I'!$G$2:$Q$2,0)),
  'Data tổng hợp I'!$B$2:$B$1858,'Form mẫu'!$U$2,
  'Data tổng hợp I'!$C$2:$C$1858,'Form mẫu'!$A29,
  'Data tổng hợp I'!$D$2:$D$1858,'Form mẫu'!$B29,
  'Data tổng hợp I'!$E$2:$E$1858,'Form mẫu'!$C29,
  'Data tổng hợp I'!$F$2:$F$1858,'Form mẫu'!$D29
)</f>
        <v>0</v>
      </c>
      <c r="J29" s="2072">
        <f>SUMIFS(
  INDEX('Data tổng hợp I'!$G$2:$Q$1858,0,MATCH(J$8,'Data tổng hợp I'!$G$2:$Q$2,0)),
  'Data tổng hợp I'!$B$2:$B$1858,'Form mẫu'!$U$2,
  'Data tổng hợp I'!$C$2:$C$1858,'Form mẫu'!$A29,
  'Data tổng hợp I'!$D$2:$D$1858,'Form mẫu'!$B29,
  'Data tổng hợp I'!$E$2:$E$1858,'Form mẫu'!$C29,
  'Data tổng hợp I'!$F$2:$F$1858,'Form mẫu'!$D29
)</f>
        <v>0</v>
      </c>
      <c r="K29" s="2072">
        <f>SUMIFS(
  INDEX('Data tổng hợp I'!$G$2:$Q$1858,0,MATCH(K$8,'Data tổng hợp I'!$G$2:$Q$2,0)),
  'Data tổng hợp I'!$B$2:$B$1858,'Form mẫu'!$U$2,
  'Data tổng hợp I'!$C$2:$C$1858,'Form mẫu'!$A29,
  'Data tổng hợp I'!$D$2:$D$1858,'Form mẫu'!$B29,
  'Data tổng hợp I'!$E$2:$E$1858,'Form mẫu'!$C29,
  'Data tổng hợp I'!$F$2:$F$1858,'Form mẫu'!$D29
)</f>
        <v>0</v>
      </c>
      <c r="L29" s="2072">
        <f>SUMIFS(
  INDEX('Data tổng hợp I'!$G$2:$Q$1858,0,MATCH(L$8,'Data tổng hợp I'!$G$2:$Q$2,0)),
  'Data tổng hợp I'!$B$2:$B$1858,'Form mẫu'!$U$2,
  'Data tổng hợp I'!$C$2:$C$1858,'Form mẫu'!$A29,
  'Data tổng hợp I'!$D$2:$D$1858,'Form mẫu'!$B29,
  'Data tổng hợp I'!$E$2:$E$1858,'Form mẫu'!$C29,
  'Data tổng hợp I'!$F$2:$F$1858,'Form mẫu'!$D29
)</f>
        <v>0</v>
      </c>
      <c r="M29" s="2072">
        <f>SUMIFS(
  INDEX('Data tổng hợp I'!$G$2:$Q$1858,0,MATCH(M$8,'Data tổng hợp I'!$G$2:$Q$2,0)),
  'Data tổng hợp I'!$B$2:$B$1858,'Form mẫu'!$U$2,
  'Data tổng hợp I'!$C$2:$C$1858,'Form mẫu'!$A29,
  'Data tổng hợp I'!$D$2:$D$1858,'Form mẫu'!$B29,
  'Data tổng hợp I'!$E$2:$E$1858,'Form mẫu'!$C29,
  'Data tổng hợp I'!$F$2:$F$1858,'Form mẫu'!$D29
)</f>
        <v>0</v>
      </c>
      <c r="N29" s="2072">
        <f>SUMIFS(
  INDEX('Data tổng hợp I'!$G$2:$Q$1858,0,MATCH(N$8,'Data tổng hợp I'!$G$2:$Q$2,0)),
  'Data tổng hợp I'!$B$2:$B$1858,'Form mẫu'!$U$2,
  'Data tổng hợp I'!$C$2:$C$1858,'Form mẫu'!$A29,
  'Data tổng hợp I'!$D$2:$D$1858,'Form mẫu'!$B29,
  'Data tổng hợp I'!$E$2:$E$1858,'Form mẫu'!$C29,
  'Data tổng hợp I'!$F$2:$F$1858,'Form mẫu'!$D29
)</f>
        <v>0</v>
      </c>
      <c r="O29" s="2072">
        <f>SUMIFS(
  INDEX('Data tổng hợp I'!$G$2:$Q$1858,0,MATCH(O$8,'Data tổng hợp I'!$G$2:$Q$2,0)),
  'Data tổng hợp I'!$B$2:$B$1858,'Form mẫu'!$U$2,
  'Data tổng hợp I'!$C$2:$C$1858,'Form mẫu'!$A29,
  'Data tổng hợp I'!$D$2:$D$1858,'Form mẫu'!$B29,
  'Data tổng hợp I'!$E$2:$E$1858,'Form mẫu'!$C29,
  'Data tổng hợp I'!$F$2:$F$1858,'Form mẫu'!$D29
)</f>
        <v>0</v>
      </c>
    </row>
    <row r="30" spans="1:17" s="1" customFormat="1" ht="28" customHeight="1" x14ac:dyDescent="0.2">
      <c r="A30" s="1902" t="s">
        <v>25</v>
      </c>
      <c r="B30" s="1568" t="s">
        <v>116</v>
      </c>
      <c r="C30" s="2070" t="s">
        <v>1013</v>
      </c>
      <c r="D30" s="2089" t="s">
        <v>22</v>
      </c>
      <c r="E30" s="2098">
        <f>SUMIFS(
  INDEX('Data tổng hợp I'!$G$2:$Q$1858,0,MATCH(E$8,'Data tổng hợp I'!$G$2:$Q$2,0)),
  'Data tổng hợp I'!$B$2:$B$1858,'Form mẫu'!$U$2,
  'Data tổng hợp I'!$C$2:$C$1858,'Form mẫu'!$A30,
  'Data tổng hợp I'!$D$2:$D$1858,'Form mẫu'!$B30,
  'Data tổng hợp I'!$E$2:$E$1858,'Form mẫu'!$C30,
  'Data tổng hợp I'!$F$2:$F$1858,'Form mẫu'!$D30
)</f>
        <v>0</v>
      </c>
      <c r="F30" s="2099">
        <f>SUMIFS(
  INDEX('Data tổng hợp I'!$G$2:$Q$1858,0,MATCH(F$8,'Data tổng hợp I'!$G$2:$Q$2,0)),
  'Data tổng hợp I'!$B$2:$B$1858,'Form mẫu'!$U$2,
  'Data tổng hợp I'!$C$2:$C$1858,'Form mẫu'!$A30,
  'Data tổng hợp I'!$D$2:$D$1858,'Form mẫu'!$B30,
  'Data tổng hợp I'!$E$2:$E$1858,'Form mẫu'!$C30,
  'Data tổng hợp I'!$F$2:$F$1858,'Form mẫu'!$D30
)</f>
        <v>0</v>
      </c>
      <c r="G30" s="2099">
        <f>SUMIFS(
  INDEX('Data tổng hợp I'!$G$2:$Q$1858,0,MATCH(G$8,'Data tổng hợp I'!$G$2:$Q$2,0)),
  'Data tổng hợp I'!$B$2:$B$1858,'Form mẫu'!$U$2,
  'Data tổng hợp I'!$C$2:$C$1858,'Form mẫu'!$A30,
  'Data tổng hợp I'!$D$2:$D$1858,'Form mẫu'!$B30,
  'Data tổng hợp I'!$E$2:$E$1858,'Form mẫu'!$C30,
  'Data tổng hợp I'!$F$2:$F$1858,'Form mẫu'!$D30
)</f>
        <v>0</v>
      </c>
      <c r="H30" s="2099">
        <f>SUMIFS(
  INDEX('Data tổng hợp I'!$G$2:$Q$1858,0,MATCH(H$8,'Data tổng hợp I'!$G$2:$Q$2,0)),
  'Data tổng hợp I'!$B$2:$B$1858,'Form mẫu'!$U$2,
  'Data tổng hợp I'!$C$2:$C$1858,'Form mẫu'!$A30,
  'Data tổng hợp I'!$D$2:$D$1858,'Form mẫu'!$B30,
  'Data tổng hợp I'!$E$2:$E$1858,'Form mẫu'!$C30,
  'Data tổng hợp I'!$F$2:$F$1858,'Form mẫu'!$D30
)</f>
        <v>0</v>
      </c>
      <c r="I30" s="2099">
        <f>SUMIFS(
  INDEX('Data tổng hợp I'!$G$2:$Q$1858,0,MATCH(I$8,'Data tổng hợp I'!$G$2:$Q$2,0)),
  'Data tổng hợp I'!$B$2:$B$1858,'Form mẫu'!$U$2,
  'Data tổng hợp I'!$C$2:$C$1858,'Form mẫu'!$A30,
  'Data tổng hợp I'!$D$2:$D$1858,'Form mẫu'!$B30,
  'Data tổng hợp I'!$E$2:$E$1858,'Form mẫu'!$C30,
  'Data tổng hợp I'!$F$2:$F$1858,'Form mẫu'!$D30
)</f>
        <v>0</v>
      </c>
      <c r="J30" s="2099">
        <f>SUMIFS(
  INDEX('Data tổng hợp I'!$G$2:$Q$1858,0,MATCH(J$8,'Data tổng hợp I'!$G$2:$Q$2,0)),
  'Data tổng hợp I'!$B$2:$B$1858,'Form mẫu'!$U$2,
  'Data tổng hợp I'!$C$2:$C$1858,'Form mẫu'!$A30,
  'Data tổng hợp I'!$D$2:$D$1858,'Form mẫu'!$B30,
  'Data tổng hợp I'!$E$2:$E$1858,'Form mẫu'!$C30,
  'Data tổng hợp I'!$F$2:$F$1858,'Form mẫu'!$D30
)</f>
        <v>0</v>
      </c>
      <c r="K30" s="2099">
        <f>SUMIFS(
  INDEX('Data tổng hợp I'!$G$2:$Q$1858,0,MATCH(K$8,'Data tổng hợp I'!$G$2:$Q$2,0)),
  'Data tổng hợp I'!$B$2:$B$1858,'Form mẫu'!$U$2,
  'Data tổng hợp I'!$C$2:$C$1858,'Form mẫu'!$A30,
  'Data tổng hợp I'!$D$2:$D$1858,'Form mẫu'!$B30,
  'Data tổng hợp I'!$E$2:$E$1858,'Form mẫu'!$C30,
  'Data tổng hợp I'!$F$2:$F$1858,'Form mẫu'!$D30
)</f>
        <v>0</v>
      </c>
      <c r="L30" s="2099">
        <f>SUMIFS(
  INDEX('Data tổng hợp I'!$G$2:$Q$1858,0,MATCH(L$8,'Data tổng hợp I'!$G$2:$Q$2,0)),
  'Data tổng hợp I'!$B$2:$B$1858,'Form mẫu'!$U$2,
  'Data tổng hợp I'!$C$2:$C$1858,'Form mẫu'!$A30,
  'Data tổng hợp I'!$D$2:$D$1858,'Form mẫu'!$B30,
  'Data tổng hợp I'!$E$2:$E$1858,'Form mẫu'!$C30,
  'Data tổng hợp I'!$F$2:$F$1858,'Form mẫu'!$D30
)</f>
        <v>0</v>
      </c>
      <c r="M30" s="2099">
        <f>SUMIFS(
  INDEX('Data tổng hợp I'!$G$2:$Q$1858,0,MATCH(M$8,'Data tổng hợp I'!$G$2:$Q$2,0)),
  'Data tổng hợp I'!$B$2:$B$1858,'Form mẫu'!$U$2,
  'Data tổng hợp I'!$C$2:$C$1858,'Form mẫu'!$A30,
  'Data tổng hợp I'!$D$2:$D$1858,'Form mẫu'!$B30,
  'Data tổng hợp I'!$E$2:$E$1858,'Form mẫu'!$C30,
  'Data tổng hợp I'!$F$2:$F$1858,'Form mẫu'!$D30
)</f>
        <v>0</v>
      </c>
      <c r="N30" s="2098">
        <f>SUMIFS(
  INDEX('Data tổng hợp I'!$G$2:$Q$1858,0,MATCH(N$8,'Data tổng hợp I'!$G$2:$Q$2,0)),
  'Data tổng hợp I'!$B$2:$B$1858,'Form mẫu'!$U$2,
  'Data tổng hợp I'!$C$2:$C$1858,'Form mẫu'!$A30,
  'Data tổng hợp I'!$D$2:$D$1858,'Form mẫu'!$B30,
  'Data tổng hợp I'!$E$2:$E$1858,'Form mẫu'!$C30,
  'Data tổng hợp I'!$F$2:$F$1858,'Form mẫu'!$D30
)</f>
        <v>0</v>
      </c>
      <c r="O30" s="2098">
        <f>SUMIFS(
  INDEX('Data tổng hợp I'!$G$2:$Q$1858,0,MATCH(O$8,'Data tổng hợp I'!$G$2:$Q$2,0)),
  'Data tổng hợp I'!$B$2:$B$1858,'Form mẫu'!$U$2,
  'Data tổng hợp I'!$C$2:$C$1858,'Form mẫu'!$A30,
  'Data tổng hợp I'!$D$2:$D$1858,'Form mẫu'!$B30,
  'Data tổng hợp I'!$E$2:$E$1858,'Form mẫu'!$C30,
  'Data tổng hợp I'!$F$2:$F$1858,'Form mẫu'!$D30
)</f>
        <v>0</v>
      </c>
    </row>
    <row r="31" spans="1:17" s="1" customFormat="1" ht="28" customHeight="1" x14ac:dyDescent="0.2">
      <c r="A31" s="1902" t="s">
        <v>25</v>
      </c>
      <c r="B31" s="1568" t="s">
        <v>116</v>
      </c>
      <c r="C31" s="2090" t="s">
        <v>83</v>
      </c>
      <c r="D31" s="2091" t="s">
        <v>21</v>
      </c>
      <c r="E31" s="2078">
        <f t="shared" ref="E31:K31" si="3">E29-E27</f>
        <v>0</v>
      </c>
      <c r="F31" s="2078">
        <f t="shared" si="3"/>
        <v>0</v>
      </c>
      <c r="G31" s="2078">
        <f t="shared" si="3"/>
        <v>0</v>
      </c>
      <c r="H31" s="2078">
        <f t="shared" si="3"/>
        <v>0</v>
      </c>
      <c r="I31" s="2078">
        <f t="shared" si="3"/>
        <v>0</v>
      </c>
      <c r="J31" s="2079">
        <f t="shared" si="3"/>
        <v>0</v>
      </c>
      <c r="K31" s="2078">
        <f t="shared" si="3"/>
        <v>0</v>
      </c>
      <c r="L31" s="2080"/>
      <c r="M31" s="2081"/>
      <c r="N31" s="2081"/>
      <c r="O31" s="2078"/>
    </row>
    <row r="32" spans="1:17" s="1" customFormat="1" ht="28" customHeight="1" x14ac:dyDescent="0.2">
      <c r="A32" s="1902" t="s">
        <v>25</v>
      </c>
      <c r="B32" s="1584" t="s">
        <v>116</v>
      </c>
      <c r="C32" s="2129" t="s">
        <v>83</v>
      </c>
      <c r="D32" s="2093" t="s">
        <v>22</v>
      </c>
      <c r="E32" s="2079"/>
      <c r="F32" s="2079">
        <f>F30-F28</f>
        <v>0</v>
      </c>
      <c r="G32" s="2079">
        <f>G30-G28</f>
        <v>0</v>
      </c>
      <c r="H32" s="2079">
        <f>H30-H28</f>
        <v>0</v>
      </c>
      <c r="I32" s="2079">
        <f>I30-I28</f>
        <v>0</v>
      </c>
      <c r="J32" s="2094"/>
      <c r="K32" s="2094"/>
      <c r="L32" s="2095"/>
      <c r="M32" s="2096"/>
      <c r="N32" s="2096"/>
      <c r="O32" s="2380"/>
    </row>
    <row r="33" spans="1:15" s="1" customFormat="1" ht="28" customHeight="1" x14ac:dyDescent="0.2">
      <c r="A33" s="3136" t="s">
        <v>674</v>
      </c>
      <c r="B33" s="3137"/>
      <c r="C33" s="2105" t="s">
        <v>1016</v>
      </c>
      <c r="D33" s="2106" t="s">
        <v>21</v>
      </c>
      <c r="E33" s="2107">
        <f t="shared" ref="E33:J33" si="4">E15+E21+E27</f>
        <v>0</v>
      </c>
      <c r="F33" s="2107">
        <f t="shared" si="4"/>
        <v>0</v>
      </c>
      <c r="G33" s="2107">
        <f t="shared" si="4"/>
        <v>0</v>
      </c>
      <c r="H33" s="2107">
        <f t="shared" si="4"/>
        <v>0</v>
      </c>
      <c r="I33" s="2107">
        <f t="shared" si="4"/>
        <v>0</v>
      </c>
      <c r="J33" s="2108">
        <f t="shared" si="4"/>
        <v>0</v>
      </c>
      <c r="K33" s="2109" t="e">
        <f>I33/J33</f>
        <v>#DIV/0!</v>
      </c>
      <c r="L33" s="2110"/>
      <c r="M33" s="2111"/>
      <c r="N33" s="2111"/>
      <c r="O33" s="2110"/>
    </row>
    <row r="34" spans="1:15" s="1" customFormat="1" ht="28" customHeight="1" x14ac:dyDescent="0.2">
      <c r="A34" s="3138"/>
      <c r="B34" s="3139"/>
      <c r="C34" s="2112" t="s">
        <v>1016</v>
      </c>
      <c r="D34" s="2106" t="s">
        <v>22</v>
      </c>
      <c r="E34" s="2113"/>
      <c r="F34" s="2114">
        <f>IFERROR(F33/$I$33*100,0)</f>
        <v>0</v>
      </c>
      <c r="G34" s="2114">
        <f>IFERROR(G33/$I$33*100,0)</f>
        <v>0</v>
      </c>
      <c r="H34" s="2114">
        <f>IFERROR(H33/$I$33*100,0)</f>
        <v>0</v>
      </c>
      <c r="I34" s="2115">
        <f>SUM(F34:H34)</f>
        <v>0</v>
      </c>
      <c r="J34" s="2116"/>
      <c r="K34" s="2116"/>
      <c r="L34" s="2117" t="e">
        <f>I33/E33*100</f>
        <v>#DIV/0!</v>
      </c>
      <c r="M34" s="2114" t="e">
        <f>IF(L34=0,0,100-L34)</f>
        <v>#DIV/0!</v>
      </c>
      <c r="N34" s="2118"/>
      <c r="O34" s="2119"/>
    </row>
    <row r="35" spans="1:15" s="1" customFormat="1" ht="28" customHeight="1" x14ac:dyDescent="0.2">
      <c r="A35" s="3138"/>
      <c r="B35" s="3140"/>
      <c r="C35" s="2105" t="s">
        <v>1017</v>
      </c>
      <c r="D35" s="2120" t="s">
        <v>21</v>
      </c>
      <c r="E35" s="2107">
        <f t="shared" ref="E35:J35" si="5">E17+E23+E29</f>
        <v>0</v>
      </c>
      <c r="F35" s="2107">
        <f t="shared" si="5"/>
        <v>0</v>
      </c>
      <c r="G35" s="2107">
        <f t="shared" si="5"/>
        <v>0</v>
      </c>
      <c r="H35" s="2107">
        <f t="shared" si="5"/>
        <v>0</v>
      </c>
      <c r="I35" s="2107">
        <f t="shared" si="5"/>
        <v>0</v>
      </c>
      <c r="J35" s="2108">
        <f t="shared" si="5"/>
        <v>0</v>
      </c>
      <c r="K35" s="2109" t="e">
        <f>+I35/J35</f>
        <v>#DIV/0!</v>
      </c>
      <c r="L35" s="2121"/>
      <c r="M35" s="2122"/>
      <c r="N35" s="2122"/>
      <c r="O35" s="2110" t="e">
        <f>J23*O23+J29*O29/J35</f>
        <v>#DIV/0!</v>
      </c>
    </row>
    <row r="36" spans="1:15" s="1" customFormat="1" ht="28" customHeight="1" x14ac:dyDescent="0.2">
      <c r="A36" s="3138"/>
      <c r="B36" s="3140"/>
      <c r="C36" s="2112" t="s">
        <v>1017</v>
      </c>
      <c r="D36" s="2120" t="s">
        <v>22</v>
      </c>
      <c r="E36" s="2108"/>
      <c r="F36" s="2114">
        <f>IFERROR(F35/$I$35*100,0)</f>
        <v>0</v>
      </c>
      <c r="G36" s="2114">
        <f>IFERROR(G35/$I$35*100,0)</f>
        <v>0</v>
      </c>
      <c r="H36" s="2114">
        <f>IFERROR(H35/$I$35*100,0)</f>
        <v>0</v>
      </c>
      <c r="I36" s="2114">
        <f>SUM(F36:H36)</f>
        <v>0</v>
      </c>
      <c r="J36" s="2123"/>
      <c r="K36" s="2123"/>
      <c r="L36" s="2124" t="e">
        <f>+I35/E35*100</f>
        <v>#DIV/0!</v>
      </c>
      <c r="M36" s="2114" t="e">
        <f>IF(L36=0,0,100-L36)</f>
        <v>#DIV/0!</v>
      </c>
      <c r="N36" s="2125"/>
      <c r="O36" s="2126"/>
    </row>
    <row r="37" spans="1:15" s="1" customFormat="1" ht="28" customHeight="1" x14ac:dyDescent="0.2">
      <c r="A37" s="3138"/>
      <c r="B37" s="3140"/>
      <c r="C37" s="2090" t="s">
        <v>83</v>
      </c>
      <c r="D37" s="2091" t="s">
        <v>21</v>
      </c>
      <c r="E37" s="2127">
        <f t="shared" ref="E37:L37" si="6">E35-E33</f>
        <v>0</v>
      </c>
      <c r="F37" s="2127">
        <f t="shared" si="6"/>
        <v>0</v>
      </c>
      <c r="G37" s="2127">
        <f t="shared" si="6"/>
        <v>0</v>
      </c>
      <c r="H37" s="2127">
        <f t="shared" si="6"/>
        <v>0</v>
      </c>
      <c r="I37" s="2127">
        <f t="shared" si="6"/>
        <v>0</v>
      </c>
      <c r="J37" s="2128">
        <f t="shared" si="6"/>
        <v>0</v>
      </c>
      <c r="K37" s="2127" t="e">
        <f t="shared" si="6"/>
        <v>#DIV/0!</v>
      </c>
      <c r="L37" s="2127">
        <f t="shared" si="6"/>
        <v>0</v>
      </c>
      <c r="M37" s="2128"/>
      <c r="N37" s="2128"/>
      <c r="O37" s="2127"/>
    </row>
    <row r="38" spans="1:15" s="1" customFormat="1" ht="28" customHeight="1" x14ac:dyDescent="0.2">
      <c r="A38" s="3138"/>
      <c r="B38" s="3140"/>
      <c r="C38" s="2129" t="s">
        <v>83</v>
      </c>
      <c r="D38" s="2093" t="s">
        <v>22</v>
      </c>
      <c r="E38" s="2128"/>
      <c r="F38" s="2079">
        <f>F36-F34</f>
        <v>0</v>
      </c>
      <c r="G38" s="2079">
        <f>G36-G34</f>
        <v>0</v>
      </c>
      <c r="H38" s="2079">
        <f>H36-H34</f>
        <v>0</v>
      </c>
      <c r="I38" s="2079"/>
      <c r="J38" s="2094"/>
      <c r="K38" s="2094"/>
      <c r="L38" s="2095"/>
      <c r="M38" s="2096"/>
      <c r="N38" s="2096"/>
      <c r="O38" s="2097"/>
    </row>
    <row r="39" spans="1:15" s="1" customFormat="1" ht="60" customHeight="1" x14ac:dyDescent="0.2">
      <c r="A39" s="3141" t="s">
        <v>28</v>
      </c>
      <c r="B39" s="3142"/>
      <c r="C39" s="2130" t="s">
        <v>1018</v>
      </c>
      <c r="D39" s="2131" t="s">
        <v>21</v>
      </c>
      <c r="E39" s="2132">
        <f t="shared" ref="E39:J39" si="7">E9+E33</f>
        <v>0</v>
      </c>
      <c r="F39" s="2132">
        <f t="shared" si="7"/>
        <v>0</v>
      </c>
      <c r="G39" s="2132">
        <f t="shared" si="7"/>
        <v>0</v>
      </c>
      <c r="H39" s="2132">
        <f t="shared" si="7"/>
        <v>0</v>
      </c>
      <c r="I39" s="2132">
        <f t="shared" si="7"/>
        <v>0</v>
      </c>
      <c r="J39" s="2133">
        <f t="shared" si="7"/>
        <v>0</v>
      </c>
      <c r="K39" s="2134" t="e">
        <f>+I39/J39</f>
        <v>#DIV/0!</v>
      </c>
      <c r="L39" s="2135"/>
      <c r="M39" s="2136"/>
      <c r="N39" s="2136"/>
      <c r="O39" s="2137"/>
    </row>
    <row r="40" spans="1:15" s="1" customFormat="1" ht="28" customHeight="1" x14ac:dyDescent="0.2">
      <c r="A40" s="3143"/>
      <c r="B40" s="3144"/>
      <c r="C40" s="2138" t="s">
        <v>1018</v>
      </c>
      <c r="D40" s="2131" t="s">
        <v>22</v>
      </c>
      <c r="E40" s="2139"/>
      <c r="F40" s="2140">
        <f>IFERROR(F39/$I$39*100,0)</f>
        <v>0</v>
      </c>
      <c r="G40" s="2140">
        <f>IFERROR(G39/$I$39*100,0)</f>
        <v>0</v>
      </c>
      <c r="H40" s="2140">
        <f>IFERROR(H39/$I$39*100,0)</f>
        <v>0</v>
      </c>
      <c r="I40" s="2140">
        <f>SUM(F40:H40)</f>
        <v>0</v>
      </c>
      <c r="J40" s="2141"/>
      <c r="K40" s="2141"/>
      <c r="L40" s="2142" t="e">
        <f>+I39/E39*100</f>
        <v>#DIV/0!</v>
      </c>
      <c r="M40" s="2140" t="e">
        <f>IF(L40=0,0,100-L40)</f>
        <v>#DIV/0!</v>
      </c>
      <c r="N40" s="2143"/>
      <c r="O40" s="2137"/>
    </row>
    <row r="41" spans="1:15" s="1" customFormat="1" ht="55" customHeight="1" x14ac:dyDescent="0.2">
      <c r="A41" s="3143"/>
      <c r="B41" s="3145"/>
      <c r="C41" s="2130" t="s">
        <v>1019</v>
      </c>
      <c r="D41" s="2144" t="s">
        <v>21</v>
      </c>
      <c r="E41" s="2132">
        <f t="shared" ref="E41:J41" si="8">E11+E35</f>
        <v>0</v>
      </c>
      <c r="F41" s="2132">
        <f t="shared" si="8"/>
        <v>0</v>
      </c>
      <c r="G41" s="2132">
        <f t="shared" si="8"/>
        <v>0</v>
      </c>
      <c r="H41" s="2132">
        <f t="shared" si="8"/>
        <v>0</v>
      </c>
      <c r="I41" s="2132">
        <f t="shared" si="8"/>
        <v>0</v>
      </c>
      <c r="J41" s="2133">
        <f t="shared" si="8"/>
        <v>0</v>
      </c>
      <c r="K41" s="2134" t="e">
        <f>I41/J41</f>
        <v>#DIV/0!</v>
      </c>
      <c r="L41" s="2145"/>
      <c r="M41" s="2146"/>
      <c r="N41" s="2146"/>
      <c r="O41" s="2137"/>
    </row>
    <row r="42" spans="1:15" s="1" customFormat="1" ht="28" customHeight="1" x14ac:dyDescent="0.2">
      <c r="A42" s="3143"/>
      <c r="B42" s="3145"/>
      <c r="C42" s="2138" t="s">
        <v>1020</v>
      </c>
      <c r="D42" s="2144" t="s">
        <v>22</v>
      </c>
      <c r="E42" s="2139"/>
      <c r="F42" s="2140">
        <f>IFERROR(F41/$I$41*100,0)</f>
        <v>0</v>
      </c>
      <c r="G42" s="2140">
        <f>IFERROR(G41/$I$41*100,0)</f>
        <v>0</v>
      </c>
      <c r="H42" s="2140">
        <f>IFERROR(H41/$I$41*100,0)</f>
        <v>0</v>
      </c>
      <c r="I42" s="2140">
        <f>SUM(F42:H42)</f>
        <v>0</v>
      </c>
      <c r="J42" s="2141"/>
      <c r="K42" s="2141"/>
      <c r="L42" s="2142" t="e">
        <f>I41/E41*100</f>
        <v>#DIV/0!</v>
      </c>
      <c r="M42" s="2140" t="e">
        <f>IF(L42=0,0,100-L42)</f>
        <v>#DIV/0!</v>
      </c>
      <c r="N42" s="2143"/>
      <c r="O42" s="2137"/>
    </row>
    <row r="43" spans="1:15" s="1" customFormat="1" ht="28" customHeight="1" x14ac:dyDescent="0.2">
      <c r="A43" s="3143"/>
      <c r="B43" s="3145"/>
      <c r="C43" s="2130" t="s">
        <v>83</v>
      </c>
      <c r="D43" s="2144" t="s">
        <v>21</v>
      </c>
      <c r="E43" s="2147">
        <f t="shared" ref="E43:K43" si="9">E41-E39</f>
        <v>0</v>
      </c>
      <c r="F43" s="2147">
        <f t="shared" si="9"/>
        <v>0</v>
      </c>
      <c r="G43" s="2147">
        <f t="shared" si="9"/>
        <v>0</v>
      </c>
      <c r="H43" s="2147">
        <f t="shared" si="9"/>
        <v>0</v>
      </c>
      <c r="I43" s="2147">
        <f t="shared" si="9"/>
        <v>0</v>
      </c>
      <c r="J43" s="2139">
        <f t="shared" si="9"/>
        <v>0</v>
      </c>
      <c r="K43" s="2147" t="e">
        <f t="shared" si="9"/>
        <v>#DIV/0!</v>
      </c>
      <c r="L43" s="2135"/>
      <c r="M43" s="2136"/>
      <c r="N43" s="2136"/>
      <c r="O43" s="2137"/>
    </row>
    <row r="44" spans="1:15" s="1" customFormat="1" ht="28" customHeight="1" x14ac:dyDescent="0.2">
      <c r="A44" s="3146"/>
      <c r="B44" s="3147"/>
      <c r="C44" s="2138" t="s">
        <v>30</v>
      </c>
      <c r="D44" s="2144" t="s">
        <v>22</v>
      </c>
      <c r="E44" s="2139"/>
      <c r="F44" s="2148">
        <f>F42-F40</f>
        <v>0</v>
      </c>
      <c r="G44" s="2148">
        <f>G42-G40</f>
        <v>0</v>
      </c>
      <c r="H44" s="2148">
        <f>H42-H40</f>
        <v>0</v>
      </c>
      <c r="I44" s="2148"/>
      <c r="J44" s="2149"/>
      <c r="K44" s="2149"/>
      <c r="L44" s="2135"/>
      <c r="M44" s="2136"/>
      <c r="N44" s="2136"/>
      <c r="O44" s="2150"/>
    </row>
    <row r="45" spans="1:15" s="1" customFormat="1" ht="30" customHeight="1" x14ac:dyDescent="0.2">
      <c r="A45" s="2828" t="s">
        <v>32</v>
      </c>
      <c r="B45" s="2828"/>
      <c r="C45" s="2828"/>
      <c r="D45" s="2828"/>
      <c r="E45" s="2828"/>
      <c r="F45" s="2828"/>
      <c r="G45" s="2828"/>
      <c r="H45" s="2828"/>
      <c r="I45" s="2828"/>
      <c r="J45" s="2828"/>
      <c r="K45" s="2828"/>
      <c r="L45" s="2828"/>
      <c r="M45" s="2828"/>
      <c r="N45" s="2828"/>
    </row>
    <row r="46" spans="1:15" s="1" customFormat="1" ht="42" customHeight="1" x14ac:dyDescent="0.2">
      <c r="A46" s="2663" t="s">
        <v>725</v>
      </c>
      <c r="B46" s="2725"/>
      <c r="C46" s="2725"/>
      <c r="D46" s="2725"/>
      <c r="E46" s="2725"/>
      <c r="F46" s="2725"/>
      <c r="G46" s="2725"/>
      <c r="H46" s="2725"/>
      <c r="I46" s="2725"/>
      <c r="J46" s="2725"/>
      <c r="K46" s="2725"/>
      <c r="L46" s="2725"/>
      <c r="M46" s="2725"/>
      <c r="N46" s="2725"/>
    </row>
    <row r="47" spans="1:15" s="1" customFormat="1" ht="27" customHeight="1" x14ac:dyDescent="0.2">
      <c r="A47" s="2663" t="s">
        <v>726</v>
      </c>
      <c r="B47" s="2663"/>
      <c r="C47" s="2663"/>
      <c r="D47" s="2663"/>
      <c r="E47" s="2663"/>
      <c r="F47" s="2663"/>
      <c r="G47" s="2663"/>
      <c r="H47" s="2663"/>
      <c r="I47" s="2663"/>
      <c r="J47" s="2663"/>
      <c r="K47" s="2663"/>
      <c r="L47" s="2663"/>
      <c r="M47" s="2663"/>
      <c r="N47" s="2663"/>
    </row>
    <row r="48" spans="1:15" s="1" customFormat="1" ht="23" customHeight="1" x14ac:dyDescent="0.2">
      <c r="A48" s="42" t="s">
        <v>1242</v>
      </c>
      <c r="B48" s="41"/>
      <c r="C48" s="41"/>
      <c r="D48" s="41"/>
      <c r="E48" s="41"/>
      <c r="F48" s="41"/>
      <c r="G48" s="41"/>
      <c r="H48" s="399"/>
      <c r="I48" s="439"/>
      <c r="J48" s="41"/>
      <c r="K48" s="41"/>
      <c r="L48" s="41"/>
      <c r="M48" s="41"/>
      <c r="N48" s="41"/>
    </row>
    <row r="49" spans="1:16" s="1" customFormat="1" ht="23" customHeight="1" x14ac:dyDescent="0.2">
      <c r="A49" s="42" t="s">
        <v>312</v>
      </c>
      <c r="B49" s="41"/>
      <c r="C49" s="41"/>
      <c r="D49" s="41"/>
      <c r="E49" s="41"/>
      <c r="F49" s="41"/>
      <c r="G49" s="41"/>
      <c r="H49" s="399"/>
      <c r="I49" s="439"/>
      <c r="J49" s="41"/>
      <c r="K49" s="41"/>
      <c r="L49" s="41"/>
      <c r="M49" s="41"/>
      <c r="N49" s="41"/>
    </row>
    <row r="50" spans="1:16" s="1" customFormat="1" ht="28" customHeight="1" x14ac:dyDescent="0.2">
      <c r="A50" s="3040" t="s">
        <v>135</v>
      </c>
      <c r="B50" s="3046" t="s">
        <v>6</v>
      </c>
      <c r="C50" s="3046" t="s">
        <v>105</v>
      </c>
      <c r="D50" s="3046" t="s">
        <v>17</v>
      </c>
      <c r="E50" s="3150" t="s">
        <v>106</v>
      </c>
      <c r="F50" s="3151"/>
      <c r="G50" s="3151"/>
      <c r="H50" s="3152"/>
      <c r="I50" s="2154" t="s">
        <v>107</v>
      </c>
      <c r="J50" s="3116" t="s">
        <v>47</v>
      </c>
      <c r="L50"/>
      <c r="M50"/>
      <c r="N50"/>
      <c r="O50"/>
      <c r="P50"/>
    </row>
    <row r="51" spans="1:16" s="1" customFormat="1" ht="39" customHeight="1" x14ac:dyDescent="0.2">
      <c r="A51" s="3041"/>
      <c r="B51" s="3047"/>
      <c r="C51" s="3047"/>
      <c r="D51" s="3047"/>
      <c r="E51" s="2155" t="s">
        <v>18</v>
      </c>
      <c r="F51" s="98" t="s">
        <v>19</v>
      </c>
      <c r="G51" s="98" t="s">
        <v>20</v>
      </c>
      <c r="H51" s="98" t="s">
        <v>108</v>
      </c>
      <c r="I51" s="2156" t="s">
        <v>22</v>
      </c>
      <c r="J51" s="3116"/>
      <c r="L51"/>
      <c r="M51"/>
      <c r="N51"/>
      <c r="O51"/>
      <c r="P51"/>
    </row>
    <row r="52" spans="1:16" s="1" customFormat="1" ht="27" customHeight="1" x14ac:dyDescent="0.2">
      <c r="A52" s="1901" t="s">
        <v>139</v>
      </c>
      <c r="B52" s="1901" t="s">
        <v>115</v>
      </c>
      <c r="C52" s="3109" t="s">
        <v>120</v>
      </c>
      <c r="D52" s="2157" t="s">
        <v>21</v>
      </c>
      <c r="E52" s="2158" cm="1">
        <f t="array" ref="E52">IFERROR(INDEX('Data tổng hợp II'!$H$3:$H$4909,
  MATCH(1,
    ('Data tổng hợp II'!$C$3:$C$4909="DC1")*
    ('Data tổng hợp II'!$E$3:$E$4909='Form mẫu'!$A52)*
    ('Data tổng hợp II'!$F$3:$F$4909='Form mẫu'!$C52)*
    ('Data tổng hợp II'!$B$3:$B$4909='Form mẫu'!$U$2)*('Data tổng hợp II'!$G$3:$G$4909='Form mẫu'!E$51),
  0)
),0)</f>
        <v>0</v>
      </c>
      <c r="F52" s="2158" cm="1">
        <f t="array" ref="F52">IFERROR(INDEX('Data tổng hợp II'!$H$3:$H$4909,
  MATCH(1,
    ('Data tổng hợp II'!$C$3:$C$4909="DC1")*
    ('Data tổng hợp II'!$E$3:$E$4909='Form mẫu'!$A52)*
    ('Data tổng hợp II'!$F$3:$F$4909='Form mẫu'!$C52)*
    ('Data tổng hợp II'!$B$3:$B$4909='Form mẫu'!$U$2)*('Data tổng hợp II'!$G$3:$G$4909='Form mẫu'!F$51),
  0)
),0)</f>
        <v>0</v>
      </c>
      <c r="G52" s="2158" cm="1">
        <f t="array" ref="G52">IFERROR(INDEX('Data tổng hợp II'!$H$3:$H$4909,
  MATCH(1,
    ('Data tổng hợp II'!$C$3:$C$4909="DC1")*
    ('Data tổng hợp II'!$E$3:$E$4909='Form mẫu'!$A52)*
    ('Data tổng hợp II'!$F$3:$F$4909='Form mẫu'!$C52)*
    ('Data tổng hợp II'!$B$3:$B$4909='Form mẫu'!$U$2)*('Data tổng hợp II'!$G$3:$G$4909='Form mẫu'!G$51),
  0)
),0)</f>
        <v>0</v>
      </c>
      <c r="H52" s="2159">
        <f>SUM(E52:G52)</f>
        <v>0</v>
      </c>
      <c r="I52" s="2160" t="e">
        <f>(H52/$H$94)</f>
        <v>#DIV/0!</v>
      </c>
      <c r="J52" s="2161"/>
      <c r="L52"/>
      <c r="M52"/>
      <c r="N52"/>
      <c r="O52"/>
      <c r="P52"/>
    </row>
    <row r="53" spans="1:16" s="1" customFormat="1" ht="27" customHeight="1" x14ac:dyDescent="0.2">
      <c r="A53" s="1902" t="s">
        <v>139</v>
      </c>
      <c r="B53" s="1902" t="s">
        <v>115</v>
      </c>
      <c r="C53" s="3110"/>
      <c r="D53" s="2157" t="s">
        <v>22</v>
      </c>
      <c r="E53" s="2162">
        <f>IFERROR(E52/$H52,0)</f>
        <v>0</v>
      </c>
      <c r="F53" s="2162">
        <f>IFERROR(F52/$H52,0)</f>
        <v>0</v>
      </c>
      <c r="G53" s="2162">
        <f>IFERROR(G52/$H52,0)</f>
        <v>0</v>
      </c>
      <c r="H53" s="2163"/>
      <c r="I53" s="2164"/>
      <c r="J53" s="2161"/>
      <c r="L53"/>
      <c r="M53"/>
      <c r="N53"/>
      <c r="O53"/>
      <c r="P53"/>
    </row>
    <row r="54" spans="1:16" s="1" customFormat="1" ht="27" customHeight="1" x14ac:dyDescent="0.2">
      <c r="A54" s="1902" t="s">
        <v>139</v>
      </c>
      <c r="B54" s="1902" t="s">
        <v>115</v>
      </c>
      <c r="C54" s="3109" t="s">
        <v>146</v>
      </c>
      <c r="D54" s="2157" t="s">
        <v>21</v>
      </c>
      <c r="E54" s="2158" cm="1">
        <f t="array" ref="E54">IFERROR(INDEX('Data tổng hợp II'!$H$3:$H$4909,
  MATCH(1,
    ('Data tổng hợp II'!$C$3:$C$4909="DC1")*
    ('Data tổng hợp II'!$E$3:$E$4909='Form mẫu'!$A54)*
    ('Data tổng hợp II'!$F$3:$F$4909='Form mẫu'!$C54)*
    ('Data tổng hợp II'!$B$3:$B$4909='Form mẫu'!$U$2)*('Data tổng hợp II'!$G$3:$G$4909='Form mẫu'!E$51),
  0)
),0)</f>
        <v>0</v>
      </c>
      <c r="F54" s="2158" cm="1">
        <f t="array" ref="F54">IFERROR(INDEX('Data tổng hợp II'!$H$3:$H$4909,
  MATCH(1,
    ('Data tổng hợp II'!$C$3:$C$4909="DC1")*
    ('Data tổng hợp II'!$E$3:$E$4909='Form mẫu'!$A54)*
    ('Data tổng hợp II'!$F$3:$F$4909='Form mẫu'!$C54)*
    ('Data tổng hợp II'!$B$3:$B$4909='Form mẫu'!$U$2)*('Data tổng hợp II'!$G$3:$G$4909='Form mẫu'!F$51),
  0)
),0)</f>
        <v>0</v>
      </c>
      <c r="G54" s="2158" cm="1">
        <f t="array" ref="G54">IFERROR(INDEX('Data tổng hợp II'!$H$3:$H$4909,
  MATCH(1,
    ('Data tổng hợp II'!$C$3:$C$4909="DC1")*
    ('Data tổng hợp II'!$E$3:$E$4909='Form mẫu'!$A54)*
    ('Data tổng hợp II'!$F$3:$F$4909='Form mẫu'!$C54)*
    ('Data tổng hợp II'!$B$3:$B$4909='Form mẫu'!$U$2)*('Data tổng hợp II'!$G$3:$G$4909='Form mẫu'!G$51),
  0)
),0)</f>
        <v>0</v>
      </c>
      <c r="H54" s="2159">
        <f>SUM(E54:G54)</f>
        <v>0</v>
      </c>
      <c r="I54" s="2160" t="e">
        <f>(H54/$H$94)</f>
        <v>#DIV/0!</v>
      </c>
      <c r="J54" s="2161"/>
      <c r="L54"/>
      <c r="M54"/>
      <c r="N54"/>
      <c r="O54"/>
      <c r="P54"/>
    </row>
    <row r="55" spans="1:16" s="1" customFormat="1" ht="27" customHeight="1" x14ac:dyDescent="0.2">
      <c r="A55" s="1902" t="s">
        <v>139</v>
      </c>
      <c r="B55" s="1902" t="s">
        <v>115</v>
      </c>
      <c r="C55" s="3110"/>
      <c r="D55" s="2157" t="s">
        <v>22</v>
      </c>
      <c r="E55" s="2162">
        <f>IFERROR(E54/$H54,0)</f>
        <v>0</v>
      </c>
      <c r="F55" s="2162">
        <f>IFERROR(F54/$H54,0)</f>
        <v>0</v>
      </c>
      <c r="G55" s="2162">
        <f>IFERROR(G54/$H54,0)</f>
        <v>0</v>
      </c>
      <c r="H55" s="2163"/>
      <c r="I55" s="2164"/>
      <c r="J55" s="2161"/>
      <c r="L55"/>
      <c r="M55"/>
      <c r="N55"/>
      <c r="O55"/>
      <c r="P55"/>
    </row>
    <row r="56" spans="1:16" s="1" customFormat="1" ht="27" customHeight="1" x14ac:dyDescent="0.2">
      <c r="A56" s="1902" t="s">
        <v>139</v>
      </c>
      <c r="B56" s="1902" t="s">
        <v>115</v>
      </c>
      <c r="C56" s="3109" t="s">
        <v>125</v>
      </c>
      <c r="D56" s="2157" t="s">
        <v>21</v>
      </c>
      <c r="E56" s="2158" cm="1">
        <f t="array" ref="E56">IFERROR(INDEX('Data tổng hợp II'!$H$3:$H$4909,
  MATCH(1,
    ('Data tổng hợp II'!$C$3:$C$4909="DC1")*
    ('Data tổng hợp II'!$E$3:$E$4909='Form mẫu'!$A56)*
    ('Data tổng hợp II'!$F$3:$F$4909='Form mẫu'!$C56)*
    ('Data tổng hợp II'!$B$3:$B$4909='Form mẫu'!$U$2)*('Data tổng hợp II'!$G$3:$G$4909='Form mẫu'!E$51),
  0)
),0)</f>
        <v>0</v>
      </c>
      <c r="F56" s="2158" cm="1">
        <f t="array" ref="F56">IFERROR(INDEX('Data tổng hợp II'!$H$3:$H$4909,
  MATCH(1,
    ('Data tổng hợp II'!$C$3:$C$4909="DC1")*
    ('Data tổng hợp II'!$E$3:$E$4909='Form mẫu'!$A56)*
    ('Data tổng hợp II'!$F$3:$F$4909='Form mẫu'!$C56)*
    ('Data tổng hợp II'!$B$3:$B$4909='Form mẫu'!$U$2)*('Data tổng hợp II'!$G$3:$G$4909='Form mẫu'!F$51),
  0)
),0)</f>
        <v>0</v>
      </c>
      <c r="G56" s="2158" cm="1">
        <f t="array" ref="G56">IFERROR(INDEX('Data tổng hợp II'!$H$3:$H$4909,
  MATCH(1,
    ('Data tổng hợp II'!$C$3:$C$4909="DC1")*
    ('Data tổng hợp II'!$E$3:$E$4909='Form mẫu'!$A56)*
    ('Data tổng hợp II'!$F$3:$F$4909='Form mẫu'!$C56)*
    ('Data tổng hợp II'!$B$3:$B$4909='Form mẫu'!$U$2)*('Data tổng hợp II'!$G$3:$G$4909='Form mẫu'!G$51),
  0)
),0)</f>
        <v>0</v>
      </c>
      <c r="H56" s="2159">
        <f>SUM(E56:G56)</f>
        <v>0</v>
      </c>
      <c r="I56" s="2160" t="e">
        <f>(H56/$H$94)</f>
        <v>#DIV/0!</v>
      </c>
      <c r="J56" s="2161"/>
      <c r="L56"/>
      <c r="M56"/>
      <c r="N56"/>
      <c r="O56"/>
      <c r="P56"/>
    </row>
    <row r="57" spans="1:16" s="1" customFormat="1" ht="27" customHeight="1" x14ac:dyDescent="0.2">
      <c r="A57" s="1902" t="s">
        <v>139</v>
      </c>
      <c r="B57" s="1902" t="s">
        <v>115</v>
      </c>
      <c r="C57" s="3110" t="s">
        <v>125</v>
      </c>
      <c r="D57" s="2157" t="s">
        <v>22</v>
      </c>
      <c r="E57" s="2162">
        <f>IFERROR(E56/$H56,0)</f>
        <v>0</v>
      </c>
      <c r="F57" s="2162">
        <f>IFERROR(F56/$H56,0)</f>
        <v>0</v>
      </c>
      <c r="G57" s="2162">
        <f>IFERROR(G56/$H56,0)</f>
        <v>0</v>
      </c>
      <c r="H57" s="2163"/>
      <c r="I57" s="2164"/>
      <c r="J57" s="2161"/>
      <c r="L57"/>
      <c r="M57"/>
      <c r="N57"/>
      <c r="O57"/>
      <c r="P57"/>
    </row>
    <row r="58" spans="1:16" s="1" customFormat="1" ht="27" customHeight="1" x14ac:dyDescent="0.2">
      <c r="A58" s="1902" t="s">
        <v>139</v>
      </c>
      <c r="B58" s="1902" t="s">
        <v>115</v>
      </c>
      <c r="C58" s="3109" t="s">
        <v>114</v>
      </c>
      <c r="D58" s="2157" t="s">
        <v>21</v>
      </c>
      <c r="E58" s="2158" cm="1">
        <f t="array" ref="E58">IFERROR(INDEX('Data tổng hợp II'!$H$3:$H$4909,
  MATCH(1,
    ('Data tổng hợp II'!$C$3:$C$4909="DC1")*
    ('Data tổng hợp II'!$E$3:$E$4909='Form mẫu'!$A58)*
    ('Data tổng hợp II'!$F$3:$F$4909='Form mẫu'!$C58)*
    ('Data tổng hợp II'!$B$3:$B$4909='Form mẫu'!$U$2)*('Data tổng hợp II'!$G$3:$G$4909='Form mẫu'!E$51),
  0)
),0)</f>
        <v>0</v>
      </c>
      <c r="F58" s="2158" cm="1">
        <f t="array" ref="F58">IFERROR(INDEX('Data tổng hợp II'!$H$3:$H$4909,
  MATCH(1,
    ('Data tổng hợp II'!$C$3:$C$4909="DC1")*
    ('Data tổng hợp II'!$E$3:$E$4909='Form mẫu'!$A58)*
    ('Data tổng hợp II'!$F$3:$F$4909='Form mẫu'!$C58)*
    ('Data tổng hợp II'!$B$3:$B$4909='Form mẫu'!$U$2)*('Data tổng hợp II'!$G$3:$G$4909='Form mẫu'!F$51),
  0)
),0)</f>
        <v>0</v>
      </c>
      <c r="G58" s="2158" cm="1">
        <f t="array" ref="G58">IFERROR(INDEX('Data tổng hợp II'!$H$3:$H$4909,
  MATCH(1,
    ('Data tổng hợp II'!$C$3:$C$4909="DC1")*
    ('Data tổng hợp II'!$E$3:$E$4909='Form mẫu'!$A58)*
    ('Data tổng hợp II'!$F$3:$F$4909='Form mẫu'!$C58)*
    ('Data tổng hợp II'!$B$3:$B$4909='Form mẫu'!$U$2)*('Data tổng hợp II'!$G$3:$G$4909='Form mẫu'!G$51),
  0)
),0)</f>
        <v>0</v>
      </c>
      <c r="H58" s="2159">
        <f>SUM(E58:G58)</f>
        <v>0</v>
      </c>
      <c r="I58" s="2160" t="e">
        <f>(H58/$H$94)</f>
        <v>#DIV/0!</v>
      </c>
      <c r="J58" s="2161"/>
      <c r="L58"/>
      <c r="M58"/>
      <c r="N58"/>
      <c r="O58"/>
      <c r="P58"/>
    </row>
    <row r="59" spans="1:16" s="1" customFormat="1" ht="42" customHeight="1" x14ac:dyDescent="0.2">
      <c r="A59" s="2065" t="s">
        <v>139</v>
      </c>
      <c r="B59" s="1903" t="s">
        <v>115</v>
      </c>
      <c r="C59" s="3110" t="s">
        <v>114</v>
      </c>
      <c r="D59" s="2157" t="s">
        <v>22</v>
      </c>
      <c r="E59" s="2162">
        <f>IFERROR(E58/$H58,0)</f>
        <v>0</v>
      </c>
      <c r="F59" s="2162">
        <f>IFERROR(F58/$H58,0)</f>
        <v>0</v>
      </c>
      <c r="G59" s="2162">
        <f>IFERROR(G58/$H58,0)</f>
        <v>0</v>
      </c>
      <c r="H59" s="2163"/>
      <c r="I59" s="2164"/>
      <c r="J59" s="2161"/>
      <c r="L59"/>
      <c r="M59"/>
      <c r="N59"/>
      <c r="O59"/>
      <c r="P59"/>
    </row>
    <row r="60" spans="1:16" s="1" customFormat="1" ht="27" customHeight="1" x14ac:dyDescent="0.2">
      <c r="A60" s="1902" t="s">
        <v>139</v>
      </c>
      <c r="B60" s="1902" t="s">
        <v>115</v>
      </c>
      <c r="C60" s="3109" t="s">
        <v>129</v>
      </c>
      <c r="D60" s="2157" t="s">
        <v>21</v>
      </c>
      <c r="E60" s="2158" cm="1">
        <f t="array" ref="E60">IFERROR(INDEX('Data tổng hợp II'!$H$3:$H$4909,
  MATCH(1,
    ('Data tổng hợp II'!$C$3:$C$4909="DC1")*
    ('Data tổng hợp II'!$E$3:$E$4909='Form mẫu'!$A60)*
    ('Data tổng hợp II'!$F$3:$F$4909='Form mẫu'!$C60)*
    ('Data tổng hợp II'!$B$3:$B$4909='Form mẫu'!$U$2)*('Data tổng hợp II'!$G$3:$G$4909='Form mẫu'!E$51),
  0)
),0)</f>
        <v>0</v>
      </c>
      <c r="F60" s="2158" cm="1">
        <f t="array" ref="F60">IFERROR(INDEX('Data tổng hợp II'!$H$3:$H$4909,
  MATCH(1,
    ('Data tổng hợp II'!$C$3:$C$4909="DC1")*
    ('Data tổng hợp II'!$E$3:$E$4909='Form mẫu'!$A60)*
    ('Data tổng hợp II'!$F$3:$F$4909='Form mẫu'!$C60)*
    ('Data tổng hợp II'!$B$3:$B$4909='Form mẫu'!$U$2)*('Data tổng hợp II'!$G$3:$G$4909='Form mẫu'!F$51),
  0)
),0)</f>
        <v>0</v>
      </c>
      <c r="G60" s="2158" cm="1">
        <f t="array" ref="G60">IFERROR(INDEX('Data tổng hợp II'!$H$3:$H$4909,
  MATCH(1,
    ('Data tổng hợp II'!$C$3:$C$4909="DC1")*
    ('Data tổng hợp II'!$E$3:$E$4909='Form mẫu'!$A60)*
    ('Data tổng hợp II'!$F$3:$F$4909='Form mẫu'!$C60)*
    ('Data tổng hợp II'!$B$3:$B$4909='Form mẫu'!$U$2)*('Data tổng hợp II'!$G$3:$G$4909='Form mẫu'!G$51),
  0)
),0)</f>
        <v>0</v>
      </c>
      <c r="H60" s="2159">
        <f>SUM(E60:G60)</f>
        <v>0</v>
      </c>
      <c r="I60" s="2160" t="e">
        <f>(H60/$H$94)</f>
        <v>#DIV/0!</v>
      </c>
      <c r="J60" s="2161"/>
      <c r="L60"/>
      <c r="M60"/>
      <c r="N60"/>
      <c r="O60"/>
      <c r="P60"/>
    </row>
    <row r="61" spans="1:16" s="1" customFormat="1" ht="27" customHeight="1" x14ac:dyDescent="0.2">
      <c r="A61" s="1902" t="s">
        <v>139</v>
      </c>
      <c r="B61" s="1902" t="s">
        <v>115</v>
      </c>
      <c r="C61" s="3110" t="s">
        <v>129</v>
      </c>
      <c r="D61" s="2157" t="s">
        <v>22</v>
      </c>
      <c r="E61" s="2162">
        <f>IFERROR(E60/$H60,0)</f>
        <v>0</v>
      </c>
      <c r="F61" s="2162">
        <f>IFERROR(F60/$H60,0)</f>
        <v>0</v>
      </c>
      <c r="G61" s="2162">
        <f>IFERROR(G60/$H60,0)</f>
        <v>0</v>
      </c>
      <c r="H61" s="2163"/>
      <c r="I61" s="2164"/>
      <c r="J61" s="2161"/>
      <c r="L61"/>
      <c r="M61"/>
      <c r="N61"/>
      <c r="O61"/>
      <c r="P61"/>
    </row>
    <row r="62" spans="1:16" s="1" customFormat="1" ht="27" customHeight="1" x14ac:dyDescent="0.2">
      <c r="A62" s="1902" t="s">
        <v>139</v>
      </c>
      <c r="B62" s="1902" t="s">
        <v>115</v>
      </c>
      <c r="C62" s="3109" t="s">
        <v>112</v>
      </c>
      <c r="D62" s="2157" t="s">
        <v>21</v>
      </c>
      <c r="E62" s="2158" cm="1">
        <f t="array" ref="E62">IFERROR(INDEX('Data tổng hợp II'!$H$3:$H$4909,
  MATCH(1,
    ('Data tổng hợp II'!$C$3:$C$4909="DC1")*
    ('Data tổng hợp II'!$E$3:$E$4909='Form mẫu'!$A62)*
    ('Data tổng hợp II'!$F$3:$F$4909='Form mẫu'!$C62)*
    ('Data tổng hợp II'!$B$3:$B$4909='Form mẫu'!$U$2)*('Data tổng hợp II'!$G$3:$G$4909='Form mẫu'!E$51),
  0)
),0)</f>
        <v>0</v>
      </c>
      <c r="F62" s="2158" cm="1">
        <f t="array" ref="F62">IFERROR(INDEX('Data tổng hợp II'!$H$3:$H$4909,
  MATCH(1,
    ('Data tổng hợp II'!$C$3:$C$4909="DC1")*
    ('Data tổng hợp II'!$E$3:$E$4909='Form mẫu'!$A62)*
    ('Data tổng hợp II'!$F$3:$F$4909='Form mẫu'!$C62)*
    ('Data tổng hợp II'!$B$3:$B$4909='Form mẫu'!$U$2)*('Data tổng hợp II'!$G$3:$G$4909='Form mẫu'!F$51),
  0)
),0)</f>
        <v>0</v>
      </c>
      <c r="G62" s="2158" cm="1">
        <f t="array" ref="G62">IFERROR(INDEX('Data tổng hợp II'!$H$3:$H$4909,
  MATCH(1,
    ('Data tổng hợp II'!$C$3:$C$4909="DC1")*
    ('Data tổng hợp II'!$E$3:$E$4909='Form mẫu'!$A62)*
    ('Data tổng hợp II'!$F$3:$F$4909='Form mẫu'!$C62)*
    ('Data tổng hợp II'!$B$3:$B$4909='Form mẫu'!$U$2)*('Data tổng hợp II'!$G$3:$G$4909='Form mẫu'!G$51),
  0)
),0)</f>
        <v>0</v>
      </c>
      <c r="H62" s="2159">
        <f>SUM(E62:G62)</f>
        <v>0</v>
      </c>
      <c r="I62" s="2160" t="e">
        <f>(H62/$H$94)</f>
        <v>#DIV/0!</v>
      </c>
      <c r="J62" s="2161"/>
      <c r="L62"/>
      <c r="M62"/>
      <c r="N62"/>
      <c r="O62"/>
      <c r="P62"/>
    </row>
    <row r="63" spans="1:16" s="1" customFormat="1" ht="27" customHeight="1" x14ac:dyDescent="0.2">
      <c r="A63" s="1902" t="s">
        <v>139</v>
      </c>
      <c r="B63" s="1902" t="s">
        <v>115</v>
      </c>
      <c r="C63" s="3110" t="s">
        <v>112</v>
      </c>
      <c r="D63" s="2157" t="s">
        <v>22</v>
      </c>
      <c r="E63" s="2162">
        <f>IFERROR(E62/$H62,0)</f>
        <v>0</v>
      </c>
      <c r="F63" s="2162">
        <f>IFERROR(F62/$H62,0)</f>
        <v>0</v>
      </c>
      <c r="G63" s="2162">
        <f>IFERROR(G62/$H62,0)</f>
        <v>0</v>
      </c>
      <c r="H63" s="2163"/>
      <c r="I63" s="2164"/>
      <c r="J63" s="2161"/>
      <c r="L63"/>
      <c r="M63"/>
      <c r="N63"/>
      <c r="O63"/>
      <c r="P63"/>
    </row>
    <row r="64" spans="1:16" s="1" customFormat="1" ht="27" customHeight="1" x14ac:dyDescent="0.2">
      <c r="A64" s="1902" t="s">
        <v>139</v>
      </c>
      <c r="B64" s="1902" t="s">
        <v>115</v>
      </c>
      <c r="C64" s="3109" t="s">
        <v>637</v>
      </c>
      <c r="D64" s="2157" t="s">
        <v>21</v>
      </c>
      <c r="E64" s="2158" cm="1">
        <f t="array" ref="E64">IFERROR(INDEX('Data tổng hợp II'!$H$3:$H$4909,
  MATCH(1,
    ('Data tổng hợp II'!$C$3:$C$4909="DC1")*
    ('Data tổng hợp II'!$E$3:$E$4909='Form mẫu'!$A64)*
    ('Data tổng hợp II'!$F$3:$F$4909='Form mẫu'!$C64)*
    ('Data tổng hợp II'!$B$3:$B$4909='Form mẫu'!$U$2)*('Data tổng hợp II'!$G$3:$G$4909='Form mẫu'!E$51),
  0)
),0)</f>
        <v>0</v>
      </c>
      <c r="F64" s="2158" cm="1">
        <f t="array" ref="F64">IFERROR(INDEX('Data tổng hợp II'!$H$3:$H$4909,
  MATCH(1,
    ('Data tổng hợp II'!$C$3:$C$4909="DC1")*
    ('Data tổng hợp II'!$E$3:$E$4909='Form mẫu'!$A64)*
    ('Data tổng hợp II'!$F$3:$F$4909='Form mẫu'!$C64)*
    ('Data tổng hợp II'!$B$3:$B$4909='Form mẫu'!$U$2)*('Data tổng hợp II'!$G$3:$G$4909='Form mẫu'!F$51),
  0)
),0)</f>
        <v>0</v>
      </c>
      <c r="G64" s="2158" cm="1">
        <f t="array" ref="G64">IFERROR(INDEX('Data tổng hợp II'!$H$3:$H$4909,
  MATCH(1,
    ('Data tổng hợp II'!$C$3:$C$4909="DC1")*
    ('Data tổng hợp II'!$E$3:$E$4909='Form mẫu'!$A64)*
    ('Data tổng hợp II'!$F$3:$F$4909='Form mẫu'!$C64)*
    ('Data tổng hợp II'!$B$3:$B$4909='Form mẫu'!$U$2)*('Data tổng hợp II'!$G$3:$G$4909='Form mẫu'!G$51),
  0)
),0)</f>
        <v>0</v>
      </c>
      <c r="H64" s="2159">
        <f>SUM(E64:G64)</f>
        <v>0</v>
      </c>
      <c r="I64" s="2160" t="e">
        <f>(H64/$H$94)</f>
        <v>#DIV/0!</v>
      </c>
      <c r="J64" s="2161"/>
      <c r="L64"/>
      <c r="M64"/>
      <c r="N64"/>
      <c r="O64"/>
      <c r="P64"/>
    </row>
    <row r="65" spans="1:16" s="1" customFormat="1" ht="27" customHeight="1" x14ac:dyDescent="0.2">
      <c r="A65" s="1902" t="s">
        <v>139</v>
      </c>
      <c r="B65" s="1902" t="s">
        <v>115</v>
      </c>
      <c r="C65" s="3110" t="s">
        <v>128</v>
      </c>
      <c r="D65" s="2157" t="s">
        <v>22</v>
      </c>
      <c r="E65" s="2162">
        <f>IFERROR(E64/$H64,0)</f>
        <v>0</v>
      </c>
      <c r="F65" s="2162">
        <f>IFERROR(F64/$H64,0)</f>
        <v>0</v>
      </c>
      <c r="G65" s="2162">
        <f>IFERROR(G64/$H64,0)</f>
        <v>0</v>
      </c>
      <c r="H65" s="2163"/>
      <c r="I65" s="2164"/>
      <c r="J65" s="2161"/>
      <c r="L65"/>
      <c r="M65"/>
      <c r="N65"/>
      <c r="O65"/>
      <c r="P65"/>
    </row>
    <row r="66" spans="1:16" s="1" customFormat="1" ht="27" customHeight="1" x14ac:dyDescent="0.2">
      <c r="A66" s="1902" t="s">
        <v>139</v>
      </c>
      <c r="B66" s="1902" t="s">
        <v>115</v>
      </c>
      <c r="C66" s="3109" t="s">
        <v>541</v>
      </c>
      <c r="D66" s="2157" t="s">
        <v>21</v>
      </c>
      <c r="E66" s="2158" cm="1">
        <f t="array" ref="E66">IFERROR(INDEX('Data tổng hợp II'!$H$3:$H$4909,
  MATCH(1,
    ('Data tổng hợp II'!$C$3:$C$4909="DC1")*
    ('Data tổng hợp II'!$E$3:$E$4909='Form mẫu'!$A66)*
    ('Data tổng hợp II'!$F$3:$F$4909='Form mẫu'!$C66)*
    ('Data tổng hợp II'!$B$3:$B$4909='Form mẫu'!$U$2)*('Data tổng hợp II'!$G$3:$G$4909='Form mẫu'!E$51),
  0)
),0)</f>
        <v>0</v>
      </c>
      <c r="F66" s="2158" cm="1">
        <f t="array" ref="F66">IFERROR(INDEX('Data tổng hợp II'!$H$3:$H$4909,
  MATCH(1,
    ('Data tổng hợp II'!$C$3:$C$4909="DC1")*
    ('Data tổng hợp II'!$E$3:$E$4909='Form mẫu'!$A66)*
    ('Data tổng hợp II'!$F$3:$F$4909='Form mẫu'!$C66)*
    ('Data tổng hợp II'!$B$3:$B$4909='Form mẫu'!$U$2)*('Data tổng hợp II'!$G$3:$G$4909='Form mẫu'!F$51),
  0)
),0)</f>
        <v>0</v>
      </c>
      <c r="G66" s="2158" cm="1">
        <f t="array" ref="G66">IFERROR(INDEX('Data tổng hợp II'!$H$3:$H$4909,
  MATCH(1,
    ('Data tổng hợp II'!$C$3:$C$4909="DC1")*
    ('Data tổng hợp II'!$E$3:$E$4909='Form mẫu'!$A66)*
    ('Data tổng hợp II'!$F$3:$F$4909='Form mẫu'!$C66)*
    ('Data tổng hợp II'!$B$3:$B$4909='Form mẫu'!$U$2)*('Data tổng hợp II'!$G$3:$G$4909='Form mẫu'!G$51),
  0)
),0)</f>
        <v>0</v>
      </c>
      <c r="H66" s="2159">
        <f>SUM(E66:G66)</f>
        <v>0</v>
      </c>
      <c r="I66" s="2160" t="e">
        <f>(H66/$H$94)</f>
        <v>#DIV/0!</v>
      </c>
      <c r="J66" s="2161"/>
      <c r="L66"/>
      <c r="M66"/>
      <c r="N66"/>
      <c r="O66"/>
      <c r="P66"/>
    </row>
    <row r="67" spans="1:16" s="1" customFormat="1" ht="27" customHeight="1" x14ac:dyDescent="0.2">
      <c r="A67" s="2082" t="s">
        <v>139</v>
      </c>
      <c r="B67" s="2082" t="s">
        <v>115</v>
      </c>
      <c r="C67" s="3110" t="s">
        <v>541</v>
      </c>
      <c r="D67" s="2157" t="s">
        <v>22</v>
      </c>
      <c r="E67" s="2162">
        <f>IFERROR(E66/$H66,0)</f>
        <v>0</v>
      </c>
      <c r="F67" s="2162">
        <f>IFERROR(F66/$H66,0)</f>
        <v>0</v>
      </c>
      <c r="G67" s="2162">
        <f>IFERROR(G66/$H66,0)</f>
        <v>0</v>
      </c>
      <c r="H67" s="2163"/>
      <c r="I67" s="2164"/>
      <c r="J67" s="2161"/>
      <c r="L67"/>
      <c r="M67"/>
      <c r="N67"/>
      <c r="O67"/>
      <c r="P67"/>
    </row>
    <row r="68" spans="1:16" s="1" customFormat="1" ht="27" customHeight="1" x14ac:dyDescent="0.2">
      <c r="A68" s="3119" t="s">
        <v>103</v>
      </c>
      <c r="B68" s="3119"/>
      <c r="C68" s="3120"/>
      <c r="D68" s="2165" t="s">
        <v>21</v>
      </c>
      <c r="E68" s="2166">
        <f>E52+E54+E56+E58+E60+E62+E64+E66</f>
        <v>0</v>
      </c>
      <c r="F68" s="2166">
        <f>F52+F54+F56+F58+F60+F62+F64+F66</f>
        <v>0</v>
      </c>
      <c r="G68" s="2166">
        <f>G52+G54+G56+G58+G60+G62+G64+G66</f>
        <v>0</v>
      </c>
      <c r="H68" s="2166">
        <f>SUM(E68:G68)</f>
        <v>0</v>
      </c>
      <c r="I68" s="2167"/>
      <c r="J68" s="2168"/>
      <c r="L68"/>
      <c r="M68"/>
      <c r="N68"/>
      <c r="O68"/>
      <c r="P68"/>
    </row>
    <row r="69" spans="1:16" s="1" customFormat="1" ht="27" customHeight="1" x14ac:dyDescent="0.2">
      <c r="A69" s="3121"/>
      <c r="B69" s="3121"/>
      <c r="C69" s="3122"/>
      <c r="D69" s="2165" t="s">
        <v>22</v>
      </c>
      <c r="E69" s="2169">
        <f>IFERROR(E68/$H$68,0)</f>
        <v>0</v>
      </c>
      <c r="F69" s="2169">
        <f>IFERROR(F68/$H$68,0)</f>
        <v>0</v>
      </c>
      <c r="G69" s="2169">
        <f>IFERROR(G68/$H$68,0)</f>
        <v>0</v>
      </c>
      <c r="H69" s="2170"/>
      <c r="I69" s="2167"/>
      <c r="J69" s="2168"/>
      <c r="L69"/>
      <c r="M69"/>
      <c r="N69"/>
      <c r="O69"/>
      <c r="P69"/>
    </row>
    <row r="70" spans="1:16" s="1" customFormat="1" ht="27" hidden="1" customHeight="1" x14ac:dyDescent="0.2">
      <c r="A70" s="2171" t="s">
        <v>140</v>
      </c>
      <c r="B70" s="2171" t="s">
        <v>115</v>
      </c>
      <c r="C70" s="3117" t="s">
        <v>109</v>
      </c>
      <c r="D70" s="2157" t="s">
        <v>21</v>
      </c>
      <c r="E70" s="2158" cm="1">
        <f t="array" ref="E70">IFERROR(INDEX('Data tổng hợp II'!$H$3:$H$4909,
  MATCH(1,
    ('Data tổng hợp II'!$C$3:$C$4909="DC1")*
    ('Data tổng hợp II'!$E$3:$E$4909='Form mẫu'!$A70)*
    ('Data tổng hợp II'!$F$3:$F$4909='Form mẫu'!$C70)*
    ('Data tổng hợp II'!$B$3:$B$4909='Form mẫu'!$U$2)*('Data tổng hợp II'!$G$3:$G$4909='Form mẫu'!E$51),
  0)
),0)</f>
        <v>0</v>
      </c>
      <c r="F70" s="2158" cm="1">
        <f t="array" ref="F70">IFERROR(INDEX('Data tổng hợp II'!$H$3:$H$4909,
  MATCH(1,
    ('Data tổng hợp II'!$C$3:$C$4909="DC1")*
    ('Data tổng hợp II'!$E$3:$E$4909='Form mẫu'!$A70)*
    ('Data tổng hợp II'!$F$3:$F$4909='Form mẫu'!$C70)*
    ('Data tổng hợp II'!$B$3:$B$4909='Form mẫu'!$U$2)*('Data tổng hợp II'!$G$3:$G$4909='Form mẫu'!F$51),
  0)
),0)</f>
        <v>0</v>
      </c>
      <c r="G70" s="2158" cm="1">
        <f t="array" ref="G70">IFERROR(INDEX('Data tổng hợp II'!$H$3:$H$4909,
  MATCH(1,
    ('Data tổng hợp II'!$C$3:$C$4909="DC1")*
    ('Data tổng hợp II'!$E$3:$E$4909='Form mẫu'!$A70)*
    ('Data tổng hợp II'!$F$3:$F$4909='Form mẫu'!$C70)*
    ('Data tổng hợp II'!$B$3:$B$4909='Form mẫu'!$U$2)*('Data tổng hợp II'!$G$3:$G$4909='Form mẫu'!G$51),
  0)
),0)</f>
        <v>0</v>
      </c>
      <c r="H70" s="2159">
        <f>SUM(E70:G70)</f>
        <v>0</v>
      </c>
      <c r="I70" s="2160" t="e">
        <f>(H70/$H$94)</f>
        <v>#DIV/0!</v>
      </c>
      <c r="J70" s="2161"/>
      <c r="L70"/>
      <c r="M70"/>
      <c r="N70"/>
      <c r="O70"/>
      <c r="P70"/>
    </row>
    <row r="71" spans="1:16" s="1" customFormat="1" ht="27" hidden="1" customHeight="1" x14ac:dyDescent="0.2">
      <c r="A71" s="2065" t="s">
        <v>140</v>
      </c>
      <c r="B71" s="1903" t="s">
        <v>115</v>
      </c>
      <c r="C71" s="3118" t="s">
        <v>109</v>
      </c>
      <c r="D71" s="2157" t="s">
        <v>22</v>
      </c>
      <c r="E71" s="2162">
        <f>IFERROR(E70/$H70,0)</f>
        <v>0</v>
      </c>
      <c r="F71" s="2162">
        <f>IFERROR(F70/$H70,0)</f>
        <v>0</v>
      </c>
      <c r="G71" s="2162">
        <f>IFERROR(G70/$H70,0)</f>
        <v>0</v>
      </c>
      <c r="H71" s="2163"/>
      <c r="I71" s="2164"/>
      <c r="J71" s="2161"/>
      <c r="L71"/>
      <c r="M71"/>
      <c r="N71"/>
      <c r="O71"/>
      <c r="P71"/>
    </row>
    <row r="72" spans="1:16" s="1" customFormat="1" ht="27" hidden="1" customHeight="1" x14ac:dyDescent="0.2">
      <c r="A72" s="2172" t="s">
        <v>140</v>
      </c>
      <c r="B72" s="2172" t="s">
        <v>115</v>
      </c>
      <c r="C72" s="3117" t="s">
        <v>631</v>
      </c>
      <c r="D72" s="2157" t="s">
        <v>21</v>
      </c>
      <c r="E72" s="2158" cm="1">
        <f t="array" ref="E72">IFERROR(INDEX('Data tổng hợp II'!$H$3:$H$4909,
  MATCH(1,
    ('Data tổng hợp II'!$C$3:$C$4909="DC1")*
    ('Data tổng hợp II'!$E$3:$E$4909='Form mẫu'!$A72)*
    ('Data tổng hợp II'!$F$3:$F$4909='Form mẫu'!$C72)*
    ('Data tổng hợp II'!$B$3:$B$4909='Form mẫu'!$U$2)*('Data tổng hợp II'!$G$3:$G$4909='Form mẫu'!E$51),
  0)
),0)</f>
        <v>0</v>
      </c>
      <c r="F72" s="2158" cm="1">
        <f t="array" ref="F72">IFERROR(INDEX('Data tổng hợp II'!$H$3:$H$4909,
  MATCH(1,
    ('Data tổng hợp II'!$C$3:$C$4909="DC1")*
    ('Data tổng hợp II'!$E$3:$E$4909='Form mẫu'!$A72)*
    ('Data tổng hợp II'!$F$3:$F$4909='Form mẫu'!$C72)*
    ('Data tổng hợp II'!$B$3:$B$4909='Form mẫu'!$U$2)*('Data tổng hợp II'!$G$3:$G$4909='Form mẫu'!F$51),
  0)
),0)</f>
        <v>0</v>
      </c>
      <c r="G72" s="2158" cm="1">
        <f t="array" ref="G72">IFERROR(INDEX('Data tổng hợp II'!$H$3:$H$4909,
  MATCH(1,
    ('Data tổng hợp II'!$C$3:$C$4909="DC1")*
    ('Data tổng hợp II'!$E$3:$E$4909='Form mẫu'!$A72)*
    ('Data tổng hợp II'!$F$3:$F$4909='Form mẫu'!$C72)*
    ('Data tổng hợp II'!$B$3:$B$4909='Form mẫu'!$U$2)*('Data tổng hợp II'!$G$3:$G$4909='Form mẫu'!G$51),
  0)
),0)</f>
        <v>0</v>
      </c>
      <c r="H72" s="2159">
        <f>SUM(E72:G72)</f>
        <v>0</v>
      </c>
      <c r="I72" s="2160" t="e">
        <f>(H72/$H$94)</f>
        <v>#DIV/0!</v>
      </c>
      <c r="J72" s="2161"/>
      <c r="L72"/>
      <c r="M72"/>
      <c r="N72"/>
      <c r="O72"/>
      <c r="P72"/>
    </row>
    <row r="73" spans="1:16" s="1" customFormat="1" ht="27" hidden="1" customHeight="1" x14ac:dyDescent="0.2">
      <c r="A73" s="2172" t="s">
        <v>140</v>
      </c>
      <c r="B73" s="2172" t="s">
        <v>115</v>
      </c>
      <c r="C73" s="3118" t="s">
        <v>631</v>
      </c>
      <c r="D73" s="2157" t="s">
        <v>22</v>
      </c>
      <c r="E73" s="2162">
        <f>IFERROR(E72/$H72,0)</f>
        <v>0</v>
      </c>
      <c r="F73" s="2162">
        <f>IFERROR(F72/$H72,0)</f>
        <v>0</v>
      </c>
      <c r="G73" s="2162">
        <f>IFERROR(G72/$H72,0)</f>
        <v>0</v>
      </c>
      <c r="H73" s="2163"/>
      <c r="I73" s="2164"/>
      <c r="J73" s="2161"/>
      <c r="L73"/>
      <c r="M73"/>
      <c r="N73"/>
      <c r="O73"/>
      <c r="P73"/>
    </row>
    <row r="74" spans="1:16" s="1" customFormat="1" ht="26" hidden="1" customHeight="1" x14ac:dyDescent="0.2">
      <c r="A74" s="1903" t="s">
        <v>140</v>
      </c>
      <c r="B74" s="1903" t="s">
        <v>115</v>
      </c>
      <c r="C74" s="3117" t="s">
        <v>114</v>
      </c>
      <c r="D74" s="2157" t="s">
        <v>21</v>
      </c>
      <c r="E74" s="2158" cm="1">
        <f t="array" ref="E74">IFERROR(INDEX('Data tổng hợp II'!$H$3:$H$4909,
  MATCH(1,
    ('Data tổng hợp II'!$C$3:$C$4909="DC1")*
    ('Data tổng hợp II'!$E$3:$E$4909='Form mẫu'!$A74)*
    ('Data tổng hợp II'!$F$3:$F$4909='Form mẫu'!$C74)*
    ('Data tổng hợp II'!$B$3:$B$4909='Form mẫu'!$U$2)*('Data tổng hợp II'!$G$3:$G$4909='Form mẫu'!E$51),
  0)
),0)</f>
        <v>0</v>
      </c>
      <c r="F74" s="2158" cm="1">
        <f t="array" ref="F74">IFERROR(INDEX('Data tổng hợp II'!$H$3:$H$4909,
  MATCH(1,
    ('Data tổng hợp II'!$C$3:$C$4909="DC1")*
    ('Data tổng hợp II'!$E$3:$E$4909='Form mẫu'!$A74)*
    ('Data tổng hợp II'!$F$3:$F$4909='Form mẫu'!$C74)*
    ('Data tổng hợp II'!$B$3:$B$4909='Form mẫu'!$U$2)*('Data tổng hợp II'!$G$3:$G$4909='Form mẫu'!F$51),
  0)
),0)</f>
        <v>0</v>
      </c>
      <c r="G74" s="2158" cm="1">
        <f t="array" ref="G74">IFERROR(INDEX('Data tổng hợp II'!$H$3:$H$4909,
  MATCH(1,
    ('Data tổng hợp II'!$C$3:$C$4909="DC1")*
    ('Data tổng hợp II'!$E$3:$E$4909='Form mẫu'!$A74)*
    ('Data tổng hợp II'!$F$3:$F$4909='Form mẫu'!$C74)*
    ('Data tổng hợp II'!$B$3:$B$4909='Form mẫu'!$U$2)*('Data tổng hợp II'!$G$3:$G$4909='Form mẫu'!G$51),
  0)
),0)</f>
        <v>0</v>
      </c>
      <c r="H74" s="2159">
        <f>SUM(E74:G74)</f>
        <v>0</v>
      </c>
      <c r="I74" s="2160" t="e">
        <f>(H74/$H$94)</f>
        <v>#DIV/0!</v>
      </c>
      <c r="J74" s="2161"/>
      <c r="L74"/>
      <c r="M74"/>
      <c r="N74"/>
      <c r="O74"/>
      <c r="P74"/>
    </row>
    <row r="75" spans="1:16" s="1" customFormat="1" ht="26" hidden="1" customHeight="1" x14ac:dyDescent="0.2">
      <c r="A75" s="2172" t="s">
        <v>140</v>
      </c>
      <c r="B75" s="2172" t="s">
        <v>115</v>
      </c>
      <c r="C75" s="3118" t="s">
        <v>114</v>
      </c>
      <c r="D75" s="2157" t="s">
        <v>22</v>
      </c>
      <c r="E75" s="2162">
        <f>IFERROR(E74/$H74,0)</f>
        <v>0</v>
      </c>
      <c r="F75" s="2162">
        <f>IFERROR(F74/$H74,0)</f>
        <v>0</v>
      </c>
      <c r="G75" s="2162">
        <f>IFERROR(G74/$H74,0)</f>
        <v>0</v>
      </c>
      <c r="H75" s="2163"/>
      <c r="I75" s="2164"/>
      <c r="J75" s="2161"/>
      <c r="L75"/>
      <c r="M75"/>
      <c r="N75"/>
      <c r="O75"/>
      <c r="P75"/>
    </row>
    <row r="76" spans="1:16" s="1" customFormat="1" ht="23" hidden="1" customHeight="1" x14ac:dyDescent="0.2">
      <c r="A76" s="2172" t="s">
        <v>140</v>
      </c>
      <c r="B76" s="2172" t="s">
        <v>115</v>
      </c>
      <c r="C76" s="3117" t="s">
        <v>129</v>
      </c>
      <c r="D76" s="2157" t="s">
        <v>21</v>
      </c>
      <c r="E76" s="2158" cm="1">
        <f t="array" ref="E76">IFERROR(INDEX('Data tổng hợp II'!$H$3:$H$4909,
  MATCH(1,
    ('Data tổng hợp II'!$C$3:$C$4909="DC1")*
    ('Data tổng hợp II'!$E$3:$E$4909='Form mẫu'!$A76)*
    ('Data tổng hợp II'!$F$3:$F$4909='Form mẫu'!$C76)*
    ('Data tổng hợp II'!$B$3:$B$4909='Form mẫu'!$U$2)*('Data tổng hợp II'!$G$3:$G$4909='Form mẫu'!E$51),
  0)
),0)</f>
        <v>0</v>
      </c>
      <c r="F76" s="2158" cm="1">
        <f t="array" ref="F76">IFERROR(INDEX('Data tổng hợp II'!$H$3:$H$4909,
  MATCH(1,
    ('Data tổng hợp II'!$C$3:$C$4909="DC1")*
    ('Data tổng hợp II'!$E$3:$E$4909='Form mẫu'!$A76)*
    ('Data tổng hợp II'!$F$3:$F$4909='Form mẫu'!$C76)*
    ('Data tổng hợp II'!$B$3:$B$4909='Form mẫu'!$U$2)*('Data tổng hợp II'!$G$3:$G$4909='Form mẫu'!F$51),
  0)
),0)</f>
        <v>0</v>
      </c>
      <c r="G76" s="2158" cm="1">
        <f t="array" ref="G76">IFERROR(INDEX('Data tổng hợp II'!$H$3:$H$4909,
  MATCH(1,
    ('Data tổng hợp II'!$C$3:$C$4909="DC1")*
    ('Data tổng hợp II'!$E$3:$E$4909='Form mẫu'!$A76)*
    ('Data tổng hợp II'!$F$3:$F$4909='Form mẫu'!$C76)*
    ('Data tổng hợp II'!$B$3:$B$4909='Form mẫu'!$U$2)*('Data tổng hợp II'!$G$3:$G$4909='Form mẫu'!G$51),
  0)
),0)</f>
        <v>0</v>
      </c>
      <c r="H76" s="2159">
        <f>SUM(E76:G76)</f>
        <v>0</v>
      </c>
      <c r="I76" s="2160" t="e">
        <f>(H76/$H$94)</f>
        <v>#DIV/0!</v>
      </c>
      <c r="J76" s="2161"/>
      <c r="L76"/>
      <c r="M76"/>
      <c r="N76"/>
      <c r="O76"/>
      <c r="P76"/>
    </row>
    <row r="77" spans="1:16" s="1" customFormat="1" ht="23" hidden="1" customHeight="1" x14ac:dyDescent="0.2">
      <c r="A77" s="2172" t="s">
        <v>140</v>
      </c>
      <c r="B77" s="2172" t="s">
        <v>115</v>
      </c>
      <c r="C77" s="3118" t="s">
        <v>129</v>
      </c>
      <c r="D77" s="2157" t="s">
        <v>22</v>
      </c>
      <c r="E77" s="2162">
        <f>IFERROR(E76/$H76,0)</f>
        <v>0</v>
      </c>
      <c r="F77" s="2162">
        <f>IFERROR(F76/$H76,0)</f>
        <v>0</v>
      </c>
      <c r="G77" s="2162">
        <f>IFERROR(G76/$H76,0)</f>
        <v>0</v>
      </c>
      <c r="H77" s="2163"/>
      <c r="I77" s="2164"/>
      <c r="J77" s="2161"/>
      <c r="L77"/>
      <c r="M77"/>
      <c r="N77"/>
      <c r="O77"/>
      <c r="P77"/>
    </row>
    <row r="78" spans="1:16" s="1" customFormat="1" ht="23" hidden="1" customHeight="1" x14ac:dyDescent="0.2">
      <c r="A78" s="2172" t="s">
        <v>140</v>
      </c>
      <c r="B78" s="2172" t="s">
        <v>115</v>
      </c>
      <c r="C78" s="3117" t="s">
        <v>113</v>
      </c>
      <c r="D78" s="2157" t="s">
        <v>21</v>
      </c>
      <c r="E78" s="2158" cm="1">
        <f t="array" ref="E78">IFERROR(INDEX('Data tổng hợp II'!$H$3:$H$4909,
  MATCH(1,
    ('Data tổng hợp II'!$C$3:$C$4909="DC1")*
    ('Data tổng hợp II'!$E$3:$E$4909='Form mẫu'!$A78)*
    ('Data tổng hợp II'!$F$3:$F$4909='Form mẫu'!$C78)*
    ('Data tổng hợp II'!$B$3:$B$4909='Form mẫu'!$U$2)*('Data tổng hợp II'!$G$3:$G$4909='Form mẫu'!E$51),
  0)
),0)</f>
        <v>0</v>
      </c>
      <c r="F78" s="2158" cm="1">
        <f t="array" ref="F78">IFERROR(INDEX('Data tổng hợp II'!$H$3:$H$4909,
  MATCH(1,
    ('Data tổng hợp II'!$C$3:$C$4909="DC1")*
    ('Data tổng hợp II'!$E$3:$E$4909='Form mẫu'!$A78)*
    ('Data tổng hợp II'!$F$3:$F$4909='Form mẫu'!$C78)*
    ('Data tổng hợp II'!$B$3:$B$4909='Form mẫu'!$U$2)*('Data tổng hợp II'!$G$3:$G$4909='Form mẫu'!F$51),
  0)
),0)</f>
        <v>0</v>
      </c>
      <c r="G78" s="2158" cm="1">
        <f t="array" ref="G78">IFERROR(INDEX('Data tổng hợp II'!$H$3:$H$4909,
  MATCH(1,
    ('Data tổng hợp II'!$C$3:$C$4909="DC1")*
    ('Data tổng hợp II'!$E$3:$E$4909='Form mẫu'!$A78)*
    ('Data tổng hợp II'!$F$3:$F$4909='Form mẫu'!$C78)*
    ('Data tổng hợp II'!$B$3:$B$4909='Form mẫu'!$U$2)*('Data tổng hợp II'!$G$3:$G$4909='Form mẫu'!G$51),
  0)
),0)</f>
        <v>0</v>
      </c>
      <c r="H78" s="2159">
        <f>SUM(E78:G78)</f>
        <v>0</v>
      </c>
      <c r="I78" s="2160" t="e">
        <f>(H78/$H$94)</f>
        <v>#DIV/0!</v>
      </c>
      <c r="J78" s="2161"/>
      <c r="L78"/>
      <c r="M78"/>
      <c r="N78"/>
      <c r="O78"/>
      <c r="P78"/>
    </row>
    <row r="79" spans="1:16" s="1" customFormat="1" ht="23" hidden="1" customHeight="1" x14ac:dyDescent="0.2">
      <c r="A79" s="2173" t="s">
        <v>140</v>
      </c>
      <c r="B79" s="2173" t="s">
        <v>115</v>
      </c>
      <c r="C79" s="3118" t="s">
        <v>129</v>
      </c>
      <c r="D79" s="2157" t="s">
        <v>22</v>
      </c>
      <c r="E79" s="2162">
        <f>IFERROR(E78/$H78,0)</f>
        <v>0</v>
      </c>
      <c r="F79" s="2162">
        <f>IFERROR(F78/$H78,0)</f>
        <v>0</v>
      </c>
      <c r="G79" s="2162">
        <f>IFERROR(G78/$H78,0)</f>
        <v>0</v>
      </c>
      <c r="H79" s="2163"/>
      <c r="I79" s="2164"/>
      <c r="J79" s="2161"/>
      <c r="L79"/>
      <c r="N79"/>
      <c r="O79"/>
      <c r="P79"/>
    </row>
    <row r="80" spans="1:16" s="1" customFormat="1" ht="28" hidden="1" customHeight="1" x14ac:dyDescent="0.2">
      <c r="A80" s="3121" t="s">
        <v>103</v>
      </c>
      <c r="B80" s="3121"/>
      <c r="C80" s="3120"/>
      <c r="D80" s="2165" t="s">
        <v>21</v>
      </c>
      <c r="E80" s="2166">
        <f>E70+E72+E74+E76+E78</f>
        <v>0</v>
      </c>
      <c r="F80" s="2166">
        <f>F70+F72+F74+F76+F78</f>
        <v>0</v>
      </c>
      <c r="G80" s="2166">
        <f t="shared" ref="G80:H80" si="10">G70+G72+G74+G76+G78</f>
        <v>0</v>
      </c>
      <c r="H80" s="2166">
        <f t="shared" si="10"/>
        <v>0</v>
      </c>
      <c r="I80" s="2167"/>
      <c r="J80" s="2168"/>
      <c r="L80"/>
      <c r="M80"/>
      <c r="N80"/>
      <c r="O80"/>
      <c r="P80"/>
    </row>
    <row r="81" spans="1:16" s="1" customFormat="1" ht="28" hidden="1" customHeight="1" x14ac:dyDescent="0.2">
      <c r="A81" s="3123"/>
      <c r="B81" s="3123"/>
      <c r="C81" s="3122"/>
      <c r="D81" s="2165" t="s">
        <v>22</v>
      </c>
      <c r="E81" s="2169">
        <f>IFERROR(E80/$H$80,0)</f>
        <v>0</v>
      </c>
      <c r="F81" s="2169">
        <f>IFERROR(F80/$H$80,0)</f>
        <v>0</v>
      </c>
      <c r="G81" s="2169">
        <f>IFERROR(G80/$H$80,0)</f>
        <v>0</v>
      </c>
      <c r="H81" s="2170"/>
      <c r="I81" s="2167"/>
      <c r="J81" s="2168"/>
      <c r="L81"/>
      <c r="M81"/>
      <c r="N81"/>
      <c r="O81"/>
      <c r="P81"/>
    </row>
    <row r="82" spans="1:16" s="1" customFormat="1" ht="29" hidden="1" customHeight="1" x14ac:dyDescent="0.2">
      <c r="A82" s="2171" t="s">
        <v>141</v>
      </c>
      <c r="B82" s="2171" t="s">
        <v>115</v>
      </c>
      <c r="C82" s="3109" t="s">
        <v>125</v>
      </c>
      <c r="D82" s="2157" t="s">
        <v>21</v>
      </c>
      <c r="E82" s="2158" cm="1">
        <f t="array" ref="E82">IFERROR(INDEX('Data tổng hợp II'!$H$3:$H$4909,
  MATCH(1,
    ('Data tổng hợp II'!$C$3:$C$4909="DC1")*
    ('Data tổng hợp II'!$E$3:$E$4909='Form mẫu'!$A82)*
    ('Data tổng hợp II'!$F$3:$F$4909='Form mẫu'!$C82)*
    ('Data tổng hợp II'!$B$3:$B$4909='Form mẫu'!$U$2)*('Data tổng hợp II'!$G$3:$G$4909='Form mẫu'!E$51),
  0)
),0)</f>
        <v>0</v>
      </c>
      <c r="F82" s="2158" cm="1">
        <f t="array" ref="F82">IFERROR(INDEX('Data tổng hợp II'!$H$3:$H$4909,
  MATCH(1,
    ('Data tổng hợp II'!$C$3:$C$4909="DC1")*
    ('Data tổng hợp II'!$E$3:$E$4909='Form mẫu'!$A82)*
    ('Data tổng hợp II'!$F$3:$F$4909='Form mẫu'!$C82)*
    ('Data tổng hợp II'!$B$3:$B$4909='Form mẫu'!$U$2)*('Data tổng hợp II'!$G$3:$G$4909='Form mẫu'!F$51),
  0)
),0)</f>
        <v>0</v>
      </c>
      <c r="G82" s="2158" cm="1">
        <f t="array" ref="G82">IFERROR(INDEX('Data tổng hợp II'!$H$3:$H$4909,
  MATCH(1,
    ('Data tổng hợp II'!$C$3:$C$4909="DC1")*
    ('Data tổng hợp II'!$E$3:$E$4909='Form mẫu'!$A82)*
    ('Data tổng hợp II'!$F$3:$F$4909='Form mẫu'!$C82)*
    ('Data tổng hợp II'!$B$3:$B$4909='Form mẫu'!$U$2)*('Data tổng hợp II'!$G$3:$G$4909='Form mẫu'!G$51),
  0)
),0)</f>
        <v>0</v>
      </c>
      <c r="H82" s="2159">
        <f>SUM(E82:G82)</f>
        <v>0</v>
      </c>
      <c r="I82" s="2160" t="e">
        <f>(H82/$H$94)</f>
        <v>#DIV/0!</v>
      </c>
      <c r="J82" s="2174"/>
      <c r="L82"/>
      <c r="M82"/>
      <c r="N82"/>
      <c r="O82"/>
      <c r="P82"/>
    </row>
    <row r="83" spans="1:16" s="1" customFormat="1" ht="29" hidden="1" customHeight="1" x14ac:dyDescent="0.2">
      <c r="A83" s="2172" t="s">
        <v>141</v>
      </c>
      <c r="B83" s="2172" t="s">
        <v>115</v>
      </c>
      <c r="C83" s="3110" t="s">
        <v>125</v>
      </c>
      <c r="D83" s="2157" t="s">
        <v>22</v>
      </c>
      <c r="E83" s="2162">
        <f>IFERROR(E82/$H82,0)</f>
        <v>0</v>
      </c>
      <c r="F83" s="2162">
        <f>IFERROR(F82/$H82,0)</f>
        <v>0</v>
      </c>
      <c r="G83" s="2162">
        <f>IFERROR(G82/$H82,0)</f>
        <v>0</v>
      </c>
      <c r="H83" s="2163"/>
      <c r="I83" s="2164"/>
      <c r="J83" s="2174"/>
      <c r="L83"/>
      <c r="M83"/>
      <c r="N83"/>
      <c r="O83"/>
      <c r="P83"/>
    </row>
    <row r="84" spans="1:16" s="1" customFormat="1" ht="29" hidden="1" customHeight="1" x14ac:dyDescent="0.2">
      <c r="A84" s="2172" t="s">
        <v>141</v>
      </c>
      <c r="B84" s="2172" t="s">
        <v>115</v>
      </c>
      <c r="C84" s="3109" t="s">
        <v>120</v>
      </c>
      <c r="D84" s="2157" t="s">
        <v>21</v>
      </c>
      <c r="E84" s="2158" cm="1">
        <f t="array" ref="E84">IFERROR(INDEX('Data tổng hợp II'!$H$3:$H$4909,
  MATCH(1,
    ('Data tổng hợp II'!$C$3:$C$4909="DC1")*
    ('Data tổng hợp II'!$E$3:$E$4909='Form mẫu'!$A84)*
    ('Data tổng hợp II'!$F$3:$F$4909='Form mẫu'!$C84)*
    ('Data tổng hợp II'!$B$3:$B$4909='Form mẫu'!$U$2)*('Data tổng hợp II'!$G$3:$G$4909='Form mẫu'!E$51),
  0)
),0)</f>
        <v>0</v>
      </c>
      <c r="F84" s="2158" cm="1">
        <f t="array" ref="F84">IFERROR(INDEX('Data tổng hợp II'!$H$3:$H$4909,
  MATCH(1,
    ('Data tổng hợp II'!$C$3:$C$4909="DC1")*
    ('Data tổng hợp II'!$E$3:$E$4909='Form mẫu'!$A84)*
    ('Data tổng hợp II'!$F$3:$F$4909='Form mẫu'!$C84)*
    ('Data tổng hợp II'!$B$3:$B$4909='Form mẫu'!$U$2)*('Data tổng hợp II'!$G$3:$G$4909='Form mẫu'!F$51),
  0)
),0)</f>
        <v>0</v>
      </c>
      <c r="G84" s="2158" cm="1">
        <f t="array" ref="G84">IFERROR(INDEX('Data tổng hợp II'!$H$3:$H$4909,
  MATCH(1,
    ('Data tổng hợp II'!$C$3:$C$4909="DC1")*
    ('Data tổng hợp II'!$E$3:$E$4909='Form mẫu'!$A84)*
    ('Data tổng hợp II'!$F$3:$F$4909='Form mẫu'!$C84)*
    ('Data tổng hợp II'!$B$3:$B$4909='Form mẫu'!$U$2)*('Data tổng hợp II'!$G$3:$G$4909='Form mẫu'!G$51),
  0)
),0)</f>
        <v>0</v>
      </c>
      <c r="H84" s="2159">
        <f>SUM(E84:G84)</f>
        <v>0</v>
      </c>
      <c r="I84" s="2160" t="e">
        <f>(H84/$H$94)</f>
        <v>#DIV/0!</v>
      </c>
      <c r="J84" s="2174"/>
      <c r="L84"/>
      <c r="M84"/>
      <c r="N84"/>
      <c r="O84"/>
      <c r="P84"/>
    </row>
    <row r="85" spans="1:16" s="1" customFormat="1" ht="29" hidden="1" customHeight="1" x14ac:dyDescent="0.2">
      <c r="A85" s="1903" t="s">
        <v>141</v>
      </c>
      <c r="B85" s="1903" t="s">
        <v>115</v>
      </c>
      <c r="C85" s="3110" t="s">
        <v>313</v>
      </c>
      <c r="D85" s="2157" t="s">
        <v>22</v>
      </c>
      <c r="E85" s="2162">
        <f>IFERROR(E84/$H84,0)</f>
        <v>0</v>
      </c>
      <c r="F85" s="2162">
        <f>IFERROR(F84/$H84,0)</f>
        <v>0</v>
      </c>
      <c r="G85" s="2162">
        <f>IFERROR(G84/$H84,0)</f>
        <v>0</v>
      </c>
      <c r="H85" s="2163"/>
      <c r="I85" s="2164"/>
      <c r="J85" s="2174"/>
      <c r="L85"/>
      <c r="M85"/>
      <c r="N85"/>
      <c r="O85"/>
      <c r="P85"/>
    </row>
    <row r="86" spans="1:16" s="1" customFormat="1" ht="29" hidden="1" customHeight="1" x14ac:dyDescent="0.2">
      <c r="A86" s="2172" t="s">
        <v>141</v>
      </c>
      <c r="B86" s="2172" t="s">
        <v>115</v>
      </c>
      <c r="C86" s="3109" t="s">
        <v>109</v>
      </c>
      <c r="D86" s="2157" t="s">
        <v>21</v>
      </c>
      <c r="E86" s="2158" cm="1">
        <f t="array" ref="E86">IFERROR(INDEX('Data tổng hợp II'!$H$3:$H$4909,
  MATCH(1,
    ('Data tổng hợp II'!$C$3:$C$4909="DC1")*
    ('Data tổng hợp II'!$E$3:$E$4909='Form mẫu'!$A86)*
    ('Data tổng hợp II'!$F$3:$F$4909='Form mẫu'!$C86)*
    ('Data tổng hợp II'!$B$3:$B$4909='Form mẫu'!$U$2)*('Data tổng hợp II'!$G$3:$G$4909='Form mẫu'!E$51),
  0)
),0)</f>
        <v>0</v>
      </c>
      <c r="F86" s="2158" cm="1">
        <f t="array" ref="F86">IFERROR(INDEX('Data tổng hợp II'!$H$3:$H$4909,
  MATCH(1,
    ('Data tổng hợp II'!$C$3:$C$4909="DC1")*
    ('Data tổng hợp II'!$E$3:$E$4909='Form mẫu'!$A86)*
    ('Data tổng hợp II'!$F$3:$F$4909='Form mẫu'!$C86)*
    ('Data tổng hợp II'!$B$3:$B$4909='Form mẫu'!$U$2)*('Data tổng hợp II'!$G$3:$G$4909='Form mẫu'!F$51),
  0)
),0)</f>
        <v>0</v>
      </c>
      <c r="G86" s="2158" cm="1">
        <f t="array" ref="G86">IFERROR(INDEX('Data tổng hợp II'!$H$3:$H$4909,
  MATCH(1,
    ('Data tổng hợp II'!$C$3:$C$4909="DC1")*
    ('Data tổng hợp II'!$E$3:$E$4909='Form mẫu'!$A86)*
    ('Data tổng hợp II'!$F$3:$F$4909='Form mẫu'!$C86)*
    ('Data tổng hợp II'!$B$3:$B$4909='Form mẫu'!$U$2)*('Data tổng hợp II'!$G$3:$G$4909='Form mẫu'!G$51),
  0)
),0)</f>
        <v>0</v>
      </c>
      <c r="H86" s="2159">
        <f>SUM(E86:G86)</f>
        <v>0</v>
      </c>
      <c r="I86" s="2160" t="e">
        <f>(H86/$H$94)</f>
        <v>#DIV/0!</v>
      </c>
      <c r="J86" s="2174"/>
      <c r="L86"/>
      <c r="M86"/>
      <c r="N86"/>
      <c r="O86"/>
      <c r="P86"/>
    </row>
    <row r="87" spans="1:16" s="1" customFormat="1" ht="29" hidden="1" customHeight="1" x14ac:dyDescent="0.2">
      <c r="A87" s="2172" t="s">
        <v>141</v>
      </c>
      <c r="B87" s="2172" t="s">
        <v>115</v>
      </c>
      <c r="C87" s="3110" t="s">
        <v>109</v>
      </c>
      <c r="D87" s="2157" t="s">
        <v>22</v>
      </c>
      <c r="E87" s="2162">
        <f>IFERROR(E86/$H86,0)</f>
        <v>0</v>
      </c>
      <c r="F87" s="2162">
        <f>IFERROR(F86/$H86,0)</f>
        <v>0</v>
      </c>
      <c r="G87" s="2162">
        <f>IFERROR(G86/$H86,0)</f>
        <v>0</v>
      </c>
      <c r="H87" s="2163"/>
      <c r="I87" s="2164"/>
      <c r="J87" s="2174"/>
      <c r="L87"/>
      <c r="M87"/>
      <c r="N87"/>
      <c r="O87"/>
      <c r="P87"/>
    </row>
    <row r="88" spans="1:16" s="1" customFormat="1" ht="29" hidden="1" customHeight="1" x14ac:dyDescent="0.2">
      <c r="A88" s="2172"/>
      <c r="B88" s="2172"/>
      <c r="C88" s="3117" t="s">
        <v>114</v>
      </c>
      <c r="D88" s="2157" t="s">
        <v>21</v>
      </c>
      <c r="E88" s="2158"/>
      <c r="F88" s="2158" cm="1">
        <f t="array" ref="F88">IFERROR(INDEX('Data tổng hợp II'!$H$3:$H$4909,
  MATCH(1,
    ('Data tổng hợp II'!$C$3:$C$4909="DC1")*
    ('Data tổng hợp II'!$E$3:$E$4909='Form mẫu'!$A88)*
    ('Data tổng hợp II'!$F$3:$F$4909='Form mẫu'!$C88)*
    ('Data tổng hợp II'!$B$3:$B$4909='Form mẫu'!$U$2)*('Data tổng hợp II'!$G$3:$G$4909='Form mẫu'!F$51),
  0)
),0)</f>
        <v>0</v>
      </c>
      <c r="G88" s="2158"/>
      <c r="H88" s="2159">
        <f>SUM(E88:G88)</f>
        <v>0</v>
      </c>
      <c r="I88" s="2160" t="e">
        <f>(H88/$H$94)</f>
        <v>#DIV/0!</v>
      </c>
      <c r="J88" s="2161"/>
      <c r="L88"/>
      <c r="M88"/>
      <c r="N88"/>
      <c r="O88"/>
      <c r="P88"/>
    </row>
    <row r="89" spans="1:16" s="1" customFormat="1" ht="29" hidden="1" customHeight="1" x14ac:dyDescent="0.2">
      <c r="A89" s="2172"/>
      <c r="B89" s="2172"/>
      <c r="C89" s="3118" t="s">
        <v>114</v>
      </c>
      <c r="D89" s="2157" t="s">
        <v>22</v>
      </c>
      <c r="E89" s="2162">
        <f>IFERROR(E88/$H88,0)</f>
        <v>0</v>
      </c>
      <c r="F89" s="2162">
        <f>IFERROR(F88/$H88,0)</f>
        <v>0</v>
      </c>
      <c r="G89" s="2162">
        <f>IFERROR(G88/$H88,0)</f>
        <v>0</v>
      </c>
      <c r="H89" s="2163"/>
      <c r="I89" s="2164"/>
      <c r="J89" s="2161"/>
      <c r="L89"/>
      <c r="M89"/>
      <c r="N89"/>
      <c r="O89"/>
      <c r="P89"/>
    </row>
    <row r="90" spans="1:16" s="1" customFormat="1" ht="29" hidden="1" customHeight="1" x14ac:dyDescent="0.2">
      <c r="A90" s="2172" t="s">
        <v>141</v>
      </c>
      <c r="B90" s="2172" t="s">
        <v>115</v>
      </c>
      <c r="C90" s="3117" t="s">
        <v>129</v>
      </c>
      <c r="D90" s="2157" t="s">
        <v>21</v>
      </c>
      <c r="E90" s="2158" cm="1">
        <f t="array" ref="E90">IFERROR(INDEX('Data tổng hợp II'!$H$3:$H$4909,
  MATCH(1,
    ('Data tổng hợp II'!$C$3:$C$4909="DC1")*
    ('Data tổng hợp II'!$E$3:$E$4909='Form mẫu'!$A90)*
    ('Data tổng hợp II'!$F$3:$F$4909='Form mẫu'!$C90)*
    ('Data tổng hợp II'!$B$3:$B$4909='Form mẫu'!$U$2)*('Data tổng hợp II'!$G$3:$G$4909='Form mẫu'!E$51),
  0)
),0)</f>
        <v>0</v>
      </c>
      <c r="F90" s="2158" cm="1">
        <f t="array" ref="F90">IFERROR(INDEX('Data tổng hợp II'!$H$3:$H$4909,
  MATCH(1,
    ('Data tổng hợp II'!$C$3:$C$4909="DC1")*
    ('Data tổng hợp II'!$E$3:$E$4909='Form mẫu'!$A90)*
    ('Data tổng hợp II'!$F$3:$F$4909='Form mẫu'!$C90)*
    ('Data tổng hợp II'!$B$3:$B$4909='Form mẫu'!$U$2)*('Data tổng hợp II'!$G$3:$G$4909='Form mẫu'!F$51),
  0)
),0)</f>
        <v>0</v>
      </c>
      <c r="G90" s="2158" cm="1">
        <f t="array" ref="G90">IFERROR(INDEX('Data tổng hợp II'!$H$3:$H$4909,
  MATCH(1,
    ('Data tổng hợp II'!$C$3:$C$4909="DC1")*
    ('Data tổng hợp II'!$E$3:$E$4909='Form mẫu'!$A90)*
    ('Data tổng hợp II'!$F$3:$F$4909='Form mẫu'!$C90)*
    ('Data tổng hợp II'!$B$3:$B$4909='Form mẫu'!$U$2)*('Data tổng hợp II'!$G$3:$G$4909='Form mẫu'!G$51),
  0)
),0)</f>
        <v>0</v>
      </c>
      <c r="H90" s="2159">
        <f>SUM(E90:G90)</f>
        <v>0</v>
      </c>
      <c r="I90" s="2160" t="e">
        <f>(H90/$H$94)</f>
        <v>#DIV/0!</v>
      </c>
      <c r="J90" s="2161"/>
      <c r="L90"/>
      <c r="M90"/>
      <c r="N90"/>
      <c r="O90"/>
      <c r="P90"/>
    </row>
    <row r="91" spans="1:16" s="1" customFormat="1" ht="29" hidden="1" customHeight="1" x14ac:dyDescent="0.2">
      <c r="A91" s="2173" t="s">
        <v>141</v>
      </c>
      <c r="B91" s="2173" t="s">
        <v>115</v>
      </c>
      <c r="C91" s="3118" t="s">
        <v>129</v>
      </c>
      <c r="D91" s="2157" t="s">
        <v>22</v>
      </c>
      <c r="E91" s="2162">
        <f>IFERROR(E90/$H90,0)</f>
        <v>0</v>
      </c>
      <c r="F91" s="2162">
        <f>IFERROR(F90/$H90,0)</f>
        <v>0</v>
      </c>
      <c r="G91" s="2162">
        <f>IFERROR(G90/$H90,0)</f>
        <v>0</v>
      </c>
      <c r="H91" s="2163"/>
      <c r="I91" s="2164"/>
      <c r="J91" s="2161"/>
      <c r="L91"/>
      <c r="M91"/>
      <c r="N91"/>
      <c r="O91"/>
      <c r="P91"/>
    </row>
    <row r="92" spans="1:16" s="1" customFormat="1" ht="29" hidden="1" customHeight="1" x14ac:dyDescent="0.2">
      <c r="A92" s="3119" t="s">
        <v>103</v>
      </c>
      <c r="B92" s="3119"/>
      <c r="C92" s="3120"/>
      <c r="D92" s="2165" t="s">
        <v>21</v>
      </c>
      <c r="E92" s="2166">
        <f>E82+E84+E86+E88+E90</f>
        <v>0</v>
      </c>
      <c r="F92" s="2166">
        <f t="shared" ref="F92:G92" si="11">F82+F84+F86+F88+F90</f>
        <v>0</v>
      </c>
      <c r="G92" s="2166">
        <f t="shared" si="11"/>
        <v>0</v>
      </c>
      <c r="H92" s="2166">
        <f>SUM(E92:G92)</f>
        <v>0</v>
      </c>
      <c r="I92" s="2175" t="e">
        <f>(H92/$H$94)</f>
        <v>#DIV/0!</v>
      </c>
      <c r="J92" s="2176"/>
      <c r="L92"/>
      <c r="M92"/>
      <c r="N92"/>
      <c r="O92"/>
      <c r="P92"/>
    </row>
    <row r="93" spans="1:16" s="1" customFormat="1" ht="29" hidden="1" customHeight="1" x14ac:dyDescent="0.2">
      <c r="A93" s="3123"/>
      <c r="B93" s="3123"/>
      <c r="C93" s="3122"/>
      <c r="D93" s="2165" t="s">
        <v>22</v>
      </c>
      <c r="E93" s="2169">
        <f>IFERROR(E92/$H$92,0)</f>
        <v>0</v>
      </c>
      <c r="F93" s="2169">
        <f>IFERROR(F92/$H$92,0)</f>
        <v>0</v>
      </c>
      <c r="G93" s="2169">
        <f>IFERROR(G92/$H$92,0)</f>
        <v>0</v>
      </c>
      <c r="H93" s="2170"/>
      <c r="I93" s="2177" t="e">
        <f>(H93/$H$94)*100</f>
        <v>#DIV/0!</v>
      </c>
      <c r="J93" s="2176"/>
      <c r="L93"/>
      <c r="M93"/>
      <c r="N93"/>
      <c r="O93"/>
      <c r="P93"/>
    </row>
    <row r="94" spans="1:16" s="1" customFormat="1" ht="39" customHeight="1" x14ac:dyDescent="0.2">
      <c r="A94" s="3209" t="s">
        <v>124</v>
      </c>
      <c r="B94" s="3210"/>
      <c r="C94" s="3211"/>
      <c r="D94" s="2178" t="s">
        <v>21</v>
      </c>
      <c r="E94" s="2179">
        <f>E68+E80+E92</f>
        <v>0</v>
      </c>
      <c r="F94" s="2179">
        <f>F68+F80+F92</f>
        <v>0</v>
      </c>
      <c r="G94" s="2179">
        <f>G68+G80+G92</f>
        <v>0</v>
      </c>
      <c r="H94" s="2179">
        <f>SUM(E94:G94)</f>
        <v>0</v>
      </c>
      <c r="I94" s="2180">
        <v>1</v>
      </c>
      <c r="J94" s="2181"/>
      <c r="L94"/>
      <c r="M94"/>
      <c r="N94"/>
      <c r="O94"/>
      <c r="P94"/>
    </row>
    <row r="95" spans="1:16" s="1" customFormat="1" ht="39" customHeight="1" x14ac:dyDescent="0.2">
      <c r="A95" s="3212"/>
      <c r="B95" s="3213"/>
      <c r="C95" s="3214"/>
      <c r="D95" s="2178" t="s">
        <v>22</v>
      </c>
      <c r="E95" s="2182">
        <f>IFERROR(E94/$H$94,0)</f>
        <v>0</v>
      </c>
      <c r="F95" s="2182">
        <f>IFERROR(F94/$H$94,0)</f>
        <v>0</v>
      </c>
      <c r="G95" s="2182">
        <f>IFERROR(G94/$H$94,0)</f>
        <v>0</v>
      </c>
      <c r="H95" s="2183"/>
      <c r="I95" s="2183"/>
      <c r="J95" s="2184"/>
      <c r="L95"/>
      <c r="M95"/>
      <c r="N95"/>
      <c r="O95"/>
      <c r="P95"/>
    </row>
    <row r="96" spans="1:16" s="1" customFormat="1" ht="14" customHeight="1" x14ac:dyDescent="0.2">
      <c r="A96" s="919"/>
      <c r="B96" s="919"/>
      <c r="C96" s="920"/>
      <c r="D96" s="921"/>
      <c r="E96" s="921"/>
      <c r="F96" s="921"/>
      <c r="G96" s="921"/>
      <c r="H96" s="921"/>
      <c r="I96" s="922"/>
      <c r="J96" s="922"/>
      <c r="K96" s="922"/>
      <c r="L96" s="922"/>
      <c r="M96" s="922"/>
      <c r="N96" s="922"/>
    </row>
    <row r="97" spans="1:16" s="1" customFormat="1" ht="29" customHeight="1" x14ac:dyDescent="0.2">
      <c r="A97" s="3207" t="s">
        <v>506</v>
      </c>
      <c r="B97" s="3207"/>
      <c r="C97" s="3207"/>
      <c r="D97" s="3207"/>
      <c r="E97" s="3207"/>
      <c r="F97" s="3207"/>
      <c r="G97" s="3207"/>
      <c r="H97" s="3207"/>
      <c r="I97" s="3207"/>
      <c r="J97" s="3207"/>
      <c r="K97" s="3207"/>
      <c r="L97" s="3207"/>
      <c r="M97" s="3207"/>
      <c r="N97" s="3207"/>
    </row>
    <row r="98" spans="1:16" s="1" customFormat="1" ht="39" customHeight="1" x14ac:dyDescent="0.2">
      <c r="A98" s="2187" t="s">
        <v>39</v>
      </c>
      <c r="B98" s="3208" t="s">
        <v>134</v>
      </c>
      <c r="C98" s="3208"/>
      <c r="D98" s="2188" t="s">
        <v>6</v>
      </c>
      <c r="E98" s="2189" t="s">
        <v>135</v>
      </c>
      <c r="F98" s="2189" t="s">
        <v>43</v>
      </c>
      <c r="G98" s="2189" t="s">
        <v>10</v>
      </c>
      <c r="H98" s="2190" t="s">
        <v>314</v>
      </c>
      <c r="I98" s="3215" t="s">
        <v>47</v>
      </c>
      <c r="J98" s="3215"/>
      <c r="K98" s="3215"/>
      <c r="L98" s="2191"/>
      <c r="M98" s="2191"/>
      <c r="N98" s="2191"/>
    </row>
    <row r="99" spans="1:16" s="1" customFormat="1" ht="29" customHeight="1" x14ac:dyDescent="0.15">
      <c r="A99" s="2192">
        <v>1</v>
      </c>
      <c r="B99" s="3114" t="s">
        <v>137</v>
      </c>
      <c r="C99" s="3114"/>
      <c r="D99" s="2193" t="s">
        <v>115</v>
      </c>
      <c r="E99" s="2194" t="s">
        <v>139</v>
      </c>
      <c r="F99" s="2195">
        <f>H68</f>
        <v>0</v>
      </c>
      <c r="G99" s="2194" t="e">
        <f>F99/$K$11</f>
        <v>#DIV/0!</v>
      </c>
      <c r="H99" s="2196" t="e">
        <f>F99/$F$102</f>
        <v>#DIV/0!</v>
      </c>
      <c r="I99" s="3216"/>
      <c r="J99" s="3216"/>
      <c r="K99" s="3216"/>
      <c r="L99" s="2197"/>
      <c r="M99" s="2197"/>
      <c r="N99" s="2197"/>
    </row>
    <row r="100" spans="1:16" s="1" customFormat="1" ht="29" customHeight="1" x14ac:dyDescent="0.15">
      <c r="A100" s="2192">
        <v>2</v>
      </c>
      <c r="B100" s="3114" t="s">
        <v>137</v>
      </c>
      <c r="C100" s="3114"/>
      <c r="D100" s="2193" t="s">
        <v>115</v>
      </c>
      <c r="E100" s="2194" t="s">
        <v>140</v>
      </c>
      <c r="F100" s="2195">
        <f>H80</f>
        <v>0</v>
      </c>
      <c r="G100" s="2194" t="e">
        <f>F100/$K$11</f>
        <v>#DIV/0!</v>
      </c>
      <c r="H100" s="2196" t="e">
        <f>F100/$F$102</f>
        <v>#DIV/0!</v>
      </c>
      <c r="I100" s="3216"/>
      <c r="J100" s="3216"/>
      <c r="K100" s="3216"/>
      <c r="L100" s="2197"/>
      <c r="M100" s="2197"/>
      <c r="N100" s="2197"/>
    </row>
    <row r="101" spans="1:16" s="1" customFormat="1" ht="29" customHeight="1" x14ac:dyDescent="0.15">
      <c r="A101" s="2192">
        <v>3</v>
      </c>
      <c r="B101" s="3114" t="s">
        <v>137</v>
      </c>
      <c r="C101" s="3114"/>
      <c r="D101" s="2193" t="s">
        <v>115</v>
      </c>
      <c r="E101" s="2194" t="s">
        <v>141</v>
      </c>
      <c r="F101" s="2195">
        <f>H92</f>
        <v>0</v>
      </c>
      <c r="G101" s="2194" t="e">
        <f>F101/$K$11</f>
        <v>#DIV/0!</v>
      </c>
      <c r="H101" s="2196" t="e">
        <f>F101/$F$102</f>
        <v>#DIV/0!</v>
      </c>
      <c r="I101" s="3216"/>
      <c r="J101" s="3216"/>
      <c r="K101" s="3216"/>
      <c r="L101" s="2197"/>
      <c r="M101" s="2197"/>
      <c r="N101" s="2197"/>
    </row>
    <row r="102" spans="1:16" s="1" customFormat="1" ht="29" customHeight="1" x14ac:dyDescent="0.2">
      <c r="A102" s="3217" t="s">
        <v>1238</v>
      </c>
      <c r="B102" s="3217"/>
      <c r="C102" s="3217"/>
      <c r="D102" s="2198" t="s">
        <v>142</v>
      </c>
      <c r="E102" s="2198" t="s">
        <v>142</v>
      </c>
      <c r="F102" s="2199">
        <f>SUM(F99:F101)</f>
        <v>0</v>
      </c>
      <c r="G102" s="2200" t="e">
        <f>SUM(G99:G101)</f>
        <v>#DIV/0!</v>
      </c>
      <c r="H102" s="2201" t="e">
        <f>SUM(H99:H101)</f>
        <v>#DIV/0!</v>
      </c>
      <c r="I102" s="3153"/>
      <c r="J102" s="3153"/>
      <c r="K102" s="3153"/>
      <c r="L102" s="2197"/>
      <c r="M102" s="2197"/>
      <c r="N102" s="2197"/>
    </row>
    <row r="103" spans="1:16" s="1" customFormat="1" ht="27" customHeight="1" x14ac:dyDescent="0.2">
      <c r="A103" s="2202" t="s">
        <v>497</v>
      </c>
      <c r="B103" s="2203"/>
      <c r="C103" s="2203"/>
      <c r="D103" s="2204"/>
      <c r="E103" s="2204"/>
      <c r="F103" s="2205"/>
      <c r="G103" s="2206"/>
      <c r="H103" s="2191"/>
      <c r="I103" s="2207"/>
      <c r="J103" s="2208"/>
      <c r="K103" s="2209"/>
      <c r="L103" s="2209"/>
      <c r="M103" s="2209"/>
      <c r="N103" s="2209"/>
    </row>
    <row r="104" spans="1:16" s="1" customFormat="1" ht="23" customHeight="1" x14ac:dyDescent="0.2">
      <c r="A104" s="3046" t="s">
        <v>135</v>
      </c>
      <c r="B104" s="3046" t="s">
        <v>6</v>
      </c>
      <c r="C104" s="3046" t="s">
        <v>105</v>
      </c>
      <c r="D104" s="3046" t="s">
        <v>17</v>
      </c>
      <c r="E104" s="3150" t="s">
        <v>106</v>
      </c>
      <c r="F104" s="3151"/>
      <c r="G104" s="3151"/>
      <c r="H104" s="3152"/>
      <c r="I104" s="2154" t="s">
        <v>107</v>
      </c>
      <c r="J104" s="3208" t="s">
        <v>47</v>
      </c>
      <c r="K104" s="3208"/>
      <c r="L104" s="1030"/>
      <c r="M104" s="1030"/>
      <c r="N104" s="1030"/>
      <c r="O104"/>
      <c r="P104"/>
    </row>
    <row r="105" spans="1:16" s="1" customFormat="1" ht="34" customHeight="1" x14ac:dyDescent="0.2">
      <c r="A105" s="3047"/>
      <c r="B105" s="3047"/>
      <c r="C105" s="3047"/>
      <c r="D105" s="3047"/>
      <c r="E105" s="2155" t="s">
        <v>18</v>
      </c>
      <c r="F105" s="98" t="s">
        <v>19</v>
      </c>
      <c r="G105" s="98" t="s">
        <v>20</v>
      </c>
      <c r="H105" s="98" t="s">
        <v>108</v>
      </c>
      <c r="I105" s="2156" t="s">
        <v>22</v>
      </c>
      <c r="J105" s="3208"/>
      <c r="K105" s="3208"/>
      <c r="L105" s="1030"/>
      <c r="M105" s="1030"/>
      <c r="N105" s="1030"/>
      <c r="O105"/>
      <c r="P105"/>
    </row>
    <row r="106" spans="1:16" s="1" customFormat="1" ht="25" customHeight="1" x14ac:dyDescent="0.2">
      <c r="A106" s="1901" t="s">
        <v>1028</v>
      </c>
      <c r="B106" s="1901" t="s">
        <v>119</v>
      </c>
      <c r="C106" s="3109" t="s">
        <v>109</v>
      </c>
      <c r="D106" s="2157" t="s">
        <v>21</v>
      </c>
      <c r="E106" s="2158" cm="1">
        <f t="array" ref="E106">IFERROR(INDEX('Data tổng hợp II'!$H$3:$H$4909,
  MATCH(1,
    ('Data tổng hợp II'!$C$3:$C$4909="DC2")*
    ('Data tổng hợp II'!$E$3:$E$4909='Form mẫu'!$A106)*
    ('Data tổng hợp II'!$F$3:$F$4909='Form mẫu'!$C106)*
    ('Data tổng hợp II'!$B$3:$B$4909='Form mẫu'!$U$2)*('Data tổng hợp II'!$G$3:$G$4909='Form mẫu'!E$105)*('Data tổng hợp II'!$D$3:$D$4909='Form mẫu'!$B106),
  0)
),0)</f>
        <v>0</v>
      </c>
      <c r="F106" s="2158" cm="1">
        <f t="array" ref="F106">IFERROR(INDEX('Data tổng hợp II'!$H$3:$H$4909,
  MATCH(1,
    ('Data tổng hợp II'!$C$3:$C$4909="DC2")*
    ('Data tổng hợp II'!$E$3:$E$4909='Form mẫu'!$A106)*
    ('Data tổng hợp II'!$F$3:$F$4909='Form mẫu'!$C106)*
    ('Data tổng hợp II'!$B$3:$B$4909='Form mẫu'!$U$2)*('Data tổng hợp II'!$G$3:$G$4909='Form mẫu'!F$105)*('Data tổng hợp II'!$D$3:$D$4909='Form mẫu'!$B106),
  0)
),0)</f>
        <v>0</v>
      </c>
      <c r="G106" s="2158" cm="1">
        <f t="array" ref="G106">IFERROR(INDEX('Data tổng hợp II'!$H$3:$H$4909,
  MATCH(1,
    ('Data tổng hợp II'!$C$3:$C$4909="DC2")*
    ('Data tổng hợp II'!$E$3:$E$4909='Form mẫu'!$A106)*
    ('Data tổng hợp II'!$F$3:$F$4909='Form mẫu'!$C106)*
    ('Data tổng hợp II'!$B$3:$B$4909='Form mẫu'!$U$2)*('Data tổng hợp II'!$G$3:$G$4909='Form mẫu'!G$105)*('Data tổng hợp II'!$D$3:$D$4909='Form mẫu'!$B106),
  0)
),0)</f>
        <v>0</v>
      </c>
      <c r="H106" s="2159">
        <f>SUM(E106:G106)</f>
        <v>0</v>
      </c>
      <c r="I106" s="2210" t="e">
        <f>(H106/$H$124)</f>
        <v>#DIV/0!</v>
      </c>
      <c r="J106" s="3114"/>
      <c r="K106" s="3114"/>
      <c r="L106" s="1030"/>
      <c r="M106" s="1030"/>
      <c r="N106" s="1030"/>
      <c r="O106"/>
      <c r="P106"/>
    </row>
    <row r="107" spans="1:16" s="1" customFormat="1" ht="25" customHeight="1" x14ac:dyDescent="0.2">
      <c r="A107" s="1902" t="s">
        <v>1028</v>
      </c>
      <c r="B107" s="1902" t="s">
        <v>119</v>
      </c>
      <c r="C107" s="3110"/>
      <c r="D107" s="2157" t="s">
        <v>22</v>
      </c>
      <c r="E107" s="2162">
        <f>IFERROR(E106/$H106,0)</f>
        <v>0</v>
      </c>
      <c r="F107" s="2162">
        <f>IFERROR(F106/$H106,0)</f>
        <v>0</v>
      </c>
      <c r="G107" s="2162">
        <f>IFERROR(G106/$H106,0)</f>
        <v>0</v>
      </c>
      <c r="H107" s="2163"/>
      <c r="I107" s="2211"/>
      <c r="J107" s="3114"/>
      <c r="K107" s="3114"/>
      <c r="L107" s="1030"/>
      <c r="M107" s="1030"/>
      <c r="N107" s="1030"/>
      <c r="O107"/>
      <c r="P107"/>
    </row>
    <row r="108" spans="1:16" s="1" customFormat="1" ht="25" customHeight="1" x14ac:dyDescent="0.2">
      <c r="A108" s="1902" t="s">
        <v>1028</v>
      </c>
      <c r="B108" s="1902" t="s">
        <v>119</v>
      </c>
      <c r="C108" s="3109" t="s">
        <v>129</v>
      </c>
      <c r="D108" s="2157" t="s">
        <v>21</v>
      </c>
      <c r="E108" s="2158" cm="1">
        <f t="array" ref="E108">IFERROR(INDEX('Data tổng hợp II'!$H$3:$H$4909,
  MATCH(1,
    ('Data tổng hợp II'!$C$3:$C$4909="DC2")*
    ('Data tổng hợp II'!$E$3:$E$4909='Form mẫu'!$A108)*
    ('Data tổng hợp II'!$F$3:$F$4909='Form mẫu'!$C108)*
    ('Data tổng hợp II'!$B$3:$B$4909='Form mẫu'!$U$2)*('Data tổng hợp II'!$G$3:$G$4909='Form mẫu'!E$105)*('Data tổng hợp II'!$D$3:$D$4909='Form mẫu'!$B108),
  0)
),0)</f>
        <v>0</v>
      </c>
      <c r="F108" s="2158" cm="1">
        <f t="array" ref="F108">IFERROR(INDEX('Data tổng hợp II'!$H$3:$H$4909,
  MATCH(1,
    ('Data tổng hợp II'!$C$3:$C$4909="DC2")*
    ('Data tổng hợp II'!$E$3:$E$4909='Form mẫu'!$A108)*
    ('Data tổng hợp II'!$F$3:$F$4909='Form mẫu'!$C108)*
    ('Data tổng hợp II'!$B$3:$B$4909='Form mẫu'!$U$2)*('Data tổng hợp II'!$G$3:$G$4909='Form mẫu'!F$105)*('Data tổng hợp II'!$D$3:$D$4909='Form mẫu'!$B108),
  0)
),0)</f>
        <v>0</v>
      </c>
      <c r="G108" s="2158" cm="1">
        <f t="array" ref="G108">IFERROR(INDEX('Data tổng hợp II'!$H$3:$H$4909,
  MATCH(1,
    ('Data tổng hợp II'!$C$3:$C$4909="DC2")*
    ('Data tổng hợp II'!$E$3:$E$4909='Form mẫu'!$A108)*
    ('Data tổng hợp II'!$F$3:$F$4909='Form mẫu'!$C108)*
    ('Data tổng hợp II'!$B$3:$B$4909='Form mẫu'!$U$2)*('Data tổng hợp II'!$G$3:$G$4909='Form mẫu'!G$105)*('Data tổng hợp II'!$D$3:$D$4909='Form mẫu'!$B108),
  0)
),0)</f>
        <v>0</v>
      </c>
      <c r="H108" s="2159">
        <f>SUM(E108:G108)</f>
        <v>0</v>
      </c>
      <c r="I108" s="2210" t="e">
        <f>(H108/$H$124)</f>
        <v>#DIV/0!</v>
      </c>
      <c r="J108" s="3114"/>
      <c r="K108" s="3114"/>
      <c r="L108" s="1030"/>
      <c r="M108" s="1030"/>
      <c r="N108" s="1030"/>
      <c r="O108"/>
      <c r="P108"/>
    </row>
    <row r="109" spans="1:16" s="1" customFormat="1" ht="25" customHeight="1" x14ac:dyDescent="0.2">
      <c r="A109" s="1902" t="s">
        <v>1028</v>
      </c>
      <c r="B109" s="1902" t="s">
        <v>119</v>
      </c>
      <c r="C109" s="3110" t="s">
        <v>129</v>
      </c>
      <c r="D109" s="2157" t="s">
        <v>22</v>
      </c>
      <c r="E109" s="2162">
        <f>IFERROR(E108/$H108,0)</f>
        <v>0</v>
      </c>
      <c r="F109" s="2162">
        <f>IFERROR(F108/$H108,0)</f>
        <v>0</v>
      </c>
      <c r="G109" s="2162">
        <f>IFERROR(G108/$H108,0)</f>
        <v>0</v>
      </c>
      <c r="H109" s="2163"/>
      <c r="I109" s="2211"/>
      <c r="J109" s="3114"/>
      <c r="K109" s="3114"/>
      <c r="L109" s="1030"/>
      <c r="M109" s="1030"/>
      <c r="N109" s="1030"/>
      <c r="O109"/>
      <c r="P109"/>
    </row>
    <row r="110" spans="1:16" s="1" customFormat="1" ht="35" customHeight="1" x14ac:dyDescent="0.2">
      <c r="A110" s="2065" t="s">
        <v>1028</v>
      </c>
      <c r="B110" s="1903" t="s">
        <v>119</v>
      </c>
      <c r="C110" s="3109" t="s">
        <v>146</v>
      </c>
      <c r="D110" s="2157" t="s">
        <v>21</v>
      </c>
      <c r="E110" s="2158" cm="1">
        <f t="array" ref="E110">IFERROR(INDEX('Data tổng hợp II'!$H$3:$H$4909,
  MATCH(1,
    ('Data tổng hợp II'!$C$3:$C$4909="DC2")*
    ('Data tổng hợp II'!$E$3:$E$4909='Form mẫu'!$A110)*
    ('Data tổng hợp II'!$F$3:$F$4909='Form mẫu'!$C110)*
    ('Data tổng hợp II'!$B$3:$B$4909='Form mẫu'!$U$2)*('Data tổng hợp II'!$G$3:$G$4909='Form mẫu'!E$105)*('Data tổng hợp II'!$D$3:$D$4909='Form mẫu'!$B110),
  0)
),0)</f>
        <v>0</v>
      </c>
      <c r="F110" s="2158" cm="1">
        <f t="array" ref="F110">IFERROR(INDEX('Data tổng hợp II'!$H$3:$H$4909,
  MATCH(1,
    ('Data tổng hợp II'!$C$3:$C$4909="DC2")*
    ('Data tổng hợp II'!$E$3:$E$4909='Form mẫu'!$A110)*
    ('Data tổng hợp II'!$F$3:$F$4909='Form mẫu'!$C110)*
    ('Data tổng hợp II'!$B$3:$B$4909='Form mẫu'!$U$2)*('Data tổng hợp II'!$G$3:$G$4909='Form mẫu'!F$105)*('Data tổng hợp II'!$D$3:$D$4909='Form mẫu'!$B110),
  0)
),0)</f>
        <v>0</v>
      </c>
      <c r="G110" s="2158" cm="1">
        <f t="array" ref="G110">IFERROR(INDEX('Data tổng hợp II'!$H$3:$H$4909,
  MATCH(1,
    ('Data tổng hợp II'!$C$3:$C$4909="DC2")*
    ('Data tổng hợp II'!$E$3:$E$4909='Form mẫu'!$A110)*
    ('Data tổng hợp II'!$F$3:$F$4909='Form mẫu'!$C110)*
    ('Data tổng hợp II'!$B$3:$B$4909='Form mẫu'!$U$2)*('Data tổng hợp II'!$G$3:$G$4909='Form mẫu'!G$105)*('Data tổng hợp II'!$D$3:$D$4909='Form mẫu'!$B110),
  0)
),0)</f>
        <v>0</v>
      </c>
      <c r="H110" s="2159">
        <f>SUM(E110:G110)</f>
        <v>0</v>
      </c>
      <c r="I110" s="2210" t="e">
        <f>(H110/$H$124)</f>
        <v>#DIV/0!</v>
      </c>
      <c r="J110" s="3114"/>
      <c r="K110" s="3114"/>
      <c r="L110" s="1030"/>
      <c r="M110" s="1030"/>
      <c r="N110" s="1030"/>
      <c r="O110"/>
      <c r="P110"/>
    </row>
    <row r="111" spans="1:16" s="1" customFormat="1" ht="32" customHeight="1" x14ac:dyDescent="0.2">
      <c r="A111" s="1902" t="s">
        <v>1028</v>
      </c>
      <c r="B111" s="1902" t="s">
        <v>119</v>
      </c>
      <c r="C111" s="3110" t="s">
        <v>146</v>
      </c>
      <c r="D111" s="2157" t="s">
        <v>22</v>
      </c>
      <c r="E111" s="2162">
        <f>IFERROR(E110/$H110,0)</f>
        <v>0</v>
      </c>
      <c r="F111" s="2162">
        <f>IFERROR(F110/$H110,0)</f>
        <v>0</v>
      </c>
      <c r="G111" s="2162">
        <f>IFERROR(G110/$H110,0)</f>
        <v>0</v>
      </c>
      <c r="H111" s="2163"/>
      <c r="I111" s="2211"/>
      <c r="J111" s="3114"/>
      <c r="K111" s="3114"/>
      <c r="L111" s="1030"/>
      <c r="M111" s="1030"/>
      <c r="N111" s="1030"/>
      <c r="O111"/>
      <c r="P111"/>
    </row>
    <row r="112" spans="1:16" s="1" customFormat="1" ht="30" hidden="1" customHeight="1" x14ac:dyDescent="0.2">
      <c r="A112" s="2065" t="s">
        <v>1028</v>
      </c>
      <c r="B112" s="1903" t="s">
        <v>119</v>
      </c>
      <c r="C112" s="3109" t="s">
        <v>541</v>
      </c>
      <c r="D112" s="2157" t="s">
        <v>21</v>
      </c>
      <c r="E112" s="2158" cm="1">
        <f t="array" ref="E112">IFERROR(INDEX('Data tổng hợp II'!$H$3:$H$4909,
  MATCH(1,
    ('Data tổng hợp II'!$C$3:$C$4909="DC2")*
    ('Data tổng hợp II'!$E$3:$E$4909='Form mẫu'!$A112)*
    ('Data tổng hợp II'!$F$3:$F$4909='Form mẫu'!$C112)*
    ('Data tổng hợp II'!$B$3:$B$4909='Form mẫu'!$U$2)*('Data tổng hợp II'!$G$3:$G$4909='Form mẫu'!E$105)*('Data tổng hợp II'!$D$3:$D$4909='Form mẫu'!$B112),
  0)
),0)</f>
        <v>0</v>
      </c>
      <c r="F112" s="2158" cm="1">
        <f t="array" ref="F112">IFERROR(INDEX('Data tổng hợp II'!$H$3:$H$4909,
  MATCH(1,
    ('Data tổng hợp II'!$C$3:$C$4909="DC2")*
    ('Data tổng hợp II'!$E$3:$E$4909='Form mẫu'!$A112)*
    ('Data tổng hợp II'!$F$3:$F$4909='Form mẫu'!$C112)*
    ('Data tổng hợp II'!$B$3:$B$4909='Form mẫu'!$U$2)*('Data tổng hợp II'!$G$3:$G$4909='Form mẫu'!F$105)*('Data tổng hợp II'!$D$3:$D$4909='Form mẫu'!$B112),
  0)
),0)</f>
        <v>0</v>
      </c>
      <c r="G112" s="2158" cm="1">
        <f t="array" ref="G112">IFERROR(INDEX('Data tổng hợp II'!$H$3:$H$4909,
  MATCH(1,
    ('Data tổng hợp II'!$C$3:$C$4909="DC2")*
    ('Data tổng hợp II'!$E$3:$E$4909='Form mẫu'!$A112)*
    ('Data tổng hợp II'!$F$3:$F$4909='Form mẫu'!$C112)*
    ('Data tổng hợp II'!$B$3:$B$4909='Form mẫu'!$U$2)*('Data tổng hợp II'!$G$3:$G$4909='Form mẫu'!G$105)*('Data tổng hợp II'!$D$3:$D$4909='Form mẫu'!$B112),
  0)
),0)</f>
        <v>0</v>
      </c>
      <c r="H112" s="2159">
        <f>SUM(E112:G112)</f>
        <v>0</v>
      </c>
      <c r="I112" s="2210" t="e">
        <f>(H112/$H$124)</f>
        <v>#DIV/0!</v>
      </c>
      <c r="J112" s="2161"/>
      <c r="K112" s="2212"/>
      <c r="L112" s="1030"/>
      <c r="M112" s="1030"/>
      <c r="N112" s="1030"/>
      <c r="O112"/>
      <c r="P112"/>
    </row>
    <row r="113" spans="1:16" s="1" customFormat="1" ht="25" hidden="1" customHeight="1" x14ac:dyDescent="0.2">
      <c r="A113" s="1902" t="s">
        <v>1028</v>
      </c>
      <c r="B113" s="1902" t="s">
        <v>119</v>
      </c>
      <c r="C113" s="3110" t="s">
        <v>541</v>
      </c>
      <c r="D113" s="2157" t="s">
        <v>22</v>
      </c>
      <c r="E113" s="2162">
        <f>IFERROR(E112/$H112,0)</f>
        <v>0</v>
      </c>
      <c r="F113" s="2162">
        <f>IFERROR(F112/$H112,0)</f>
        <v>0</v>
      </c>
      <c r="G113" s="2162">
        <f>IFERROR(G112/$H112,0)</f>
        <v>0</v>
      </c>
      <c r="H113" s="2163"/>
      <c r="I113" s="2211"/>
      <c r="J113" s="2161"/>
      <c r="K113" s="2212"/>
      <c r="L113" s="1030"/>
      <c r="M113" s="1030"/>
      <c r="N113" s="1030"/>
      <c r="O113"/>
      <c r="P113"/>
    </row>
    <row r="114" spans="1:16" s="1" customFormat="1" ht="25" customHeight="1" x14ac:dyDescent="0.2">
      <c r="A114" s="1902" t="s">
        <v>1028</v>
      </c>
      <c r="B114" s="1902" t="s">
        <v>119</v>
      </c>
      <c r="C114" s="3109" t="s">
        <v>117</v>
      </c>
      <c r="D114" s="2157" t="s">
        <v>21</v>
      </c>
      <c r="E114" s="2158" cm="1">
        <f t="array" ref="E114">IFERROR(INDEX('Data tổng hợp II'!$H$3:$H$4909,
  MATCH(1,
    ('Data tổng hợp II'!$C$3:$C$4909="DC2")*
    ('Data tổng hợp II'!$E$3:$E$4909='Form mẫu'!$A114)*
    ('Data tổng hợp II'!$F$3:$F$4909='Form mẫu'!$C114)*
    ('Data tổng hợp II'!$B$3:$B$4909='Form mẫu'!$U$2)*('Data tổng hợp II'!$G$3:$G$4909='Form mẫu'!E$105)*('Data tổng hợp II'!$D$3:$D$4909='Form mẫu'!$B114),
  0)
),0)</f>
        <v>0</v>
      </c>
      <c r="F114" s="2158" cm="1">
        <f t="array" ref="F114">IFERROR(INDEX('Data tổng hợp II'!$H$3:$H$4909,
  MATCH(1,
    ('Data tổng hợp II'!$C$3:$C$4909="DC2")*
    ('Data tổng hợp II'!$E$3:$E$4909='Form mẫu'!$A114)*
    ('Data tổng hợp II'!$F$3:$F$4909='Form mẫu'!$C114)*
    ('Data tổng hợp II'!$B$3:$B$4909='Form mẫu'!$U$2)*('Data tổng hợp II'!$G$3:$G$4909='Form mẫu'!F$105)*('Data tổng hợp II'!$D$3:$D$4909='Form mẫu'!$B114),
  0)
),0)</f>
        <v>0</v>
      </c>
      <c r="G114" s="2158" cm="1">
        <f t="array" ref="G114">IFERROR(INDEX('Data tổng hợp II'!$H$3:$H$4909,
  MATCH(1,
    ('Data tổng hợp II'!$C$3:$C$4909="DC2")*
    ('Data tổng hợp II'!$E$3:$E$4909='Form mẫu'!$A114)*
    ('Data tổng hợp II'!$F$3:$F$4909='Form mẫu'!$C114)*
    ('Data tổng hợp II'!$B$3:$B$4909='Form mẫu'!$U$2)*('Data tổng hợp II'!$G$3:$G$4909='Form mẫu'!G$105)*('Data tổng hợp II'!$D$3:$D$4909='Form mẫu'!$B114),
  0)
),0)</f>
        <v>0</v>
      </c>
      <c r="H114" s="2159">
        <f>SUM(E114:G114)</f>
        <v>0</v>
      </c>
      <c r="I114" s="2210" t="e">
        <f>(H114/$H$124)</f>
        <v>#DIV/0!</v>
      </c>
      <c r="J114" s="3114"/>
      <c r="K114" s="3114"/>
      <c r="L114" s="1030"/>
      <c r="M114" s="1030"/>
      <c r="N114" s="1030"/>
      <c r="O114"/>
      <c r="P114"/>
    </row>
    <row r="115" spans="1:16" s="1" customFormat="1" ht="25" customHeight="1" x14ac:dyDescent="0.2">
      <c r="A115" s="1902" t="s">
        <v>1028</v>
      </c>
      <c r="B115" s="1902" t="s">
        <v>119</v>
      </c>
      <c r="C115" s="3110" t="s">
        <v>117</v>
      </c>
      <c r="D115" s="2157" t="s">
        <v>22</v>
      </c>
      <c r="E115" s="2162">
        <f>IFERROR(E114/$H114,0)</f>
        <v>0</v>
      </c>
      <c r="F115" s="2162">
        <f>IFERROR(F114/$H114,0)</f>
        <v>0</v>
      </c>
      <c r="G115" s="2162">
        <f>IFERROR(G114/$H114,0)</f>
        <v>0</v>
      </c>
      <c r="H115" s="2163"/>
      <c r="I115" s="2211"/>
      <c r="J115" s="3114"/>
      <c r="K115" s="3114"/>
      <c r="L115" s="1030"/>
      <c r="M115" s="1030"/>
      <c r="N115" s="1030"/>
      <c r="O115"/>
      <c r="P115"/>
    </row>
    <row r="116" spans="1:16" s="1" customFormat="1" ht="25" customHeight="1" x14ac:dyDescent="0.2">
      <c r="A116" s="1902" t="s">
        <v>1028</v>
      </c>
      <c r="B116" s="1902" t="s">
        <v>119</v>
      </c>
      <c r="C116" s="3109" t="s">
        <v>322</v>
      </c>
      <c r="D116" s="2157" t="s">
        <v>21</v>
      </c>
      <c r="E116" s="2158" cm="1">
        <f t="array" ref="E116">IFERROR(INDEX('Data tổng hợp II'!$H$3:$H$4909,
  MATCH(1,
    ('Data tổng hợp II'!$C$3:$C$4909="DC2")*
    ('Data tổng hợp II'!$E$3:$E$4909='Form mẫu'!$A116)*
    ('Data tổng hợp II'!$F$3:$F$4909='Form mẫu'!$C116)*
    ('Data tổng hợp II'!$B$3:$B$4909='Form mẫu'!$U$2)*('Data tổng hợp II'!$G$3:$G$4909='Form mẫu'!E$105)*('Data tổng hợp II'!$D$3:$D$4909='Form mẫu'!$B116),
  0)
),0)</f>
        <v>0</v>
      </c>
      <c r="F116" s="2158" cm="1">
        <f t="array" ref="F116">IFERROR(INDEX('Data tổng hợp II'!$H$3:$H$4909,
  MATCH(1,
    ('Data tổng hợp II'!$C$3:$C$4909="DC2")*
    ('Data tổng hợp II'!$E$3:$E$4909='Form mẫu'!$A116)*
    ('Data tổng hợp II'!$F$3:$F$4909='Form mẫu'!$C116)*
    ('Data tổng hợp II'!$B$3:$B$4909='Form mẫu'!$U$2)*('Data tổng hợp II'!$G$3:$G$4909='Form mẫu'!F$105)*('Data tổng hợp II'!$D$3:$D$4909='Form mẫu'!$B116),
  0)
),0)</f>
        <v>0</v>
      </c>
      <c r="G116" s="2158" cm="1">
        <f t="array" ref="G116">IFERROR(INDEX('Data tổng hợp II'!$H$3:$H$4909,
  MATCH(1,
    ('Data tổng hợp II'!$C$3:$C$4909="DC2")*
    ('Data tổng hợp II'!$E$3:$E$4909='Form mẫu'!$A116)*
    ('Data tổng hợp II'!$F$3:$F$4909='Form mẫu'!$C116)*
    ('Data tổng hợp II'!$B$3:$B$4909='Form mẫu'!$U$2)*('Data tổng hợp II'!$G$3:$G$4909='Form mẫu'!G$105)*('Data tổng hợp II'!$D$3:$D$4909='Form mẫu'!$B116),
  0)
),0)</f>
        <v>0</v>
      </c>
      <c r="H116" s="2159">
        <f>SUM(E116:G116)</f>
        <v>0</v>
      </c>
      <c r="I116" s="2210" t="e">
        <f>(H116/$H$124)</f>
        <v>#DIV/0!</v>
      </c>
      <c r="J116" s="3114"/>
      <c r="K116" s="3114"/>
      <c r="L116" s="1030"/>
      <c r="M116" s="1030"/>
      <c r="N116" s="1030"/>
      <c r="O116"/>
      <c r="P116"/>
    </row>
    <row r="117" spans="1:16" s="1" customFormat="1" ht="25" customHeight="1" x14ac:dyDescent="0.2">
      <c r="A117" s="1902" t="s">
        <v>1028</v>
      </c>
      <c r="B117" s="1902" t="s">
        <v>119</v>
      </c>
      <c r="C117" s="3118" t="s">
        <v>322</v>
      </c>
      <c r="D117" s="2157" t="s">
        <v>22</v>
      </c>
      <c r="E117" s="2162">
        <f>IFERROR(E116/$H116,0)</f>
        <v>0</v>
      </c>
      <c r="F117" s="2162">
        <f>IFERROR(F116/$H116,0)</f>
        <v>0</v>
      </c>
      <c r="G117" s="2162">
        <f>IFERROR(G116/$H116,0)</f>
        <v>0</v>
      </c>
      <c r="H117" s="2163"/>
      <c r="I117" s="2211"/>
      <c r="J117" s="3114"/>
      <c r="K117" s="3114"/>
      <c r="L117" s="1030"/>
      <c r="M117" s="1030"/>
      <c r="N117" s="1030"/>
      <c r="O117"/>
      <c r="P117"/>
    </row>
    <row r="118" spans="1:16" s="1" customFormat="1" ht="23" customHeight="1" x14ac:dyDescent="0.2">
      <c r="A118" s="1902" t="s">
        <v>1028</v>
      </c>
      <c r="B118" s="1902" t="s">
        <v>119</v>
      </c>
      <c r="C118" s="3117" t="s">
        <v>125</v>
      </c>
      <c r="D118" s="2157" t="s">
        <v>21</v>
      </c>
      <c r="E118" s="2158" cm="1">
        <f t="array" ref="E118">IFERROR(INDEX('Data tổng hợp II'!$H$3:$H$4909,
  MATCH(1,
    ('Data tổng hợp II'!$C$3:$C$4909="DC2")*
    ('Data tổng hợp II'!$E$3:$E$4909='Form mẫu'!$A118)*
    ('Data tổng hợp II'!$F$3:$F$4909='Form mẫu'!$C118)*
    ('Data tổng hợp II'!$B$3:$B$4909='Form mẫu'!$U$2)*('Data tổng hợp II'!$G$3:$G$4909='Form mẫu'!E$105)*('Data tổng hợp II'!$D$3:$D$4909='Form mẫu'!$B118),
  0)
),0)</f>
        <v>0</v>
      </c>
      <c r="F118" s="2158" cm="1">
        <f t="array" ref="F118">IFERROR(INDEX('Data tổng hợp II'!$H$3:$H$4909,
  MATCH(1,
    ('Data tổng hợp II'!$C$3:$C$4909="DC2")*
    ('Data tổng hợp II'!$E$3:$E$4909='Form mẫu'!$A118)*
    ('Data tổng hợp II'!$F$3:$F$4909='Form mẫu'!$C118)*
    ('Data tổng hợp II'!$B$3:$B$4909='Form mẫu'!$U$2)*('Data tổng hợp II'!$G$3:$G$4909='Form mẫu'!F$105)*('Data tổng hợp II'!$D$3:$D$4909='Form mẫu'!$B118),
  0)
),0)</f>
        <v>0</v>
      </c>
      <c r="G118" s="2158" cm="1">
        <f t="array" ref="G118">IFERROR(INDEX('Data tổng hợp II'!$H$3:$H$4909,
  MATCH(1,
    ('Data tổng hợp II'!$C$3:$C$4909="DC2")*
    ('Data tổng hợp II'!$E$3:$E$4909='Form mẫu'!$A118)*
    ('Data tổng hợp II'!$F$3:$F$4909='Form mẫu'!$C118)*
    ('Data tổng hợp II'!$B$3:$B$4909='Form mẫu'!$U$2)*('Data tổng hợp II'!$G$3:$G$4909='Form mẫu'!G$105)*('Data tổng hợp II'!$D$3:$D$4909='Form mẫu'!$B118),
  0)
),0)</f>
        <v>0</v>
      </c>
      <c r="H118" s="2159">
        <f>SUM(E118:G118)</f>
        <v>0</v>
      </c>
      <c r="I118" s="2210" t="e">
        <f>(H118/$H$124)</f>
        <v>#DIV/0!</v>
      </c>
      <c r="J118" s="3114"/>
      <c r="K118" s="3114"/>
      <c r="L118" s="1030"/>
      <c r="M118" s="1030"/>
      <c r="N118" s="1030"/>
      <c r="O118"/>
      <c r="P118"/>
    </row>
    <row r="119" spans="1:16" s="1" customFormat="1" ht="23" customHeight="1" x14ac:dyDescent="0.2">
      <c r="A119" s="1902" t="s">
        <v>1028</v>
      </c>
      <c r="B119" s="1902" t="s">
        <v>119</v>
      </c>
      <c r="C119" s="3118" t="s">
        <v>125</v>
      </c>
      <c r="D119" s="2157" t="s">
        <v>22</v>
      </c>
      <c r="E119" s="2162">
        <f>IFERROR(E118/$H118,0)</f>
        <v>0</v>
      </c>
      <c r="F119" s="2162">
        <f>IFERROR(F118/$H118,0)</f>
        <v>0</v>
      </c>
      <c r="G119" s="2162">
        <f>IFERROR(G118/$H118,0)</f>
        <v>0</v>
      </c>
      <c r="H119" s="2163"/>
      <c r="I119" s="2211"/>
      <c r="J119" s="3114"/>
      <c r="K119" s="3114"/>
      <c r="L119" s="1030"/>
      <c r="M119" s="1030"/>
      <c r="N119" s="1030"/>
      <c r="O119"/>
      <c r="P119"/>
    </row>
    <row r="120" spans="1:16" s="1" customFormat="1" ht="23" hidden="1" customHeight="1" x14ac:dyDescent="0.2">
      <c r="A120" s="1902" t="s">
        <v>1028</v>
      </c>
      <c r="B120" s="2213" t="s">
        <v>119</v>
      </c>
      <c r="C120" s="3117" t="s">
        <v>637</v>
      </c>
      <c r="D120" s="2157" t="s">
        <v>21</v>
      </c>
      <c r="E120" s="2158" cm="1">
        <f t="array" ref="E120">IFERROR(INDEX('Data tổng hợp II'!$H$3:$H$4909,
  MATCH(1,
    ('Data tổng hợp II'!$C$3:$C$4909="DC2")*
    ('Data tổng hợp II'!$E$3:$E$4909='Form mẫu'!$A120)*
    ('Data tổng hợp II'!$F$3:$F$4909='Form mẫu'!$C120)*
    ('Data tổng hợp II'!$B$3:$B$4909='Form mẫu'!$U$2)*('Data tổng hợp II'!$G$3:$G$4909='Form mẫu'!E$105)*('Data tổng hợp II'!$D$3:$D$4909='Form mẫu'!$B120),
  0)
),0)</f>
        <v>0</v>
      </c>
      <c r="F120" s="2158" cm="1">
        <f t="array" ref="F120">IFERROR(INDEX('Data tổng hợp II'!$H$3:$H$4909,
  MATCH(1,
    ('Data tổng hợp II'!$C$3:$C$4909="DC2")*
    ('Data tổng hợp II'!$E$3:$E$4909='Form mẫu'!$A120)*
    ('Data tổng hợp II'!$F$3:$F$4909='Form mẫu'!$C120)*
    ('Data tổng hợp II'!$B$3:$B$4909='Form mẫu'!$U$2)*('Data tổng hợp II'!$G$3:$G$4909='Form mẫu'!F$105)*('Data tổng hợp II'!$D$3:$D$4909='Form mẫu'!$B120),
  0)
),0)</f>
        <v>0</v>
      </c>
      <c r="G120" s="2158" cm="1">
        <f t="array" ref="G120">IFERROR(INDEX('Data tổng hợp II'!$H$3:$H$4909,
  MATCH(1,
    ('Data tổng hợp II'!$C$3:$C$4909="DC2")*
    ('Data tổng hợp II'!$E$3:$E$4909='Form mẫu'!$A120)*
    ('Data tổng hợp II'!$F$3:$F$4909='Form mẫu'!$C120)*
    ('Data tổng hợp II'!$B$3:$B$4909='Form mẫu'!$U$2)*('Data tổng hợp II'!$G$3:$G$4909='Form mẫu'!G$105)*('Data tổng hợp II'!$D$3:$D$4909='Form mẫu'!$B120),
  0)
),0)</f>
        <v>0</v>
      </c>
      <c r="H120" s="2159">
        <f>SUM(E120:G120)</f>
        <v>0</v>
      </c>
      <c r="I120" s="2210" t="e">
        <f>(H120/$H$124)</f>
        <v>#DIV/0!</v>
      </c>
      <c r="J120" s="2161"/>
      <c r="K120" s="2212"/>
      <c r="L120" s="1030"/>
      <c r="M120" s="1030"/>
      <c r="N120" s="1030"/>
      <c r="O120"/>
      <c r="P120"/>
    </row>
    <row r="121" spans="1:16" s="1" customFormat="1" ht="23" hidden="1" customHeight="1" x14ac:dyDescent="0.2">
      <c r="A121" s="1902" t="s">
        <v>1028</v>
      </c>
      <c r="B121" s="2213" t="s">
        <v>119</v>
      </c>
      <c r="C121" s="3118"/>
      <c r="D121" s="2157" t="s">
        <v>22</v>
      </c>
      <c r="E121" s="2162">
        <f>IFERROR(E120/$H120,0)</f>
        <v>0</v>
      </c>
      <c r="F121" s="2162">
        <f>IFERROR(F120/$H120,0)</f>
        <v>0</v>
      </c>
      <c r="G121" s="2162">
        <f>IFERROR(G120/$H120,0)</f>
        <v>0</v>
      </c>
      <c r="H121" s="2163"/>
      <c r="I121" s="2211"/>
      <c r="J121" s="2161"/>
      <c r="K121" s="2212"/>
      <c r="L121" s="1030"/>
      <c r="M121" s="1030"/>
      <c r="N121" s="1030"/>
      <c r="O121"/>
      <c r="P121"/>
    </row>
    <row r="122" spans="1:16" s="1" customFormat="1" ht="23" hidden="1" customHeight="1" x14ac:dyDescent="0.2">
      <c r="A122" s="1902" t="s">
        <v>1028</v>
      </c>
      <c r="B122" s="2213" t="s">
        <v>119</v>
      </c>
      <c r="C122" s="3117" t="s">
        <v>144</v>
      </c>
      <c r="D122" s="2157" t="s">
        <v>21</v>
      </c>
      <c r="E122" s="2158" cm="1">
        <f t="array" ref="E122">IFERROR(INDEX('Data tổng hợp II'!$H$3:$H$4909,
  MATCH(1,
    ('Data tổng hợp II'!$C$3:$C$4909="DC2")*
    ('Data tổng hợp II'!$E$3:$E$4909='Form mẫu'!$A122)*
    ('Data tổng hợp II'!$F$3:$F$4909='Form mẫu'!$C122)*
    ('Data tổng hợp II'!$B$3:$B$4909='Form mẫu'!$U$2)*('Data tổng hợp II'!$G$3:$G$4909='Form mẫu'!E$105)*('Data tổng hợp II'!$D$3:$D$4909='Form mẫu'!$B122),
  0)
),0)</f>
        <v>0</v>
      </c>
      <c r="F122" s="2158" cm="1">
        <f t="array" ref="F122">IFERROR(INDEX('Data tổng hợp II'!$H$3:$H$4909,
  MATCH(1,
    ('Data tổng hợp II'!$C$3:$C$4909="DC2")*
    ('Data tổng hợp II'!$E$3:$E$4909='Form mẫu'!$A122)*
    ('Data tổng hợp II'!$F$3:$F$4909='Form mẫu'!$C122)*
    ('Data tổng hợp II'!$B$3:$B$4909='Form mẫu'!$U$2)*('Data tổng hợp II'!$G$3:$G$4909='Form mẫu'!F$105)*('Data tổng hợp II'!$D$3:$D$4909='Form mẫu'!$B122),
  0)
),0)</f>
        <v>0</v>
      </c>
      <c r="G122" s="2158" cm="1">
        <f t="array" ref="G122">IFERROR(INDEX('Data tổng hợp II'!$H$3:$H$4909,
  MATCH(1,
    ('Data tổng hợp II'!$C$3:$C$4909="DC2")*
    ('Data tổng hợp II'!$E$3:$E$4909='Form mẫu'!$A122)*
    ('Data tổng hợp II'!$F$3:$F$4909='Form mẫu'!$C122)*
    ('Data tổng hợp II'!$B$3:$B$4909='Form mẫu'!$U$2)*('Data tổng hợp II'!$G$3:$G$4909='Form mẫu'!G$105)*('Data tổng hợp II'!$D$3:$D$4909='Form mẫu'!$B122),
  0)
),0)</f>
        <v>0</v>
      </c>
      <c r="H122" s="2159">
        <f>SUM(E122:G122)</f>
        <v>0</v>
      </c>
      <c r="I122" s="2210" t="e">
        <f>(H122/$H$124)</f>
        <v>#DIV/0!</v>
      </c>
      <c r="J122" s="2161"/>
      <c r="K122" s="2212"/>
      <c r="L122" s="1030"/>
      <c r="M122" s="1030"/>
      <c r="N122" s="1030"/>
      <c r="O122"/>
      <c r="P122"/>
    </row>
    <row r="123" spans="1:16" s="1" customFormat="1" ht="23" hidden="1" customHeight="1" x14ac:dyDescent="0.2">
      <c r="A123" s="1902" t="s">
        <v>1028</v>
      </c>
      <c r="B123" s="2213" t="s">
        <v>119</v>
      </c>
      <c r="C123" s="3154"/>
      <c r="D123" s="2214" t="s">
        <v>22</v>
      </c>
      <c r="E123" s="2162">
        <f>IFERROR(E122/$H122,0)</f>
        <v>0</v>
      </c>
      <c r="F123" s="2162">
        <f>IFERROR(F122/$H122,0)</f>
        <v>0</v>
      </c>
      <c r="G123" s="2162">
        <f>IFERROR(G122/$H122,0)</f>
        <v>0</v>
      </c>
      <c r="H123" s="2163"/>
      <c r="I123" s="2211"/>
      <c r="J123" s="2161"/>
      <c r="K123" s="2212"/>
      <c r="L123" s="1030"/>
      <c r="M123" s="1030"/>
      <c r="N123" s="1030"/>
      <c r="O123"/>
      <c r="P123"/>
    </row>
    <row r="124" spans="1:16" s="1" customFormat="1" ht="31" customHeight="1" x14ac:dyDescent="0.2">
      <c r="A124" s="3124" t="s">
        <v>103</v>
      </c>
      <c r="B124" s="3119"/>
      <c r="C124" s="3120"/>
      <c r="D124" s="2165" t="s">
        <v>21</v>
      </c>
      <c r="E124" s="2166">
        <f>E106+E108+E110+E112+E114+E116+E118+E120+E122</f>
        <v>0</v>
      </c>
      <c r="F124" s="2166">
        <f>F106+F108+F110+F112+F114+F116+F118+F120+F122</f>
        <v>0</v>
      </c>
      <c r="G124" s="2166">
        <f>G106+G108+G110+G112+G114+G116+G118+G120+G122</f>
        <v>0</v>
      </c>
      <c r="H124" s="2166">
        <f>SUM(E124:G124)</f>
        <v>0</v>
      </c>
      <c r="I124" s="2215"/>
      <c r="J124" s="3113"/>
      <c r="K124" s="3113"/>
      <c r="L124" s="1030"/>
      <c r="M124" s="1030"/>
      <c r="N124" s="1030"/>
      <c r="O124"/>
      <c r="P124"/>
    </row>
    <row r="125" spans="1:16" s="1" customFormat="1" ht="31" customHeight="1" x14ac:dyDescent="0.2">
      <c r="A125" s="3125"/>
      <c r="B125" s="3123"/>
      <c r="C125" s="3122"/>
      <c r="D125" s="2165" t="s">
        <v>22</v>
      </c>
      <c r="E125" s="2169">
        <f>IFERROR(E124/$H$124,0)</f>
        <v>0</v>
      </c>
      <c r="F125" s="2169">
        <f>IFERROR(F124/$H$124,0)</f>
        <v>0</v>
      </c>
      <c r="G125" s="2169">
        <f>IFERROR(G124/$H$124,0)</f>
        <v>0</v>
      </c>
      <c r="H125" s="2170"/>
      <c r="I125" s="2215"/>
      <c r="J125" s="3113"/>
      <c r="K125" s="3113"/>
      <c r="L125" s="1030"/>
      <c r="M125" s="1030"/>
      <c r="N125" s="1030"/>
      <c r="O125"/>
      <c r="P125"/>
    </row>
    <row r="126" spans="1:16" s="1" customFormat="1" ht="26" customHeight="1" x14ac:dyDescent="0.2">
      <c r="A126" s="1901" t="s">
        <v>329</v>
      </c>
      <c r="B126" s="1901" t="s">
        <v>119</v>
      </c>
      <c r="C126" s="3117" t="s">
        <v>129</v>
      </c>
      <c r="D126" s="2157" t="s">
        <v>21</v>
      </c>
      <c r="E126" s="2158" cm="1">
        <f t="array" ref="E126">IFERROR(INDEX('Data tổng hợp II'!$H$3:$H$4909,
  MATCH(1,
    ('Data tổng hợp II'!$C$3:$C$4909="DC2")*
    ('Data tổng hợp II'!$E$3:$E$4909='Form mẫu'!$A126)*
    ('Data tổng hợp II'!$F$3:$F$4909='Form mẫu'!$C126)*
    ('Data tổng hợp II'!$B$3:$B$4909='Form mẫu'!$U$2)*('Data tổng hợp II'!$G$3:$G$4909='Form mẫu'!E$105)*('Data tổng hợp II'!$D$3:$D$4909='Form mẫu'!$B126),
  0)
),0)</f>
        <v>0</v>
      </c>
      <c r="F126" s="2158" cm="1">
        <f t="array" ref="F126">IFERROR(INDEX('Data tổng hợp II'!$H$3:$H$4909,
  MATCH(1,
    ('Data tổng hợp II'!$C$3:$C$4909="DC2")*
    ('Data tổng hợp II'!$E$3:$E$4909='Form mẫu'!$A126)*
    ('Data tổng hợp II'!$F$3:$F$4909='Form mẫu'!$C126)*
    ('Data tổng hợp II'!$B$3:$B$4909='Form mẫu'!$U$2)*('Data tổng hợp II'!$G$3:$G$4909='Form mẫu'!F$105)*('Data tổng hợp II'!$D$3:$D$4909='Form mẫu'!$B126),
  0)
),0)</f>
        <v>0</v>
      </c>
      <c r="G126" s="2158" cm="1">
        <f t="array" ref="G126">IFERROR(INDEX('Data tổng hợp II'!$H$3:$H$4909,
  MATCH(1,
    ('Data tổng hợp II'!$C$3:$C$4909="DC2")*
    ('Data tổng hợp II'!$E$3:$E$4909='Form mẫu'!$A126)*
    ('Data tổng hợp II'!$F$3:$F$4909='Form mẫu'!$C126)*
    ('Data tổng hợp II'!$B$3:$B$4909='Form mẫu'!$U$2)*('Data tổng hợp II'!$G$3:$G$4909='Form mẫu'!G$105)*('Data tổng hợp II'!$D$3:$D$4909='Form mẫu'!$B126),
  0)
),0)</f>
        <v>0</v>
      </c>
      <c r="H126" s="2159">
        <f>SUM(E126:G126)</f>
        <v>0</v>
      </c>
      <c r="I126" s="2210" t="e">
        <f>(H126/$H$140)</f>
        <v>#DIV/0!</v>
      </c>
      <c r="J126" s="3114"/>
      <c r="K126" s="3114"/>
      <c r="L126" s="1030"/>
      <c r="M126" s="1030"/>
      <c r="N126" s="1030"/>
      <c r="O126"/>
      <c r="P126"/>
    </row>
    <row r="127" spans="1:16" s="1" customFormat="1" ht="26" customHeight="1" x14ac:dyDescent="0.2">
      <c r="A127" s="1902" t="s">
        <v>329</v>
      </c>
      <c r="B127" s="1902" t="s">
        <v>119</v>
      </c>
      <c r="C127" s="3118" t="s">
        <v>129</v>
      </c>
      <c r="D127" s="2157" t="s">
        <v>22</v>
      </c>
      <c r="E127" s="2162">
        <f>IFERROR(E126/$H126,0)</f>
        <v>0</v>
      </c>
      <c r="F127" s="2162">
        <f>IFERROR(F126/$H126,0)</f>
        <v>0</v>
      </c>
      <c r="G127" s="2162">
        <f>IFERROR(G126/$H126,0)</f>
        <v>0</v>
      </c>
      <c r="H127" s="2163"/>
      <c r="I127" s="2211"/>
      <c r="J127" s="3114"/>
      <c r="K127" s="3114"/>
      <c r="L127" s="1030"/>
      <c r="M127" s="1030"/>
      <c r="N127" s="1030"/>
      <c r="O127"/>
      <c r="P127"/>
    </row>
    <row r="128" spans="1:16" s="1" customFormat="1" ht="26" customHeight="1" x14ac:dyDescent="0.2">
      <c r="A128" s="1902" t="s">
        <v>329</v>
      </c>
      <c r="B128" s="1902" t="s">
        <v>119</v>
      </c>
      <c r="C128" s="3117" t="s">
        <v>109</v>
      </c>
      <c r="D128" s="2157" t="s">
        <v>21</v>
      </c>
      <c r="E128" s="2158" cm="1">
        <f t="array" ref="E128">IFERROR(INDEX('Data tổng hợp II'!$H$3:$H$4909,
  MATCH(1,
    ('Data tổng hợp II'!$C$3:$C$4909="DC2")*
    ('Data tổng hợp II'!$E$3:$E$4909='Form mẫu'!$A128)*
    ('Data tổng hợp II'!$F$3:$F$4909='Form mẫu'!$C128)*
    ('Data tổng hợp II'!$B$3:$B$4909='Form mẫu'!$U$2)*('Data tổng hợp II'!$G$3:$G$4909='Form mẫu'!E$105)*('Data tổng hợp II'!$D$3:$D$4909='Form mẫu'!$B128),
  0)
),0)</f>
        <v>0</v>
      </c>
      <c r="F128" s="2158" cm="1">
        <f t="array" ref="F128">IFERROR(INDEX('Data tổng hợp II'!$H$3:$H$4909,
  MATCH(1,
    ('Data tổng hợp II'!$C$3:$C$4909="DC2")*
    ('Data tổng hợp II'!$E$3:$E$4909='Form mẫu'!$A128)*
    ('Data tổng hợp II'!$F$3:$F$4909='Form mẫu'!$C128)*
    ('Data tổng hợp II'!$B$3:$B$4909='Form mẫu'!$U$2)*('Data tổng hợp II'!$G$3:$G$4909='Form mẫu'!F$105)*('Data tổng hợp II'!$D$3:$D$4909='Form mẫu'!$B128),
  0)
),0)</f>
        <v>0</v>
      </c>
      <c r="G128" s="2158" cm="1">
        <f t="array" ref="G128">IFERROR(INDEX('Data tổng hợp II'!$H$3:$H$4909,
  MATCH(1,
    ('Data tổng hợp II'!$C$3:$C$4909="DC2")*
    ('Data tổng hợp II'!$E$3:$E$4909='Form mẫu'!$A128)*
    ('Data tổng hợp II'!$F$3:$F$4909='Form mẫu'!$C128)*
    ('Data tổng hợp II'!$B$3:$B$4909='Form mẫu'!$U$2)*('Data tổng hợp II'!$G$3:$G$4909='Form mẫu'!G$105)*('Data tổng hợp II'!$D$3:$D$4909='Form mẫu'!$B128),
  0)
),0)</f>
        <v>0</v>
      </c>
      <c r="H128" s="2159">
        <f>SUM(E128:G128)</f>
        <v>0</v>
      </c>
      <c r="I128" s="2210" t="e">
        <f>(H128/$H$140)</f>
        <v>#DIV/0!</v>
      </c>
      <c r="J128" s="3114"/>
      <c r="K128" s="3114"/>
      <c r="L128" s="1030"/>
      <c r="M128" s="1030"/>
      <c r="N128" s="1030"/>
      <c r="O128"/>
      <c r="P128"/>
    </row>
    <row r="129" spans="1:16" s="1" customFormat="1" ht="26" customHeight="1" x14ac:dyDescent="0.2">
      <c r="A129" s="1902" t="s">
        <v>329</v>
      </c>
      <c r="B129" s="1902" t="s">
        <v>119</v>
      </c>
      <c r="C129" s="3118" t="s">
        <v>109</v>
      </c>
      <c r="D129" s="2157" t="s">
        <v>22</v>
      </c>
      <c r="E129" s="2162">
        <f>IFERROR(E128/$H128,0)</f>
        <v>0</v>
      </c>
      <c r="F129" s="2162">
        <f>IFERROR(F128/$H128,0)</f>
        <v>0</v>
      </c>
      <c r="G129" s="2162">
        <f>IFERROR(G128/$H128,0)</f>
        <v>0</v>
      </c>
      <c r="H129" s="2163"/>
      <c r="I129" s="2211"/>
      <c r="J129" s="3114"/>
      <c r="K129" s="3114"/>
      <c r="L129" s="1030"/>
      <c r="M129" s="1030"/>
      <c r="N129" s="1030"/>
      <c r="O129"/>
      <c r="P129"/>
    </row>
    <row r="130" spans="1:16" s="1" customFormat="1" ht="26" customHeight="1" x14ac:dyDescent="0.2">
      <c r="A130" s="1903" t="s">
        <v>329</v>
      </c>
      <c r="B130" s="1903" t="s">
        <v>119</v>
      </c>
      <c r="C130" s="3117" t="s">
        <v>322</v>
      </c>
      <c r="D130" s="2157" t="s">
        <v>21</v>
      </c>
      <c r="E130" s="2158" cm="1">
        <f t="array" ref="E130">IFERROR(INDEX('Data tổng hợp II'!$H$3:$H$4909,
  MATCH(1,
    ('Data tổng hợp II'!$C$3:$C$4909="DC2")*
    ('Data tổng hợp II'!$E$3:$E$4909='Form mẫu'!$A130)*
    ('Data tổng hợp II'!$F$3:$F$4909='Form mẫu'!$C130)*
    ('Data tổng hợp II'!$B$3:$B$4909='Form mẫu'!$U$2)*('Data tổng hợp II'!$G$3:$G$4909='Form mẫu'!E$105)*('Data tổng hợp II'!$D$3:$D$4909='Form mẫu'!$B130),
  0)
),0)</f>
        <v>0</v>
      </c>
      <c r="F130" s="2158" cm="1">
        <f t="array" ref="F130">IFERROR(INDEX('Data tổng hợp II'!$H$3:$H$4909,
  MATCH(1,
    ('Data tổng hợp II'!$C$3:$C$4909="DC2")*
    ('Data tổng hợp II'!$E$3:$E$4909='Form mẫu'!$A130)*
    ('Data tổng hợp II'!$F$3:$F$4909='Form mẫu'!$C130)*
    ('Data tổng hợp II'!$B$3:$B$4909='Form mẫu'!$U$2)*('Data tổng hợp II'!$G$3:$G$4909='Form mẫu'!F$105)*('Data tổng hợp II'!$D$3:$D$4909='Form mẫu'!$B130),
  0)
),0)</f>
        <v>0</v>
      </c>
      <c r="G130" s="2158" cm="1">
        <f t="array" ref="G130">IFERROR(INDEX('Data tổng hợp II'!$H$3:$H$4909,
  MATCH(1,
    ('Data tổng hợp II'!$C$3:$C$4909="DC2")*
    ('Data tổng hợp II'!$E$3:$E$4909='Form mẫu'!$A130)*
    ('Data tổng hợp II'!$F$3:$F$4909='Form mẫu'!$C130)*
    ('Data tổng hợp II'!$B$3:$B$4909='Form mẫu'!$U$2)*('Data tổng hợp II'!$G$3:$G$4909='Form mẫu'!G$105)*('Data tổng hợp II'!$D$3:$D$4909='Form mẫu'!$B130),
  0)
),0)</f>
        <v>0</v>
      </c>
      <c r="H130" s="2159">
        <f>SUM(E130:G130)</f>
        <v>0</v>
      </c>
      <c r="I130" s="2210" t="e">
        <f>(H130/$H$140)</f>
        <v>#DIV/0!</v>
      </c>
      <c r="J130" s="3114"/>
      <c r="K130" s="3114"/>
      <c r="L130" s="1030"/>
      <c r="M130" s="1030"/>
      <c r="N130" s="1030"/>
      <c r="O130"/>
      <c r="P130"/>
    </row>
    <row r="131" spans="1:16" s="1" customFormat="1" ht="26" customHeight="1" x14ac:dyDescent="0.2">
      <c r="A131" s="1902" t="s">
        <v>329</v>
      </c>
      <c r="B131" s="1902" t="s">
        <v>119</v>
      </c>
      <c r="C131" s="3118" t="s">
        <v>322</v>
      </c>
      <c r="D131" s="2157" t="s">
        <v>22</v>
      </c>
      <c r="E131" s="2162">
        <f>IFERROR(E130/$H130,0)</f>
        <v>0</v>
      </c>
      <c r="F131" s="2162">
        <f>IFERROR(F130/$H130,0)</f>
        <v>0</v>
      </c>
      <c r="G131" s="2162">
        <f>IFERROR(G130/$H130,0)</f>
        <v>0</v>
      </c>
      <c r="H131" s="2163"/>
      <c r="I131" s="2211"/>
      <c r="J131" s="3114"/>
      <c r="K131" s="3114"/>
      <c r="L131" s="1030"/>
      <c r="M131" s="1030"/>
      <c r="N131" s="1030"/>
      <c r="O131"/>
      <c r="P131"/>
    </row>
    <row r="132" spans="1:16" s="1" customFormat="1" ht="26" customHeight="1" x14ac:dyDescent="0.2">
      <c r="A132" s="1902" t="s">
        <v>329</v>
      </c>
      <c r="B132" s="1902" t="s">
        <v>119</v>
      </c>
      <c r="C132" s="3117" t="s">
        <v>117</v>
      </c>
      <c r="D132" s="2157" t="s">
        <v>21</v>
      </c>
      <c r="E132" s="2158" cm="1">
        <f t="array" ref="E132">IFERROR(INDEX('Data tổng hợp II'!$H$3:$H$4909,
  MATCH(1,
    ('Data tổng hợp II'!$C$3:$C$4909="DC2")*
    ('Data tổng hợp II'!$E$3:$E$4909='Form mẫu'!$A132)*
    ('Data tổng hợp II'!$F$3:$F$4909='Form mẫu'!$C132)*
    ('Data tổng hợp II'!$B$3:$B$4909='Form mẫu'!$U$2)*('Data tổng hợp II'!$G$3:$G$4909='Form mẫu'!E$105)*('Data tổng hợp II'!$D$3:$D$4909='Form mẫu'!$B132),
  0)
),0)</f>
        <v>0</v>
      </c>
      <c r="F132" s="2158" cm="1">
        <f t="array" ref="F132">IFERROR(INDEX('Data tổng hợp II'!$H$3:$H$4909,
  MATCH(1,
    ('Data tổng hợp II'!$C$3:$C$4909="DC2")*
    ('Data tổng hợp II'!$E$3:$E$4909='Form mẫu'!$A132)*
    ('Data tổng hợp II'!$F$3:$F$4909='Form mẫu'!$C132)*
    ('Data tổng hợp II'!$B$3:$B$4909='Form mẫu'!$U$2)*('Data tổng hợp II'!$G$3:$G$4909='Form mẫu'!F$105)*('Data tổng hợp II'!$D$3:$D$4909='Form mẫu'!$B132),
  0)
),0)</f>
        <v>0</v>
      </c>
      <c r="G132" s="2158" cm="1">
        <f t="array" ref="G132">IFERROR(INDEX('Data tổng hợp II'!$H$3:$H$4909,
  MATCH(1,
    ('Data tổng hợp II'!$C$3:$C$4909="DC2")*
    ('Data tổng hợp II'!$E$3:$E$4909='Form mẫu'!$A132)*
    ('Data tổng hợp II'!$F$3:$F$4909='Form mẫu'!$C132)*
    ('Data tổng hợp II'!$B$3:$B$4909='Form mẫu'!$U$2)*('Data tổng hợp II'!$G$3:$G$4909='Form mẫu'!G$105)*('Data tổng hợp II'!$D$3:$D$4909='Form mẫu'!$B132),
  0)
),0)</f>
        <v>0</v>
      </c>
      <c r="H132" s="2159">
        <f>SUM(E132:G132)</f>
        <v>0</v>
      </c>
      <c r="I132" s="2210" t="e">
        <f>(H132/$H$140)</f>
        <v>#DIV/0!</v>
      </c>
      <c r="J132" s="3114"/>
      <c r="K132" s="3114"/>
      <c r="L132" s="1030"/>
      <c r="M132" s="1030"/>
      <c r="N132" s="1030"/>
      <c r="O132"/>
      <c r="P132"/>
    </row>
    <row r="133" spans="1:16" s="1" customFormat="1" ht="26" customHeight="1" x14ac:dyDescent="0.2">
      <c r="A133" s="1902" t="s">
        <v>329</v>
      </c>
      <c r="B133" s="1902" t="s">
        <v>119</v>
      </c>
      <c r="C133" s="3118" t="s">
        <v>117</v>
      </c>
      <c r="D133" s="2157" t="s">
        <v>22</v>
      </c>
      <c r="E133" s="2162">
        <f>IFERROR(E132/$H132,0)</f>
        <v>0</v>
      </c>
      <c r="F133" s="2162">
        <f>IFERROR(F132/$H132,0)</f>
        <v>0</v>
      </c>
      <c r="G133" s="2162">
        <f>IFERROR(G132/$H132,0)</f>
        <v>0</v>
      </c>
      <c r="H133" s="2163"/>
      <c r="I133" s="2211"/>
      <c r="J133" s="3114"/>
      <c r="K133" s="3114"/>
      <c r="L133" s="1030"/>
      <c r="M133" s="1030"/>
      <c r="N133" s="1030"/>
      <c r="O133"/>
      <c r="P133"/>
    </row>
    <row r="134" spans="1:16" s="1" customFormat="1" ht="26" hidden="1" customHeight="1" x14ac:dyDescent="0.2">
      <c r="A134" s="1902" t="s">
        <v>329</v>
      </c>
      <c r="B134" s="1902" t="s">
        <v>119</v>
      </c>
      <c r="C134" s="3117" t="s">
        <v>125</v>
      </c>
      <c r="D134" s="2157" t="s">
        <v>21</v>
      </c>
      <c r="E134" s="2158" cm="1">
        <f t="array" ref="E134">IFERROR(INDEX('Data tổng hợp II'!$H$3:$H$4909,
  MATCH(1,
    ('Data tổng hợp II'!$C$3:$C$4909="DC2")*
    ('Data tổng hợp II'!$E$3:$E$4909='Form mẫu'!$A134)*
    ('Data tổng hợp II'!$F$3:$F$4909='Form mẫu'!$C134)*
    ('Data tổng hợp II'!$B$3:$B$4909='Form mẫu'!$U$2)*('Data tổng hợp II'!$G$3:$G$4909='Form mẫu'!E$105)*('Data tổng hợp II'!$D$3:$D$4909='Form mẫu'!$B134),
  0)
),0)</f>
        <v>0</v>
      </c>
      <c r="F134" s="2158" cm="1">
        <f t="array" ref="F134">IFERROR(INDEX('Data tổng hợp II'!$H$3:$H$4909,
  MATCH(1,
    ('Data tổng hợp II'!$C$3:$C$4909="DC2")*
    ('Data tổng hợp II'!$E$3:$E$4909='Form mẫu'!$A134)*
    ('Data tổng hợp II'!$F$3:$F$4909='Form mẫu'!$C134)*
    ('Data tổng hợp II'!$B$3:$B$4909='Form mẫu'!$U$2)*('Data tổng hợp II'!$G$3:$G$4909='Form mẫu'!F$105)*('Data tổng hợp II'!$D$3:$D$4909='Form mẫu'!$B134),
  0)
),0)</f>
        <v>0</v>
      </c>
      <c r="G134" s="2158" cm="1">
        <f t="array" ref="G134">IFERROR(INDEX('Data tổng hợp II'!$H$3:$H$4909,
  MATCH(1,
    ('Data tổng hợp II'!$C$3:$C$4909="DC2")*
    ('Data tổng hợp II'!$E$3:$E$4909='Form mẫu'!$A134)*
    ('Data tổng hợp II'!$F$3:$F$4909='Form mẫu'!$C134)*
    ('Data tổng hợp II'!$B$3:$B$4909='Form mẫu'!$U$2)*('Data tổng hợp II'!$G$3:$G$4909='Form mẫu'!G$105)*('Data tổng hợp II'!$D$3:$D$4909='Form mẫu'!$B134),
  0)
),0)</f>
        <v>0</v>
      </c>
      <c r="H134" s="2159">
        <f>SUM(E134:G134)</f>
        <v>0</v>
      </c>
      <c r="I134" s="2210" t="e">
        <f>(H134/$H$140)</f>
        <v>#DIV/0!</v>
      </c>
      <c r="J134" s="2161"/>
      <c r="K134" s="2212"/>
      <c r="L134" s="1030"/>
      <c r="M134" s="1030"/>
      <c r="N134" s="1030"/>
      <c r="O134"/>
      <c r="P134"/>
    </row>
    <row r="135" spans="1:16" s="1" customFormat="1" ht="26" hidden="1" customHeight="1" x14ac:dyDescent="0.2">
      <c r="A135" s="1902" t="s">
        <v>329</v>
      </c>
      <c r="B135" s="1902" t="s">
        <v>119</v>
      </c>
      <c r="C135" s="3118" t="s">
        <v>125</v>
      </c>
      <c r="D135" s="2157" t="s">
        <v>22</v>
      </c>
      <c r="E135" s="2162">
        <f>IFERROR(E134/$H134,0)</f>
        <v>0</v>
      </c>
      <c r="F135" s="2162">
        <f>IFERROR(F134/$H134,0)</f>
        <v>0</v>
      </c>
      <c r="G135" s="2162">
        <f>IFERROR(G134/$H134,0)</f>
        <v>0</v>
      </c>
      <c r="H135" s="2163"/>
      <c r="I135" s="2211"/>
      <c r="J135" s="2161"/>
      <c r="K135" s="2212"/>
      <c r="L135" s="1030"/>
      <c r="M135" s="1030"/>
      <c r="N135" s="1030"/>
      <c r="O135"/>
      <c r="P135"/>
    </row>
    <row r="136" spans="1:16" s="1" customFormat="1" ht="26" hidden="1" customHeight="1" x14ac:dyDescent="0.2">
      <c r="A136" s="1902" t="s">
        <v>329</v>
      </c>
      <c r="B136" s="1902" t="s">
        <v>119</v>
      </c>
      <c r="C136" s="3046"/>
      <c r="D136" s="2157" t="s">
        <v>21</v>
      </c>
      <c r="E136" s="2159" cm="1">
        <f t="array" ref="E136">IFERROR(INDEX('Data tổng hợp II'!$H$3:$H$4909,
  MATCH(1,
    ('Data tổng hợp II'!$C$3:$C$4909="DC2")*
    ('Data tổng hợp II'!$E$3:$E$4909='Form mẫu'!$A136)*
    ('Data tổng hợp II'!$F$3:$F$4909='Form mẫu'!$C136)*
    ('Data tổng hợp II'!$B$3:$B$4909='Form mẫu'!$U$2)*('Data tổng hợp II'!$G$3:$G$4909='Form mẫu'!E$105)*('Data tổng hợp II'!$D$3:$D$4909='Form mẫu'!$B136),
  0)
),0)</f>
        <v>0</v>
      </c>
      <c r="F136" s="2159" cm="1">
        <f t="array" ref="F136">IFERROR(INDEX('Data tổng hợp II'!$H$3:$H$4909,
  MATCH(1,
    ('Data tổng hợp II'!$C$3:$C$4909="DC2")*
    ('Data tổng hợp II'!$E$3:$E$4909='Form mẫu'!$A136)*
    ('Data tổng hợp II'!$F$3:$F$4909='Form mẫu'!$C136)*
    ('Data tổng hợp II'!$B$3:$B$4909='Form mẫu'!$U$2)*('Data tổng hợp II'!$G$3:$G$4909='Form mẫu'!F$105)*('Data tổng hợp II'!$D$3:$D$4909='Form mẫu'!$B136),
  0)
),0)</f>
        <v>0</v>
      </c>
      <c r="G136" s="2159" cm="1">
        <f t="array" ref="G136">IFERROR(INDEX('Data tổng hợp II'!$H$3:$H$4909,
  MATCH(1,
    ('Data tổng hợp II'!$C$3:$C$4909="DC2")*
    ('Data tổng hợp II'!$E$3:$E$4909='Form mẫu'!$A136)*
    ('Data tổng hợp II'!$F$3:$F$4909='Form mẫu'!$C136)*
    ('Data tổng hợp II'!$B$3:$B$4909='Form mẫu'!$U$2)*('Data tổng hợp II'!$G$3:$G$4909='Form mẫu'!G$105)*('Data tổng hợp II'!$D$3:$D$4909='Form mẫu'!$B136),
  0)
),0)</f>
        <v>0</v>
      </c>
      <c r="H136" s="2159">
        <f>SUM(E136:G136)</f>
        <v>0</v>
      </c>
      <c r="I136" s="2216" t="e">
        <f>(H136/$H$140)</f>
        <v>#DIV/0!</v>
      </c>
      <c r="J136" s="2161"/>
      <c r="K136" s="2212"/>
      <c r="L136" s="1030"/>
      <c r="M136" s="1030"/>
      <c r="N136" s="1030"/>
      <c r="O136"/>
      <c r="P136"/>
    </row>
    <row r="137" spans="1:16" s="1" customFormat="1" ht="26" hidden="1" customHeight="1" x14ac:dyDescent="0.2">
      <c r="A137" s="1902" t="s">
        <v>329</v>
      </c>
      <c r="B137" s="1902" t="s">
        <v>119</v>
      </c>
      <c r="C137" s="3047"/>
      <c r="D137" s="2157" t="s">
        <v>22</v>
      </c>
      <c r="E137" s="2217">
        <f>IFERROR(E136/$H136,0)</f>
        <v>0</v>
      </c>
      <c r="F137" s="2217">
        <f>IFERROR(F136/$H136,0)</f>
        <v>0</v>
      </c>
      <c r="G137" s="2217">
        <f>IFERROR(G136/$H136,0)</f>
        <v>0</v>
      </c>
      <c r="H137" s="2163"/>
      <c r="I137" s="2211"/>
      <c r="J137" s="2161"/>
      <c r="K137" s="2212"/>
      <c r="L137" s="1030"/>
      <c r="M137" s="1030"/>
      <c r="N137" s="1030"/>
      <c r="O137"/>
      <c r="P137"/>
    </row>
    <row r="138" spans="1:16" s="1" customFormat="1" ht="26" hidden="1" customHeight="1" x14ac:dyDescent="0.2">
      <c r="A138" s="1902" t="s">
        <v>329</v>
      </c>
      <c r="B138" s="1902" t="s">
        <v>119</v>
      </c>
      <c r="C138" s="3117" t="s">
        <v>541</v>
      </c>
      <c r="D138" s="2157" t="s">
        <v>21</v>
      </c>
      <c r="E138" s="2158" cm="1">
        <f t="array" ref="E138">IFERROR(INDEX('Data tổng hợp II'!$H$3:$H$4909,
  MATCH(1,
    ('Data tổng hợp II'!$C$3:$C$4909="DC2")*
    ('Data tổng hợp II'!$E$3:$E$4909='Form mẫu'!$A138)*
    ('Data tổng hợp II'!$F$3:$F$4909='Form mẫu'!$C138)*
    ('Data tổng hợp II'!$B$3:$B$4909='Form mẫu'!$U$2)*('Data tổng hợp II'!$G$3:$G$4909='Form mẫu'!E$105)*('Data tổng hợp II'!$D$3:$D$4909='Form mẫu'!$B138),
  0)
),0)</f>
        <v>0</v>
      </c>
      <c r="F138" s="2158" cm="1">
        <f t="array" ref="F138">IFERROR(INDEX('Data tổng hợp II'!$H$3:$H$4909,
  MATCH(1,
    ('Data tổng hợp II'!$C$3:$C$4909="DC2")*
    ('Data tổng hợp II'!$E$3:$E$4909='Form mẫu'!$A138)*
    ('Data tổng hợp II'!$F$3:$F$4909='Form mẫu'!$C138)*
    ('Data tổng hợp II'!$B$3:$B$4909='Form mẫu'!$U$2)*('Data tổng hợp II'!$G$3:$G$4909='Form mẫu'!F$105)*('Data tổng hợp II'!$D$3:$D$4909='Form mẫu'!$B138),
  0)
),0)</f>
        <v>0</v>
      </c>
      <c r="G138" s="2158" cm="1">
        <f t="array" ref="G138">IFERROR(INDEX('Data tổng hợp II'!$H$3:$H$4909,
  MATCH(1,
    ('Data tổng hợp II'!$C$3:$C$4909="DC2")*
    ('Data tổng hợp II'!$E$3:$E$4909='Form mẫu'!$A138)*
    ('Data tổng hợp II'!$F$3:$F$4909='Form mẫu'!$C138)*
    ('Data tổng hợp II'!$B$3:$B$4909='Form mẫu'!$U$2)*('Data tổng hợp II'!$G$3:$G$4909='Form mẫu'!G$105)*('Data tổng hợp II'!$D$3:$D$4909='Form mẫu'!$B138),
  0)
),0)</f>
        <v>0</v>
      </c>
      <c r="H138" s="2159">
        <f>SUM(E138:G138)</f>
        <v>0</v>
      </c>
      <c r="I138" s="2210" t="e">
        <f>(H138/$H$140)</f>
        <v>#DIV/0!</v>
      </c>
      <c r="J138" s="2161"/>
      <c r="K138" s="2212"/>
      <c r="L138" s="1030"/>
      <c r="M138" s="1030"/>
      <c r="N138" s="1030"/>
      <c r="O138"/>
      <c r="P138"/>
    </row>
    <row r="139" spans="1:16" s="1" customFormat="1" ht="26" hidden="1" customHeight="1" x14ac:dyDescent="0.2">
      <c r="A139" s="1902" t="s">
        <v>329</v>
      </c>
      <c r="B139" s="1902" t="s">
        <v>119</v>
      </c>
      <c r="C139" s="3154"/>
      <c r="D139" s="2157" t="s">
        <v>22</v>
      </c>
      <c r="E139" s="2162">
        <f>IFERROR(E138/$H138,0)</f>
        <v>0</v>
      </c>
      <c r="F139" s="2162">
        <f>IFERROR(F138/$H138,0)</f>
        <v>0</v>
      </c>
      <c r="G139" s="2162">
        <f>IFERROR(G138/$H138,0)</f>
        <v>0</v>
      </c>
      <c r="H139" s="2163"/>
      <c r="I139" s="2211"/>
      <c r="J139" s="2161"/>
      <c r="K139" s="2212"/>
      <c r="L139" s="1030"/>
      <c r="M139" s="1030"/>
      <c r="N139" s="1030"/>
      <c r="O139"/>
      <c r="P139"/>
    </row>
    <row r="140" spans="1:16" s="1" customFormat="1" ht="26" hidden="1" customHeight="1" x14ac:dyDescent="0.2">
      <c r="A140" s="3124" t="s">
        <v>103</v>
      </c>
      <c r="B140" s="3119"/>
      <c r="C140" s="3120"/>
      <c r="D140" s="2165" t="s">
        <v>21</v>
      </c>
      <c r="E140" s="2166">
        <f>E126+E128+E130+E132+E134+E136+E138</f>
        <v>0</v>
      </c>
      <c r="F140" s="2166">
        <f>F126+F128+F130+F132+F134+F136+F138</f>
        <v>0</v>
      </c>
      <c r="G140" s="2166">
        <f>G126+G128+G130+G132+G134+G136+G138</f>
        <v>0</v>
      </c>
      <c r="H140" s="2166">
        <f>SUM(E140:G140)</f>
        <v>0</v>
      </c>
      <c r="I140" s="2215"/>
      <c r="J140" s="3113"/>
      <c r="K140" s="3113"/>
      <c r="L140" s="1030"/>
      <c r="M140" s="1030"/>
      <c r="N140" s="1030"/>
      <c r="O140"/>
      <c r="P140"/>
    </row>
    <row r="141" spans="1:16" s="1" customFormat="1" ht="30" hidden="1" customHeight="1" x14ac:dyDescent="0.2">
      <c r="A141" s="3125"/>
      <c r="B141" s="3123"/>
      <c r="C141" s="3122"/>
      <c r="D141" s="2165" t="s">
        <v>22</v>
      </c>
      <c r="E141" s="2169">
        <f>IFERROR(E140/$H140,0)</f>
        <v>0</v>
      </c>
      <c r="F141" s="2169">
        <f>IFERROR(F140/$H140,0)</f>
        <v>0</v>
      </c>
      <c r="G141" s="2169">
        <f>IFERROR(G140/$H140,0)</f>
        <v>0</v>
      </c>
      <c r="H141" s="2170"/>
      <c r="I141" s="2215"/>
      <c r="J141" s="3113"/>
      <c r="K141" s="3113"/>
      <c r="L141" s="1030"/>
      <c r="M141" s="1030"/>
      <c r="N141" s="1030"/>
      <c r="O141"/>
      <c r="P141"/>
    </row>
    <row r="142" spans="1:16" s="1" customFormat="1" ht="34" hidden="1" customHeight="1" x14ac:dyDescent="0.2">
      <c r="A142" s="2171" t="s">
        <v>329</v>
      </c>
      <c r="B142" s="2171" t="s">
        <v>122</v>
      </c>
      <c r="C142" s="3117" t="s">
        <v>109</v>
      </c>
      <c r="D142" s="2157" t="s">
        <v>21</v>
      </c>
      <c r="E142" s="2158" cm="1">
        <f t="array" ref="E142">IFERROR(INDEX('Data tổng hợp II'!$H$3:$H$4909,
  MATCH(1,
    ('Data tổng hợp II'!$C$3:$C$4909="DC2")*
    ('Data tổng hợp II'!$E$3:$E$4909='Form mẫu'!$A142)*
    ('Data tổng hợp II'!$F$3:$F$4909='Form mẫu'!$C142)*
    ('Data tổng hợp II'!$B$3:$B$4909='Form mẫu'!$U$2)*('Data tổng hợp II'!$G$3:$G$4909='Form mẫu'!E$105)*('Data tổng hợp II'!$D$3:$D$4909='Form mẫu'!$B142),
  0)
),0)</f>
        <v>0</v>
      </c>
      <c r="F142" s="2158" cm="1">
        <f t="array" ref="F142">IFERROR(INDEX('Data tổng hợp II'!$H$3:$H$4909,
  MATCH(1,
    ('Data tổng hợp II'!$C$3:$C$4909="DC2")*
    ('Data tổng hợp II'!$E$3:$E$4909='Form mẫu'!$A142)*
    ('Data tổng hợp II'!$F$3:$F$4909='Form mẫu'!$C142)*
    ('Data tổng hợp II'!$B$3:$B$4909='Form mẫu'!$U$2)*('Data tổng hợp II'!$G$3:$G$4909='Form mẫu'!F$105)*('Data tổng hợp II'!$D$3:$D$4909='Form mẫu'!$B142),
  0)
),0)</f>
        <v>0</v>
      </c>
      <c r="G142" s="2158" cm="1">
        <f t="array" ref="G142">IFERROR(INDEX('Data tổng hợp II'!$H$3:$H$4909,
  MATCH(1,
    ('Data tổng hợp II'!$C$3:$C$4909="DC2")*
    ('Data tổng hợp II'!$E$3:$E$4909='Form mẫu'!$A142)*
    ('Data tổng hợp II'!$F$3:$F$4909='Form mẫu'!$C142)*
    ('Data tổng hợp II'!$B$3:$B$4909='Form mẫu'!$U$2)*('Data tổng hợp II'!$G$3:$G$4909='Form mẫu'!G$105)*('Data tổng hợp II'!$D$3:$D$4909='Form mẫu'!$B142),
  0)
),0)</f>
        <v>0</v>
      </c>
      <c r="H142" s="2159">
        <f>SUM(E142:G142)</f>
        <v>0</v>
      </c>
      <c r="I142" s="2210" t="e">
        <f>(H142/$H$156)</f>
        <v>#DIV/0!</v>
      </c>
      <c r="J142" s="3114"/>
      <c r="K142" s="3114"/>
      <c r="L142" s="1030"/>
      <c r="M142" s="1030"/>
      <c r="N142" s="1030"/>
      <c r="O142"/>
      <c r="P142"/>
    </row>
    <row r="143" spans="1:16" s="1" customFormat="1" ht="34" hidden="1" customHeight="1" x14ac:dyDescent="0.2">
      <c r="A143" s="2172" t="s">
        <v>329</v>
      </c>
      <c r="B143" s="2172" t="s">
        <v>122</v>
      </c>
      <c r="C143" s="3154"/>
      <c r="D143" s="2157" t="s">
        <v>22</v>
      </c>
      <c r="E143" s="2162">
        <f>IFERROR(E142/$H142,0)</f>
        <v>0</v>
      </c>
      <c r="F143" s="2162">
        <f>IFERROR(F142/$H142,0)</f>
        <v>0</v>
      </c>
      <c r="G143" s="2162">
        <f>IFERROR(G142/$H142,0)</f>
        <v>0</v>
      </c>
      <c r="H143" s="2163"/>
      <c r="I143" s="2211"/>
      <c r="J143" s="3114"/>
      <c r="K143" s="3114"/>
      <c r="L143" s="1030"/>
      <c r="M143" s="1030"/>
      <c r="N143" s="1030"/>
      <c r="O143"/>
      <c r="P143"/>
    </row>
    <row r="144" spans="1:16" s="1" customFormat="1" ht="34" hidden="1" customHeight="1" x14ac:dyDescent="0.2">
      <c r="A144" s="2172" t="s">
        <v>329</v>
      </c>
      <c r="B144" s="2172" t="s">
        <v>122</v>
      </c>
      <c r="C144" s="3117" t="s">
        <v>117</v>
      </c>
      <c r="D144" s="2157" t="s">
        <v>21</v>
      </c>
      <c r="E144" s="2158" cm="1">
        <f t="array" ref="E144">IFERROR(INDEX('Data tổng hợp II'!$H$3:$H$4909,
  MATCH(1,
    ('Data tổng hợp II'!$C$3:$C$4909="DC2")*
    ('Data tổng hợp II'!$E$3:$E$4909='Form mẫu'!$A144)*
    ('Data tổng hợp II'!$F$3:$F$4909='Form mẫu'!$C144)*
    ('Data tổng hợp II'!$B$3:$B$4909='Form mẫu'!$U$2)*('Data tổng hợp II'!$G$3:$G$4909='Form mẫu'!E$105)*('Data tổng hợp II'!$D$3:$D$4909='Form mẫu'!$B144),
  0)
),0)</f>
        <v>0</v>
      </c>
      <c r="F144" s="2158" cm="1">
        <f t="array" ref="F144">IFERROR(INDEX('Data tổng hợp II'!$H$3:$H$4909,
  MATCH(1,
    ('Data tổng hợp II'!$C$3:$C$4909="DC2")*
    ('Data tổng hợp II'!$E$3:$E$4909='Form mẫu'!$A144)*
    ('Data tổng hợp II'!$F$3:$F$4909='Form mẫu'!$C144)*
    ('Data tổng hợp II'!$B$3:$B$4909='Form mẫu'!$U$2)*('Data tổng hợp II'!$G$3:$G$4909='Form mẫu'!F$105)*('Data tổng hợp II'!$D$3:$D$4909='Form mẫu'!$B144),
  0)
),0)</f>
        <v>0</v>
      </c>
      <c r="G144" s="2158" cm="1">
        <f t="array" ref="G144">IFERROR(INDEX('Data tổng hợp II'!$H$3:$H$4909,
  MATCH(1,
    ('Data tổng hợp II'!$C$3:$C$4909="DC2")*
    ('Data tổng hợp II'!$E$3:$E$4909='Form mẫu'!$A144)*
    ('Data tổng hợp II'!$F$3:$F$4909='Form mẫu'!$C144)*
    ('Data tổng hợp II'!$B$3:$B$4909='Form mẫu'!$U$2)*('Data tổng hợp II'!$G$3:$G$4909='Form mẫu'!G$105)*('Data tổng hợp II'!$D$3:$D$4909='Form mẫu'!$B144),
  0)
),0)</f>
        <v>0</v>
      </c>
      <c r="H144" s="2159">
        <f>SUM(E144:G144)</f>
        <v>0</v>
      </c>
      <c r="I144" s="2210" t="e">
        <f>(H144/$H$156)</f>
        <v>#DIV/0!</v>
      </c>
      <c r="J144" s="3114"/>
      <c r="K144" s="3114"/>
      <c r="L144" s="1030"/>
      <c r="M144" s="1030"/>
      <c r="N144" s="1030"/>
      <c r="O144"/>
      <c r="P144"/>
    </row>
    <row r="145" spans="1:16" s="1" customFormat="1" ht="34" hidden="1" customHeight="1" x14ac:dyDescent="0.2">
      <c r="A145" s="2172" t="s">
        <v>329</v>
      </c>
      <c r="B145" s="2172" t="s">
        <v>122</v>
      </c>
      <c r="C145" s="3154"/>
      <c r="D145" s="2157" t="s">
        <v>22</v>
      </c>
      <c r="E145" s="2162">
        <f>IFERROR(E144/$H144,0)</f>
        <v>0</v>
      </c>
      <c r="F145" s="2162">
        <f>IFERROR(F144/$H144,0)</f>
        <v>0</v>
      </c>
      <c r="G145" s="2162">
        <f>IFERROR(G144/$H144,0)</f>
        <v>0</v>
      </c>
      <c r="H145" s="2163"/>
      <c r="I145" s="2211"/>
      <c r="J145" s="3114"/>
      <c r="K145" s="3114"/>
      <c r="L145" s="1030"/>
      <c r="M145" s="1030"/>
      <c r="N145" s="1030"/>
      <c r="O145"/>
      <c r="P145"/>
    </row>
    <row r="146" spans="1:16" s="1" customFormat="1" ht="34" hidden="1" customHeight="1" x14ac:dyDescent="0.2">
      <c r="A146" s="1903" t="s">
        <v>329</v>
      </c>
      <c r="B146" s="1903" t="s">
        <v>122</v>
      </c>
      <c r="C146" s="3117" t="s">
        <v>125</v>
      </c>
      <c r="D146" s="2157" t="s">
        <v>21</v>
      </c>
      <c r="E146" s="2158" cm="1">
        <f t="array" ref="E146">IFERROR(INDEX('Data tổng hợp II'!$H$3:$H$4909,
  MATCH(1,
    ('Data tổng hợp II'!$C$3:$C$4909="DC2")*
    ('Data tổng hợp II'!$E$3:$E$4909='Form mẫu'!$A146)*
    ('Data tổng hợp II'!$F$3:$F$4909='Form mẫu'!$C146)*
    ('Data tổng hợp II'!$B$3:$B$4909='Form mẫu'!$U$2)*('Data tổng hợp II'!$G$3:$G$4909='Form mẫu'!E$105)*('Data tổng hợp II'!$D$3:$D$4909='Form mẫu'!$B146),
  0)
),0)</f>
        <v>0</v>
      </c>
      <c r="F146" s="2158" cm="1">
        <f t="array" ref="F146">IFERROR(INDEX('Data tổng hợp II'!$H$3:$H$4909,
  MATCH(1,
    ('Data tổng hợp II'!$C$3:$C$4909="DC2")*
    ('Data tổng hợp II'!$E$3:$E$4909='Form mẫu'!$A146)*
    ('Data tổng hợp II'!$F$3:$F$4909='Form mẫu'!$C146)*
    ('Data tổng hợp II'!$B$3:$B$4909='Form mẫu'!$U$2)*('Data tổng hợp II'!$G$3:$G$4909='Form mẫu'!F$105)*('Data tổng hợp II'!$D$3:$D$4909='Form mẫu'!$B146),
  0)
),0)</f>
        <v>0</v>
      </c>
      <c r="G146" s="2158" cm="1">
        <f t="array" ref="G146">IFERROR(INDEX('Data tổng hợp II'!$H$3:$H$4909,
  MATCH(1,
    ('Data tổng hợp II'!$C$3:$C$4909="DC2")*
    ('Data tổng hợp II'!$E$3:$E$4909='Form mẫu'!$A146)*
    ('Data tổng hợp II'!$F$3:$F$4909='Form mẫu'!$C146)*
    ('Data tổng hợp II'!$B$3:$B$4909='Form mẫu'!$U$2)*('Data tổng hợp II'!$G$3:$G$4909='Form mẫu'!G$105)*('Data tổng hợp II'!$D$3:$D$4909='Form mẫu'!$B146),
  0)
),0)</f>
        <v>0</v>
      </c>
      <c r="H146" s="2159">
        <f>SUM(E146:G146)</f>
        <v>0</v>
      </c>
      <c r="I146" s="2210" t="e">
        <f>(H146/$H$156)</f>
        <v>#DIV/0!</v>
      </c>
      <c r="J146" s="3114"/>
      <c r="K146" s="3114"/>
      <c r="L146" s="1030"/>
      <c r="M146" s="1030"/>
      <c r="N146" s="1030"/>
      <c r="O146"/>
      <c r="P146"/>
    </row>
    <row r="147" spans="1:16" s="1" customFormat="1" ht="34" hidden="1" customHeight="1" x14ac:dyDescent="0.2">
      <c r="A147" s="2172" t="s">
        <v>329</v>
      </c>
      <c r="B147" s="2172" t="s">
        <v>122</v>
      </c>
      <c r="C147" s="3154"/>
      <c r="D147" s="2157" t="s">
        <v>22</v>
      </c>
      <c r="E147" s="2162">
        <f>IFERROR(E146/$H146,0)</f>
        <v>0</v>
      </c>
      <c r="F147" s="2162">
        <f>IFERROR(F146/$H146,0)</f>
        <v>0</v>
      </c>
      <c r="G147" s="2162">
        <f>IFERROR(G146/$H146,0)</f>
        <v>0</v>
      </c>
      <c r="H147" s="2163"/>
      <c r="I147" s="2211"/>
      <c r="J147" s="3114"/>
      <c r="K147" s="3114"/>
      <c r="L147" s="1030"/>
      <c r="M147" s="1030"/>
      <c r="N147" s="1030"/>
      <c r="O147"/>
      <c r="P147"/>
    </row>
    <row r="148" spans="1:16" s="1" customFormat="1" ht="34" hidden="1" customHeight="1" x14ac:dyDescent="0.2">
      <c r="A148" s="2172" t="s">
        <v>329</v>
      </c>
      <c r="B148" s="2172" t="s">
        <v>122</v>
      </c>
      <c r="C148" s="3117" t="s">
        <v>129</v>
      </c>
      <c r="D148" s="2157" t="s">
        <v>21</v>
      </c>
      <c r="E148" s="2158" cm="1">
        <f t="array" ref="E148">IFERROR(INDEX('Data tổng hợp II'!$H$3:$H$4909,
  MATCH(1,
    ('Data tổng hợp II'!$C$3:$C$4909="DC2")*
    ('Data tổng hợp II'!$E$3:$E$4909='Form mẫu'!$A148)*
    ('Data tổng hợp II'!$F$3:$F$4909='Form mẫu'!$C148)*
    ('Data tổng hợp II'!$B$3:$B$4909='Form mẫu'!$U$2)*('Data tổng hợp II'!$G$3:$G$4909='Form mẫu'!E$105)*('Data tổng hợp II'!$D$3:$D$4909='Form mẫu'!$B148),
  0)
),0)</f>
        <v>0</v>
      </c>
      <c r="F148" s="2158" cm="1">
        <f t="array" ref="F148">IFERROR(INDEX('Data tổng hợp II'!$H$3:$H$4909,
  MATCH(1,
    ('Data tổng hợp II'!$C$3:$C$4909="DC2")*
    ('Data tổng hợp II'!$E$3:$E$4909='Form mẫu'!$A148)*
    ('Data tổng hợp II'!$F$3:$F$4909='Form mẫu'!$C148)*
    ('Data tổng hợp II'!$B$3:$B$4909='Form mẫu'!$U$2)*('Data tổng hợp II'!$G$3:$G$4909='Form mẫu'!F$105)*('Data tổng hợp II'!$D$3:$D$4909='Form mẫu'!$B148),
  0)
),0)</f>
        <v>0</v>
      </c>
      <c r="G148" s="2158" cm="1">
        <f t="array" ref="G148">IFERROR(INDEX('Data tổng hợp II'!$H$3:$H$4909,
  MATCH(1,
    ('Data tổng hợp II'!$C$3:$C$4909="DC2")*
    ('Data tổng hợp II'!$E$3:$E$4909='Form mẫu'!$A148)*
    ('Data tổng hợp II'!$F$3:$F$4909='Form mẫu'!$C148)*
    ('Data tổng hợp II'!$B$3:$B$4909='Form mẫu'!$U$2)*('Data tổng hợp II'!$G$3:$G$4909='Form mẫu'!G$105)*('Data tổng hợp II'!$D$3:$D$4909='Form mẫu'!$B148),
  0)
),0)</f>
        <v>0</v>
      </c>
      <c r="H148" s="2159">
        <f>SUM(E148:G148)</f>
        <v>0</v>
      </c>
      <c r="I148" s="2210" t="e">
        <f>(H148/$H$156)</f>
        <v>#DIV/0!</v>
      </c>
      <c r="J148" s="3114"/>
      <c r="K148" s="3114"/>
      <c r="L148" s="1030"/>
      <c r="M148" s="1030"/>
      <c r="N148" s="1030"/>
      <c r="O148"/>
      <c r="P148"/>
    </row>
    <row r="149" spans="1:16" s="1" customFormat="1" ht="30" hidden="1" customHeight="1" x14ac:dyDescent="0.2">
      <c r="A149" s="2172" t="s">
        <v>329</v>
      </c>
      <c r="B149" s="2172" t="s">
        <v>122</v>
      </c>
      <c r="C149" s="3154"/>
      <c r="D149" s="2157" t="s">
        <v>22</v>
      </c>
      <c r="E149" s="2162">
        <f>IFERROR(E148/$H148,0)</f>
        <v>0</v>
      </c>
      <c r="F149" s="2162">
        <f>IFERROR(F148/$H148,0)</f>
        <v>0</v>
      </c>
      <c r="G149" s="2162">
        <f>IFERROR(G148/$H148,0)</f>
        <v>0</v>
      </c>
      <c r="H149" s="2163"/>
      <c r="I149" s="2211"/>
      <c r="J149" s="3114"/>
      <c r="K149" s="3114"/>
      <c r="L149" s="1030"/>
      <c r="M149" s="1030"/>
      <c r="N149" s="1030"/>
      <c r="O149"/>
      <c r="P149"/>
    </row>
    <row r="150" spans="1:16" s="1" customFormat="1" ht="30" hidden="1" customHeight="1" x14ac:dyDescent="0.2">
      <c r="A150" s="2172" t="s">
        <v>329</v>
      </c>
      <c r="B150" s="2172" t="s">
        <v>122</v>
      </c>
      <c r="C150" s="3117" t="s">
        <v>146</v>
      </c>
      <c r="D150" s="2157" t="s">
        <v>21</v>
      </c>
      <c r="E150" s="2158" cm="1">
        <f t="array" ref="E150">IFERROR(INDEX('Data tổng hợp II'!$H$3:$H$4909,
  MATCH(1,
    ('Data tổng hợp II'!$C$3:$C$4909="DC2")*
    ('Data tổng hợp II'!$E$3:$E$4909='Form mẫu'!$A150)*
    ('Data tổng hợp II'!$F$3:$F$4909='Form mẫu'!$C150)*
    ('Data tổng hợp II'!$B$3:$B$4909='Form mẫu'!$U$2)*('Data tổng hợp II'!$G$3:$G$4909='Form mẫu'!E$105)*('Data tổng hợp II'!$D$3:$D$4909='Form mẫu'!$B150),
  0)
),0)</f>
        <v>0</v>
      </c>
      <c r="F150" s="2158" cm="1">
        <f t="array" ref="F150">IFERROR(INDEX('Data tổng hợp II'!$H$3:$H$4909,
  MATCH(1,
    ('Data tổng hợp II'!$C$3:$C$4909="DC2")*
    ('Data tổng hợp II'!$E$3:$E$4909='Form mẫu'!$A150)*
    ('Data tổng hợp II'!$F$3:$F$4909='Form mẫu'!$C150)*
    ('Data tổng hợp II'!$B$3:$B$4909='Form mẫu'!$U$2)*('Data tổng hợp II'!$G$3:$G$4909='Form mẫu'!F$105)*('Data tổng hợp II'!$D$3:$D$4909='Form mẫu'!$B150),
  0)
),0)</f>
        <v>0</v>
      </c>
      <c r="G150" s="2158" cm="1">
        <f t="array" ref="G150">IFERROR(INDEX('Data tổng hợp II'!$H$3:$H$4909,
  MATCH(1,
    ('Data tổng hợp II'!$C$3:$C$4909="DC2")*
    ('Data tổng hợp II'!$E$3:$E$4909='Form mẫu'!$A150)*
    ('Data tổng hợp II'!$F$3:$F$4909='Form mẫu'!$C150)*
    ('Data tổng hợp II'!$B$3:$B$4909='Form mẫu'!$U$2)*('Data tổng hợp II'!$G$3:$G$4909='Form mẫu'!G$105)*('Data tổng hợp II'!$D$3:$D$4909='Form mẫu'!$B150),
  0)
),0)</f>
        <v>0</v>
      </c>
      <c r="H150" s="2159">
        <f>SUM(E150:G150)</f>
        <v>0</v>
      </c>
      <c r="I150" s="2210" t="e">
        <f>(H150/$H$156)</f>
        <v>#DIV/0!</v>
      </c>
      <c r="J150" s="3114"/>
      <c r="K150" s="3114"/>
      <c r="L150" s="1030"/>
      <c r="M150" s="1030"/>
      <c r="N150" s="1030"/>
      <c r="O150"/>
      <c r="P150"/>
    </row>
    <row r="151" spans="1:16" s="1" customFormat="1" ht="30" hidden="1" customHeight="1" x14ac:dyDescent="0.2">
      <c r="A151" s="2172" t="s">
        <v>329</v>
      </c>
      <c r="B151" s="2172" t="s">
        <v>122</v>
      </c>
      <c r="C151" s="3154"/>
      <c r="D151" s="2157" t="s">
        <v>22</v>
      </c>
      <c r="E151" s="2162">
        <f>IFERROR(E150/$H150,0)</f>
        <v>0</v>
      </c>
      <c r="F151" s="2162">
        <f>IFERROR(F150/$H150,0)</f>
        <v>0</v>
      </c>
      <c r="G151" s="2162">
        <f>IFERROR(G150/$H150,0)</f>
        <v>0</v>
      </c>
      <c r="H151" s="2163"/>
      <c r="I151" s="2211"/>
      <c r="J151" s="3114"/>
      <c r="K151" s="3114"/>
      <c r="L151" s="1030"/>
      <c r="M151" s="1030"/>
      <c r="N151" s="1030"/>
      <c r="O151"/>
      <c r="P151"/>
    </row>
    <row r="152" spans="1:16" s="1" customFormat="1" ht="30" hidden="1" customHeight="1" x14ac:dyDescent="0.2">
      <c r="A152" s="2172" t="s">
        <v>329</v>
      </c>
      <c r="B152" s="2172" t="s">
        <v>122</v>
      </c>
      <c r="C152" s="3117"/>
      <c r="D152" s="2157" t="s">
        <v>21</v>
      </c>
      <c r="E152" s="2158" cm="1">
        <f t="array" ref="E152">IFERROR(INDEX('Data tổng hợp II'!$H$3:$H$4909,
  MATCH(1,
    ('Data tổng hợp II'!$C$3:$C$4909="DC2")*
    ('Data tổng hợp II'!$E$3:$E$4909='Form mẫu'!$A152)*
    ('Data tổng hợp II'!$F$3:$F$4909='Form mẫu'!$C152)*
    ('Data tổng hợp II'!$B$3:$B$4909='Form mẫu'!$U$2)*('Data tổng hợp II'!$G$3:$G$4909='Form mẫu'!E$105)*('Data tổng hợp II'!$D$3:$D$4909='Form mẫu'!$B152),
  0)
),0)</f>
        <v>0</v>
      </c>
      <c r="F152" s="2158" cm="1">
        <f t="array" ref="F152">IFERROR(INDEX('Data tổng hợp II'!$H$3:$H$4909,
  MATCH(1,
    ('Data tổng hợp II'!$C$3:$C$4909="DC2")*
    ('Data tổng hợp II'!$E$3:$E$4909='Form mẫu'!$A152)*
    ('Data tổng hợp II'!$F$3:$F$4909='Form mẫu'!$C152)*
    ('Data tổng hợp II'!$B$3:$B$4909='Form mẫu'!$U$2)*('Data tổng hợp II'!$G$3:$G$4909='Form mẫu'!F$105)*('Data tổng hợp II'!$D$3:$D$4909='Form mẫu'!$B152),
  0)
),0)</f>
        <v>0</v>
      </c>
      <c r="G152" s="2158" cm="1">
        <f t="array" ref="G152">IFERROR(INDEX('Data tổng hợp II'!$H$3:$H$4909,
  MATCH(1,
    ('Data tổng hợp II'!$C$3:$C$4909="DC2")*
    ('Data tổng hợp II'!$E$3:$E$4909='Form mẫu'!$A152)*
    ('Data tổng hợp II'!$F$3:$F$4909='Form mẫu'!$C152)*
    ('Data tổng hợp II'!$B$3:$B$4909='Form mẫu'!$U$2)*('Data tổng hợp II'!$G$3:$G$4909='Form mẫu'!G$105)*('Data tổng hợp II'!$D$3:$D$4909='Form mẫu'!$B152),
  0)
),0)</f>
        <v>0</v>
      </c>
      <c r="H152" s="2159">
        <f>SUM(E152:G152)</f>
        <v>0</v>
      </c>
      <c r="I152" s="2210" t="e">
        <f>(H152/$H$156)</f>
        <v>#DIV/0!</v>
      </c>
      <c r="J152" s="2161"/>
      <c r="K152" s="2212"/>
      <c r="L152" s="1030"/>
      <c r="M152" s="1030"/>
      <c r="N152" s="1030"/>
      <c r="O152"/>
      <c r="P152"/>
    </row>
    <row r="153" spans="1:16" s="1" customFormat="1" ht="30" hidden="1" customHeight="1" x14ac:dyDescent="0.2">
      <c r="A153" s="2172" t="s">
        <v>329</v>
      </c>
      <c r="B153" s="2172" t="s">
        <v>122</v>
      </c>
      <c r="C153" s="3154"/>
      <c r="D153" s="2157" t="s">
        <v>22</v>
      </c>
      <c r="E153" s="2162">
        <f>IFERROR(E152/$H152,0)</f>
        <v>0</v>
      </c>
      <c r="F153" s="2162">
        <f>IFERROR(F152/$H152,0)</f>
        <v>0</v>
      </c>
      <c r="G153" s="2162">
        <f>IFERROR(G152/$H152,0)</f>
        <v>0</v>
      </c>
      <c r="H153" s="2163"/>
      <c r="I153" s="2211"/>
      <c r="J153" s="2161"/>
      <c r="K153" s="2212"/>
      <c r="L153" s="1030"/>
      <c r="M153" s="1030"/>
      <c r="N153" s="1030"/>
      <c r="O153"/>
      <c r="P153"/>
    </row>
    <row r="154" spans="1:16" s="1" customFormat="1" ht="30" hidden="1" customHeight="1" x14ac:dyDescent="0.2">
      <c r="A154" s="2172" t="s">
        <v>329</v>
      </c>
      <c r="B154" s="2172" t="s">
        <v>122</v>
      </c>
      <c r="C154" s="3117" t="s">
        <v>541</v>
      </c>
      <c r="D154" s="2157" t="s">
        <v>21</v>
      </c>
      <c r="E154" s="2158" cm="1">
        <f t="array" ref="E154">IFERROR(INDEX('Data tổng hợp II'!$H$3:$H$4909,
  MATCH(1,
    ('Data tổng hợp II'!$C$3:$C$4909="DC2")*
    ('Data tổng hợp II'!$E$3:$E$4909='Form mẫu'!$A154)*
    ('Data tổng hợp II'!$F$3:$F$4909='Form mẫu'!$C154)*
    ('Data tổng hợp II'!$B$3:$B$4909='Form mẫu'!$U$2)*('Data tổng hợp II'!$G$3:$G$4909='Form mẫu'!E$105)*('Data tổng hợp II'!$D$3:$D$4909='Form mẫu'!$B154),
  0)
),0)</f>
        <v>0</v>
      </c>
      <c r="F154" s="2158" cm="1">
        <f t="array" ref="F154">IFERROR(INDEX('Data tổng hợp II'!$H$3:$H$4909,
  MATCH(1,
    ('Data tổng hợp II'!$C$3:$C$4909="DC2")*
    ('Data tổng hợp II'!$E$3:$E$4909='Form mẫu'!$A154)*
    ('Data tổng hợp II'!$F$3:$F$4909='Form mẫu'!$C154)*
    ('Data tổng hợp II'!$B$3:$B$4909='Form mẫu'!$U$2)*('Data tổng hợp II'!$G$3:$G$4909='Form mẫu'!F$105)*('Data tổng hợp II'!$D$3:$D$4909='Form mẫu'!$B154),
  0)
),0)</f>
        <v>0</v>
      </c>
      <c r="G154" s="2158" cm="1">
        <f t="array" ref="G154">IFERROR(INDEX('Data tổng hợp II'!$H$3:$H$4909,
  MATCH(1,
    ('Data tổng hợp II'!$C$3:$C$4909="DC2")*
    ('Data tổng hợp II'!$E$3:$E$4909='Form mẫu'!$A154)*
    ('Data tổng hợp II'!$F$3:$F$4909='Form mẫu'!$C154)*
    ('Data tổng hợp II'!$B$3:$B$4909='Form mẫu'!$U$2)*('Data tổng hợp II'!$G$3:$G$4909='Form mẫu'!G$105)*('Data tổng hợp II'!$D$3:$D$4909='Form mẫu'!$B154),
  0)
),0)</f>
        <v>0</v>
      </c>
      <c r="H154" s="2159">
        <f>SUM(E154:G154)</f>
        <v>0</v>
      </c>
      <c r="I154" s="2210" t="e">
        <f>(H154/$H$156)</f>
        <v>#DIV/0!</v>
      </c>
      <c r="J154" s="2161"/>
      <c r="K154" s="2212"/>
      <c r="L154" s="1030"/>
      <c r="M154" s="1030"/>
      <c r="N154" s="1030"/>
      <c r="O154"/>
      <c r="P154"/>
    </row>
    <row r="155" spans="1:16" s="1" customFormat="1" ht="30" hidden="1" customHeight="1" x14ac:dyDescent="0.2">
      <c r="A155" s="2172" t="s">
        <v>329</v>
      </c>
      <c r="B155" s="2172" t="s">
        <v>122</v>
      </c>
      <c r="C155" s="3154"/>
      <c r="D155" s="2157" t="s">
        <v>22</v>
      </c>
      <c r="E155" s="2162">
        <f>IFERROR(E154/$H154,0)</f>
        <v>0</v>
      </c>
      <c r="F155" s="2162">
        <f>IFERROR(F154/$H154,0)</f>
        <v>0</v>
      </c>
      <c r="G155" s="2162">
        <f>IFERROR(G154/$H154,0)</f>
        <v>0</v>
      </c>
      <c r="H155" s="2163"/>
      <c r="I155" s="2211"/>
      <c r="J155" s="2161"/>
      <c r="K155" s="2212"/>
      <c r="L155" s="1030"/>
      <c r="M155" s="1030"/>
      <c r="N155" s="1030"/>
      <c r="O155"/>
      <c r="P155"/>
    </row>
    <row r="156" spans="1:16" s="1" customFormat="1" ht="30" hidden="1" customHeight="1" x14ac:dyDescent="0.2">
      <c r="A156" s="3169" t="s">
        <v>103</v>
      </c>
      <c r="B156" s="3169"/>
      <c r="C156" s="3169"/>
      <c r="D156" s="2165" t="s">
        <v>21</v>
      </c>
      <c r="E156" s="2166">
        <f>E142+E144+E146+E148+E150+E152+E154</f>
        <v>0</v>
      </c>
      <c r="F156" s="2166">
        <f>F142+F144+F146+F148+F150+F152+F154</f>
        <v>0</v>
      </c>
      <c r="G156" s="2166">
        <f>G142+G144+G146+G148+G150+G152+G154</f>
        <v>0</v>
      </c>
      <c r="H156" s="2166">
        <f>SUM(E156:G156)</f>
        <v>0</v>
      </c>
      <c r="I156" s="2215"/>
      <c r="J156" s="3113"/>
      <c r="K156" s="3113"/>
      <c r="L156" s="1030"/>
      <c r="M156" s="1030"/>
      <c r="N156" s="1030"/>
      <c r="O156"/>
      <c r="P156"/>
    </row>
    <row r="157" spans="1:16" s="1" customFormat="1" ht="30" hidden="1" customHeight="1" x14ac:dyDescent="0.2">
      <c r="A157" s="3169"/>
      <c r="B157" s="3169"/>
      <c r="C157" s="3169"/>
      <c r="D157" s="2165" t="s">
        <v>22</v>
      </c>
      <c r="E157" s="2169">
        <f>IFERROR(E156/$H156,0)</f>
        <v>0</v>
      </c>
      <c r="F157" s="2169">
        <f>IFERROR(F156/$H156,0)</f>
        <v>0</v>
      </c>
      <c r="G157" s="2169">
        <f>IFERROR(G156/$H156,0)</f>
        <v>0</v>
      </c>
      <c r="H157" s="2170"/>
      <c r="I157" s="2215"/>
      <c r="J157" s="3113"/>
      <c r="K157" s="3113"/>
      <c r="L157" s="1030"/>
      <c r="M157" s="1030"/>
      <c r="N157" s="1030"/>
      <c r="O157"/>
      <c r="P157"/>
    </row>
    <row r="158" spans="1:16" s="1" customFormat="1" ht="26" hidden="1" customHeight="1" x14ac:dyDescent="0.2">
      <c r="A158" s="1901" t="s">
        <v>141</v>
      </c>
      <c r="B158" s="1901" t="s">
        <v>122</v>
      </c>
      <c r="C158" s="3109" t="s">
        <v>109</v>
      </c>
      <c r="D158" s="2157" t="s">
        <v>21</v>
      </c>
      <c r="E158" s="2158" cm="1">
        <f t="array" ref="E158">IFERROR(INDEX('Data tổng hợp II'!$H$3:$H$4909,
  MATCH(1,
    ('Data tổng hợp II'!$C$3:$C$4909="DC2")*
    ('Data tổng hợp II'!$E$3:$E$4909='Form mẫu'!$A158)*
    ('Data tổng hợp II'!$F$3:$F$4909='Form mẫu'!$C158)*
    ('Data tổng hợp II'!$B$3:$B$4909='Form mẫu'!$U$2)*('Data tổng hợp II'!$G$3:$G$4909='Form mẫu'!E$105)*('Data tổng hợp II'!$D$3:$D$4909='Form mẫu'!$B158),
  0)
),0)</f>
        <v>0</v>
      </c>
      <c r="F158" s="2158" cm="1">
        <f t="array" ref="F158">IFERROR(INDEX('Data tổng hợp II'!$H$3:$H$4909,
  MATCH(1,
    ('Data tổng hợp II'!$C$3:$C$4909="DC2")*
    ('Data tổng hợp II'!$E$3:$E$4909='Form mẫu'!$A158)*
    ('Data tổng hợp II'!$F$3:$F$4909='Form mẫu'!$C158)*
    ('Data tổng hợp II'!$B$3:$B$4909='Form mẫu'!$U$2)*('Data tổng hợp II'!$G$3:$G$4909='Form mẫu'!F$105)*('Data tổng hợp II'!$D$3:$D$4909='Form mẫu'!$B158),
  0)
),0)</f>
        <v>0</v>
      </c>
      <c r="G158" s="2158" cm="1">
        <f t="array" ref="G158">IFERROR(INDEX('Data tổng hợp II'!$H$3:$H$4909,
  MATCH(1,
    ('Data tổng hợp II'!$C$3:$C$4909="DC2")*
    ('Data tổng hợp II'!$E$3:$E$4909='Form mẫu'!$A158)*
    ('Data tổng hợp II'!$F$3:$F$4909='Form mẫu'!$C158)*
    ('Data tổng hợp II'!$B$3:$B$4909='Form mẫu'!$U$2)*('Data tổng hợp II'!$G$3:$G$4909='Form mẫu'!G$105)*('Data tổng hợp II'!$D$3:$D$4909='Form mẫu'!$B158),
  0)
),0)</f>
        <v>0</v>
      </c>
      <c r="H158" s="2159">
        <f>SUM(E158:G158)</f>
        <v>0</v>
      </c>
      <c r="I158" s="2210" t="e">
        <f>(H158/$H$172)</f>
        <v>#DIV/0!</v>
      </c>
      <c r="J158" s="3114"/>
      <c r="K158" s="3114"/>
      <c r="L158" s="1030"/>
      <c r="M158" s="1030"/>
      <c r="N158" s="1030"/>
      <c r="O158"/>
      <c r="P158"/>
    </row>
    <row r="159" spans="1:16" s="1" customFormat="1" ht="26" hidden="1" customHeight="1" x14ac:dyDescent="0.2">
      <c r="A159" s="1902" t="s">
        <v>141</v>
      </c>
      <c r="B159" s="1902" t="s">
        <v>122</v>
      </c>
      <c r="C159" s="3110"/>
      <c r="D159" s="2157" t="s">
        <v>22</v>
      </c>
      <c r="E159" s="2162">
        <f>IFERROR(E158/$H158,0)</f>
        <v>0</v>
      </c>
      <c r="F159" s="2162">
        <f>IFERROR(F158/$H158,0)</f>
        <v>0</v>
      </c>
      <c r="G159" s="2162">
        <f>IFERROR(G158/$H158,0)</f>
        <v>0</v>
      </c>
      <c r="H159" s="2163"/>
      <c r="I159" s="2211"/>
      <c r="J159" s="3114"/>
      <c r="K159" s="3114"/>
      <c r="L159" s="1030"/>
      <c r="M159" s="1030"/>
      <c r="N159" s="1030"/>
      <c r="O159"/>
      <c r="P159"/>
    </row>
    <row r="160" spans="1:16" s="1" customFormat="1" ht="26" hidden="1" customHeight="1" x14ac:dyDescent="0.2">
      <c r="A160" s="1902" t="s">
        <v>141</v>
      </c>
      <c r="B160" s="1902" t="s">
        <v>122</v>
      </c>
      <c r="C160" s="3109" t="s">
        <v>117</v>
      </c>
      <c r="D160" s="2157" t="s">
        <v>21</v>
      </c>
      <c r="E160" s="2158" cm="1">
        <f t="array" ref="E160">IFERROR(INDEX('Data tổng hợp II'!$H$3:$H$4909,
  MATCH(1,
    ('Data tổng hợp II'!$C$3:$C$4909="DC2")*
    ('Data tổng hợp II'!$E$3:$E$4909='Form mẫu'!$A160)*
    ('Data tổng hợp II'!$F$3:$F$4909='Form mẫu'!$C160)*
    ('Data tổng hợp II'!$B$3:$B$4909='Form mẫu'!$U$2)*('Data tổng hợp II'!$G$3:$G$4909='Form mẫu'!E$105)*('Data tổng hợp II'!$D$3:$D$4909='Form mẫu'!$B160),
  0)
),0)</f>
        <v>0</v>
      </c>
      <c r="F160" s="2158" cm="1">
        <f t="array" ref="F160">IFERROR(INDEX('Data tổng hợp II'!$H$3:$H$4909,
  MATCH(1,
    ('Data tổng hợp II'!$C$3:$C$4909="DC2")*
    ('Data tổng hợp II'!$E$3:$E$4909='Form mẫu'!$A160)*
    ('Data tổng hợp II'!$F$3:$F$4909='Form mẫu'!$C160)*
    ('Data tổng hợp II'!$B$3:$B$4909='Form mẫu'!$U$2)*('Data tổng hợp II'!$G$3:$G$4909='Form mẫu'!F$105)*('Data tổng hợp II'!$D$3:$D$4909='Form mẫu'!$B160),
  0)
),0)</f>
        <v>0</v>
      </c>
      <c r="G160" s="2158" cm="1">
        <f t="array" ref="G160">IFERROR(INDEX('Data tổng hợp II'!$H$3:$H$4909,
  MATCH(1,
    ('Data tổng hợp II'!$C$3:$C$4909="DC2")*
    ('Data tổng hợp II'!$E$3:$E$4909='Form mẫu'!$A160)*
    ('Data tổng hợp II'!$F$3:$F$4909='Form mẫu'!$C160)*
    ('Data tổng hợp II'!$B$3:$B$4909='Form mẫu'!$U$2)*('Data tổng hợp II'!$G$3:$G$4909='Form mẫu'!G$105)*('Data tổng hợp II'!$D$3:$D$4909='Form mẫu'!$B160),
  0)
),0)</f>
        <v>0</v>
      </c>
      <c r="H160" s="2159">
        <f>SUM(E160:G160)</f>
        <v>0</v>
      </c>
      <c r="I160" s="2210" t="e">
        <f>(H160/$H$172)</f>
        <v>#DIV/0!</v>
      </c>
      <c r="J160" s="3114"/>
      <c r="K160" s="3114"/>
      <c r="L160" s="1030"/>
      <c r="M160" s="1030"/>
      <c r="N160" s="1030"/>
      <c r="O160"/>
      <c r="P160"/>
    </row>
    <row r="161" spans="1:16" s="1" customFormat="1" ht="26" hidden="1" customHeight="1" x14ac:dyDescent="0.2">
      <c r="A161" s="1902" t="s">
        <v>141</v>
      </c>
      <c r="B161" s="1902" t="s">
        <v>122</v>
      </c>
      <c r="C161" s="3110"/>
      <c r="D161" s="2157" t="s">
        <v>22</v>
      </c>
      <c r="E161" s="2162">
        <f>IFERROR(E160/$H160,0)</f>
        <v>0</v>
      </c>
      <c r="F161" s="2162">
        <f>IFERROR(F160/$H160,0)</f>
        <v>0</v>
      </c>
      <c r="G161" s="2162">
        <f>IFERROR(G160/$H160,0)</f>
        <v>0</v>
      </c>
      <c r="H161" s="2163"/>
      <c r="I161" s="2211"/>
      <c r="J161" s="3114"/>
      <c r="K161" s="3114"/>
      <c r="L161" s="1030"/>
      <c r="M161" s="1030"/>
      <c r="N161" s="1030"/>
      <c r="O161"/>
      <c r="P161"/>
    </row>
    <row r="162" spans="1:16" s="1" customFormat="1" ht="26" hidden="1" customHeight="1" x14ac:dyDescent="0.2">
      <c r="A162" s="1902" t="s">
        <v>141</v>
      </c>
      <c r="B162" s="1902" t="s">
        <v>122</v>
      </c>
      <c r="C162" s="3109" t="s">
        <v>125</v>
      </c>
      <c r="D162" s="2157" t="s">
        <v>21</v>
      </c>
      <c r="E162" s="2158" cm="1">
        <f t="array" ref="E162">IFERROR(INDEX('Data tổng hợp II'!$H$3:$H$4909,
  MATCH(1,
    ('Data tổng hợp II'!$C$3:$C$4909="DC2")*
    ('Data tổng hợp II'!$E$3:$E$4909='Form mẫu'!$A162)*
    ('Data tổng hợp II'!$F$3:$F$4909='Form mẫu'!$C162)*
    ('Data tổng hợp II'!$B$3:$B$4909='Form mẫu'!$U$2)*('Data tổng hợp II'!$G$3:$G$4909='Form mẫu'!E$105)*('Data tổng hợp II'!$D$3:$D$4909='Form mẫu'!$B162),
  0)
),0)</f>
        <v>0</v>
      </c>
      <c r="F162" s="2158" cm="1">
        <f t="array" ref="F162">IFERROR(INDEX('Data tổng hợp II'!$H$3:$H$4909,
  MATCH(1,
    ('Data tổng hợp II'!$C$3:$C$4909="DC2")*
    ('Data tổng hợp II'!$E$3:$E$4909='Form mẫu'!$A162)*
    ('Data tổng hợp II'!$F$3:$F$4909='Form mẫu'!$C162)*
    ('Data tổng hợp II'!$B$3:$B$4909='Form mẫu'!$U$2)*('Data tổng hợp II'!$G$3:$G$4909='Form mẫu'!F$105)*('Data tổng hợp II'!$D$3:$D$4909='Form mẫu'!$B162),
  0)
),0)</f>
        <v>0</v>
      </c>
      <c r="G162" s="2158" cm="1">
        <f t="array" ref="G162">IFERROR(INDEX('Data tổng hợp II'!$H$3:$H$4909,
  MATCH(1,
    ('Data tổng hợp II'!$C$3:$C$4909="DC2")*
    ('Data tổng hợp II'!$E$3:$E$4909='Form mẫu'!$A162)*
    ('Data tổng hợp II'!$F$3:$F$4909='Form mẫu'!$C162)*
    ('Data tổng hợp II'!$B$3:$B$4909='Form mẫu'!$U$2)*('Data tổng hợp II'!$G$3:$G$4909='Form mẫu'!G$105)*('Data tổng hợp II'!$D$3:$D$4909='Form mẫu'!$B162),
  0)
),0)</f>
        <v>0</v>
      </c>
      <c r="H162" s="2159">
        <f>SUM(E162:G162)</f>
        <v>0</v>
      </c>
      <c r="I162" s="2210" t="e">
        <f>(H162/$H$172)</f>
        <v>#DIV/0!</v>
      </c>
      <c r="J162" s="3114"/>
      <c r="K162" s="3114"/>
      <c r="L162" s="1030"/>
      <c r="M162" s="1030"/>
      <c r="N162" s="1030"/>
      <c r="O162"/>
      <c r="P162"/>
    </row>
    <row r="163" spans="1:16" s="1" customFormat="1" ht="26" hidden="1" customHeight="1" x14ac:dyDescent="0.2">
      <c r="A163" s="1902" t="s">
        <v>141</v>
      </c>
      <c r="B163" s="1902" t="s">
        <v>122</v>
      </c>
      <c r="C163" s="3110"/>
      <c r="D163" s="2157" t="s">
        <v>22</v>
      </c>
      <c r="E163" s="2162">
        <f>IFERROR(E162/$H162,0)</f>
        <v>0</v>
      </c>
      <c r="F163" s="2162">
        <f>IFERROR(F162/$H162,0)</f>
        <v>0</v>
      </c>
      <c r="G163" s="2162">
        <f>IFERROR(G162/$H162,0)</f>
        <v>0</v>
      </c>
      <c r="H163" s="2163"/>
      <c r="I163" s="2211"/>
      <c r="J163" s="3114"/>
      <c r="K163" s="3114"/>
      <c r="L163" s="1030"/>
      <c r="M163" s="1030"/>
      <c r="N163" s="1030"/>
      <c r="O163"/>
      <c r="P163"/>
    </row>
    <row r="164" spans="1:16" s="1" customFormat="1" ht="26" hidden="1" customHeight="1" x14ac:dyDescent="0.2">
      <c r="A164" s="1903" t="s">
        <v>141</v>
      </c>
      <c r="B164" s="1903" t="s">
        <v>122</v>
      </c>
      <c r="C164" s="3109" t="s">
        <v>129</v>
      </c>
      <c r="D164" s="2157" t="s">
        <v>21</v>
      </c>
      <c r="E164" s="2158" cm="1">
        <f t="array" ref="E164">IFERROR(INDEX('Data tổng hợp II'!$H$3:$H$4909,
  MATCH(1,
    ('Data tổng hợp II'!$C$3:$C$4909="DC2")*
    ('Data tổng hợp II'!$E$3:$E$4909='Form mẫu'!$A164)*
    ('Data tổng hợp II'!$F$3:$F$4909='Form mẫu'!$C164)*
    ('Data tổng hợp II'!$B$3:$B$4909='Form mẫu'!$U$2)*('Data tổng hợp II'!$G$3:$G$4909='Form mẫu'!E$105)*('Data tổng hợp II'!$D$3:$D$4909='Form mẫu'!$B164),
  0)
),0)</f>
        <v>0</v>
      </c>
      <c r="F164" s="2158" cm="1">
        <f t="array" ref="F164">IFERROR(INDEX('Data tổng hợp II'!$H$3:$H$4909,
  MATCH(1,
    ('Data tổng hợp II'!$C$3:$C$4909="DC2")*
    ('Data tổng hợp II'!$E$3:$E$4909='Form mẫu'!$A164)*
    ('Data tổng hợp II'!$F$3:$F$4909='Form mẫu'!$C164)*
    ('Data tổng hợp II'!$B$3:$B$4909='Form mẫu'!$U$2)*('Data tổng hợp II'!$G$3:$G$4909='Form mẫu'!F$105)*('Data tổng hợp II'!$D$3:$D$4909='Form mẫu'!$B164),
  0)
),0)</f>
        <v>0</v>
      </c>
      <c r="G164" s="2158" cm="1">
        <f t="array" ref="G164">IFERROR(INDEX('Data tổng hợp II'!$H$3:$H$4909,
  MATCH(1,
    ('Data tổng hợp II'!$C$3:$C$4909="DC2")*
    ('Data tổng hợp II'!$E$3:$E$4909='Form mẫu'!$A164)*
    ('Data tổng hợp II'!$F$3:$F$4909='Form mẫu'!$C164)*
    ('Data tổng hợp II'!$B$3:$B$4909='Form mẫu'!$U$2)*('Data tổng hợp II'!$G$3:$G$4909='Form mẫu'!G$105)*('Data tổng hợp II'!$D$3:$D$4909='Form mẫu'!$B164),
  0)
),0)</f>
        <v>0</v>
      </c>
      <c r="H164" s="2159">
        <f>SUM(E164:G164)</f>
        <v>0</v>
      </c>
      <c r="I164" s="2210" t="e">
        <f>(H164/$H$172)</f>
        <v>#DIV/0!</v>
      </c>
      <c r="J164" s="3114"/>
      <c r="K164" s="3114"/>
      <c r="L164" s="1030"/>
      <c r="M164" s="1030"/>
      <c r="N164" s="1030"/>
      <c r="O164"/>
      <c r="P164"/>
    </row>
    <row r="165" spans="1:16" s="1" customFormat="1" ht="26" hidden="1" customHeight="1" x14ac:dyDescent="0.2">
      <c r="A165" s="1902" t="s">
        <v>141</v>
      </c>
      <c r="B165" s="1902" t="s">
        <v>122</v>
      </c>
      <c r="C165" s="3110"/>
      <c r="D165" s="2157" t="s">
        <v>22</v>
      </c>
      <c r="E165" s="2162">
        <f>IFERROR(E164/$H164,0)</f>
        <v>0</v>
      </c>
      <c r="F165" s="2162">
        <f>IFERROR(F164/$H164,0)</f>
        <v>0</v>
      </c>
      <c r="G165" s="2162">
        <f>IFERROR(G164/$H164,0)</f>
        <v>0</v>
      </c>
      <c r="H165" s="2163"/>
      <c r="I165" s="2211"/>
      <c r="J165" s="3114"/>
      <c r="K165" s="3114"/>
      <c r="L165" s="1030"/>
      <c r="M165" s="1030"/>
      <c r="N165" s="1030"/>
      <c r="O165"/>
      <c r="P165"/>
    </row>
    <row r="166" spans="1:16" s="1" customFormat="1" ht="26" hidden="1" customHeight="1" x14ac:dyDescent="0.2">
      <c r="A166" s="1902" t="s">
        <v>141</v>
      </c>
      <c r="B166" s="1902" t="s">
        <v>122</v>
      </c>
      <c r="C166" s="3109" t="s">
        <v>146</v>
      </c>
      <c r="D166" s="2157" t="s">
        <v>21</v>
      </c>
      <c r="E166" s="2158" cm="1">
        <f t="array" ref="E166">IFERROR(INDEX('Data tổng hợp II'!$H$3:$H$4909,
  MATCH(1,
    ('Data tổng hợp II'!$C$3:$C$4909="DC2")*
    ('Data tổng hợp II'!$E$3:$E$4909='Form mẫu'!$A166)*
    ('Data tổng hợp II'!$F$3:$F$4909='Form mẫu'!$C166)*
    ('Data tổng hợp II'!$B$3:$B$4909='Form mẫu'!$U$2)*('Data tổng hợp II'!$G$3:$G$4909='Form mẫu'!E$105)*('Data tổng hợp II'!$D$3:$D$4909='Form mẫu'!$B166),
  0)
),0)</f>
        <v>0</v>
      </c>
      <c r="F166" s="2158" cm="1">
        <f t="array" ref="F166">IFERROR(INDEX('Data tổng hợp II'!$H$3:$H$4909,
  MATCH(1,
    ('Data tổng hợp II'!$C$3:$C$4909="DC2")*
    ('Data tổng hợp II'!$E$3:$E$4909='Form mẫu'!$A166)*
    ('Data tổng hợp II'!$F$3:$F$4909='Form mẫu'!$C166)*
    ('Data tổng hợp II'!$B$3:$B$4909='Form mẫu'!$U$2)*('Data tổng hợp II'!$G$3:$G$4909='Form mẫu'!F$105)*('Data tổng hợp II'!$D$3:$D$4909='Form mẫu'!$B166),
  0)
),0)</f>
        <v>0</v>
      </c>
      <c r="G166" s="2158" cm="1">
        <f t="array" ref="G166">IFERROR(INDEX('Data tổng hợp II'!$H$3:$H$4909,
  MATCH(1,
    ('Data tổng hợp II'!$C$3:$C$4909="DC2")*
    ('Data tổng hợp II'!$E$3:$E$4909='Form mẫu'!$A166)*
    ('Data tổng hợp II'!$F$3:$F$4909='Form mẫu'!$C166)*
    ('Data tổng hợp II'!$B$3:$B$4909='Form mẫu'!$U$2)*('Data tổng hợp II'!$G$3:$G$4909='Form mẫu'!G$105)*('Data tổng hợp II'!$D$3:$D$4909='Form mẫu'!$B166),
  0)
),0)</f>
        <v>0</v>
      </c>
      <c r="H166" s="2159">
        <f>SUM(E166:G166)</f>
        <v>0</v>
      </c>
      <c r="I166" s="2210" t="e">
        <f>(H166/$H$172)</f>
        <v>#DIV/0!</v>
      </c>
      <c r="J166" s="2161"/>
      <c r="K166" s="2212"/>
      <c r="L166" s="1030"/>
      <c r="M166" s="1030"/>
      <c r="N166" s="1030"/>
      <c r="O166"/>
      <c r="P166"/>
    </row>
    <row r="167" spans="1:16" s="1" customFormat="1" ht="26" hidden="1" customHeight="1" x14ac:dyDescent="0.2">
      <c r="A167" s="1902" t="s">
        <v>141</v>
      </c>
      <c r="B167" s="1902" t="s">
        <v>122</v>
      </c>
      <c r="C167" s="3110"/>
      <c r="D167" s="2157" t="s">
        <v>22</v>
      </c>
      <c r="E167" s="2162">
        <f>IFERROR(E166/$H166,0)</f>
        <v>0</v>
      </c>
      <c r="F167" s="2162">
        <f>IFERROR(F166/$H166,0)</f>
        <v>0</v>
      </c>
      <c r="G167" s="2162">
        <f>IFERROR(G166/$H166,0)</f>
        <v>0</v>
      </c>
      <c r="H167" s="2163"/>
      <c r="I167" s="2211"/>
      <c r="J167" s="2161"/>
      <c r="K167" s="2212"/>
      <c r="L167" s="1030"/>
      <c r="M167" s="1030"/>
      <c r="N167" s="1030"/>
      <c r="O167"/>
      <c r="P167"/>
    </row>
    <row r="168" spans="1:16" s="1" customFormat="1" ht="26" hidden="1" customHeight="1" x14ac:dyDescent="0.2">
      <c r="A168" s="1902" t="s">
        <v>141</v>
      </c>
      <c r="B168" s="1902" t="s">
        <v>122</v>
      </c>
      <c r="C168" s="3109" t="s">
        <v>146</v>
      </c>
      <c r="D168" s="2157" t="s">
        <v>21</v>
      </c>
      <c r="E168" s="2158" cm="1">
        <f t="array" ref="E168">IFERROR(INDEX('Data tổng hợp II'!$H$3:$H$4909,
  MATCH(1,
    ('Data tổng hợp II'!$C$3:$C$4909="DC2")*
    ('Data tổng hợp II'!$E$3:$E$4909='Form mẫu'!$A168)*
    ('Data tổng hợp II'!$F$3:$F$4909='Form mẫu'!$C168)*
    ('Data tổng hợp II'!$B$3:$B$4909='Form mẫu'!$U$2)*('Data tổng hợp II'!$G$3:$G$4909='Form mẫu'!E$105)*('Data tổng hợp II'!$D$3:$D$4909='Form mẫu'!$B168),
  0)
),0)</f>
        <v>0</v>
      </c>
      <c r="F168" s="2158" cm="1">
        <f t="array" ref="F168">IFERROR(INDEX('Data tổng hợp II'!$H$3:$H$4909,
  MATCH(1,
    ('Data tổng hợp II'!$C$3:$C$4909="DC2")*
    ('Data tổng hợp II'!$E$3:$E$4909='Form mẫu'!$A168)*
    ('Data tổng hợp II'!$F$3:$F$4909='Form mẫu'!$C168)*
    ('Data tổng hợp II'!$B$3:$B$4909='Form mẫu'!$U$2)*('Data tổng hợp II'!$G$3:$G$4909='Form mẫu'!F$105)*('Data tổng hợp II'!$D$3:$D$4909='Form mẫu'!$B168),
  0)
),0)</f>
        <v>0</v>
      </c>
      <c r="G168" s="2158" cm="1">
        <f t="array" ref="G168">IFERROR(INDEX('Data tổng hợp II'!$H$3:$H$4909,
  MATCH(1,
    ('Data tổng hợp II'!$C$3:$C$4909="DC2")*
    ('Data tổng hợp II'!$E$3:$E$4909='Form mẫu'!$A168)*
    ('Data tổng hợp II'!$F$3:$F$4909='Form mẫu'!$C168)*
    ('Data tổng hợp II'!$B$3:$B$4909='Form mẫu'!$U$2)*('Data tổng hợp II'!$G$3:$G$4909='Form mẫu'!G$105)*('Data tổng hợp II'!$D$3:$D$4909='Form mẫu'!$B168),
  0)
),0)</f>
        <v>0</v>
      </c>
      <c r="H168" s="2159">
        <f>SUM(E168:G168)</f>
        <v>0</v>
      </c>
      <c r="I168" s="2210" t="e">
        <f>(H168/$H$172)</f>
        <v>#DIV/0!</v>
      </c>
      <c r="J168" s="2161"/>
      <c r="K168" s="2212"/>
      <c r="L168" s="1030"/>
      <c r="M168" s="1030"/>
      <c r="N168" s="1030"/>
      <c r="O168"/>
      <c r="P168"/>
    </row>
    <row r="169" spans="1:16" s="1" customFormat="1" ht="26" hidden="1" customHeight="1" x14ac:dyDescent="0.2">
      <c r="A169" s="1902" t="s">
        <v>141</v>
      </c>
      <c r="B169" s="1902" t="s">
        <v>122</v>
      </c>
      <c r="C169" s="3110"/>
      <c r="D169" s="2157" t="s">
        <v>22</v>
      </c>
      <c r="E169" s="2162">
        <f>IFERROR(E168/$H168,0)</f>
        <v>0</v>
      </c>
      <c r="F169" s="2162">
        <f>IFERROR(F168/$H168,0)</f>
        <v>0</v>
      </c>
      <c r="G169" s="2162">
        <f>IFERROR(G168/$H168,0)</f>
        <v>0</v>
      </c>
      <c r="H169" s="2163"/>
      <c r="I169" s="2211"/>
      <c r="J169" s="2161"/>
      <c r="K169" s="2212"/>
      <c r="L169" s="1030"/>
      <c r="M169" s="1030"/>
      <c r="N169" s="1030"/>
      <c r="O169"/>
      <c r="P169"/>
    </row>
    <row r="170" spans="1:16" s="1" customFormat="1" ht="26" hidden="1" customHeight="1" x14ac:dyDescent="0.2">
      <c r="A170" s="1902" t="s">
        <v>141</v>
      </c>
      <c r="B170" s="1902" t="s">
        <v>122</v>
      </c>
      <c r="C170" s="3109" t="s">
        <v>541</v>
      </c>
      <c r="D170" s="2157" t="s">
        <v>21</v>
      </c>
      <c r="E170" s="2158" cm="1">
        <f t="array" ref="E170">IFERROR(INDEX('Data tổng hợp II'!$H$3:$H$4909,
  MATCH(1,
    ('Data tổng hợp II'!$C$3:$C$4909="DC2")*
    ('Data tổng hợp II'!$E$3:$E$4909='Form mẫu'!$A170)*
    ('Data tổng hợp II'!$F$3:$F$4909='Form mẫu'!$C170)*
    ('Data tổng hợp II'!$B$3:$B$4909='Form mẫu'!$U$2)*('Data tổng hợp II'!$G$3:$G$4909='Form mẫu'!E$105)*('Data tổng hợp II'!$D$3:$D$4909='Form mẫu'!$B170),
  0)
),0)</f>
        <v>0</v>
      </c>
      <c r="F170" s="2158" cm="1">
        <f t="array" ref="F170">IFERROR(INDEX('Data tổng hợp II'!$H$3:$H$4909,
  MATCH(1,
    ('Data tổng hợp II'!$C$3:$C$4909="DC2")*
    ('Data tổng hợp II'!$E$3:$E$4909='Form mẫu'!$A170)*
    ('Data tổng hợp II'!$F$3:$F$4909='Form mẫu'!$C170)*
    ('Data tổng hợp II'!$B$3:$B$4909='Form mẫu'!$U$2)*('Data tổng hợp II'!$G$3:$G$4909='Form mẫu'!F$105)*('Data tổng hợp II'!$D$3:$D$4909='Form mẫu'!$B170),
  0)
),0)</f>
        <v>0</v>
      </c>
      <c r="G170" s="2158" cm="1">
        <f t="array" ref="G170">IFERROR(INDEX('Data tổng hợp II'!$H$3:$H$4909,
  MATCH(1,
    ('Data tổng hợp II'!$C$3:$C$4909="DC2")*
    ('Data tổng hợp II'!$E$3:$E$4909='Form mẫu'!$A170)*
    ('Data tổng hợp II'!$F$3:$F$4909='Form mẫu'!$C170)*
    ('Data tổng hợp II'!$B$3:$B$4909='Form mẫu'!$U$2)*('Data tổng hợp II'!$G$3:$G$4909='Form mẫu'!G$105)*('Data tổng hợp II'!$D$3:$D$4909='Form mẫu'!$B170),
  0)
),0)</f>
        <v>0</v>
      </c>
      <c r="H170" s="2159">
        <f>SUM(E170:G170)</f>
        <v>0</v>
      </c>
      <c r="I170" s="2210" t="e">
        <f>(H170/$H$172)</f>
        <v>#DIV/0!</v>
      </c>
      <c r="J170" s="2161"/>
      <c r="K170" s="2212"/>
      <c r="L170" s="1030"/>
      <c r="M170" s="1030"/>
      <c r="N170" s="1030"/>
      <c r="O170"/>
      <c r="P170"/>
    </row>
    <row r="171" spans="1:16" s="1" customFormat="1" ht="26" hidden="1" customHeight="1" x14ac:dyDescent="0.2">
      <c r="A171" s="1902" t="s">
        <v>141</v>
      </c>
      <c r="B171" s="1902" t="s">
        <v>122</v>
      </c>
      <c r="C171" s="3115"/>
      <c r="D171" s="2157" t="s">
        <v>22</v>
      </c>
      <c r="E171" s="2162">
        <f>IFERROR(E170/$H170,0)</f>
        <v>0</v>
      </c>
      <c r="F171" s="2162">
        <f>IFERROR(F170/$H170,0)</f>
        <v>0</v>
      </c>
      <c r="G171" s="2162">
        <f>IFERROR(G170/$H170,0)</f>
        <v>0</v>
      </c>
      <c r="H171" s="2163"/>
      <c r="I171" s="2211"/>
      <c r="J171" s="2161"/>
      <c r="K171" s="2212"/>
      <c r="L171" s="1030"/>
      <c r="M171" s="1030"/>
      <c r="N171" s="1030"/>
      <c r="O171"/>
      <c r="P171"/>
    </row>
    <row r="172" spans="1:16" s="1" customFormat="1" ht="31" hidden="1" customHeight="1" x14ac:dyDescent="0.2">
      <c r="A172" s="3124" t="s">
        <v>103</v>
      </c>
      <c r="B172" s="3119"/>
      <c r="C172" s="3120"/>
      <c r="D172" s="2165" t="s">
        <v>21</v>
      </c>
      <c r="E172" s="2166">
        <f>E158+E160+E162+E164+E166+E168+E170</f>
        <v>0</v>
      </c>
      <c r="F172" s="2166">
        <f>F158+F160+F162+F164+F166+F168+F170</f>
        <v>0</v>
      </c>
      <c r="G172" s="2166">
        <f>G158+G160+G162+G164+G166+G168+G170</f>
        <v>0</v>
      </c>
      <c r="H172" s="2166">
        <f>SUM(E172:G172)</f>
        <v>0</v>
      </c>
      <c r="I172" s="2215"/>
      <c r="J172" s="3113"/>
      <c r="K172" s="3113"/>
      <c r="L172" s="1030"/>
      <c r="M172" s="1030"/>
      <c r="N172" s="1030"/>
      <c r="O172"/>
      <c r="P172"/>
    </row>
    <row r="173" spans="1:16" s="1" customFormat="1" ht="31" hidden="1" customHeight="1" x14ac:dyDescent="0.2">
      <c r="A173" s="3125"/>
      <c r="B173" s="3123"/>
      <c r="C173" s="3122"/>
      <c r="D173" s="2165" t="s">
        <v>22</v>
      </c>
      <c r="E173" s="2169">
        <f>IFERROR(E172/$H172,0)</f>
        <v>0</v>
      </c>
      <c r="F173" s="2169">
        <f>IFERROR(F172/$H172,0)</f>
        <v>0</v>
      </c>
      <c r="G173" s="2169">
        <f>IFERROR(G172/$H172,0)</f>
        <v>0</v>
      </c>
      <c r="H173" s="2170"/>
      <c r="I173" s="2215"/>
      <c r="J173" s="3113"/>
      <c r="K173" s="3113"/>
      <c r="L173" s="1030"/>
      <c r="M173" s="1030"/>
      <c r="N173" s="1030"/>
      <c r="O173"/>
      <c r="P173"/>
    </row>
    <row r="174" spans="1:16" s="1" customFormat="1" ht="31" customHeight="1" x14ac:dyDescent="0.2">
      <c r="A174" s="1901" t="s">
        <v>140</v>
      </c>
      <c r="B174" s="1901" t="s">
        <v>116</v>
      </c>
      <c r="C174" s="3109" t="s">
        <v>109</v>
      </c>
      <c r="D174" s="2157" t="s">
        <v>21</v>
      </c>
      <c r="E174" s="2158" cm="1">
        <f t="array" ref="E174">IFERROR(INDEX('Data tổng hợp II'!$H$3:$H$4909,
  MATCH(1,
    ('Data tổng hợp II'!$C$3:$C$4909="DC2")*
    ('Data tổng hợp II'!$E$3:$E$4909='Form mẫu'!$A174)*
    ('Data tổng hợp II'!$F$3:$F$4909='Form mẫu'!$C174)*
    ('Data tổng hợp II'!$B$3:$B$4909='Form mẫu'!$U$2)*('Data tổng hợp II'!$G$3:$G$4909='Form mẫu'!E$105)*('Data tổng hợp II'!$D$3:$D$4909='Form mẫu'!$B174),
  0)
),0)</f>
        <v>0</v>
      </c>
      <c r="F174" s="2158" cm="1">
        <f t="array" ref="F174">IFERROR(INDEX('Data tổng hợp II'!$H$3:$H$4909,
  MATCH(1,
    ('Data tổng hợp II'!$C$3:$C$4909="DC2")*
    ('Data tổng hợp II'!$E$3:$E$4909='Form mẫu'!$A174)*
    ('Data tổng hợp II'!$F$3:$F$4909='Form mẫu'!$C174)*
    ('Data tổng hợp II'!$B$3:$B$4909='Form mẫu'!$U$2)*('Data tổng hợp II'!$G$3:$G$4909='Form mẫu'!F$105)*('Data tổng hợp II'!$D$3:$D$4909='Form mẫu'!$B174),
  0)
),0)</f>
        <v>0</v>
      </c>
      <c r="G174" s="2158" cm="1">
        <f t="array" ref="G174">IFERROR(INDEX('Data tổng hợp II'!$H$3:$H$4909,
  MATCH(1,
    ('Data tổng hợp II'!$C$3:$C$4909="DC2")*
    ('Data tổng hợp II'!$E$3:$E$4909='Form mẫu'!$A174)*
    ('Data tổng hợp II'!$F$3:$F$4909='Form mẫu'!$C174)*
    ('Data tổng hợp II'!$B$3:$B$4909='Form mẫu'!$U$2)*('Data tổng hợp II'!$G$3:$G$4909='Form mẫu'!G$105)*('Data tổng hợp II'!$D$3:$D$4909='Form mẫu'!$B174),
  0)
),0)</f>
        <v>0</v>
      </c>
      <c r="H174" s="2159">
        <f>SUM(E174:G174)</f>
        <v>0</v>
      </c>
      <c r="I174" s="2210" t="e">
        <f>(H174/$H$194)</f>
        <v>#DIV/0!</v>
      </c>
      <c r="J174" s="2218"/>
      <c r="K174" s="1031"/>
      <c r="L174" s="1030"/>
      <c r="M174" s="1030"/>
      <c r="N174" s="1030"/>
      <c r="O174"/>
      <c r="P174"/>
    </row>
    <row r="175" spans="1:16" s="1" customFormat="1" ht="31" customHeight="1" x14ac:dyDescent="0.2">
      <c r="A175" s="1902" t="s">
        <v>140</v>
      </c>
      <c r="B175" s="1902" t="s">
        <v>116</v>
      </c>
      <c r="C175" s="3110"/>
      <c r="D175" s="2157" t="s">
        <v>22</v>
      </c>
      <c r="E175" s="2162">
        <f>IFERROR(E174/$H174,0)</f>
        <v>0</v>
      </c>
      <c r="F175" s="2162">
        <f>IFERROR(F174/$H174,0)</f>
        <v>0</v>
      </c>
      <c r="G175" s="2162">
        <f>IFERROR(G174/$H174,0)</f>
        <v>0</v>
      </c>
      <c r="H175" s="2163"/>
      <c r="I175" s="2211"/>
      <c r="J175" s="2161"/>
      <c r="K175" s="1031"/>
      <c r="L175" s="1030"/>
      <c r="M175" s="1030"/>
      <c r="N175" s="1030"/>
      <c r="O175"/>
      <c r="P175"/>
    </row>
    <row r="176" spans="1:16" s="1" customFormat="1" ht="31" customHeight="1" x14ac:dyDescent="0.2">
      <c r="A176" s="1902" t="s">
        <v>140</v>
      </c>
      <c r="B176" s="1902" t="s">
        <v>116</v>
      </c>
      <c r="C176" s="3109" t="s">
        <v>125</v>
      </c>
      <c r="D176" s="2157" t="s">
        <v>21</v>
      </c>
      <c r="E176" s="2158" cm="1">
        <f t="array" ref="E176">IFERROR(INDEX('Data tổng hợp II'!$H$3:$H$4909,
  MATCH(1,
    ('Data tổng hợp II'!$C$3:$C$4909="DC2")*
    ('Data tổng hợp II'!$E$3:$E$4909='Form mẫu'!$A176)*
    ('Data tổng hợp II'!$F$3:$F$4909='Form mẫu'!$C176)*
    ('Data tổng hợp II'!$B$3:$B$4909='Form mẫu'!$U$2)*('Data tổng hợp II'!$G$3:$G$4909='Form mẫu'!E$105)*('Data tổng hợp II'!$D$3:$D$4909='Form mẫu'!$B176),
  0)
),0)</f>
        <v>0</v>
      </c>
      <c r="F176" s="2158" cm="1">
        <f t="array" ref="F176">IFERROR(INDEX('Data tổng hợp II'!$H$3:$H$4909,
  MATCH(1,
    ('Data tổng hợp II'!$C$3:$C$4909="DC2")*
    ('Data tổng hợp II'!$E$3:$E$4909='Form mẫu'!$A176)*
    ('Data tổng hợp II'!$F$3:$F$4909='Form mẫu'!$C176)*
    ('Data tổng hợp II'!$B$3:$B$4909='Form mẫu'!$U$2)*('Data tổng hợp II'!$G$3:$G$4909='Form mẫu'!F$105)*('Data tổng hợp II'!$D$3:$D$4909='Form mẫu'!$B176),
  0)
),0)</f>
        <v>0</v>
      </c>
      <c r="G176" s="2158" cm="1">
        <f t="array" ref="G176">IFERROR(INDEX('Data tổng hợp II'!$H$3:$H$4909,
  MATCH(1,
    ('Data tổng hợp II'!$C$3:$C$4909="DC2")*
    ('Data tổng hợp II'!$E$3:$E$4909='Form mẫu'!$A176)*
    ('Data tổng hợp II'!$F$3:$F$4909='Form mẫu'!$C176)*
    ('Data tổng hợp II'!$B$3:$B$4909='Form mẫu'!$U$2)*('Data tổng hợp II'!$G$3:$G$4909='Form mẫu'!G$105)*('Data tổng hợp II'!$D$3:$D$4909='Form mẫu'!$B176),
  0)
),0)</f>
        <v>0</v>
      </c>
      <c r="H176" s="2159">
        <f>SUM(E176:G176)</f>
        <v>0</v>
      </c>
      <c r="I176" s="2210" t="e">
        <f>(H176/$H$194)</f>
        <v>#DIV/0!</v>
      </c>
      <c r="J176" s="2161"/>
      <c r="K176" s="1031"/>
      <c r="L176" s="1030"/>
      <c r="M176" s="1030"/>
      <c r="N176" s="1030"/>
      <c r="O176"/>
      <c r="P176"/>
    </row>
    <row r="177" spans="1:16" s="1" customFormat="1" ht="31" customHeight="1" x14ac:dyDescent="0.2">
      <c r="A177" s="1902" t="s">
        <v>140</v>
      </c>
      <c r="B177" s="1902" t="s">
        <v>116</v>
      </c>
      <c r="C177" s="3110"/>
      <c r="D177" s="2157" t="s">
        <v>22</v>
      </c>
      <c r="E177" s="2162">
        <f>IFERROR(E176/$H176,0)</f>
        <v>0</v>
      </c>
      <c r="F177" s="2162">
        <f>IFERROR(F176/$H176,0)</f>
        <v>0</v>
      </c>
      <c r="G177" s="2162">
        <f>IFERROR(G176/$H176,0)</f>
        <v>0</v>
      </c>
      <c r="H177" s="2163"/>
      <c r="I177" s="2211"/>
      <c r="J177" s="2161"/>
      <c r="K177" s="1031"/>
      <c r="L177" s="1030"/>
      <c r="M177" s="1030"/>
      <c r="N177" s="1030"/>
      <c r="O177"/>
      <c r="P177"/>
    </row>
    <row r="178" spans="1:16" s="1" customFormat="1" ht="31" customHeight="1" x14ac:dyDescent="0.2">
      <c r="A178" s="1902" t="s">
        <v>140</v>
      </c>
      <c r="B178" s="1902" t="s">
        <v>116</v>
      </c>
      <c r="C178" s="3109" t="s">
        <v>129</v>
      </c>
      <c r="D178" s="2157" t="s">
        <v>21</v>
      </c>
      <c r="E178" s="2158" cm="1">
        <f t="array" ref="E178">IFERROR(INDEX('Data tổng hợp II'!$H$3:$H$4909,
  MATCH(1,
    ('Data tổng hợp II'!$C$3:$C$4909="DC2")*
    ('Data tổng hợp II'!$E$3:$E$4909='Form mẫu'!$A178)*
    ('Data tổng hợp II'!$F$3:$F$4909='Form mẫu'!$C178)*
    ('Data tổng hợp II'!$B$3:$B$4909='Form mẫu'!$U$2)*('Data tổng hợp II'!$G$3:$G$4909='Form mẫu'!E$105)*('Data tổng hợp II'!$D$3:$D$4909='Form mẫu'!$B178),
  0)
),0)</f>
        <v>0</v>
      </c>
      <c r="F178" s="2158" cm="1">
        <f t="array" ref="F178">IFERROR(INDEX('Data tổng hợp II'!$H$3:$H$4909,
  MATCH(1,
    ('Data tổng hợp II'!$C$3:$C$4909="DC2")*
    ('Data tổng hợp II'!$E$3:$E$4909='Form mẫu'!$A178)*
    ('Data tổng hợp II'!$F$3:$F$4909='Form mẫu'!$C178)*
    ('Data tổng hợp II'!$B$3:$B$4909='Form mẫu'!$U$2)*('Data tổng hợp II'!$G$3:$G$4909='Form mẫu'!F$105)*('Data tổng hợp II'!$D$3:$D$4909='Form mẫu'!$B178),
  0)
),0)</f>
        <v>0</v>
      </c>
      <c r="G178" s="2158" cm="1">
        <f t="array" ref="G178">IFERROR(INDEX('Data tổng hợp II'!$H$3:$H$4909,
  MATCH(1,
    ('Data tổng hợp II'!$C$3:$C$4909="DC2")*
    ('Data tổng hợp II'!$E$3:$E$4909='Form mẫu'!$A178)*
    ('Data tổng hợp II'!$F$3:$F$4909='Form mẫu'!$C178)*
    ('Data tổng hợp II'!$B$3:$B$4909='Form mẫu'!$U$2)*('Data tổng hợp II'!$G$3:$G$4909='Form mẫu'!G$105)*('Data tổng hợp II'!$D$3:$D$4909='Form mẫu'!$B178),
  0)
),0)</f>
        <v>0</v>
      </c>
      <c r="H178" s="2159">
        <f>SUM(E178:G178)</f>
        <v>0</v>
      </c>
      <c r="I178" s="2210" t="e">
        <f>(H178/$H$194)</f>
        <v>#DIV/0!</v>
      </c>
      <c r="J178" s="2161"/>
      <c r="K178" s="1031"/>
      <c r="L178" s="1030"/>
      <c r="M178" s="1030"/>
      <c r="N178" s="1030"/>
      <c r="O178"/>
      <c r="P178"/>
    </row>
    <row r="179" spans="1:16" s="1" customFormat="1" ht="31" customHeight="1" x14ac:dyDescent="0.2">
      <c r="A179" s="2065" t="s">
        <v>140</v>
      </c>
      <c r="B179" s="1903" t="s">
        <v>116</v>
      </c>
      <c r="C179" s="3110"/>
      <c r="D179" s="2157" t="s">
        <v>22</v>
      </c>
      <c r="E179" s="2162">
        <f>IFERROR(E178/$H178,0)</f>
        <v>0</v>
      </c>
      <c r="F179" s="2162">
        <f>IFERROR(F178/$H178,0)</f>
        <v>0</v>
      </c>
      <c r="G179" s="2162">
        <f>IFERROR(G178/$H178,0)</f>
        <v>0</v>
      </c>
      <c r="H179" s="2163"/>
      <c r="I179" s="2211"/>
      <c r="J179" s="2161"/>
      <c r="K179" s="1031"/>
      <c r="L179" s="1030"/>
      <c r="M179" s="1030"/>
      <c r="N179" s="1030"/>
      <c r="O179"/>
      <c r="P179"/>
    </row>
    <row r="180" spans="1:16" s="1" customFormat="1" ht="26" customHeight="1" x14ac:dyDescent="0.2">
      <c r="A180" s="1902" t="s">
        <v>140</v>
      </c>
      <c r="B180" s="1902" t="s">
        <v>116</v>
      </c>
      <c r="C180" s="3109" t="s">
        <v>112</v>
      </c>
      <c r="D180" s="2157" t="s">
        <v>21</v>
      </c>
      <c r="E180" s="2158" cm="1">
        <f t="array" ref="E180">IFERROR(INDEX('Data tổng hợp II'!$H$3:$H$4909,
  MATCH(1,
    ('Data tổng hợp II'!$C$3:$C$4909="DC2")*
    ('Data tổng hợp II'!$E$3:$E$4909='Form mẫu'!$A180)*
    ('Data tổng hợp II'!$F$3:$F$4909='Form mẫu'!$C180)*
    ('Data tổng hợp II'!$B$3:$B$4909='Form mẫu'!$U$2)*('Data tổng hợp II'!$G$3:$G$4909='Form mẫu'!E$105)*('Data tổng hợp II'!$D$3:$D$4909='Form mẫu'!$B180),
  0)
),0)</f>
        <v>0</v>
      </c>
      <c r="F180" s="2158" cm="1">
        <f t="array" ref="F180">IFERROR(INDEX('Data tổng hợp II'!$H$3:$H$4909,
  MATCH(1,
    ('Data tổng hợp II'!$C$3:$C$4909="DC2")*
    ('Data tổng hợp II'!$E$3:$E$4909='Form mẫu'!$A180)*
    ('Data tổng hợp II'!$F$3:$F$4909='Form mẫu'!$C180)*
    ('Data tổng hợp II'!$B$3:$B$4909='Form mẫu'!$U$2)*('Data tổng hợp II'!$G$3:$G$4909='Form mẫu'!F$105)*('Data tổng hợp II'!$D$3:$D$4909='Form mẫu'!$B180),
  0)
),0)</f>
        <v>0</v>
      </c>
      <c r="G180" s="2158" cm="1">
        <f t="array" ref="G180">IFERROR(INDEX('Data tổng hợp II'!$H$3:$H$4909,
  MATCH(1,
    ('Data tổng hợp II'!$C$3:$C$4909="DC2")*
    ('Data tổng hợp II'!$E$3:$E$4909='Form mẫu'!$A180)*
    ('Data tổng hợp II'!$F$3:$F$4909='Form mẫu'!$C180)*
    ('Data tổng hợp II'!$B$3:$B$4909='Form mẫu'!$U$2)*('Data tổng hợp II'!$G$3:$G$4909='Form mẫu'!G$105)*('Data tổng hợp II'!$D$3:$D$4909='Form mẫu'!$B180),
  0)
),0)</f>
        <v>0</v>
      </c>
      <c r="H180" s="2159">
        <f>SUM(E180:G180)</f>
        <v>0</v>
      </c>
      <c r="I180" s="2210" t="e">
        <f>(H180/$H$194)</f>
        <v>#DIV/0!</v>
      </c>
      <c r="J180" s="2161"/>
      <c r="K180" s="1031"/>
      <c r="L180" s="1030"/>
      <c r="M180" s="1030"/>
      <c r="N180" s="1030"/>
      <c r="O180"/>
      <c r="P180"/>
    </row>
    <row r="181" spans="1:16" s="1" customFormat="1" ht="26" customHeight="1" x14ac:dyDescent="0.2">
      <c r="A181" s="1902" t="s">
        <v>140</v>
      </c>
      <c r="B181" s="1902" t="s">
        <v>116</v>
      </c>
      <c r="C181" s="3110"/>
      <c r="D181" s="2157" t="s">
        <v>22</v>
      </c>
      <c r="E181" s="2162">
        <f>IFERROR(E180/$H180,0)</f>
        <v>0</v>
      </c>
      <c r="F181" s="2162">
        <f>IFERROR(F180/$H180,0)</f>
        <v>0</v>
      </c>
      <c r="G181" s="2162">
        <f>IFERROR(G180/$H180,0)</f>
        <v>0</v>
      </c>
      <c r="H181" s="2163"/>
      <c r="I181" s="2211"/>
      <c r="J181" s="2161"/>
      <c r="K181" s="1031"/>
      <c r="L181" s="1030"/>
      <c r="M181" s="1030"/>
      <c r="N181" s="1030"/>
      <c r="O181"/>
      <c r="P181"/>
    </row>
    <row r="182" spans="1:16" s="1" customFormat="1" ht="26" customHeight="1" x14ac:dyDescent="0.2">
      <c r="A182" s="1902" t="s">
        <v>140</v>
      </c>
      <c r="B182" s="1902" t="s">
        <v>116</v>
      </c>
      <c r="C182" s="3109" t="s">
        <v>117</v>
      </c>
      <c r="D182" s="2157" t="s">
        <v>21</v>
      </c>
      <c r="E182" s="2158" cm="1">
        <f t="array" ref="E182">IFERROR(INDEX('Data tổng hợp II'!$H$3:$H$4909,
  MATCH(1,
    ('Data tổng hợp II'!$C$3:$C$4909="DC2")*
    ('Data tổng hợp II'!$E$3:$E$4909='Form mẫu'!$A182)*
    ('Data tổng hợp II'!$F$3:$F$4909='Form mẫu'!$C182)*
    ('Data tổng hợp II'!$B$3:$B$4909='Form mẫu'!$U$2)*('Data tổng hợp II'!$G$3:$G$4909='Form mẫu'!E$105)*('Data tổng hợp II'!$D$3:$D$4909='Form mẫu'!$B182),
  0)
),0)</f>
        <v>0</v>
      </c>
      <c r="F182" s="2158" cm="1">
        <f t="array" ref="F182">IFERROR(INDEX('Data tổng hợp II'!$H$3:$H$4909,
  MATCH(1,
    ('Data tổng hợp II'!$C$3:$C$4909="DC2")*
    ('Data tổng hợp II'!$E$3:$E$4909='Form mẫu'!$A182)*
    ('Data tổng hợp II'!$F$3:$F$4909='Form mẫu'!$C182)*
    ('Data tổng hợp II'!$B$3:$B$4909='Form mẫu'!$U$2)*('Data tổng hợp II'!$G$3:$G$4909='Form mẫu'!F$105)*('Data tổng hợp II'!$D$3:$D$4909='Form mẫu'!$B182),
  0)
),0)</f>
        <v>0</v>
      </c>
      <c r="G182" s="2158" cm="1">
        <f t="array" ref="G182">IFERROR(INDEX('Data tổng hợp II'!$H$3:$H$4909,
  MATCH(1,
    ('Data tổng hợp II'!$C$3:$C$4909="DC2")*
    ('Data tổng hợp II'!$E$3:$E$4909='Form mẫu'!$A182)*
    ('Data tổng hợp II'!$F$3:$F$4909='Form mẫu'!$C182)*
    ('Data tổng hợp II'!$B$3:$B$4909='Form mẫu'!$U$2)*('Data tổng hợp II'!$G$3:$G$4909='Form mẫu'!G$105)*('Data tổng hợp II'!$D$3:$D$4909='Form mẫu'!$B182),
  0)
),0)</f>
        <v>0</v>
      </c>
      <c r="H182" s="2159">
        <f>SUM(E182:G182)</f>
        <v>0</v>
      </c>
      <c r="I182" s="2210" t="e">
        <f>(H182/$H$194)</f>
        <v>#DIV/0!</v>
      </c>
      <c r="J182" s="2161"/>
      <c r="K182" s="1031"/>
      <c r="L182" s="1030"/>
      <c r="M182" s="1030"/>
      <c r="N182" s="1030"/>
      <c r="O182"/>
      <c r="P182"/>
    </row>
    <row r="183" spans="1:16" s="1" customFormat="1" ht="26" customHeight="1" x14ac:dyDescent="0.2">
      <c r="A183" s="1902" t="s">
        <v>140</v>
      </c>
      <c r="B183" s="1902" t="s">
        <v>116</v>
      </c>
      <c r="C183" s="3110"/>
      <c r="D183" s="2157" t="s">
        <v>22</v>
      </c>
      <c r="E183" s="2162">
        <f>IFERROR(E182/$H182,0)</f>
        <v>0</v>
      </c>
      <c r="F183" s="2162">
        <f>IFERROR(F182/$H182,0)</f>
        <v>0</v>
      </c>
      <c r="G183" s="2162">
        <f>IFERROR(G182/$H182,0)</f>
        <v>0</v>
      </c>
      <c r="H183" s="2163"/>
      <c r="I183" s="2211"/>
      <c r="J183" s="2161"/>
      <c r="K183" s="1031"/>
      <c r="L183" s="1030"/>
      <c r="M183" s="1030"/>
      <c r="N183" s="1030"/>
      <c r="O183"/>
      <c r="P183"/>
    </row>
    <row r="184" spans="1:16" s="1" customFormat="1" ht="26" customHeight="1" x14ac:dyDescent="0.2">
      <c r="A184" s="1902" t="s">
        <v>140</v>
      </c>
      <c r="B184" s="1902" t="s">
        <v>116</v>
      </c>
      <c r="C184" s="3109" t="s">
        <v>146</v>
      </c>
      <c r="D184" s="2157" t="s">
        <v>21</v>
      </c>
      <c r="E184" s="2158" cm="1">
        <f t="array" ref="E184">IFERROR(INDEX('Data tổng hợp II'!$H$3:$H$4909,
  MATCH(1,
    ('Data tổng hợp II'!$C$3:$C$4909="DC2")*
    ('Data tổng hợp II'!$E$3:$E$4909='Form mẫu'!$A184)*
    ('Data tổng hợp II'!$F$3:$F$4909='Form mẫu'!$C184)*
    ('Data tổng hợp II'!$B$3:$B$4909='Form mẫu'!$U$2)*('Data tổng hợp II'!$G$3:$G$4909='Form mẫu'!E$105)*('Data tổng hợp II'!$D$3:$D$4909='Form mẫu'!$B184),
  0)
),0)</f>
        <v>0</v>
      </c>
      <c r="F184" s="2158" cm="1">
        <f t="array" ref="F184">IFERROR(INDEX('Data tổng hợp II'!$H$3:$H$4909,
  MATCH(1,
    ('Data tổng hợp II'!$C$3:$C$4909="DC2")*
    ('Data tổng hợp II'!$E$3:$E$4909='Form mẫu'!$A184)*
    ('Data tổng hợp II'!$F$3:$F$4909='Form mẫu'!$C184)*
    ('Data tổng hợp II'!$B$3:$B$4909='Form mẫu'!$U$2)*('Data tổng hợp II'!$G$3:$G$4909='Form mẫu'!F$105)*('Data tổng hợp II'!$D$3:$D$4909='Form mẫu'!$B184),
  0)
),0)</f>
        <v>0</v>
      </c>
      <c r="G184" s="2158" cm="1">
        <f t="array" ref="G184">IFERROR(INDEX('Data tổng hợp II'!$H$3:$H$4909,
  MATCH(1,
    ('Data tổng hợp II'!$C$3:$C$4909="DC2")*
    ('Data tổng hợp II'!$E$3:$E$4909='Form mẫu'!$A184)*
    ('Data tổng hợp II'!$F$3:$F$4909='Form mẫu'!$C184)*
    ('Data tổng hợp II'!$B$3:$B$4909='Form mẫu'!$U$2)*('Data tổng hợp II'!$G$3:$G$4909='Form mẫu'!G$105)*('Data tổng hợp II'!$D$3:$D$4909='Form mẫu'!$B184),
  0)
),0)</f>
        <v>0</v>
      </c>
      <c r="H184" s="2159">
        <f>SUM(E184:G184)</f>
        <v>0</v>
      </c>
      <c r="I184" s="2210" t="e">
        <f>(H184/$H$194)</f>
        <v>#DIV/0!</v>
      </c>
      <c r="J184" s="2161"/>
      <c r="K184" s="1031"/>
      <c r="L184" s="1030"/>
      <c r="M184" s="1030"/>
      <c r="N184" s="1030"/>
      <c r="O184"/>
      <c r="P184"/>
    </row>
    <row r="185" spans="1:16" s="1" customFormat="1" ht="26" customHeight="1" x14ac:dyDescent="0.2">
      <c r="A185" s="1902" t="s">
        <v>140</v>
      </c>
      <c r="B185" s="1902" t="s">
        <v>116</v>
      </c>
      <c r="C185" s="3110"/>
      <c r="D185" s="2157" t="s">
        <v>22</v>
      </c>
      <c r="E185" s="2162">
        <f>IFERROR(E184/$H184,0)</f>
        <v>0</v>
      </c>
      <c r="F185" s="2162">
        <f>IFERROR(F184/$H184,0)</f>
        <v>0</v>
      </c>
      <c r="G185" s="2162">
        <f>IFERROR(G184/$H184,0)</f>
        <v>0</v>
      </c>
      <c r="H185" s="2163"/>
      <c r="I185" s="2211"/>
      <c r="J185" s="2161"/>
      <c r="K185" s="1031"/>
      <c r="L185" s="1030"/>
      <c r="M185" s="1030"/>
      <c r="N185" s="1030"/>
      <c r="O185"/>
      <c r="P185"/>
    </row>
    <row r="186" spans="1:16" s="1" customFormat="1" ht="26" customHeight="1" x14ac:dyDescent="0.2">
      <c r="A186" s="1902" t="s">
        <v>140</v>
      </c>
      <c r="B186" s="1902" t="s">
        <v>116</v>
      </c>
      <c r="C186" s="3109" t="s">
        <v>541</v>
      </c>
      <c r="D186" s="2157" t="s">
        <v>21</v>
      </c>
      <c r="E186" s="2158" cm="1">
        <f t="array" ref="E186">IFERROR(INDEX('Data tổng hợp II'!$H$3:$H$4909,
  MATCH(1,
    ('Data tổng hợp II'!$C$3:$C$4909="DC2")*
    ('Data tổng hợp II'!$E$3:$E$4909='Form mẫu'!$A186)*
    ('Data tổng hợp II'!$F$3:$F$4909='Form mẫu'!$C186)*
    ('Data tổng hợp II'!$B$3:$B$4909='Form mẫu'!$U$2)*('Data tổng hợp II'!$G$3:$G$4909='Form mẫu'!E$105)*('Data tổng hợp II'!$D$3:$D$4909='Form mẫu'!$B186),
  0)
),0)</f>
        <v>0</v>
      </c>
      <c r="F186" s="2158" cm="1">
        <f t="array" ref="F186">IFERROR(INDEX('Data tổng hợp II'!$H$3:$H$4909,
  MATCH(1,
    ('Data tổng hợp II'!$C$3:$C$4909="DC2")*
    ('Data tổng hợp II'!$E$3:$E$4909='Form mẫu'!$A186)*
    ('Data tổng hợp II'!$F$3:$F$4909='Form mẫu'!$C186)*
    ('Data tổng hợp II'!$B$3:$B$4909='Form mẫu'!$U$2)*('Data tổng hợp II'!$G$3:$G$4909='Form mẫu'!F$105)*('Data tổng hợp II'!$D$3:$D$4909='Form mẫu'!$B186),
  0)
),0)</f>
        <v>0</v>
      </c>
      <c r="G186" s="2158" cm="1">
        <f t="array" ref="G186">IFERROR(INDEX('Data tổng hợp II'!$H$3:$H$4909,
  MATCH(1,
    ('Data tổng hợp II'!$C$3:$C$4909="DC2")*
    ('Data tổng hợp II'!$E$3:$E$4909='Form mẫu'!$A186)*
    ('Data tổng hợp II'!$F$3:$F$4909='Form mẫu'!$C186)*
    ('Data tổng hợp II'!$B$3:$B$4909='Form mẫu'!$U$2)*('Data tổng hợp II'!$G$3:$G$4909='Form mẫu'!G$105)*('Data tổng hợp II'!$D$3:$D$4909='Form mẫu'!$B186),
  0)
),0)</f>
        <v>0</v>
      </c>
      <c r="H186" s="2159">
        <f>SUM(E186:G186)</f>
        <v>0</v>
      </c>
      <c r="I186" s="2210" t="e">
        <f>(H186/$H$194)</f>
        <v>#DIV/0!</v>
      </c>
      <c r="J186" s="2161"/>
      <c r="K186" s="1031"/>
      <c r="L186" s="1030"/>
      <c r="M186" s="1030"/>
      <c r="N186" s="1030"/>
      <c r="O186"/>
      <c r="P186"/>
    </row>
    <row r="187" spans="1:16" s="1" customFormat="1" ht="26" customHeight="1" x14ac:dyDescent="0.2">
      <c r="A187" s="1902" t="s">
        <v>140</v>
      </c>
      <c r="B187" s="1902" t="s">
        <v>116</v>
      </c>
      <c r="C187" s="3110"/>
      <c r="D187" s="2157" t="s">
        <v>22</v>
      </c>
      <c r="E187" s="2162">
        <f>IFERROR(E186/$H186,0)</f>
        <v>0</v>
      </c>
      <c r="F187" s="2162">
        <f>IFERROR(F186/$H186,0)</f>
        <v>0</v>
      </c>
      <c r="G187" s="2162">
        <f>IFERROR(G186/$H186,0)</f>
        <v>0</v>
      </c>
      <c r="H187" s="2163"/>
      <c r="I187" s="2211"/>
      <c r="J187" s="2161"/>
      <c r="K187" s="1031"/>
      <c r="L187" s="1030"/>
      <c r="M187" s="1030"/>
      <c r="N187" s="1030"/>
      <c r="O187"/>
      <c r="P187"/>
    </row>
    <row r="188" spans="1:16" s="1" customFormat="1" ht="26" hidden="1" customHeight="1" x14ac:dyDescent="0.2">
      <c r="A188" s="1902" t="s">
        <v>140</v>
      </c>
      <c r="B188" s="1902" t="s">
        <v>116</v>
      </c>
      <c r="C188" s="3109" t="s">
        <v>113</v>
      </c>
      <c r="D188" s="2157" t="s">
        <v>21</v>
      </c>
      <c r="E188" s="2158" cm="1">
        <f t="array" ref="E188">IFERROR(INDEX('Data tổng hợp II'!$H$3:$H$4909,
  MATCH(1,
    ('Data tổng hợp II'!$C$3:$C$4909="DC2")*
    ('Data tổng hợp II'!$E$3:$E$4909='Form mẫu'!$A188)*
    ('Data tổng hợp II'!$F$3:$F$4909='Form mẫu'!$C188)*
    ('Data tổng hợp II'!$B$3:$B$4909='Form mẫu'!$U$2)*('Data tổng hợp II'!$G$3:$G$4909='Form mẫu'!E$105)*('Data tổng hợp II'!$D$3:$D$4909='Form mẫu'!$B188),
  0)
),0)</f>
        <v>0</v>
      </c>
      <c r="F188" s="2158" cm="1">
        <f t="array" ref="F188">IFERROR(INDEX('Data tổng hợp II'!$H$3:$H$4909,
  MATCH(1,
    ('Data tổng hợp II'!$C$3:$C$4909="DC2")*
    ('Data tổng hợp II'!$E$3:$E$4909='Form mẫu'!$A188)*
    ('Data tổng hợp II'!$F$3:$F$4909='Form mẫu'!$C188)*
    ('Data tổng hợp II'!$B$3:$B$4909='Form mẫu'!$U$2)*('Data tổng hợp II'!$G$3:$G$4909='Form mẫu'!F$105)*('Data tổng hợp II'!$D$3:$D$4909='Form mẫu'!$B188),
  0)
),0)</f>
        <v>0</v>
      </c>
      <c r="G188" s="2158" cm="1">
        <f t="array" ref="G188">IFERROR(INDEX('Data tổng hợp II'!$H$3:$H$4909,
  MATCH(1,
    ('Data tổng hợp II'!$C$3:$C$4909="DC2")*
    ('Data tổng hợp II'!$E$3:$E$4909='Form mẫu'!$A188)*
    ('Data tổng hợp II'!$F$3:$F$4909='Form mẫu'!$C188)*
    ('Data tổng hợp II'!$B$3:$B$4909='Form mẫu'!$U$2)*('Data tổng hợp II'!$G$3:$G$4909='Form mẫu'!G$105)*('Data tổng hợp II'!$D$3:$D$4909='Form mẫu'!$B188),
  0)
),0)</f>
        <v>0</v>
      </c>
      <c r="H188" s="2159">
        <f>SUM(E188:G188)</f>
        <v>0</v>
      </c>
      <c r="I188" s="2210" t="e">
        <f>(H188/$H$194)</f>
        <v>#DIV/0!</v>
      </c>
      <c r="J188" s="2161"/>
      <c r="K188" s="1031"/>
      <c r="L188" s="1030"/>
      <c r="M188" s="1030"/>
      <c r="N188" s="1030"/>
      <c r="O188"/>
      <c r="P188"/>
    </row>
    <row r="189" spans="1:16" s="1" customFormat="1" ht="26" hidden="1" customHeight="1" x14ac:dyDescent="0.2">
      <c r="A189" s="1902" t="s">
        <v>140</v>
      </c>
      <c r="B189" s="1902" t="s">
        <v>116</v>
      </c>
      <c r="C189" s="3110"/>
      <c r="D189" s="2157" t="s">
        <v>22</v>
      </c>
      <c r="E189" s="2162">
        <f>IFERROR(E188/$H188,0)</f>
        <v>0</v>
      </c>
      <c r="F189" s="2162">
        <f>IFERROR(F188/$H188,0)</f>
        <v>0</v>
      </c>
      <c r="G189" s="2162">
        <f>IFERROR(G188/$H188,0)</f>
        <v>0</v>
      </c>
      <c r="H189" s="2163"/>
      <c r="I189" s="2211"/>
      <c r="J189" s="2161"/>
      <c r="K189" s="1031"/>
      <c r="L189" s="1030"/>
      <c r="M189" s="1030"/>
      <c r="N189" s="1030"/>
      <c r="O189"/>
      <c r="P189"/>
    </row>
    <row r="190" spans="1:16" s="1" customFormat="1" ht="26" hidden="1" customHeight="1" x14ac:dyDescent="0.2">
      <c r="A190" s="1902" t="s">
        <v>140</v>
      </c>
      <c r="B190" s="1902" t="s">
        <v>116</v>
      </c>
      <c r="C190" s="3109" t="s">
        <v>144</v>
      </c>
      <c r="D190" s="2157" t="s">
        <v>21</v>
      </c>
      <c r="E190" s="2158" cm="1">
        <f t="array" ref="E190">IFERROR(INDEX('Data tổng hợp II'!$H$3:$H$4909,
  MATCH(1,
    ('Data tổng hợp II'!$C$3:$C$4909="DC2")*
    ('Data tổng hợp II'!$E$3:$E$4909='Form mẫu'!$A190)*
    ('Data tổng hợp II'!$F$3:$F$4909='Form mẫu'!$C190)*
    ('Data tổng hợp II'!$B$3:$B$4909='Form mẫu'!$U$2)*('Data tổng hợp II'!$G$3:$G$4909='Form mẫu'!E$105)*('Data tổng hợp II'!$D$3:$D$4909='Form mẫu'!$B190),
  0)
),0)</f>
        <v>0</v>
      </c>
      <c r="F190" s="2158" cm="1">
        <f t="array" ref="F190">IFERROR(INDEX('Data tổng hợp II'!$H$3:$H$4909,
  MATCH(1,
    ('Data tổng hợp II'!$C$3:$C$4909="DC2")*
    ('Data tổng hợp II'!$E$3:$E$4909='Form mẫu'!$A190)*
    ('Data tổng hợp II'!$F$3:$F$4909='Form mẫu'!$C190)*
    ('Data tổng hợp II'!$B$3:$B$4909='Form mẫu'!$U$2)*('Data tổng hợp II'!$G$3:$G$4909='Form mẫu'!F$105)*('Data tổng hợp II'!$D$3:$D$4909='Form mẫu'!$B190),
  0)
),0)</f>
        <v>0</v>
      </c>
      <c r="G190" s="2158" cm="1">
        <f t="array" ref="G190">IFERROR(INDEX('Data tổng hợp II'!$H$3:$H$4909,
  MATCH(1,
    ('Data tổng hợp II'!$C$3:$C$4909="DC2")*
    ('Data tổng hợp II'!$E$3:$E$4909='Form mẫu'!$A190)*
    ('Data tổng hợp II'!$F$3:$F$4909='Form mẫu'!$C190)*
    ('Data tổng hợp II'!$B$3:$B$4909='Form mẫu'!$U$2)*('Data tổng hợp II'!$G$3:$G$4909='Form mẫu'!G$105)*('Data tổng hợp II'!$D$3:$D$4909='Form mẫu'!$B190),
  0)
),0)</f>
        <v>0</v>
      </c>
      <c r="H190" s="2159">
        <f>SUM(E190:G190)</f>
        <v>0</v>
      </c>
      <c r="I190" s="2210" t="e">
        <f>(H190/$H$194)</f>
        <v>#DIV/0!</v>
      </c>
      <c r="J190" s="2161"/>
      <c r="K190" s="1031"/>
      <c r="L190" s="1030"/>
      <c r="M190" s="1030"/>
      <c r="N190" s="1030"/>
      <c r="O190"/>
      <c r="P190"/>
    </row>
    <row r="191" spans="1:16" s="1" customFormat="1" ht="26" hidden="1" customHeight="1" x14ac:dyDescent="0.2">
      <c r="A191" s="1902" t="s">
        <v>140</v>
      </c>
      <c r="B191" s="1902" t="s">
        <v>116</v>
      </c>
      <c r="C191" s="3110"/>
      <c r="D191" s="2157" t="s">
        <v>22</v>
      </c>
      <c r="E191" s="2162">
        <f>IFERROR(E190/$H190,0)</f>
        <v>0</v>
      </c>
      <c r="F191" s="2162">
        <f>IFERROR(F190/$H190,0)</f>
        <v>0</v>
      </c>
      <c r="G191" s="2162">
        <f>IFERROR(G190/$H190,0)</f>
        <v>0</v>
      </c>
      <c r="H191" s="2163"/>
      <c r="I191" s="2211"/>
      <c r="J191" s="2161"/>
      <c r="K191" s="1031"/>
      <c r="L191" s="1030"/>
      <c r="M191" s="1030"/>
      <c r="N191" s="1030"/>
      <c r="O191"/>
      <c r="P191"/>
    </row>
    <row r="192" spans="1:16" s="1" customFormat="1" ht="26" customHeight="1" x14ac:dyDescent="0.2">
      <c r="A192" s="1902" t="s">
        <v>140</v>
      </c>
      <c r="B192" s="1902" t="s">
        <v>116</v>
      </c>
      <c r="C192" s="3109" t="s">
        <v>637</v>
      </c>
      <c r="D192" s="2157" t="s">
        <v>21</v>
      </c>
      <c r="E192" s="2158" cm="1">
        <f t="array" ref="E192">IFERROR(INDEX('Data tổng hợp II'!$H$3:$H$4909,
  MATCH(1,
    ('Data tổng hợp II'!$C$3:$C$4909="DC2")*
    ('Data tổng hợp II'!$E$3:$E$4909='Form mẫu'!$A192)*
    ('Data tổng hợp II'!$F$3:$F$4909='Form mẫu'!$C192)*
    ('Data tổng hợp II'!$B$3:$B$4909='Form mẫu'!$U$2)*('Data tổng hợp II'!$G$3:$G$4909='Form mẫu'!E$105)*('Data tổng hợp II'!$D$3:$D$4909='Form mẫu'!$B192),
  0)
),0)</f>
        <v>0</v>
      </c>
      <c r="F192" s="2158" cm="1">
        <f t="array" ref="F192">IFERROR(INDEX('Data tổng hợp II'!$H$3:$H$4909,
  MATCH(1,
    ('Data tổng hợp II'!$C$3:$C$4909="DC2")*
    ('Data tổng hợp II'!$E$3:$E$4909='Form mẫu'!$A192)*
    ('Data tổng hợp II'!$F$3:$F$4909='Form mẫu'!$C192)*
    ('Data tổng hợp II'!$B$3:$B$4909='Form mẫu'!$U$2)*('Data tổng hợp II'!$G$3:$G$4909='Form mẫu'!F$105)*('Data tổng hợp II'!$D$3:$D$4909='Form mẫu'!$B192),
  0)
),0)</f>
        <v>0</v>
      </c>
      <c r="G192" s="2158" cm="1">
        <f t="array" ref="G192">IFERROR(INDEX('Data tổng hợp II'!$H$3:$H$4909,
  MATCH(1,
    ('Data tổng hợp II'!$C$3:$C$4909="DC2")*
    ('Data tổng hợp II'!$E$3:$E$4909='Form mẫu'!$A192)*
    ('Data tổng hợp II'!$F$3:$F$4909='Form mẫu'!$C192)*
    ('Data tổng hợp II'!$B$3:$B$4909='Form mẫu'!$U$2)*('Data tổng hợp II'!$G$3:$G$4909='Form mẫu'!G$105)*('Data tổng hợp II'!$D$3:$D$4909='Form mẫu'!$B192),
  0)
),0)</f>
        <v>0</v>
      </c>
      <c r="H192" s="2159">
        <f>SUM(E192:G192)</f>
        <v>0</v>
      </c>
      <c r="I192" s="2210" t="e">
        <f>(H192/$H$194)</f>
        <v>#DIV/0!</v>
      </c>
      <c r="J192" s="2161"/>
      <c r="K192" s="1031"/>
      <c r="L192" s="1030"/>
      <c r="M192" s="1030"/>
      <c r="N192" s="1030"/>
      <c r="O192"/>
      <c r="P192"/>
    </row>
    <row r="193" spans="1:16" s="1" customFormat="1" ht="26" customHeight="1" x14ac:dyDescent="0.2">
      <c r="A193" s="1902" t="s">
        <v>140</v>
      </c>
      <c r="B193" s="1902" t="s">
        <v>116</v>
      </c>
      <c r="C193" s="3110"/>
      <c r="D193" s="2157" t="s">
        <v>22</v>
      </c>
      <c r="E193" s="2162">
        <f>IFERROR(E192/$H192,0)</f>
        <v>0</v>
      </c>
      <c r="F193" s="2162">
        <f>IFERROR(F192/$H192,0)</f>
        <v>0</v>
      </c>
      <c r="G193" s="2162">
        <f>IFERROR(G192/$H192,0)</f>
        <v>0</v>
      </c>
      <c r="H193" s="2163"/>
      <c r="I193" s="2211"/>
      <c r="J193" s="2161"/>
      <c r="K193" s="1031"/>
      <c r="L193" s="1030"/>
      <c r="M193" s="1030"/>
      <c r="N193" s="1030"/>
      <c r="O193"/>
      <c r="P193"/>
    </row>
    <row r="194" spans="1:16" s="1" customFormat="1" ht="26" customHeight="1" x14ac:dyDescent="0.2">
      <c r="A194" s="3124" t="s">
        <v>103</v>
      </c>
      <c r="B194" s="3119"/>
      <c r="C194" s="3120"/>
      <c r="D194" s="2165" t="s">
        <v>21</v>
      </c>
      <c r="E194" s="2166">
        <f>E174+E176+E178+E180+E182+E184+E186+E192+E190+E188</f>
        <v>0</v>
      </c>
      <c r="F194" s="2166">
        <f t="shared" ref="F194:H194" si="12">F174+F176+F178+F180+F182+F184+F186+F192+F190+F188</f>
        <v>0</v>
      </c>
      <c r="G194" s="2166">
        <f t="shared" si="12"/>
        <v>0</v>
      </c>
      <c r="H194" s="2166">
        <f t="shared" si="12"/>
        <v>0</v>
      </c>
      <c r="I194" s="2215"/>
      <c r="J194" s="2168"/>
      <c r="K194" s="1031"/>
      <c r="L194" s="1030"/>
      <c r="M194" s="1030"/>
      <c r="N194" s="1030"/>
      <c r="O194"/>
      <c r="P194"/>
    </row>
    <row r="195" spans="1:16" s="1" customFormat="1" ht="26" customHeight="1" x14ac:dyDescent="0.2">
      <c r="A195" s="3125"/>
      <c r="B195" s="3123"/>
      <c r="C195" s="3122"/>
      <c r="D195" s="2165" t="s">
        <v>22</v>
      </c>
      <c r="E195" s="2219">
        <f>IFERROR(E194/$H194,0)</f>
        <v>0</v>
      </c>
      <c r="F195" s="2219">
        <f>IFERROR(F194/$H194,0)</f>
        <v>0</v>
      </c>
      <c r="G195" s="2219">
        <f>IFERROR(G194/$H194,0)</f>
        <v>0</v>
      </c>
      <c r="H195" s="2170"/>
      <c r="I195" s="2215"/>
      <c r="J195" s="2168"/>
      <c r="K195" s="1031"/>
      <c r="L195" s="1030"/>
      <c r="M195" s="1030"/>
      <c r="N195" s="1030"/>
      <c r="O195"/>
      <c r="P195"/>
    </row>
    <row r="196" spans="1:16" customFormat="1" ht="26" customHeight="1" x14ac:dyDescent="0.2">
      <c r="A196" s="1030"/>
      <c r="B196" s="1030"/>
      <c r="C196" s="1030"/>
      <c r="D196" s="1030"/>
      <c r="E196" s="1030"/>
      <c r="F196" s="1030"/>
      <c r="G196" s="1030"/>
      <c r="H196" s="1030"/>
      <c r="I196" s="1030"/>
      <c r="J196" s="1030"/>
      <c r="K196" s="1030"/>
      <c r="L196" s="1030"/>
      <c r="M196" s="1030"/>
      <c r="N196" s="1030"/>
    </row>
    <row r="197" spans="1:16" s="1" customFormat="1" ht="38" customHeight="1" x14ac:dyDescent="0.2">
      <c r="A197" s="2187" t="s">
        <v>39</v>
      </c>
      <c r="B197" s="2220" t="s">
        <v>134</v>
      </c>
      <c r="C197" s="2220"/>
      <c r="D197" s="2189" t="s">
        <v>6</v>
      </c>
      <c r="E197" s="2189" t="s">
        <v>135</v>
      </c>
      <c r="F197" s="2189" t="s">
        <v>43</v>
      </c>
      <c r="G197" s="2189" t="s">
        <v>10</v>
      </c>
      <c r="H197" s="2190" t="s">
        <v>314</v>
      </c>
      <c r="I197" s="2221" t="s">
        <v>47</v>
      </c>
      <c r="J197" s="2222"/>
      <c r="K197" s="2222"/>
      <c r="L197" s="2191"/>
      <c r="M197" s="2191"/>
      <c r="N197" s="2191"/>
    </row>
    <row r="198" spans="1:16" s="1" customFormat="1" ht="38" customHeight="1" x14ac:dyDescent="0.2">
      <c r="A198" s="2223">
        <v>1</v>
      </c>
      <c r="B198" s="3163" t="s">
        <v>323</v>
      </c>
      <c r="C198" s="3164"/>
      <c r="D198" s="3167" t="s">
        <v>119</v>
      </c>
      <c r="E198" s="2194" t="s">
        <v>583</v>
      </c>
      <c r="F198" s="2195">
        <f>H124</f>
        <v>0</v>
      </c>
      <c r="G198" s="2194" t="e">
        <f>F198/$K$17</f>
        <v>#DIV/0!</v>
      </c>
      <c r="H198" s="2224" t="e">
        <f>F198/$F$203</f>
        <v>#DIV/0!</v>
      </c>
      <c r="I198" s="2225"/>
      <c r="J198" s="2226"/>
      <c r="K198" s="2226"/>
      <c r="L198" s="2197"/>
      <c r="M198" s="2197"/>
      <c r="N198" s="2197"/>
    </row>
    <row r="199" spans="1:16" s="1" customFormat="1" ht="38" customHeight="1" x14ac:dyDescent="0.2">
      <c r="A199" s="2227"/>
      <c r="B199" s="3165"/>
      <c r="C199" s="3166"/>
      <c r="D199" s="3168"/>
      <c r="E199" s="2194" t="s">
        <v>727</v>
      </c>
      <c r="F199" s="2195">
        <f>H140</f>
        <v>0</v>
      </c>
      <c r="G199" s="2194" t="e">
        <f>F199/$K$17</f>
        <v>#DIV/0!</v>
      </c>
      <c r="H199" s="2224" t="e">
        <f>F199/$F$203</f>
        <v>#DIV/0!</v>
      </c>
      <c r="I199" s="2225"/>
      <c r="J199" s="2226"/>
      <c r="K199" s="2226"/>
      <c r="L199" s="2197"/>
      <c r="M199" s="2197"/>
      <c r="N199" s="2197"/>
    </row>
    <row r="200" spans="1:16" s="1" customFormat="1" ht="38" hidden="1" customHeight="1" x14ac:dyDescent="0.2">
      <c r="A200" s="2223">
        <v>2</v>
      </c>
      <c r="B200" s="3163" t="s">
        <v>323</v>
      </c>
      <c r="C200" s="3164"/>
      <c r="D200" s="3167" t="s">
        <v>122</v>
      </c>
      <c r="E200" s="2194" t="s">
        <v>727</v>
      </c>
      <c r="F200" s="2195">
        <f>H156</f>
        <v>0</v>
      </c>
      <c r="G200" s="2194" t="e">
        <f>F200/$K$23</f>
        <v>#DIV/0!</v>
      </c>
      <c r="H200" s="2224" t="e">
        <f>F200/$F$203</f>
        <v>#DIV/0!</v>
      </c>
      <c r="I200" s="2225"/>
      <c r="J200" s="2226"/>
      <c r="K200" s="2226"/>
      <c r="L200" s="2197"/>
      <c r="M200" s="2197"/>
      <c r="N200" s="2197"/>
    </row>
    <row r="201" spans="1:16" s="1" customFormat="1" ht="38" hidden="1" customHeight="1" x14ac:dyDescent="0.2">
      <c r="A201" s="2227"/>
      <c r="B201" s="3165"/>
      <c r="C201" s="3166"/>
      <c r="D201" s="3168"/>
      <c r="E201" s="2194" t="s">
        <v>728</v>
      </c>
      <c r="F201" s="2195">
        <f>H172</f>
        <v>0</v>
      </c>
      <c r="G201" s="2194" t="e">
        <f>F201/$K$23</f>
        <v>#DIV/0!</v>
      </c>
      <c r="H201" s="2196" t="e">
        <f>F201/$F$203</f>
        <v>#DIV/0!</v>
      </c>
      <c r="I201" s="2225"/>
      <c r="J201" s="2226"/>
      <c r="K201" s="2226"/>
      <c r="L201" s="2197"/>
      <c r="M201" s="2197"/>
      <c r="N201" s="2197"/>
    </row>
    <row r="202" spans="1:16" s="1" customFormat="1" ht="38" customHeight="1" x14ac:dyDescent="0.2">
      <c r="A202" s="2192">
        <v>3</v>
      </c>
      <c r="B202" s="3155" t="s">
        <v>324</v>
      </c>
      <c r="C202" s="3156"/>
      <c r="D202" s="2194" t="s">
        <v>325</v>
      </c>
      <c r="E202" s="2194" t="s">
        <v>140</v>
      </c>
      <c r="F202" s="2195">
        <f>H194</f>
        <v>0</v>
      </c>
      <c r="G202" s="2194" t="e">
        <f>F202/$K$29</f>
        <v>#DIV/0!</v>
      </c>
      <c r="H202" s="2196" t="e">
        <f>F202/$F$203</f>
        <v>#DIV/0!</v>
      </c>
      <c r="I202" s="3157"/>
      <c r="J202" s="3158"/>
      <c r="K202" s="3158"/>
      <c r="L202" s="3159"/>
      <c r="M202" s="3159"/>
      <c r="N202" s="3160"/>
    </row>
    <row r="203" spans="1:16" s="1" customFormat="1" ht="38" customHeight="1" x14ac:dyDescent="0.2">
      <c r="A203" s="2228" t="s">
        <v>1240</v>
      </c>
      <c r="B203" s="2228"/>
      <c r="C203" s="2228"/>
      <c r="D203" s="2198" t="s">
        <v>142</v>
      </c>
      <c r="E203" s="2198" t="s">
        <v>142</v>
      </c>
      <c r="F203" s="2199">
        <f>SUM(F198:F202)</f>
        <v>0</v>
      </c>
      <c r="G203" s="2200" t="e">
        <f>G198+G199+G202</f>
        <v>#DIV/0!</v>
      </c>
      <c r="H203" s="2201" t="e">
        <f>SUM(H198:H202)</f>
        <v>#DIV/0!</v>
      </c>
      <c r="I203" s="2229"/>
      <c r="J203" s="2230"/>
      <c r="K203" s="2230"/>
      <c r="L203" s="2197"/>
      <c r="M203" s="2197"/>
      <c r="N203" s="2197"/>
    </row>
    <row r="204" spans="1:16" s="1" customFormat="1" ht="28" customHeight="1" x14ac:dyDescent="0.2">
      <c r="A204" s="3161" t="s">
        <v>1243</v>
      </c>
      <c r="B204" s="3161"/>
      <c r="C204" s="3161"/>
      <c r="D204" s="3161"/>
      <c r="E204" s="3161"/>
      <c r="F204" s="3161"/>
      <c r="G204" s="3161"/>
      <c r="H204" s="3161"/>
      <c r="I204" s="3161"/>
      <c r="J204" s="3161"/>
      <c r="K204" s="3161"/>
      <c r="L204" s="3162"/>
      <c r="M204" s="3162"/>
      <c r="N204" s="3162"/>
    </row>
    <row r="205" spans="1:16" s="1" customFormat="1" ht="27" customHeight="1" x14ac:dyDescent="0.2">
      <c r="A205" s="3162" t="s">
        <v>147</v>
      </c>
      <c r="B205" s="3162"/>
      <c r="C205" s="3162"/>
      <c r="D205" s="3162"/>
      <c r="E205" s="3162"/>
      <c r="F205" s="3162"/>
      <c r="G205" s="3162"/>
      <c r="H205" s="3162"/>
      <c r="I205" s="3162"/>
      <c r="J205" s="3162"/>
      <c r="K205" s="3162"/>
      <c r="L205" s="3162"/>
      <c r="M205" s="3162"/>
      <c r="N205" s="3162"/>
    </row>
    <row r="206" spans="1:16" s="1" customFormat="1" ht="41" customHeight="1" x14ac:dyDescent="0.2">
      <c r="A206" s="2239" t="s">
        <v>39</v>
      </c>
      <c r="B206" s="98" t="s">
        <v>6</v>
      </c>
      <c r="C206" s="3111" t="s">
        <v>148</v>
      </c>
      <c r="D206" s="3112"/>
      <c r="E206" s="2239" t="s">
        <v>17</v>
      </c>
      <c r="F206" s="2240" t="s">
        <v>149</v>
      </c>
      <c r="G206" s="2240" t="s">
        <v>1168</v>
      </c>
      <c r="H206" s="98" t="s">
        <v>151</v>
      </c>
      <c r="I206" s="2241" t="s">
        <v>1029</v>
      </c>
      <c r="J206" s="2242" t="s">
        <v>1030</v>
      </c>
      <c r="K206" s="3083" t="s">
        <v>47</v>
      </c>
      <c r="L206" s="3084"/>
      <c r="M206" s="3084"/>
      <c r="N206" s="3084"/>
      <c r="O206" s="3085"/>
    </row>
    <row r="207" spans="1:16" s="1" customFormat="1" ht="26" customHeight="1" x14ac:dyDescent="0.2">
      <c r="A207" s="2243">
        <v>1</v>
      </c>
      <c r="B207" s="1901" t="s">
        <v>115</v>
      </c>
      <c r="C207" s="3076" t="s">
        <v>163</v>
      </c>
      <c r="D207" s="3077"/>
      <c r="E207" s="2244" t="s">
        <v>164</v>
      </c>
      <c r="F207" s="2245" cm="1">
        <f t="array" ref="F207">IFERROR(
  INDEX(Table4[[Định mức tiêu hao]:[Vượt ĐM]],
        MATCH(1,(Table4[Tháng]=--'Form mẫu'!$U$2)*
                 (Table4[DC]="DC1")*
                 (Table4[Kích thước]='Form mẫu'!$B207)*
                 (Table4[Nguyên liệu, vật tư]='Form mẫu'!$C207),0),
        MATCH(TRIM(SUBSTITUTE(F$206,CHAR(160)," ")),
              TRIM(SUBSTITUTE(Table4[[#Headers],[Định mức tiêu hao]:[Vượt ĐM]],CHAR(160)," ")),0)
  ),
0)</f>
        <v>0</v>
      </c>
      <c r="G207" s="2245" cm="1">
        <f t="array" ref="G207">IFERROR(
  INDEX(Table4[[Định mức tiêu hao]:[Vượt ĐM]],
        MATCH(1,(Table4[Tháng]=--'Form mẫu'!$U$2)*
                 (Table4[DC]="DC1")*
                 (Table4[Kích thước]='Form mẫu'!$B207)*
                 (Table4[Nguyên liệu, vật tư]='Form mẫu'!$C207),0),
        MATCH(TRIM(SUBSTITUTE(G$206,CHAR(160)," ")),
              TRIM(SUBSTITUTE(Table4[[#Headers],[Định mức tiêu hao]:[Vượt ĐM]],CHAR(160)," ")),0)
  ),
0)</f>
        <v>0</v>
      </c>
      <c r="H207" s="2246" cm="1">
        <f t="array" ref="H207">IFERROR(
  INDEX(Table4[[Định mức tiêu hao]:[Vượt ĐM]],
        MATCH(1,(Table4[Tháng]=--'Form mẫu'!$U$2)*
                 (Table4[DC]="DC1")*
                 (Table4[Kích thước]='Form mẫu'!$B207)*
                 (Table4[Nguyên liệu, vật tư]='Form mẫu'!$C207),0),
        MATCH(TRIM(SUBSTITUTE(H$206,CHAR(160)," ")),
              TRIM(SUBSTITUTE(Table4[[#Headers],[Định mức tiêu hao]:[Vượt ĐM]],CHAR(160)," ")),0)
  ),
0)</f>
        <v>0</v>
      </c>
      <c r="I207" s="2246" cm="1">
        <f t="array" ref="I207">IFERROR(
  INDEX(Table4[[Định mức tiêu hao]:[Vượt ĐM]],
        MATCH(1,(Table4[Tháng]=--'Form mẫu'!$U$2)*
                 (Table4[DC]="DC1")*
                 (Table4[Kích thước]='Form mẫu'!$B207)*
                 (Table4[Nguyên liệu, vật tư]='Form mẫu'!$C207),0),
        MATCH(TRIM(SUBSTITUTE(I$206,CHAR(160)," ")),
              TRIM(SUBSTITUTE(Table4[[#Headers],[Định mức tiêu hao]:[Vượt ĐM]],CHAR(160)," ")),0)
  ),
0)</f>
        <v>0</v>
      </c>
      <c r="J207" s="2247" cm="1">
        <f t="array" ref="J207">IFERROR(
  INDEX(Table4[[Định mức tiêu hao]:[Vượt ĐM]],
        MATCH(1,(Table4[Tháng]=--'Form mẫu'!$U$2)*
                 (Table4[DC]="DC1")*
                 (Table4[Kích thước]='Form mẫu'!$B207)*
                 (Table4[Nguyên liệu, vật tư]='Form mẫu'!$C207),0),
        MATCH(TRIM(SUBSTITUTE(J$206,CHAR(160)," ")),
              TRIM(SUBSTITUTE(Table4[[#Headers],[Định mức tiêu hao]:[Vượt ĐM]],CHAR(160)," ")),0)
  ),
0)</f>
        <v>0</v>
      </c>
      <c r="K207" s="3086" t="s">
        <v>165</v>
      </c>
      <c r="L207" s="3087"/>
      <c r="M207" s="3088"/>
      <c r="N207" s="3089">
        <f>SUMIFS('Data tổng hợp II'!H:H,'Data tổng hợp II'!C:C,"DC1",'Data tổng hợp II'!B:B,'Form mẫu'!$U$2)</f>
        <v>0</v>
      </c>
      <c r="O207" s="3090"/>
    </row>
    <row r="208" spans="1:16" s="1" customFormat="1" ht="26" customHeight="1" x14ac:dyDescent="0.2">
      <c r="A208" s="2243">
        <v>2</v>
      </c>
      <c r="B208" s="1902" t="s">
        <v>115</v>
      </c>
      <c r="C208" s="3076" t="s">
        <v>1183</v>
      </c>
      <c r="D208" s="3077"/>
      <c r="E208" s="2244" t="s">
        <v>164</v>
      </c>
      <c r="F208" s="2245" cm="1">
        <f t="array" ref="F208">IFERROR(
  INDEX(Table4[[Định mức tiêu hao]:[Vượt ĐM]],
        MATCH(1,(Table4[Tháng]=--'Form mẫu'!$U$2)*
                 (Table4[DC]="DC1")*
                 (Table4[Kích thước]='Form mẫu'!$B208)*
                 (Table4[Nguyên liệu, vật tư]='Form mẫu'!$C208),0),
        MATCH(TRIM(SUBSTITUTE(F$206,CHAR(160)," ")),
              TRIM(SUBSTITUTE(Table4[[#Headers],[Định mức tiêu hao]:[Vượt ĐM]],CHAR(160)," ")),0)
  ),
0)</f>
        <v>0</v>
      </c>
      <c r="G208" s="2245" cm="1">
        <f t="array" ref="G208">IFERROR(
  INDEX(Table4[[Định mức tiêu hao]:[Vượt ĐM]],
        MATCH(1,(Table4[Tháng]=--'Form mẫu'!$U$2)*
                 (Table4[DC]="DC1")*
                 (Table4[Kích thước]='Form mẫu'!$B208)*
                 (Table4[Nguyên liệu, vật tư]='Form mẫu'!$C208),0),
        MATCH(TRIM(SUBSTITUTE(G$206,CHAR(160)," ")),
              TRIM(SUBSTITUTE(Table4[[#Headers],[Định mức tiêu hao]:[Vượt ĐM]],CHAR(160)," ")),0)
  ),
0)</f>
        <v>0</v>
      </c>
      <c r="H208" s="2248" cm="1">
        <f t="array" ref="H208">IFERROR(
  INDEX(Table4[[Định mức tiêu hao]:[Vượt ĐM]],
        MATCH(1,(Table4[Tháng]=--'Form mẫu'!$U$2)*
                 (Table4[DC]="DC1")*
                 (Table4[Kích thước]='Form mẫu'!$B208)*
                 (Table4[Nguyên liệu, vật tư]='Form mẫu'!$C208),0),
        MATCH(TRIM(SUBSTITUTE(H$206,CHAR(160)," ")),
              TRIM(SUBSTITUTE(Table4[[#Headers],[Định mức tiêu hao]:[Vượt ĐM]],CHAR(160)," ")),0)
  ),
0)</f>
        <v>0</v>
      </c>
      <c r="I208" s="2249" cm="1">
        <f t="array" ref="I208">IFERROR(
  INDEX(Table4[[Định mức tiêu hao]:[Vượt ĐM]],
        MATCH(1,(Table4[Tháng]=--'Form mẫu'!$U$2)*
                 (Table4[DC]="DC1")*
                 (Table4[Kích thước]='Form mẫu'!$B208)*
                 (Table4[Nguyên liệu, vật tư]='Form mẫu'!$C208),0),
        MATCH(TRIM(SUBSTITUTE(I$206,CHAR(160)," ")),
              TRIM(SUBSTITUTE(Table4[[#Headers],[Định mức tiêu hao]:[Vượt ĐM]],CHAR(160)," ")),0)
  ),
0)</f>
        <v>0</v>
      </c>
      <c r="J208" s="2250" cm="1">
        <f t="array" ref="J208">IFERROR(
  INDEX(Table4[[Định mức tiêu hao]:[Vượt ĐM]],
        MATCH(1,(Table4[Tháng]=--'Form mẫu'!$U$2)*
                 (Table4[DC]="DC1")*
                 (Table4[Kích thước]='Form mẫu'!$B208)*
                 (Table4[Nguyên liệu, vật tư]='Form mẫu'!$C208),0),
        MATCH(TRIM(SUBSTITUTE(J$206,CHAR(160)," ")),
              TRIM(SUBSTITUTE(Table4[[#Headers],[Định mức tiêu hao]:[Vượt ĐM]],CHAR(160)," ")),0)
  ),
0)</f>
        <v>0</v>
      </c>
      <c r="K208" s="3094" t="s">
        <v>167</v>
      </c>
      <c r="L208" s="3095"/>
      <c r="M208" s="3096"/>
      <c r="N208" s="3107">
        <f>SUMIFS('Data tổng hợp II'!$H:$H,'Data tổng hợp II'!$B:$B,'Form mẫu'!$U$2,'Data tổng hợp II'!$C:$C,"DC1",'Data tổng hợp II'!$E:$E,"Panson")</f>
        <v>0</v>
      </c>
      <c r="O208" s="3108"/>
    </row>
    <row r="209" spans="1:15" s="1" customFormat="1" ht="26" customHeight="1" x14ac:dyDescent="0.2">
      <c r="A209" s="2251">
        <v>3</v>
      </c>
      <c r="B209" s="1902" t="s">
        <v>115</v>
      </c>
      <c r="C209" s="3076" t="s">
        <v>1176</v>
      </c>
      <c r="D209" s="3077"/>
      <c r="E209" s="2252" t="s">
        <v>169</v>
      </c>
      <c r="F209" s="2253" cm="1">
        <f t="array" ref="F209">IFERROR(
  INDEX(Table4[[Định mức tiêu hao]:[Vượt ĐM]],
        MATCH(1,(Table4[Tháng]=--'Form mẫu'!$U$2)*
                 (Table4[DC]="DC1")*
                 (Table4[Kích thước]='Form mẫu'!$B209)*
                 (Table4[Nguyên liệu, vật tư]='Form mẫu'!$C209),0),
        MATCH(TRIM(SUBSTITUTE(F$206,CHAR(160)," ")),
              TRIM(SUBSTITUTE(Table4[[#Headers],[Định mức tiêu hao]:[Vượt ĐM]],CHAR(160)," ")),0)
  ),
0)</f>
        <v>0</v>
      </c>
      <c r="G209" s="2245" cm="1">
        <f t="array" ref="G209">IFERROR(
  INDEX(Table4[[Định mức tiêu hao]:[Vượt ĐM]],
        MATCH(1,(Table4[Tháng]=--'Form mẫu'!$U$2)*
                 (Table4[DC]="DC1")*
                 (Table4[Kích thước]='Form mẫu'!$B209)*
                 (Table4[Nguyên liệu, vật tư]='Form mẫu'!$C209),0),
        MATCH(TRIM(SUBSTITUTE(G$206,CHAR(160)," ")),
              TRIM(SUBSTITUTE(Table4[[#Headers],[Định mức tiêu hao]:[Vượt ĐM]],CHAR(160)," ")),0)
  ),
0)</f>
        <v>0</v>
      </c>
      <c r="H209" s="2254" cm="1">
        <f t="array" ref="H209">IFERROR(
  INDEX(Table4[[Định mức tiêu hao]:[Vượt ĐM]],
        MATCH(1,(Table4[Tháng]=--'Form mẫu'!$U$2)*
                 (Table4[DC]="DC1")*
                 (Table4[Kích thước]='Form mẫu'!$B209)*
                 (Table4[Nguyên liệu, vật tư]='Form mẫu'!$C209),0),
        MATCH(TRIM(SUBSTITUTE(H$206,CHAR(160)," ")),
              TRIM(SUBSTITUTE(Table4[[#Headers],[Định mức tiêu hao]:[Vượt ĐM]],CHAR(160)," ")),0)
  ),
0)</f>
        <v>0</v>
      </c>
      <c r="I209" s="2255" cm="1">
        <f t="array" ref="I209">IFERROR(
  INDEX(Table4[[Định mức tiêu hao]:[Vượt ĐM]],
        MATCH(1,(Table4[Tháng]=--'Form mẫu'!$U$2)*
                 (Table4[DC]="DC1")*
                 (Table4[Kích thước]='Form mẫu'!$B209)*
                 (Table4[Nguyên liệu, vật tư]='Form mẫu'!$C209),0),
        MATCH(TRIM(SUBSTITUTE(I$206,CHAR(160)," ")),
              TRIM(SUBSTITUTE(Table4[[#Headers],[Định mức tiêu hao]:[Vượt ĐM]],CHAR(160)," ")),0)
  ),
0)</f>
        <v>0</v>
      </c>
      <c r="J209" s="2256" cm="1">
        <f t="array" ref="J209">IFERROR(
  INDEX(Table4[[Định mức tiêu hao]:[Vượt ĐM]],
        MATCH(1,(Table4[Tháng]=--'Form mẫu'!$U$2)*
                 (Table4[DC]="DC1")*
                 (Table4[Kích thước]='Form mẫu'!$B209)*
                 (Table4[Nguyên liệu, vật tư]='Form mẫu'!$C209),0),
        MATCH(TRIM(SUBSTITUTE(J$206,CHAR(160)," ")),
              TRIM(SUBSTITUTE(Table4[[#Headers],[Định mức tiêu hao]:[Vượt ĐM]],CHAR(160)," ")),0)
  ),
0)</f>
        <v>0</v>
      </c>
      <c r="K209" s="3094" t="s">
        <v>170</v>
      </c>
      <c r="L209" s="3095"/>
      <c r="M209" s="3096"/>
      <c r="N209" s="3107">
        <f>SUMIFS('Data tổng hợp II'!$H:$H,'Data tổng hợp II'!$B:$B,'Form mẫu'!$U$2,'Data tổng hợp II'!$C:$C,"DC1",'Data tổng hợp II'!$E:$E,"Phương Nam")</f>
        <v>0</v>
      </c>
      <c r="O209" s="3108"/>
    </row>
    <row r="210" spans="1:15" s="1" customFormat="1" ht="26" customHeight="1" x14ac:dyDescent="0.2">
      <c r="A210" s="2257">
        <v>4</v>
      </c>
      <c r="B210" s="1902" t="s">
        <v>115</v>
      </c>
      <c r="C210" s="3076" t="s">
        <v>1189</v>
      </c>
      <c r="D210" s="3077"/>
      <c r="E210" s="2075" t="s">
        <v>164</v>
      </c>
      <c r="F210" s="2245" cm="1">
        <f t="array" ref="F210">IFERROR(
  INDEX(Table4[[Định mức tiêu hao]:[Vượt ĐM]],
        MATCH(1,(Table4[Tháng]=--'Form mẫu'!$U$2)*
                 (Table4[DC]="DC1")*
                 (Table4[Kích thước]='Form mẫu'!$B210)*
                 (Table4[Nguyên liệu, vật tư]='Form mẫu'!$C210),0),
        MATCH(TRIM(SUBSTITUTE(F$206,CHAR(160)," ")),
              TRIM(SUBSTITUTE(Table4[[#Headers],[Định mức tiêu hao]:[Vượt ĐM]],CHAR(160)," ")),0)
  ),
0)</f>
        <v>0</v>
      </c>
      <c r="G210" s="2258" cm="1">
        <f t="array" ref="G210">IFERROR(
  INDEX(Table4[[Định mức tiêu hao]:[Vượt ĐM]],
        MATCH(1,(Table4[Tháng]=--'Form mẫu'!$U$2)*
                 (Table4[DC]="DC1")*
                 (Table4[Kích thước]='Form mẫu'!$B210)*
                 (Table4[Nguyên liệu, vật tư]='Form mẫu'!$C210),0),
        MATCH(TRIM(SUBSTITUTE(G$206,CHAR(160)," ")),
              TRIM(SUBSTITUTE(Table4[[#Headers],[Định mức tiêu hao]:[Vượt ĐM]],CHAR(160)," ")),0)
  ),
0)</f>
        <v>0</v>
      </c>
      <c r="H210" s="2259" cm="1">
        <f t="array" ref="H210">IFERROR(
  INDEX(Table4[[Định mức tiêu hao]:[Vượt ĐM]],
        MATCH(1,(Table4[Tháng]=--'Form mẫu'!$U$2)*
                 (Table4[DC]="DC1")*
                 (Table4[Kích thước]='Form mẫu'!$B210)*
                 (Table4[Nguyên liệu, vật tư]='Form mẫu'!$C210),0),
        MATCH(TRIM(SUBSTITUTE(H$206,CHAR(160)," ")),
              TRIM(SUBSTITUTE(Table4[[#Headers],[Định mức tiêu hao]:[Vượt ĐM]],CHAR(160)," ")),0)
  ),
0)</f>
        <v>0</v>
      </c>
      <c r="I210" s="2260" cm="1">
        <f t="array" ref="I210">IFERROR(
  INDEX(Table4[[Định mức tiêu hao]:[Vượt ĐM]],
        MATCH(1,(Table4[Tháng]=--'Form mẫu'!$U$2)*
                 (Table4[DC]="DC1")*
                 (Table4[Kích thước]='Form mẫu'!$B210)*
                 (Table4[Nguyên liệu, vật tư]='Form mẫu'!$C210),0),
        MATCH(TRIM(SUBSTITUTE(I$206,CHAR(160)," ")),
              TRIM(SUBSTITUTE(Table4[[#Headers],[Định mức tiêu hao]:[Vượt ĐM]],CHAR(160)," ")),0)
  ),
0)</f>
        <v>0</v>
      </c>
      <c r="J210" s="2261" cm="1">
        <f t="array" ref="J210">IFERROR(
  INDEX(Table4[[Định mức tiêu hao]:[Vượt ĐM]],
        MATCH(1,(Table4[Tháng]=--'Form mẫu'!$U$2)*
                 (Table4[DC]="DC1")*
                 (Table4[Kích thước]='Form mẫu'!$B210)*
                 (Table4[Nguyên liệu, vật tư]='Form mẫu'!$C210),0),
        MATCH(TRIM(SUBSTITUTE(J$206,CHAR(160)," ")),
              TRIM(SUBSTITUTE(Table4[[#Headers],[Định mức tiêu hao]:[Vượt ĐM]],CHAR(160)," ")),0)
  ),
0)</f>
        <v>0</v>
      </c>
      <c r="K210" s="3094" t="s">
        <v>172</v>
      </c>
      <c r="L210" s="3095"/>
      <c r="M210" s="3096"/>
      <c r="N210" s="3107">
        <f>SUMIFS('Data tổng hợp II'!$H:$H,'Data tổng hợp II'!$B:$B,'Form mẫu'!$U$2,'Data tổng hợp II'!$C:$C,"DC1",'Data tổng hợp II'!$E:$E,"Matt")</f>
        <v>0</v>
      </c>
      <c r="O210" s="3108"/>
    </row>
    <row r="211" spans="1:15" s="1" customFormat="1" ht="26" customHeight="1" x14ac:dyDescent="0.2">
      <c r="A211" s="2257">
        <v>5</v>
      </c>
      <c r="B211" s="1902" t="s">
        <v>115</v>
      </c>
      <c r="C211" s="3076" t="s">
        <v>1184</v>
      </c>
      <c r="D211" s="3077"/>
      <c r="E211" s="2075" t="s">
        <v>164</v>
      </c>
      <c r="F211" s="2245" cm="1">
        <f t="array" ref="F211">IFERROR(
  INDEX(Table4[[Định mức tiêu hao]:[Vượt ĐM]],
        MATCH(1,(Table4[Tháng]=--'Form mẫu'!$U$2)*
                 (Table4[DC]="DC1")*
                 (Table4[Kích thước]='Form mẫu'!$B211)*
                 (Table4[Nguyên liệu, vật tư]='Form mẫu'!$C211),0),
        MATCH(TRIM(SUBSTITUTE(F$206,CHAR(160)," ")),
              TRIM(SUBSTITUTE(Table4[[#Headers],[Định mức tiêu hao]:[Vượt ĐM]],CHAR(160)," ")),0)
  ),
0)</f>
        <v>0</v>
      </c>
      <c r="G211" s="2258" cm="1">
        <f t="array" ref="G211">IFERROR(
  INDEX(Table4[[Định mức tiêu hao]:[Vượt ĐM]],
        MATCH(1,(Table4[Tháng]=--'Form mẫu'!$U$2)*
                 (Table4[DC]="DC1")*
                 (Table4[Kích thước]='Form mẫu'!$B211)*
                 (Table4[Nguyên liệu, vật tư]='Form mẫu'!$C211),0),
        MATCH(TRIM(SUBSTITUTE(G$206,CHAR(160)," ")),
              TRIM(SUBSTITUTE(Table4[[#Headers],[Định mức tiêu hao]:[Vượt ĐM]],CHAR(160)," ")),0)
  ),
0)</f>
        <v>0</v>
      </c>
      <c r="H211" s="2259" cm="1">
        <f t="array" ref="H211">IFERROR(
  INDEX(Table4[[Định mức tiêu hao]:[Vượt ĐM]],
        MATCH(1,(Table4[Tháng]=--'Form mẫu'!$U$2)*
                 (Table4[DC]="DC1")*
                 (Table4[Kích thước]='Form mẫu'!$B211)*
                 (Table4[Nguyên liệu, vật tư]='Form mẫu'!$C211),0),
        MATCH(TRIM(SUBSTITUTE(H$206,CHAR(160)," ")),
              TRIM(SUBSTITUTE(Table4[[#Headers],[Định mức tiêu hao]:[Vượt ĐM]],CHAR(160)," ")),0)
  ),
0)</f>
        <v>0</v>
      </c>
      <c r="I211" s="2262" cm="1">
        <f t="array" ref="I211">IFERROR(
  INDEX(Table4[[Định mức tiêu hao]:[Vượt ĐM]],
        MATCH(1,(Table4[Tháng]=--'Form mẫu'!$U$2)*
                 (Table4[DC]="DC1")*
                 (Table4[Kích thước]='Form mẫu'!$B211)*
                 (Table4[Nguyên liệu, vật tư]='Form mẫu'!$C211),0),
        MATCH(TRIM(SUBSTITUTE(I$206,CHAR(160)," ")),
              TRIM(SUBSTITUTE(Table4[[#Headers],[Định mức tiêu hao]:[Vượt ĐM]],CHAR(160)," ")),0)
  ),
0)</f>
        <v>0</v>
      </c>
      <c r="J211" s="2263" cm="1">
        <f t="array" ref="J211">IFERROR(
  INDEX(Table4[[Định mức tiêu hao]:[Vượt ĐM]],
        MATCH(1,(Table4[Tháng]=--'Form mẫu'!$U$2)*
                 (Table4[DC]="DC1")*
                 (Table4[Kích thước]='Form mẫu'!$B211)*
                 (Table4[Nguyên liệu, vật tư]='Form mẫu'!$C211),0),
        MATCH(TRIM(SUBSTITUTE(J$206,CHAR(160)," ")),
              TRIM(SUBSTITUTE(Table4[[#Headers],[Định mức tiêu hao]:[Vượt ĐM]],CHAR(160)," ")),0)
  ),
0)</f>
        <v>0</v>
      </c>
      <c r="K211" s="3091"/>
      <c r="L211" s="3092"/>
      <c r="M211" s="3092"/>
      <c r="N211" s="3092"/>
      <c r="O211" s="3093"/>
    </row>
    <row r="212" spans="1:15" s="1" customFormat="1" ht="26" customHeight="1" x14ac:dyDescent="0.2">
      <c r="A212" s="2257">
        <v>6</v>
      </c>
      <c r="B212" s="1902" t="s">
        <v>115</v>
      </c>
      <c r="C212" s="3076" t="s">
        <v>1177</v>
      </c>
      <c r="D212" s="3077"/>
      <c r="E212" s="2075" t="s">
        <v>164</v>
      </c>
      <c r="F212" s="2245" cm="1">
        <f t="array" ref="F212">IFERROR(
  INDEX(Table4[[Định mức tiêu hao]:[Vượt ĐM]],
        MATCH(1,(Table4[Tháng]=--'Form mẫu'!$U$2)*
                 (Table4[DC]="DC1")*
                 (Table4[Kích thước]='Form mẫu'!$B212)*
                 (Table4[Nguyên liệu, vật tư]='Form mẫu'!$C212),0),
        MATCH(TRIM(SUBSTITUTE(F$206,CHAR(160)," ")),
              TRIM(SUBSTITUTE(Table4[[#Headers],[Định mức tiêu hao]:[Vượt ĐM]],CHAR(160)," ")),0)
  ),
0)</f>
        <v>0</v>
      </c>
      <c r="G212" s="2258" cm="1">
        <f t="array" ref="G212">IFERROR(
  INDEX(Table4[[Định mức tiêu hao]:[Vượt ĐM]],
        MATCH(1,(Table4[Tháng]=--'Form mẫu'!$U$2)*
                 (Table4[DC]="DC1")*
                 (Table4[Kích thước]='Form mẫu'!$B212)*
                 (Table4[Nguyên liệu, vật tư]='Form mẫu'!$C212),0),
        MATCH(TRIM(SUBSTITUTE(G$206,CHAR(160)," ")),
              TRIM(SUBSTITUTE(Table4[[#Headers],[Định mức tiêu hao]:[Vượt ĐM]],CHAR(160)," ")),0)
  ),
0)</f>
        <v>0</v>
      </c>
      <c r="H212" s="2259" cm="1">
        <f t="array" ref="H212">IFERROR(
  INDEX(Table4[[Định mức tiêu hao]:[Vượt ĐM]],
        MATCH(1,(Table4[Tháng]=--'Form mẫu'!$U$2)*
                 (Table4[DC]="DC1")*
                 (Table4[Kích thước]='Form mẫu'!$B212)*
                 (Table4[Nguyên liệu, vật tư]='Form mẫu'!$C212),0),
        MATCH(TRIM(SUBSTITUTE(H$206,CHAR(160)," ")),
              TRIM(SUBSTITUTE(Table4[[#Headers],[Định mức tiêu hao]:[Vượt ĐM]],CHAR(160)," ")),0)
  ),
0)</f>
        <v>0</v>
      </c>
      <c r="I212" s="2262" cm="1">
        <f t="array" ref="I212">IFERROR(
  INDEX(Table4[[Định mức tiêu hao]:[Vượt ĐM]],
        MATCH(1,(Table4[Tháng]=--'Form mẫu'!$U$2)*
                 (Table4[DC]="DC1")*
                 (Table4[Kích thước]='Form mẫu'!$B212)*
                 (Table4[Nguyên liệu, vật tư]='Form mẫu'!$C212),0),
        MATCH(TRIM(SUBSTITUTE(I$206,CHAR(160)," ")),
              TRIM(SUBSTITUTE(Table4[[#Headers],[Định mức tiêu hao]:[Vượt ĐM]],CHAR(160)," ")),0)
  ),
0)</f>
        <v>0</v>
      </c>
      <c r="J212" s="2259" cm="1">
        <f t="array" ref="J212">IFERROR(
  INDEX(Table4[[Định mức tiêu hao]:[Vượt ĐM]],
        MATCH(1,(Table4[Tháng]=--'Form mẫu'!$U$2)*
                 (Table4[DC]="DC1")*
                 (Table4[Kích thước]='Form mẫu'!$B212)*
                 (Table4[Nguyên liệu, vật tư]='Form mẫu'!$C212),0),
        MATCH(TRIM(SUBSTITUTE(J$206,CHAR(160)," ")),
              TRIM(SUBSTITUTE(Table4[[#Headers],[Định mức tiêu hao]:[Vượt ĐM]],CHAR(160)," ")),0)
  ),
0)</f>
        <v>0</v>
      </c>
      <c r="K212" s="3091"/>
      <c r="L212" s="3092"/>
      <c r="M212" s="3092"/>
      <c r="N212" s="3092"/>
      <c r="O212" s="3093"/>
    </row>
    <row r="213" spans="1:15" s="1" customFormat="1" ht="26" customHeight="1" x14ac:dyDescent="0.2">
      <c r="A213" s="2257">
        <v>7</v>
      </c>
      <c r="B213" s="1902" t="s">
        <v>115</v>
      </c>
      <c r="C213" s="3076" t="s">
        <v>1190</v>
      </c>
      <c r="D213" s="3077"/>
      <c r="E213" s="2075" t="s">
        <v>164</v>
      </c>
      <c r="F213" s="2245" cm="1">
        <f t="array" ref="F213">IFERROR(
  INDEX(Table4[[Định mức tiêu hao]:[Vượt ĐM]],
        MATCH(1,(Table4[Tháng]=--'Form mẫu'!$U$2)*
                 (Table4[DC]="DC1")*
                 (Table4[Kích thước]='Form mẫu'!$B213)*
                 (Table4[Nguyên liệu, vật tư]='Form mẫu'!$C213),0),
        MATCH(TRIM(SUBSTITUTE(F$206,CHAR(160)," ")),
              TRIM(SUBSTITUTE(Table4[[#Headers],[Định mức tiêu hao]:[Vượt ĐM]],CHAR(160)," ")),0)
  ),
0)</f>
        <v>0</v>
      </c>
      <c r="G213" s="2258" cm="1">
        <f t="array" ref="G213">IFERROR(
  INDEX(Table4[[Định mức tiêu hao]:[Vượt ĐM]],
        MATCH(1,(Table4[Tháng]=--'Form mẫu'!$U$2)*
                 (Table4[DC]="DC1")*
                 (Table4[Kích thước]='Form mẫu'!$B213)*
                 (Table4[Nguyên liệu, vật tư]='Form mẫu'!$C213),0),
        MATCH(TRIM(SUBSTITUTE(G$206,CHAR(160)," ")),
              TRIM(SUBSTITUTE(Table4[[#Headers],[Định mức tiêu hao]:[Vượt ĐM]],CHAR(160)," ")),0)
  ),
0)</f>
        <v>0</v>
      </c>
      <c r="H213" s="2259" cm="1">
        <f t="array" ref="H213">IFERROR(
  INDEX(Table4[[Định mức tiêu hao]:[Vượt ĐM]],
        MATCH(1,(Table4[Tháng]=--'Form mẫu'!$U$2)*
                 (Table4[DC]="DC1")*
                 (Table4[Kích thước]='Form mẫu'!$B213)*
                 (Table4[Nguyên liệu, vật tư]='Form mẫu'!$C213),0),
        MATCH(TRIM(SUBSTITUTE(H$206,CHAR(160)," ")),
              TRIM(SUBSTITUTE(Table4[[#Headers],[Định mức tiêu hao]:[Vượt ĐM]],CHAR(160)," ")),0)
  ),
0)</f>
        <v>0</v>
      </c>
      <c r="I213" s="2264" cm="1">
        <f t="array" ref="I213">IFERROR(
  INDEX(Table4[[Định mức tiêu hao]:[Vượt ĐM]],
        MATCH(1,(Table4[Tháng]=--'Form mẫu'!$U$2)*
                 (Table4[DC]="DC1")*
                 (Table4[Kích thước]='Form mẫu'!$B213)*
                 (Table4[Nguyên liệu, vật tư]='Form mẫu'!$C213),0),
        MATCH(TRIM(SUBSTITUTE(I$206,CHAR(160)," ")),
              TRIM(SUBSTITUTE(Table4[[#Headers],[Định mức tiêu hao]:[Vượt ĐM]],CHAR(160)," ")),0)
  ),
0)</f>
        <v>0</v>
      </c>
      <c r="J213" s="2259" cm="1">
        <f t="array" ref="J213">IFERROR(
  INDEX(Table4[[Định mức tiêu hao]:[Vượt ĐM]],
        MATCH(1,(Table4[Tháng]=--'Form mẫu'!$U$2)*
                 (Table4[DC]="DC1")*
                 (Table4[Kích thước]='Form mẫu'!$B213)*
                 (Table4[Nguyên liệu, vật tư]='Form mẫu'!$C213),0),
        MATCH(TRIM(SUBSTITUTE(J$206,CHAR(160)," ")),
              TRIM(SUBSTITUTE(Table4[[#Headers],[Định mức tiêu hao]:[Vượt ĐM]],CHAR(160)," ")),0)
  ),
0)</f>
        <v>0</v>
      </c>
      <c r="K213" s="3091"/>
      <c r="L213" s="3092"/>
      <c r="M213" s="3092"/>
      <c r="N213" s="3092"/>
      <c r="O213" s="3093"/>
    </row>
    <row r="214" spans="1:15" s="1" customFormat="1" ht="26" customHeight="1" x14ac:dyDescent="0.2">
      <c r="A214" s="2257">
        <v>8</v>
      </c>
      <c r="B214" s="1903" t="s">
        <v>115</v>
      </c>
      <c r="C214" s="3076" t="s">
        <v>176</v>
      </c>
      <c r="D214" s="3077"/>
      <c r="E214" s="2075" t="s">
        <v>169</v>
      </c>
      <c r="F214" s="2265" cm="1">
        <f t="array" ref="F214">IFERROR(
  INDEX(Table4[[Định mức tiêu hao]:[Vượt ĐM]],
        MATCH(1,(Table4[Tháng]=--'Form mẫu'!$U$2)*
                 (Table4[DC]="DC1")*
                 (Table4[Kích thước]='Form mẫu'!$B214)*
                 (Table4[Nguyên liệu, vật tư]='Form mẫu'!$C214),0),
        MATCH(TRIM(SUBSTITUTE(F$206,CHAR(160)," ")),
              TRIM(SUBSTITUTE(Table4[[#Headers],[Định mức tiêu hao]:[Vượt ĐM]],CHAR(160)," ")),0)
  ),
0)</f>
        <v>0</v>
      </c>
      <c r="G214" s="2258" cm="1">
        <f t="array" ref="G214">IFERROR(
  INDEX(Table4[[Định mức tiêu hao]:[Vượt ĐM]],
        MATCH(1,(Table4[Tháng]=--'Form mẫu'!$U$2)*
                 (Table4[DC]="DC1")*
                 (Table4[Kích thước]='Form mẫu'!$B214)*
                 (Table4[Nguyên liệu, vật tư]='Form mẫu'!$C214),0),
        MATCH(TRIM(SUBSTITUTE(G$206,CHAR(160)," ")),
              TRIM(SUBSTITUTE(Table4[[#Headers],[Định mức tiêu hao]:[Vượt ĐM]],CHAR(160)," ")),0)
  ),
0)</f>
        <v>0</v>
      </c>
      <c r="H214" s="2259" cm="1">
        <f t="array" ref="H214">IFERROR(
  INDEX(Table4[[Định mức tiêu hao]:[Vượt ĐM]],
        MATCH(1,(Table4[Tháng]=--'Form mẫu'!$U$2)*
                 (Table4[DC]="DC1")*
                 (Table4[Kích thước]='Form mẫu'!$B214)*
                 (Table4[Nguyên liệu, vật tư]='Form mẫu'!$C214),0),
        MATCH(TRIM(SUBSTITUTE(H$206,CHAR(160)," ")),
              TRIM(SUBSTITUTE(Table4[[#Headers],[Định mức tiêu hao]:[Vượt ĐM]],CHAR(160)," ")),0)
  ),
0)</f>
        <v>0</v>
      </c>
      <c r="I214" s="2262" cm="1">
        <f t="array" ref="I214">IFERROR(
  INDEX(Table4[[Định mức tiêu hao]:[Vượt ĐM]],
        MATCH(1,(Table4[Tháng]=--'Form mẫu'!$U$2)*
                 (Table4[DC]="DC1")*
                 (Table4[Kích thước]='Form mẫu'!$B214)*
                 (Table4[Nguyên liệu, vật tư]='Form mẫu'!$C214),0),
        MATCH(TRIM(SUBSTITUTE(I$206,CHAR(160)," ")),
              TRIM(SUBSTITUTE(Table4[[#Headers],[Định mức tiêu hao]:[Vượt ĐM]],CHAR(160)," ")),0)
  ),
0)</f>
        <v>0</v>
      </c>
      <c r="J214" s="2266" cm="1">
        <f t="array" ref="J214">IFERROR(
  INDEX(Table4[[Định mức tiêu hao]:[Vượt ĐM]],
        MATCH(1,(Table4[Tháng]=--'Form mẫu'!$U$2)*
                 (Table4[DC]="DC1")*
                 (Table4[Kích thước]='Form mẫu'!$B214)*
                 (Table4[Nguyên liệu, vật tư]='Form mẫu'!$C214),0),
        MATCH(TRIM(SUBSTITUTE(J$206,CHAR(160)," ")),
              TRIM(SUBSTITUTE(Table4[[#Headers],[Định mức tiêu hao]:[Vượt ĐM]],CHAR(160)," ")),0)
  ),
0)</f>
        <v>0</v>
      </c>
      <c r="K214" s="3091"/>
      <c r="L214" s="3092"/>
      <c r="M214" s="3092"/>
      <c r="N214" s="3092"/>
      <c r="O214" s="3093"/>
    </row>
    <row r="215" spans="1:15" s="1" customFormat="1" ht="26" customHeight="1" x14ac:dyDescent="0.2">
      <c r="A215" s="2257">
        <v>9</v>
      </c>
      <c r="B215" s="1902" t="s">
        <v>115</v>
      </c>
      <c r="C215" s="3076" t="s">
        <v>177</v>
      </c>
      <c r="D215" s="3077"/>
      <c r="E215" s="2075" t="s">
        <v>164</v>
      </c>
      <c r="F215" s="2265" cm="1">
        <f t="array" ref="F215">IFERROR(
  INDEX(Table4[[Định mức tiêu hao]:[Vượt ĐM]],
        MATCH(1,(Table4[Tháng]=--'Form mẫu'!$U$2)*
                 (Table4[DC]="DC1")*
                 (Table4[Kích thước]='Form mẫu'!$B215)*
                 (Table4[Nguyên liệu, vật tư]='Form mẫu'!$C215),0),
        MATCH(TRIM(SUBSTITUTE(F$206,CHAR(160)," ")),
              TRIM(SUBSTITUTE(Table4[[#Headers],[Định mức tiêu hao]:[Vượt ĐM]],CHAR(160)," ")),0)
  ),
0)</f>
        <v>0</v>
      </c>
      <c r="G215" s="2258" cm="1">
        <f t="array" ref="G215">IFERROR(
  INDEX(Table4[[Định mức tiêu hao]:[Vượt ĐM]],
        MATCH(1,(Table4[Tháng]=--'Form mẫu'!$U$2)*
                 (Table4[DC]="DC1")*
                 (Table4[Kích thước]='Form mẫu'!$B215)*
                 (Table4[Nguyên liệu, vật tư]='Form mẫu'!$C215),0),
        MATCH(TRIM(SUBSTITUTE(G$206,CHAR(160)," ")),
              TRIM(SUBSTITUTE(Table4[[#Headers],[Định mức tiêu hao]:[Vượt ĐM]],CHAR(160)," ")),0)
  ),
0)</f>
        <v>0</v>
      </c>
      <c r="H215" s="2259" cm="1">
        <f t="array" ref="H215">IFERROR(
  INDEX(Table4[[Định mức tiêu hao]:[Vượt ĐM]],
        MATCH(1,(Table4[Tháng]=--'Form mẫu'!$U$2)*
                 (Table4[DC]="DC1")*
                 (Table4[Kích thước]='Form mẫu'!$B215)*
                 (Table4[Nguyên liệu, vật tư]='Form mẫu'!$C215),0),
        MATCH(TRIM(SUBSTITUTE(H$206,CHAR(160)," ")),
              TRIM(SUBSTITUTE(Table4[[#Headers],[Định mức tiêu hao]:[Vượt ĐM]],CHAR(160)," ")),0)
  ),
0)</f>
        <v>0</v>
      </c>
      <c r="I215" s="2262" cm="1">
        <f t="array" ref="I215">IFERROR(
  INDEX(Table4[[Định mức tiêu hao]:[Vượt ĐM]],
        MATCH(1,(Table4[Tháng]=--'Form mẫu'!$U$2)*
                 (Table4[DC]="DC1")*
                 (Table4[Kích thước]='Form mẫu'!$B215)*
                 (Table4[Nguyên liệu, vật tư]='Form mẫu'!$C215),0),
        MATCH(TRIM(SUBSTITUTE(I$206,CHAR(160)," ")),
              TRIM(SUBSTITUTE(Table4[[#Headers],[Định mức tiêu hao]:[Vượt ĐM]],CHAR(160)," ")),0)
  ),
0)</f>
        <v>0</v>
      </c>
      <c r="J215" s="2260" cm="1">
        <f t="array" ref="J215">IFERROR(
  INDEX(Table4[[Định mức tiêu hao]:[Vượt ĐM]],
        MATCH(1,(Table4[Tháng]=--'Form mẫu'!$U$2)*
                 (Table4[DC]="DC1")*
                 (Table4[Kích thước]='Form mẫu'!$B215)*
                 (Table4[Nguyên liệu, vật tư]='Form mẫu'!$C215),0),
        MATCH(TRIM(SUBSTITUTE(J$206,CHAR(160)," ")),
              TRIM(SUBSTITUTE(Table4[[#Headers],[Định mức tiêu hao]:[Vượt ĐM]],CHAR(160)," ")),0)
  ),
0)</f>
        <v>0</v>
      </c>
      <c r="K215" s="3091"/>
      <c r="L215" s="3092"/>
      <c r="M215" s="3092"/>
      <c r="N215" s="3092"/>
      <c r="O215" s="3093"/>
    </row>
    <row r="216" spans="1:15" s="1" customFormat="1" ht="26" customHeight="1" x14ac:dyDescent="0.2">
      <c r="A216" s="2257">
        <v>10</v>
      </c>
      <c r="B216" s="1902" t="s">
        <v>115</v>
      </c>
      <c r="C216" s="3076" t="s">
        <v>178</v>
      </c>
      <c r="D216" s="3077"/>
      <c r="E216" s="2075" t="s">
        <v>164</v>
      </c>
      <c r="F216" s="2265" cm="1">
        <f t="array" ref="F216">IFERROR(
  INDEX(Table4[[Định mức tiêu hao]:[Vượt ĐM]],
        MATCH(1,(Table4[Tháng]=--'Form mẫu'!$U$2)*
                 (Table4[DC]="DC1")*
                 (Table4[Kích thước]='Form mẫu'!$B216)*
                 (Table4[Nguyên liệu, vật tư]='Form mẫu'!$C216),0),
        MATCH(TRIM(SUBSTITUTE(F$206,CHAR(160)," ")),
              TRIM(SUBSTITUTE(Table4[[#Headers],[Định mức tiêu hao]:[Vượt ĐM]],CHAR(160)," ")),0)
  ),
0)</f>
        <v>0</v>
      </c>
      <c r="G216" s="2258" cm="1">
        <f t="array" ref="G216">IFERROR(
  INDEX(Table4[[Định mức tiêu hao]:[Vượt ĐM]],
        MATCH(1,(Table4[Tháng]=--'Form mẫu'!$U$2)*
                 (Table4[DC]="DC1")*
                 (Table4[Kích thước]='Form mẫu'!$B216)*
                 (Table4[Nguyên liệu, vật tư]='Form mẫu'!$C216),0),
        MATCH(TRIM(SUBSTITUTE(G$206,CHAR(160)," ")),
              TRIM(SUBSTITUTE(Table4[[#Headers],[Định mức tiêu hao]:[Vượt ĐM]],CHAR(160)," ")),0)
  ),
0)</f>
        <v>0</v>
      </c>
      <c r="H216" s="2259" cm="1">
        <f t="array" ref="H216">IFERROR(
  INDEX(Table4[[Định mức tiêu hao]:[Vượt ĐM]],
        MATCH(1,(Table4[Tháng]=--'Form mẫu'!$U$2)*
                 (Table4[DC]="DC1")*
                 (Table4[Kích thước]='Form mẫu'!$B216)*
                 (Table4[Nguyên liệu, vật tư]='Form mẫu'!$C216),0),
        MATCH(TRIM(SUBSTITUTE(H$206,CHAR(160)," ")),
              TRIM(SUBSTITUTE(Table4[[#Headers],[Định mức tiêu hao]:[Vượt ĐM]],CHAR(160)," ")),0)
  ),
0)</f>
        <v>0</v>
      </c>
      <c r="I216" s="2262" cm="1">
        <f t="array" ref="I216">IFERROR(
  INDEX(Table4[[Định mức tiêu hao]:[Vượt ĐM]],
        MATCH(1,(Table4[Tháng]=--'Form mẫu'!$U$2)*
                 (Table4[DC]="DC1")*
                 (Table4[Kích thước]='Form mẫu'!$B216)*
                 (Table4[Nguyên liệu, vật tư]='Form mẫu'!$C216),0),
        MATCH(TRIM(SUBSTITUTE(I$206,CHAR(160)," ")),
              TRIM(SUBSTITUTE(Table4[[#Headers],[Định mức tiêu hao]:[Vượt ĐM]],CHAR(160)," ")),0)
  ),
0)</f>
        <v>0</v>
      </c>
      <c r="J216" s="2267" cm="1">
        <f t="array" ref="J216">IFERROR(
  INDEX(Table4[[Định mức tiêu hao]:[Vượt ĐM]],
        MATCH(1,(Table4[Tháng]=--'Form mẫu'!$U$2)*
                 (Table4[DC]="DC1")*
                 (Table4[Kích thước]='Form mẫu'!$B216)*
                 (Table4[Nguyên liệu, vật tư]='Form mẫu'!$C216),0),
        MATCH(TRIM(SUBSTITUTE(J$206,CHAR(160)," ")),
              TRIM(SUBSTITUTE(Table4[[#Headers],[Định mức tiêu hao]:[Vượt ĐM]],CHAR(160)," ")),0)
  ),
0)</f>
        <v>0</v>
      </c>
      <c r="K216" s="3091"/>
      <c r="L216" s="3092"/>
      <c r="M216" s="3092"/>
      <c r="N216" s="3092"/>
      <c r="O216" s="3093"/>
    </row>
    <row r="217" spans="1:15" s="1" customFormat="1" ht="26" customHeight="1" x14ac:dyDescent="0.2">
      <c r="A217" s="2257">
        <v>11</v>
      </c>
      <c r="B217" s="1902" t="s">
        <v>115</v>
      </c>
      <c r="C217" s="3076" t="s">
        <v>179</v>
      </c>
      <c r="D217" s="3077"/>
      <c r="E217" s="2075" t="s">
        <v>164</v>
      </c>
      <c r="F217" s="2265" cm="1">
        <f t="array" ref="F217">IFERROR(
  INDEX(Table4[[Định mức tiêu hao]:[Vượt ĐM]],
        MATCH(1,(Table4[Tháng]=--'Form mẫu'!$U$2)*
                 (Table4[DC]="DC1")*
                 (Table4[Kích thước]='Form mẫu'!$B217)*
                 (Table4[Nguyên liệu, vật tư]='Form mẫu'!$C217),0),
        MATCH(TRIM(SUBSTITUTE(F$206,CHAR(160)," ")),
              TRIM(SUBSTITUTE(Table4[[#Headers],[Định mức tiêu hao]:[Vượt ĐM]],CHAR(160)," ")),0)
  ),
0)</f>
        <v>0</v>
      </c>
      <c r="G217" s="2258" cm="1">
        <f t="array" ref="G217">IFERROR(
  INDEX(Table4[[Định mức tiêu hao]:[Vượt ĐM]],
        MATCH(1,(Table4[Tháng]=--'Form mẫu'!$U$2)*
                 (Table4[DC]="DC1")*
                 (Table4[Kích thước]='Form mẫu'!$B217)*
                 (Table4[Nguyên liệu, vật tư]='Form mẫu'!$C217),0),
        MATCH(TRIM(SUBSTITUTE(G$206,CHAR(160)," ")),
              TRIM(SUBSTITUTE(Table4[[#Headers],[Định mức tiêu hao]:[Vượt ĐM]],CHAR(160)," ")),0)
  ),
0)</f>
        <v>0</v>
      </c>
      <c r="H217" s="2259" cm="1">
        <f t="array" ref="H217">IFERROR(
  INDEX(Table4[[Định mức tiêu hao]:[Vượt ĐM]],
        MATCH(1,(Table4[Tháng]=--'Form mẫu'!$U$2)*
                 (Table4[DC]="DC1")*
                 (Table4[Kích thước]='Form mẫu'!$B217)*
                 (Table4[Nguyên liệu, vật tư]='Form mẫu'!$C217),0),
        MATCH(TRIM(SUBSTITUTE(H$206,CHAR(160)," ")),
              TRIM(SUBSTITUTE(Table4[[#Headers],[Định mức tiêu hao]:[Vượt ĐM]],CHAR(160)," ")),0)
  ),
0)</f>
        <v>0</v>
      </c>
      <c r="I217" s="2262" cm="1">
        <f t="array" ref="I217">IFERROR(
  INDEX(Table4[[Định mức tiêu hao]:[Vượt ĐM]],
        MATCH(1,(Table4[Tháng]=--'Form mẫu'!$U$2)*
                 (Table4[DC]="DC1")*
                 (Table4[Kích thước]='Form mẫu'!$B217)*
                 (Table4[Nguyên liệu, vật tư]='Form mẫu'!$C217),0),
        MATCH(TRIM(SUBSTITUTE(I$206,CHAR(160)," ")),
              TRIM(SUBSTITUTE(Table4[[#Headers],[Định mức tiêu hao]:[Vượt ĐM]],CHAR(160)," ")),0)
  ),
0)</f>
        <v>0</v>
      </c>
      <c r="J217" s="2260" cm="1">
        <f t="array" ref="J217">IFERROR(
  INDEX(Table4[[Định mức tiêu hao]:[Vượt ĐM]],
        MATCH(1,(Table4[Tháng]=--'Form mẫu'!$U$2)*
                 (Table4[DC]="DC1")*
                 (Table4[Kích thước]='Form mẫu'!$B217)*
                 (Table4[Nguyên liệu, vật tư]='Form mẫu'!$C217),0),
        MATCH(TRIM(SUBSTITUTE(J$206,CHAR(160)," ")),
              TRIM(SUBSTITUTE(Table4[[#Headers],[Định mức tiêu hao]:[Vượt ĐM]],CHAR(160)," ")),0)
  ),
0)</f>
        <v>0</v>
      </c>
      <c r="K217" s="3091"/>
      <c r="L217" s="3092"/>
      <c r="M217" s="3092"/>
      <c r="N217" s="3092"/>
      <c r="O217" s="3093"/>
    </row>
    <row r="218" spans="1:15" s="1" customFormat="1" ht="26" customHeight="1" x14ac:dyDescent="0.2">
      <c r="A218" s="2268">
        <v>12</v>
      </c>
      <c r="B218" s="1902" t="s">
        <v>115</v>
      </c>
      <c r="C218" s="3076" t="s">
        <v>1061</v>
      </c>
      <c r="D218" s="3077"/>
      <c r="E218" s="2269" t="s">
        <v>164</v>
      </c>
      <c r="F218" s="2270" cm="1">
        <f t="array" ref="F218">IFERROR(
  INDEX(Table4[[Định mức tiêu hao]:[Vượt ĐM]],
        MATCH(1,(Table4[Tháng]=--'Form mẫu'!$U$2)*
                 (Table4[DC]="DC1")*
                 (Table4[Kích thước]='Form mẫu'!$B218)*
                 (Table4[Nguyên liệu, vật tư]='Form mẫu'!$C218),0),
        MATCH(TRIM(SUBSTITUTE(F$206,CHAR(160)," ")),
              TRIM(SUBSTITUTE(Table4[[#Headers],[Định mức tiêu hao]:[Vượt ĐM]],CHAR(160)," ")),0)
  ),
0)</f>
        <v>0</v>
      </c>
      <c r="G218" s="2271" cm="1">
        <f t="array" ref="G218">IFERROR(
  INDEX(Table4[[Định mức tiêu hao]:[Vượt ĐM]],
        MATCH(1,(Table4[Tháng]=--'Form mẫu'!$U$2)*
                 (Table4[DC]="DC1")*
                 (Table4[Kích thước]='Form mẫu'!$B218)*
                 (Table4[Nguyên liệu, vật tư]='Form mẫu'!$C218),0),
        MATCH(TRIM(SUBSTITUTE(G$206,CHAR(160)," ")),
              TRIM(SUBSTITUTE(Table4[[#Headers],[Định mức tiêu hao]:[Vượt ĐM]],CHAR(160)," ")),0)
  ),
0)</f>
        <v>0</v>
      </c>
      <c r="H218" s="2272" cm="1">
        <f t="array" ref="H218">IFERROR(
  INDEX(Table4[[Định mức tiêu hao]:[Vượt ĐM]],
        MATCH(1,(Table4[Tháng]=--'Form mẫu'!$U$2)*
                 (Table4[DC]="DC1")*
                 (Table4[Kích thước]='Form mẫu'!$B218)*
                 (Table4[Nguyên liệu, vật tư]='Form mẫu'!$C218),0),
        MATCH(TRIM(SUBSTITUTE(H$206,CHAR(160)," ")),
              TRIM(SUBSTITUTE(Table4[[#Headers],[Định mức tiêu hao]:[Vượt ĐM]],CHAR(160)," ")),0)
  ),
0)</f>
        <v>0</v>
      </c>
      <c r="I218" s="2273" cm="1">
        <f t="array" ref="I218">IFERROR(
  INDEX(Table4[[Định mức tiêu hao]:[Vượt ĐM]],
        MATCH(1,(Table4[Tháng]=--'Form mẫu'!$U$2)*
                 (Table4[DC]="DC1")*
                 (Table4[Kích thước]='Form mẫu'!$B218)*
                 (Table4[Nguyên liệu, vật tư]='Form mẫu'!$C218),0),
        MATCH(TRIM(SUBSTITUTE(I$206,CHAR(160)," ")),
              TRIM(SUBSTITUTE(Table4[[#Headers],[Định mức tiêu hao]:[Vượt ĐM]],CHAR(160)," ")),0)
  ),
0)</f>
        <v>0</v>
      </c>
      <c r="J218" s="2274" cm="1">
        <f t="array" ref="J218">IFERROR(
  INDEX(Table4[[Định mức tiêu hao]:[Vượt ĐM]],
        MATCH(1,(Table4[Tháng]=--'Form mẫu'!$U$2)*
                 (Table4[DC]="DC1")*
                 (Table4[Kích thước]='Form mẫu'!$B218)*
                 (Table4[Nguyên liệu, vật tư]='Form mẫu'!$C218),0),
        MATCH(TRIM(SUBSTITUTE(J$206,CHAR(160)," ")),
              TRIM(SUBSTITUTE(Table4[[#Headers],[Định mức tiêu hao]:[Vượt ĐM]],CHAR(160)," ")),0)
  ),
0)</f>
        <v>0</v>
      </c>
      <c r="K218" s="3091"/>
      <c r="L218" s="3092"/>
      <c r="M218" s="3092"/>
      <c r="N218" s="3092"/>
      <c r="O218" s="3093"/>
    </row>
    <row r="219" spans="1:15" s="1" customFormat="1" ht="26" customHeight="1" x14ac:dyDescent="0.2">
      <c r="A219" s="2257">
        <v>13</v>
      </c>
      <c r="B219" s="1902" t="s">
        <v>115</v>
      </c>
      <c r="C219" s="3076" t="s">
        <v>1062</v>
      </c>
      <c r="D219" s="3077"/>
      <c r="E219" s="2075" t="s">
        <v>164</v>
      </c>
      <c r="F219" s="2275" cm="1">
        <f t="array" ref="F219">IFERROR(
  INDEX(Table4[[Định mức tiêu hao]:[Vượt ĐM]],
        MATCH(1,(Table4[Tháng]=--'Form mẫu'!$U$2)*
                 (Table4[DC]="DC1")*
                 (Table4[Kích thước]='Form mẫu'!$B219)*
                 (Table4[Nguyên liệu, vật tư]='Form mẫu'!$C219),0),
        MATCH(TRIM(SUBSTITUTE(F$206,CHAR(160)," ")),
              TRIM(SUBSTITUTE(Table4[[#Headers],[Định mức tiêu hao]:[Vượt ĐM]],CHAR(160)," ")),0)
  ),
0)</f>
        <v>0</v>
      </c>
      <c r="G219" s="2258" cm="1">
        <f t="array" ref="G219">IFERROR(
  INDEX(Table4[[Định mức tiêu hao]:[Vượt ĐM]],
        MATCH(1,(Table4[Tháng]=--'Form mẫu'!$U$2)*
                 (Table4[DC]="DC1")*
                 (Table4[Kích thước]='Form mẫu'!$B219)*
                 (Table4[Nguyên liệu, vật tư]='Form mẫu'!$C219),0),
        MATCH(TRIM(SUBSTITUTE(G$206,CHAR(160)," ")),
              TRIM(SUBSTITUTE(Table4[[#Headers],[Định mức tiêu hao]:[Vượt ĐM]],CHAR(160)," ")),0)
  ),
0)</f>
        <v>0</v>
      </c>
      <c r="H219" s="2259" cm="1">
        <f t="array" ref="H219">IFERROR(
  INDEX(Table4[[Định mức tiêu hao]:[Vượt ĐM]],
        MATCH(1,(Table4[Tháng]=--'Form mẫu'!$U$2)*
                 (Table4[DC]="DC1")*
                 (Table4[Kích thước]='Form mẫu'!$B219)*
                 (Table4[Nguyên liệu, vật tư]='Form mẫu'!$C219),0),
        MATCH(TRIM(SUBSTITUTE(H$206,CHAR(160)," ")),
              TRIM(SUBSTITUTE(Table4[[#Headers],[Định mức tiêu hao]:[Vượt ĐM]],CHAR(160)," ")),0)
  ),
0)</f>
        <v>0</v>
      </c>
      <c r="I219" s="2276" cm="1">
        <f t="array" ref="I219">IFERROR(
  INDEX(Table4[[Định mức tiêu hao]:[Vượt ĐM]],
        MATCH(1,(Table4[Tháng]=--'Form mẫu'!$U$2)*
                 (Table4[DC]="DC1")*
                 (Table4[Kích thước]='Form mẫu'!$B219)*
                 (Table4[Nguyên liệu, vật tư]='Form mẫu'!$C219),0),
        MATCH(TRIM(SUBSTITUTE(I$206,CHAR(160)," ")),
              TRIM(SUBSTITUTE(Table4[[#Headers],[Định mức tiêu hao]:[Vượt ĐM]],CHAR(160)," ")),0)
  ),
0)</f>
        <v>0</v>
      </c>
      <c r="J219" s="2260" cm="1">
        <f t="array" ref="J219">IFERROR(
  INDEX(Table4[[Định mức tiêu hao]:[Vượt ĐM]],
        MATCH(1,(Table4[Tháng]=--'Form mẫu'!$U$2)*
                 (Table4[DC]="DC1")*
                 (Table4[Kích thước]='Form mẫu'!$B219)*
                 (Table4[Nguyên liệu, vật tư]='Form mẫu'!$C219),0),
        MATCH(TRIM(SUBSTITUTE(J$206,CHAR(160)," ")),
              TRIM(SUBSTITUTE(Table4[[#Headers],[Định mức tiêu hao]:[Vượt ĐM]],CHAR(160)," ")),0)
  ),
0)</f>
        <v>0</v>
      </c>
      <c r="K219" s="3091"/>
      <c r="L219" s="3092"/>
      <c r="M219" s="3092"/>
      <c r="N219" s="3092"/>
      <c r="O219" s="3093"/>
    </row>
    <row r="220" spans="1:15" s="1" customFormat="1" ht="26" customHeight="1" x14ac:dyDescent="0.2">
      <c r="A220" s="2257">
        <v>14</v>
      </c>
      <c r="B220" s="1902" t="s">
        <v>115</v>
      </c>
      <c r="C220" s="3218" t="s">
        <v>182</v>
      </c>
      <c r="D220" s="3219"/>
      <c r="E220" s="2277" t="s">
        <v>164</v>
      </c>
      <c r="F220" s="2278" cm="1">
        <f t="array" ref="F220">IFERROR(
  INDEX(Table4[[Định mức tiêu hao]:[Vượt ĐM]],
        MATCH(1,(Table4[Tháng]=--'Form mẫu'!$U$2)*
                 (Table4[DC]="DC1")*
                 (Table4[Kích thước]='Form mẫu'!$B220)*
                 (Table4[Nguyên liệu, vật tư]='Form mẫu'!$C220),0),
        MATCH(TRIM(SUBSTITUTE(F$206,CHAR(160)," ")),
              TRIM(SUBSTITUTE(Table4[[#Headers],[Định mức tiêu hao]:[Vượt ĐM]],CHAR(160)," ")),0)
  ),
0)</f>
        <v>0</v>
      </c>
      <c r="G220" s="2279" cm="1">
        <f t="array" ref="G220">IFERROR(
  INDEX(Table4[[Định mức tiêu hao]:[Vượt ĐM]],
        MATCH(1,(Table4[Tháng]=--'Form mẫu'!$U$2)*
                 (Table4[DC]="DC1")*
                 (Table4[Kích thước]='Form mẫu'!$B220)*
                 (Table4[Nguyên liệu, vật tư]='Form mẫu'!$C220),0),
        MATCH(TRIM(SUBSTITUTE(G$206,CHAR(160)," ")),
              TRIM(SUBSTITUTE(Table4[[#Headers],[Định mức tiêu hao]:[Vượt ĐM]],CHAR(160)," ")),0)
  ),
0)</f>
        <v>0</v>
      </c>
      <c r="H220" s="2280" cm="1">
        <f t="array" ref="H220">IFERROR(
  INDEX(Table4[[Định mức tiêu hao]:[Vượt ĐM]],
        MATCH(1,(Table4[Tháng]=--'Form mẫu'!$U$2)*
                 (Table4[DC]="DC1")*
                 (Table4[Kích thước]='Form mẫu'!$B220)*
                 (Table4[Nguyên liệu, vật tư]='Form mẫu'!$C220),0),
        MATCH(TRIM(SUBSTITUTE(H$206,CHAR(160)," ")),
              TRIM(SUBSTITUTE(Table4[[#Headers],[Định mức tiêu hao]:[Vượt ĐM]],CHAR(160)," ")),0)
  ),
0)</f>
        <v>0</v>
      </c>
      <c r="I220" s="2281" cm="1">
        <f t="array" ref="I220">IFERROR(
  INDEX(Table4[[Định mức tiêu hao]:[Vượt ĐM]],
        MATCH(1,(Table4[Tháng]=--'Form mẫu'!$U$2)*
                 (Table4[DC]="DC1")*
                 (Table4[Kích thước]='Form mẫu'!$B220)*
                 (Table4[Nguyên liệu, vật tư]='Form mẫu'!$C220),0),
        MATCH(TRIM(SUBSTITUTE(I$206,CHAR(160)," ")),
              TRIM(SUBSTITUTE(Table4[[#Headers],[Định mức tiêu hao]:[Vượt ĐM]],CHAR(160)," ")),0)
  ),
0)</f>
        <v>0</v>
      </c>
      <c r="J220" s="2284" cm="1">
        <f t="array" ref="J220">IFERROR(
  INDEX(Table4[[Định mức tiêu hao]:[Vượt ĐM]],
        MATCH(1,(Table4[Tháng]=--'Form mẫu'!$U$2)*
                 (Table4[DC]="DC1")*
                 (Table4[Kích thước]='Form mẫu'!$B220)*
                 (Table4[Nguyên liệu, vật tư]='Form mẫu'!$C220),0),
        MATCH(TRIM(SUBSTITUTE(J$206,CHAR(160)," ")),
              TRIM(SUBSTITUTE(Table4[[#Headers],[Định mức tiêu hao]:[Vượt ĐM]],CHAR(160)," ")),0)
  ),
0)</f>
        <v>0</v>
      </c>
      <c r="K220" s="3170" t="s">
        <v>1302</v>
      </c>
      <c r="L220" s="3171"/>
      <c r="M220" s="3171"/>
      <c r="N220" s="3171"/>
      <c r="O220" s="3172"/>
    </row>
    <row r="221" spans="1:15" s="1" customFormat="1" ht="26" customHeight="1" x14ac:dyDescent="0.2">
      <c r="A221" s="2257">
        <v>15</v>
      </c>
      <c r="B221" s="1902" t="s">
        <v>115</v>
      </c>
      <c r="C221" s="3076" t="s">
        <v>183</v>
      </c>
      <c r="D221" s="3077"/>
      <c r="E221" s="2075" t="s">
        <v>164</v>
      </c>
      <c r="F221" s="2265" cm="1">
        <f t="array" ref="F221">IFERROR(
  INDEX(Table4[[Định mức tiêu hao]:[Vượt ĐM]],
        MATCH(1,(Table4[Tháng]=--'Form mẫu'!$U$2)*
                 (Table4[DC]="DC1")*
                 (Table4[Kích thước]='Form mẫu'!$B221)*
                 (Table4[Nguyên liệu, vật tư]='Form mẫu'!$C221),0),
        MATCH(TRIM(SUBSTITUTE(F$206,CHAR(160)," ")),
              TRIM(SUBSTITUTE(Table4[[#Headers],[Định mức tiêu hao]:[Vượt ĐM]],CHAR(160)," ")),0)
  ),
0)</f>
        <v>0</v>
      </c>
      <c r="G221" s="2258" cm="1">
        <f t="array" ref="G221">IFERROR(
  INDEX(Table4[[Định mức tiêu hao]:[Vượt ĐM]],
        MATCH(1,(Table4[Tháng]=--'Form mẫu'!$U$2)*
                 (Table4[DC]="DC1")*
                 (Table4[Kích thước]='Form mẫu'!$B221)*
                 (Table4[Nguyên liệu, vật tư]='Form mẫu'!$C221),0),
        MATCH(TRIM(SUBSTITUTE(G$206,CHAR(160)," ")),
              TRIM(SUBSTITUTE(Table4[[#Headers],[Định mức tiêu hao]:[Vượt ĐM]],CHAR(160)," ")),0)
  ),
0)</f>
        <v>0</v>
      </c>
      <c r="H221" s="2259" cm="1">
        <f t="array" ref="H221">IFERROR(
  INDEX(Table4[[Định mức tiêu hao]:[Vượt ĐM]],
        MATCH(1,(Table4[Tháng]=--'Form mẫu'!$U$2)*
                 (Table4[DC]="DC1")*
                 (Table4[Kích thước]='Form mẫu'!$B221)*
                 (Table4[Nguyên liệu, vật tư]='Form mẫu'!$C221),0),
        MATCH(TRIM(SUBSTITUTE(H$206,CHAR(160)," ")),
              TRIM(SUBSTITUTE(Table4[[#Headers],[Định mức tiêu hao]:[Vượt ĐM]],CHAR(160)," ")),0)
  ),
0)</f>
        <v>0</v>
      </c>
      <c r="I221" s="2262" cm="1">
        <f t="array" ref="I221">IFERROR(
  INDEX(Table4[[Định mức tiêu hao]:[Vượt ĐM]],
        MATCH(1,(Table4[Tháng]=--'Form mẫu'!$U$2)*
                 (Table4[DC]="DC1")*
                 (Table4[Kích thước]='Form mẫu'!$B221)*
                 (Table4[Nguyên liệu, vật tư]='Form mẫu'!$C221),0),
        MATCH(TRIM(SUBSTITUTE(I$206,CHAR(160)," ")),
              TRIM(SUBSTITUTE(Table4[[#Headers],[Định mức tiêu hao]:[Vượt ĐM]],CHAR(160)," ")),0)
  ),
0)</f>
        <v>0</v>
      </c>
      <c r="J221" s="2267" cm="1">
        <f t="array" ref="J221">IFERROR(
  INDEX(Table4[[Định mức tiêu hao]:[Vượt ĐM]],
        MATCH(1,(Table4[Tháng]=--'Form mẫu'!$U$2)*
                 (Table4[DC]="DC1")*
                 (Table4[Kích thước]='Form mẫu'!$B221)*
                 (Table4[Nguyên liệu, vật tư]='Form mẫu'!$C221),0),
        MATCH(TRIM(SUBSTITUTE(J$206,CHAR(160)," ")),
              TRIM(SUBSTITUTE(Table4[[#Headers],[Định mức tiêu hao]:[Vượt ĐM]],CHAR(160)," ")),0)
  ),
0)</f>
        <v>0</v>
      </c>
      <c r="K221" s="3091"/>
      <c r="L221" s="3092"/>
      <c r="M221" s="3092"/>
      <c r="N221" s="3092"/>
      <c r="O221" s="3093"/>
    </row>
    <row r="222" spans="1:15" s="1" customFormat="1" ht="26" customHeight="1" x14ac:dyDescent="0.2">
      <c r="A222" s="2257">
        <v>16</v>
      </c>
      <c r="B222" s="1902" t="s">
        <v>115</v>
      </c>
      <c r="C222" s="3076" t="s">
        <v>184</v>
      </c>
      <c r="D222" s="3077"/>
      <c r="E222" s="2075" t="s">
        <v>169</v>
      </c>
      <c r="F222" s="2265" cm="1">
        <f t="array" ref="F222">IFERROR(
  INDEX(Table4[[Định mức tiêu hao]:[Vượt ĐM]],
        MATCH(1,(Table4[Tháng]=--'Form mẫu'!$U$2)*
                 (Table4[DC]="DC1")*
                 (Table4[Kích thước]='Form mẫu'!$B222)*
                 (Table4[Nguyên liệu, vật tư]='Form mẫu'!$C222),0),
        MATCH(TRIM(SUBSTITUTE(F$206,CHAR(160)," ")),
              TRIM(SUBSTITUTE(Table4[[#Headers],[Định mức tiêu hao]:[Vượt ĐM]],CHAR(160)," ")),0)
  ),
0)</f>
        <v>0</v>
      </c>
      <c r="G222" s="2258" cm="1">
        <f t="array" ref="G222">IFERROR(
  INDEX(Table4[[Định mức tiêu hao]:[Vượt ĐM]],
        MATCH(1,(Table4[Tháng]=--'Form mẫu'!$U$2)*
                 (Table4[DC]="DC1")*
                 (Table4[Kích thước]='Form mẫu'!$B222)*
                 (Table4[Nguyên liệu, vật tư]='Form mẫu'!$C222),0),
        MATCH(TRIM(SUBSTITUTE(G$206,CHAR(160)," ")),
              TRIM(SUBSTITUTE(Table4[[#Headers],[Định mức tiêu hao]:[Vượt ĐM]],CHAR(160)," ")),0)
  ),
0)</f>
        <v>0</v>
      </c>
      <c r="H222" s="2259" cm="1">
        <f t="array" ref="H222">IFERROR(
  INDEX(Table4[[Định mức tiêu hao]:[Vượt ĐM]],
        MATCH(1,(Table4[Tháng]=--'Form mẫu'!$U$2)*
                 (Table4[DC]="DC1")*
                 (Table4[Kích thước]='Form mẫu'!$B222)*
                 (Table4[Nguyên liệu, vật tư]='Form mẫu'!$C222),0),
        MATCH(TRIM(SUBSTITUTE(H$206,CHAR(160)," ")),
              TRIM(SUBSTITUTE(Table4[[#Headers],[Định mức tiêu hao]:[Vượt ĐM]],CHAR(160)," ")),0)
  ),
0)</f>
        <v>0</v>
      </c>
      <c r="I222" s="2262" cm="1">
        <f t="array" ref="I222">IFERROR(
  INDEX(Table4[[Định mức tiêu hao]:[Vượt ĐM]],
        MATCH(1,(Table4[Tháng]=--'Form mẫu'!$U$2)*
                 (Table4[DC]="DC1")*
                 (Table4[Kích thước]='Form mẫu'!$B222)*
                 (Table4[Nguyên liệu, vật tư]='Form mẫu'!$C222),0),
        MATCH(TRIM(SUBSTITUTE(I$206,CHAR(160)," ")),
              TRIM(SUBSTITUTE(Table4[[#Headers],[Định mức tiêu hao]:[Vượt ĐM]],CHAR(160)," ")),0)
  ),
0)</f>
        <v>0</v>
      </c>
      <c r="J222" s="2267" cm="1">
        <f t="array" ref="J222">IFERROR(
  INDEX(Table4[[Định mức tiêu hao]:[Vượt ĐM]],
        MATCH(1,(Table4[Tháng]=--'Form mẫu'!$U$2)*
                 (Table4[DC]="DC1")*
                 (Table4[Kích thước]='Form mẫu'!$B222)*
                 (Table4[Nguyên liệu, vật tư]='Form mẫu'!$C222),0),
        MATCH(TRIM(SUBSTITUTE(J$206,CHAR(160)," ")),
              TRIM(SUBSTITUTE(Table4[[#Headers],[Định mức tiêu hao]:[Vượt ĐM]],CHAR(160)," ")),0)
  ),
0)</f>
        <v>0</v>
      </c>
      <c r="K222" s="3091"/>
      <c r="L222" s="3092"/>
      <c r="M222" s="3092"/>
      <c r="N222" s="3092"/>
      <c r="O222" s="3093"/>
    </row>
    <row r="223" spans="1:15" s="1" customFormat="1" ht="31" customHeight="1" x14ac:dyDescent="0.2">
      <c r="A223" s="2257">
        <v>17</v>
      </c>
      <c r="B223" s="1902" t="s">
        <v>115</v>
      </c>
      <c r="C223" s="3076" t="s">
        <v>185</v>
      </c>
      <c r="D223" s="3077"/>
      <c r="E223" s="2075" t="s">
        <v>169</v>
      </c>
      <c r="F223" s="2265" cm="1">
        <f t="array" ref="F223">IFERROR(
  INDEX(Table4[[Định mức tiêu hao]:[Vượt ĐM]],
        MATCH(1,(Table4[Tháng]=--'Form mẫu'!$U$2)*
                 (Table4[DC]="DC1")*
                 (Table4[Kích thước]='Form mẫu'!$B223)*
                 (Table4[Nguyên liệu, vật tư]='Form mẫu'!$C223),0),
        MATCH(TRIM(SUBSTITUTE(F$206,CHAR(160)," ")),
              TRIM(SUBSTITUTE(Table4[[#Headers],[Định mức tiêu hao]:[Vượt ĐM]],CHAR(160)," ")),0)
  ),
0)</f>
        <v>0</v>
      </c>
      <c r="G223" s="2282" cm="1">
        <f t="array" ref="G223">IFERROR(
  INDEX(Table4[[Định mức tiêu hao]:[Vượt ĐM]],
        MATCH(1,(Table4[Tháng]=--'Form mẫu'!$U$2)*
                 (Table4[DC]="DC1")*
                 (Table4[Kích thước]='Form mẫu'!$B223)*
                 (Table4[Nguyên liệu, vật tư]='Form mẫu'!$C223),0),
        MATCH(TRIM(SUBSTITUTE(G$206,CHAR(160)," ")),
              TRIM(SUBSTITUTE(Table4[[#Headers],[Định mức tiêu hao]:[Vượt ĐM]],CHAR(160)," ")),0)
  ),
0)</f>
        <v>0</v>
      </c>
      <c r="H223" s="2259" cm="1">
        <f t="array" ref="H223">IFERROR(
  INDEX(Table4[[Định mức tiêu hao]:[Vượt ĐM]],
        MATCH(1,(Table4[Tháng]=--'Form mẫu'!$U$2)*
                 (Table4[DC]="DC1")*
                 (Table4[Kích thước]='Form mẫu'!$B223)*
                 (Table4[Nguyên liệu, vật tư]='Form mẫu'!$C223),0),
        MATCH(TRIM(SUBSTITUTE(H$206,CHAR(160)," ")),
              TRIM(SUBSTITUTE(Table4[[#Headers],[Định mức tiêu hao]:[Vượt ĐM]],CHAR(160)," ")),0)
  ),
0)</f>
        <v>0</v>
      </c>
      <c r="I223" s="2283" cm="1">
        <f t="array" ref="I223">IFERROR(
  INDEX(Table4[[Định mức tiêu hao]:[Vượt ĐM]],
        MATCH(1,(Table4[Tháng]=--'Form mẫu'!$U$2)*
                 (Table4[DC]="DC1")*
                 (Table4[Kích thước]='Form mẫu'!$B223)*
                 (Table4[Nguyên liệu, vật tư]='Form mẫu'!$C223),0),
        MATCH(TRIM(SUBSTITUTE(I$206,CHAR(160)," ")),
              TRIM(SUBSTITUTE(Table4[[#Headers],[Định mức tiêu hao]:[Vượt ĐM]],CHAR(160)," ")),0)
  ),
0)</f>
        <v>0</v>
      </c>
      <c r="J223" s="2260" cm="1">
        <f t="array" ref="J223">IFERROR(
  INDEX(Table4[[Định mức tiêu hao]:[Vượt ĐM]],
        MATCH(1,(Table4[Tháng]=--'Form mẫu'!$U$2)*
                 (Table4[DC]="DC1")*
                 (Table4[Kích thước]='Form mẫu'!$B223)*
                 (Table4[Nguyên liệu, vật tư]='Form mẫu'!$C223),0),
        MATCH(TRIM(SUBSTITUTE(J$206,CHAR(160)," ")),
              TRIM(SUBSTITUTE(Table4[[#Headers],[Định mức tiêu hao]:[Vượt ĐM]],CHAR(160)," ")),0)
  ),
0)</f>
        <v>0</v>
      </c>
      <c r="K223" s="3091" t="s">
        <v>1303</v>
      </c>
      <c r="L223" s="3092"/>
      <c r="M223" s="3092"/>
      <c r="N223" s="3092"/>
      <c r="O223" s="3093"/>
    </row>
    <row r="224" spans="1:15" s="1" customFormat="1" ht="26" customHeight="1" x14ac:dyDescent="0.2">
      <c r="A224" s="2257">
        <v>18</v>
      </c>
      <c r="B224" s="2082" t="s">
        <v>115</v>
      </c>
      <c r="C224" s="3076" t="s">
        <v>188</v>
      </c>
      <c r="D224" s="3077"/>
      <c r="E224" s="2075" t="s">
        <v>164</v>
      </c>
      <c r="F224" s="2265" cm="1">
        <f t="array" ref="F224">IFERROR(
  INDEX(Table4[[Định mức tiêu hao]:[Vượt ĐM]],
        MATCH(1,(Table4[Tháng]=--'Form mẫu'!$U$2)*
                 (Table4[DC]="DC1")*
                 (Table4[Kích thước]='Form mẫu'!$B224)*
                 (Table4[Nguyên liệu, vật tư]='Form mẫu'!$C224),0),
        MATCH(TRIM(SUBSTITUTE(F$206,CHAR(160)," ")),
              TRIM(SUBSTITUTE(Table4[[#Headers],[Định mức tiêu hao]:[Vượt ĐM]],CHAR(160)," ")),0)
  ),
0)</f>
        <v>0</v>
      </c>
      <c r="G224" s="2258" cm="1">
        <f t="array" ref="G224">IFERROR(
  INDEX(Table4[[Định mức tiêu hao]:[Vượt ĐM]],
        MATCH(1,(Table4[Tháng]=--'Form mẫu'!$U$2)*
                 (Table4[DC]="DC1")*
                 (Table4[Kích thước]='Form mẫu'!$B224)*
                 (Table4[Nguyên liệu, vật tư]='Form mẫu'!$C224),0),
        MATCH(TRIM(SUBSTITUTE(G$206,CHAR(160)," ")),
              TRIM(SUBSTITUTE(Table4[[#Headers],[Định mức tiêu hao]:[Vượt ĐM]],CHAR(160)," ")),0)
  ),
0)</f>
        <v>0</v>
      </c>
      <c r="H224" s="2262" cm="1">
        <f t="array" ref="H224">IFERROR(
  INDEX(Table4[[Định mức tiêu hao]:[Vượt ĐM]],
        MATCH(1,(Table4[Tháng]=--'Form mẫu'!$U$2)*
                 (Table4[DC]="DC1")*
                 (Table4[Kích thước]='Form mẫu'!$B224)*
                 (Table4[Nguyên liệu, vật tư]='Form mẫu'!$C224),0),
        MATCH(TRIM(SUBSTITUTE(H$206,CHAR(160)," ")),
              TRIM(SUBSTITUTE(Table4[[#Headers],[Định mức tiêu hao]:[Vượt ĐM]],CHAR(160)," ")),0)
  ),
0)</f>
        <v>0</v>
      </c>
      <c r="I224" s="2262" cm="1">
        <f t="array" ref="I224">IFERROR(
  INDEX(Table4[[Định mức tiêu hao]:[Vượt ĐM]],
        MATCH(1,(Table4[Tháng]=--'Form mẫu'!$U$2)*
                 (Table4[DC]="DC1")*
                 (Table4[Kích thước]='Form mẫu'!$B224)*
                 (Table4[Nguyên liệu, vật tư]='Form mẫu'!$C224),0),
        MATCH(TRIM(SUBSTITUTE(I$206,CHAR(160)," ")),
              TRIM(SUBSTITUTE(Table4[[#Headers],[Định mức tiêu hao]:[Vượt ĐM]],CHAR(160)," ")),0)
  ),
0)</f>
        <v>0</v>
      </c>
      <c r="J224" s="2260" cm="1">
        <f t="array" ref="J224">IFERROR(
  INDEX(Table4[[Định mức tiêu hao]:[Vượt ĐM]],
        MATCH(1,(Table4[Tháng]=--'Form mẫu'!$U$2)*
                 (Table4[DC]="DC1")*
                 (Table4[Kích thước]='Form mẫu'!$B224)*
                 (Table4[Nguyên liệu, vật tư]='Form mẫu'!$C224),0),
        MATCH(TRIM(SUBSTITUTE(J$206,CHAR(160)," ")),
              TRIM(SUBSTITUTE(Table4[[#Headers],[Định mức tiêu hao]:[Vượt ĐM]],CHAR(160)," ")),0)
  ),
0)</f>
        <v>0</v>
      </c>
      <c r="K224" s="3091"/>
      <c r="L224" s="3092"/>
      <c r="M224" s="3092"/>
      <c r="N224" s="3092"/>
      <c r="O224" s="3093"/>
    </row>
    <row r="225" spans="1:15" s="1" customFormat="1" ht="17" customHeight="1" x14ac:dyDescent="0.15">
      <c r="A225" s="2"/>
      <c r="B225" s="4"/>
      <c r="C225" s="479"/>
      <c r="D225" s="68"/>
      <c r="E225" s="925"/>
      <c r="F225" s="926"/>
      <c r="G225" s="927"/>
      <c r="H225" s="928"/>
      <c r="I225" s="929"/>
      <c r="J225" s="2"/>
      <c r="K225" s="2"/>
      <c r="L225" s="2"/>
      <c r="M225" s="2"/>
      <c r="N225" s="2"/>
    </row>
    <row r="226" spans="1:15" s="1" customFormat="1" ht="26" customHeight="1" x14ac:dyDescent="0.2">
      <c r="A226" s="3061" t="s">
        <v>354</v>
      </c>
      <c r="B226" s="3061"/>
      <c r="C226" s="3061"/>
      <c r="D226" s="3061"/>
      <c r="E226" s="3061"/>
      <c r="F226" s="3061"/>
      <c r="G226" s="3061"/>
      <c r="H226" s="3061"/>
      <c r="I226" s="3061"/>
      <c r="J226" s="3061"/>
      <c r="K226" s="3061"/>
      <c r="L226" s="3061"/>
      <c r="M226" s="3061"/>
      <c r="N226" s="3061"/>
    </row>
    <row r="227" spans="1:15" s="1" customFormat="1" ht="30" customHeight="1" x14ac:dyDescent="0.2">
      <c r="A227" s="238" t="s">
        <v>39</v>
      </c>
      <c r="B227" s="98" t="s">
        <v>6</v>
      </c>
      <c r="C227" s="3074" t="s">
        <v>148</v>
      </c>
      <c r="D227" s="3075"/>
      <c r="E227" s="2239" t="s">
        <v>17</v>
      </c>
      <c r="F227" s="2240" t="s">
        <v>149</v>
      </c>
      <c r="G227" s="2240" t="s">
        <v>1168</v>
      </c>
      <c r="H227" s="98" t="s">
        <v>151</v>
      </c>
      <c r="I227" s="2241" t="s">
        <v>1029</v>
      </c>
      <c r="J227" s="2242" t="s">
        <v>1030</v>
      </c>
      <c r="K227" s="3083" t="s">
        <v>47</v>
      </c>
      <c r="L227" s="3084"/>
      <c r="M227" s="3084"/>
      <c r="N227" s="3084"/>
      <c r="O227" s="3085"/>
    </row>
    <row r="228" spans="1:15" s="1" customFormat="1" ht="32" customHeight="1" x14ac:dyDescent="0.2">
      <c r="A228" s="1536">
        <v>1</v>
      </c>
      <c r="B228" s="1898" t="s">
        <v>119</v>
      </c>
      <c r="C228" s="3076" t="s">
        <v>163</v>
      </c>
      <c r="D228" s="3077"/>
      <c r="E228" s="2289" t="s">
        <v>49</v>
      </c>
      <c r="F228" s="2290" cm="1">
        <f t="array" ref="F228">IFERROR(
  INDEX(Table4[[Định mức tiêu hao]:[Vượt ĐM]],
        MATCH(1,(Table4[Tháng]=--'Form mẫu'!$U$2)*
                 (Table4[DC]="DC2")*
                 (Table4[Kích thước]='Form mẫu'!$B228)*
                 (Table4[Nguyên liệu, vật tư]='Form mẫu'!$C228),0),
        MATCH(TRIM(SUBSTITUTE(F$227,CHAR(160)," ")),
              TRIM(SUBSTITUTE(Table4[[#Headers],[Định mức tiêu hao]:[Vượt ĐM]],CHAR(160)," ")),0)
  ),
0)</f>
        <v>0</v>
      </c>
      <c r="G228" s="2290" cm="1">
        <f t="array" ref="G228">IFERROR(
  INDEX(Table4[[Định mức tiêu hao]:[Vượt ĐM]],
        MATCH(1,(Table4[Tháng]=--'Form mẫu'!$U$2)*
                 (Table4[DC]="DC2")*
                 (Table4[Kích thước]='Form mẫu'!$B228)*
                 (Table4[Nguyên liệu, vật tư]='Form mẫu'!$C228),0),
        MATCH(TRIM(SUBSTITUTE(G$227,CHAR(160)," ")),
              TRIM(SUBSTITUTE(Table4[[#Headers],[Định mức tiêu hao]:[Vượt ĐM]],CHAR(160)," ")),0)
  ),
0)</f>
        <v>0</v>
      </c>
      <c r="H228" s="2259" cm="1">
        <f t="array" ref="H228">IFERROR(
  INDEX(Table4[[Định mức tiêu hao]:[Vượt ĐM]],
        MATCH(1,(Table4[Tháng]=--'Form mẫu'!$U$2)*
                 (Table4[DC]="DC2")*
                 (Table4[Kích thước]='Form mẫu'!$B228)*
                 (Table4[Nguyên liệu, vật tư]='Form mẫu'!$C228),0),
        MATCH(TRIM(SUBSTITUTE(H$227,CHAR(160)," ")),
              TRIM(SUBSTITUTE(Table4[[#Headers],[Định mức tiêu hao]:[Vượt ĐM]],CHAR(160)," ")),0)
  ),
0)</f>
        <v>0</v>
      </c>
      <c r="I228" s="2262" cm="1">
        <f t="array" ref="I228">IFERROR(
  INDEX(Table4[[Định mức tiêu hao]:[Vượt ĐM]],
        MATCH(1,(Table4[Tháng]=--'Form mẫu'!$U$2)*
                 (Table4[DC]="DC2")*
                 (Table4[Kích thước]='Form mẫu'!$B228)*
                 (Table4[Nguyên liệu, vật tư]='Form mẫu'!$C228),0),
        MATCH(TRIM(SUBSTITUTE(I$227,CHAR(160)," ")),
              TRIM(SUBSTITUTE(Table4[[#Headers],[Định mức tiêu hao]:[Vượt ĐM]],CHAR(160)," ")),0)
  ),
0)</f>
        <v>0</v>
      </c>
      <c r="J228" s="2275" cm="1">
        <f t="array" ref="J228">IFERROR(
  INDEX(Table4[[Định mức tiêu hao]:[Vượt ĐM]],
        MATCH(1,(Table4[Tháng]=--'Form mẫu'!$U$2)*
                 (Table4[DC]="DC2")*
                 (Table4[Kích thước]='Form mẫu'!$B228)*
                 (Table4[Nguyên liệu, vật tư]='Form mẫu'!$C228),0),
        MATCH(TRIM(SUBSTITUTE(J$227,CHAR(160)," ")),
              TRIM(SUBSTITUTE(Table4[[#Headers],[Định mức tiêu hao]:[Vượt ĐM]],CHAR(160)," ")),0)
  ),
0)</f>
        <v>0</v>
      </c>
      <c r="K228" s="3086" t="s">
        <v>165</v>
      </c>
      <c r="L228" s="3087"/>
      <c r="M228" s="3088">
        <f>F198+F199</f>
        <v>0</v>
      </c>
      <c r="N228" s="3089">
        <f>SUMIFS('Data tổng hợp II'!H:H,'Data tổng hợp II'!B:B,'Form mẫu'!$U$2,'Data tổng hợp II'!C:C,"DC2",'Data tổng hợp II'!D:D,"50x50")</f>
        <v>0</v>
      </c>
      <c r="O228" s="3090" t="e">
        <f>H198+H199</f>
        <v>#DIV/0!</v>
      </c>
    </row>
    <row r="229" spans="1:15" s="1" customFormat="1" ht="32" customHeight="1" x14ac:dyDescent="0.2">
      <c r="A229" s="1536">
        <v>2</v>
      </c>
      <c r="B229" s="1899" t="s">
        <v>119</v>
      </c>
      <c r="C229" s="3076" t="s">
        <v>1193</v>
      </c>
      <c r="D229" s="3077"/>
      <c r="E229" s="2289" t="s">
        <v>49</v>
      </c>
      <c r="F229" s="2291" cm="1">
        <f t="array" ref="F229">IFERROR(
  INDEX(Table4[[Định mức tiêu hao]:[Vượt ĐM]],
        MATCH(1,(Table4[Tháng]=--'Form mẫu'!$U$2)*
                 (Table4[DC]="DC2")*
                 (Table4[Kích thước]='Form mẫu'!$B229)*
                 (Table4[Nguyên liệu, vật tư]='Form mẫu'!$C229),0),
        MATCH(TRIM(SUBSTITUTE(F$227,CHAR(160)," ")),
              TRIM(SUBSTITUTE(Table4[[#Headers],[Định mức tiêu hao]:[Vượt ĐM]],CHAR(160)," ")),0)
  ),
0)</f>
        <v>0</v>
      </c>
      <c r="G229" s="2292" cm="1">
        <f t="array" ref="G229">IFERROR(
  INDEX(Table4[[Định mức tiêu hao]:[Vượt ĐM]],
        MATCH(1,(Table4[Tháng]=--'Form mẫu'!$U$2)*
                 (Table4[DC]="DC2")*
                 (Table4[Kích thước]='Form mẫu'!$B229)*
                 (Table4[Nguyên liệu, vật tư]='Form mẫu'!$C229),0),
        MATCH(TRIM(SUBSTITUTE(G$227,CHAR(160)," ")),
              TRIM(SUBSTITUTE(Table4[[#Headers],[Định mức tiêu hao]:[Vượt ĐM]],CHAR(160)," ")),0)
  ),
0)</f>
        <v>0</v>
      </c>
      <c r="H229" s="2246" cm="1">
        <f t="array" ref="H229">IFERROR(
  INDEX(Table4[[Định mức tiêu hao]:[Vượt ĐM]],
        MATCH(1,(Table4[Tháng]=--'Form mẫu'!$U$2)*
                 (Table4[DC]="DC2")*
                 (Table4[Kích thước]='Form mẫu'!$B229)*
                 (Table4[Nguyên liệu, vật tư]='Form mẫu'!$C229),0),
        MATCH(TRIM(SUBSTITUTE(H$227,CHAR(160)," ")),
              TRIM(SUBSTITUTE(Table4[[#Headers],[Định mức tiêu hao]:[Vượt ĐM]],CHAR(160)," ")),0)
  ),
0)</f>
        <v>0</v>
      </c>
      <c r="I229" s="2262" cm="1">
        <f t="array" ref="I229">IFERROR(
  INDEX(Table4[[Định mức tiêu hao]:[Vượt ĐM]],
        MATCH(1,(Table4[Tháng]=--'Form mẫu'!$U$2)*
                 (Table4[DC]="DC2")*
                 (Table4[Kích thước]='Form mẫu'!$B229)*
                 (Table4[Nguyên liệu, vật tư]='Form mẫu'!$C229),0),
        MATCH(TRIM(SUBSTITUTE(I$227,CHAR(160)," ")),
              TRIM(SUBSTITUTE(Table4[[#Headers],[Định mức tiêu hao]:[Vượt ĐM]],CHAR(160)," ")),0)
  ),
0)</f>
        <v>0</v>
      </c>
      <c r="J229" s="2293" cm="1">
        <f t="array" ref="J229">IFERROR(
  INDEX(Table4[[Định mức tiêu hao]:[Vượt ĐM]],
        MATCH(1,(Table4[Tháng]=--'Form mẫu'!$U$2)*
                 (Table4[DC]="DC2")*
                 (Table4[Kích thước]='Form mẫu'!$B229)*
                 (Table4[Nguyên liệu, vật tư]='Form mẫu'!$C229),0),
        MATCH(TRIM(SUBSTITUTE(J$227,CHAR(160)," ")),
              TRIM(SUBSTITUTE(Table4[[#Headers],[Định mức tiêu hao]:[Vượt ĐM]],CHAR(160)," ")),0)
  ),
0)</f>
        <v>0</v>
      </c>
      <c r="K229" s="3094" t="s">
        <v>734</v>
      </c>
      <c r="L229" s="3095"/>
      <c r="M229" s="3096">
        <f>F198</f>
        <v>0</v>
      </c>
      <c r="N229" s="3107">
        <f>SUMIFS('Data tổng hợp II'!H:H,'Data tổng hợp II'!B:B,'Form mẫu'!$U$2,'Data tổng hợp II'!C:C,"DC2",'Data tổng hợp II'!D:D,"50x50",'Data tổng hợp II'!E:E,"Sugar sân vườn")</f>
        <v>0</v>
      </c>
      <c r="O229" s="3108" t="e">
        <f>H198</f>
        <v>#DIV/0!</v>
      </c>
    </row>
    <row r="230" spans="1:15" s="1" customFormat="1" ht="32" customHeight="1" x14ac:dyDescent="0.2">
      <c r="A230" s="1536">
        <v>3</v>
      </c>
      <c r="B230" s="1899" t="s">
        <v>119</v>
      </c>
      <c r="C230" s="3076" t="s">
        <v>1180</v>
      </c>
      <c r="D230" s="3077"/>
      <c r="E230" s="2289" t="s">
        <v>49</v>
      </c>
      <c r="F230" s="2291" cm="1">
        <f t="array" ref="F230">IFERROR(
  INDEX(Table4[[Định mức tiêu hao]:[Vượt ĐM]],
        MATCH(1,(Table4[Tháng]=--'Form mẫu'!$U$2)*
                 (Table4[DC]="DC2")*
                 (Table4[Kích thước]='Form mẫu'!$B230)*
                 (Table4[Nguyên liệu, vật tư]='Form mẫu'!$C230),0),
        MATCH(TRIM(SUBSTITUTE(F$227,CHAR(160)," ")),
              TRIM(SUBSTITUTE(Table4[[#Headers],[Định mức tiêu hao]:[Vượt ĐM]],CHAR(160)," ")),0)
  ),
0)</f>
        <v>0</v>
      </c>
      <c r="G230" s="2292" cm="1">
        <f t="array" ref="G230">IFERROR(
  INDEX(Table4[[Định mức tiêu hao]:[Vượt ĐM]],
        MATCH(1,(Table4[Tháng]=--'Form mẫu'!$U$2)*
                 (Table4[DC]="DC2")*
                 (Table4[Kích thước]='Form mẫu'!$B230)*
                 (Table4[Nguyên liệu, vật tư]='Form mẫu'!$C230),0),
        MATCH(TRIM(SUBSTITUTE(G$227,CHAR(160)," ")),
              TRIM(SUBSTITUTE(Table4[[#Headers],[Định mức tiêu hao]:[Vượt ĐM]],CHAR(160)," ")),0)
  ),
0)</f>
        <v>0</v>
      </c>
      <c r="H230" s="2246" cm="1">
        <f t="array" ref="H230">IFERROR(
  INDEX(Table4[[Định mức tiêu hao]:[Vượt ĐM]],
        MATCH(1,(Table4[Tháng]=--'Form mẫu'!$U$2)*
                 (Table4[DC]="DC2")*
                 (Table4[Kích thước]='Form mẫu'!$B230)*
                 (Table4[Nguyên liệu, vật tư]='Form mẫu'!$C230),0),
        MATCH(TRIM(SUBSTITUTE(H$227,CHAR(160)," ")),
              TRIM(SUBSTITUTE(Table4[[#Headers],[Định mức tiêu hao]:[Vượt ĐM]],CHAR(160)," ")),0)
  ),
0)</f>
        <v>0</v>
      </c>
      <c r="I230" s="2262" cm="1">
        <f t="array" ref="I230">IFERROR(
  INDEX(Table4[[Định mức tiêu hao]:[Vượt ĐM]],
        MATCH(1,(Table4[Tháng]=--'Form mẫu'!$U$2)*
                 (Table4[DC]="DC2")*
                 (Table4[Kích thước]='Form mẫu'!$B230)*
                 (Table4[Nguyên liệu, vật tư]='Form mẫu'!$C230),0),
        MATCH(TRIM(SUBSTITUTE(I$227,CHAR(160)," ")),
              TRIM(SUBSTITUTE(Table4[[#Headers],[Định mức tiêu hao]:[Vượt ĐM]],CHAR(160)," ")),0)
  ),
0)</f>
        <v>0</v>
      </c>
      <c r="J230" s="2293" cm="1">
        <f t="array" ref="J230">IFERROR(
  INDEX(Table4[[Định mức tiêu hao]:[Vượt ĐM]],
        MATCH(1,(Table4[Tháng]=--'Form mẫu'!$U$2)*
                 (Table4[DC]="DC2")*
                 (Table4[Kích thước]='Form mẫu'!$B230)*
                 (Table4[Nguyên liệu, vật tư]='Form mẫu'!$C230),0),
        MATCH(TRIM(SUBSTITUTE(J$227,CHAR(160)," ")),
              TRIM(SUBSTITUTE(Table4[[#Headers],[Định mức tiêu hao]:[Vượt ĐM]],CHAR(160)," ")),0)
  ),
0)</f>
        <v>0</v>
      </c>
      <c r="K230" s="3094" t="s">
        <v>735</v>
      </c>
      <c r="L230" s="3095"/>
      <c r="M230" s="3096">
        <f>F199</f>
        <v>0</v>
      </c>
      <c r="N230" s="3107">
        <f>SUMIFS('Data tổng hợp II'!H:H,'Data tổng hợp II'!B:B,'Form mẫu'!$U$2,'Data tổng hợp II'!C:C,"DC2",'Data tổng hợp II'!D:D,"50x50",'Data tổng hợp II'!E:E,"Bóng")</f>
        <v>0</v>
      </c>
      <c r="O230" s="3108" t="e">
        <f>H199</f>
        <v>#DIV/0!</v>
      </c>
    </row>
    <row r="231" spans="1:15" s="1" customFormat="1" ht="32" customHeight="1" x14ac:dyDescent="0.2">
      <c r="A231" s="1536">
        <v>4</v>
      </c>
      <c r="B231" s="1899" t="s">
        <v>119</v>
      </c>
      <c r="C231" s="3076" t="s">
        <v>1192</v>
      </c>
      <c r="D231" s="3077"/>
      <c r="E231" s="2289" t="s">
        <v>49</v>
      </c>
      <c r="F231" s="2291" cm="1">
        <f t="array" ref="F231">IFERROR(
  INDEX(Table4[[Định mức tiêu hao]:[Vượt ĐM]],
        MATCH(1,(Table4[Tháng]=--'Form mẫu'!$U$2)*
                 (Table4[DC]="DC2")*
                 (Table4[Kích thước]='Form mẫu'!$B231)*
                 (Table4[Nguyên liệu, vật tư]='Form mẫu'!$C231),0),
        MATCH(TRIM(SUBSTITUTE(F$227,CHAR(160)," ")),
              TRIM(SUBSTITUTE(Table4[[#Headers],[Định mức tiêu hao]:[Vượt ĐM]],CHAR(160)," ")),0)
  ),
0)</f>
        <v>0</v>
      </c>
      <c r="G231" s="2292" cm="1">
        <f t="array" ref="G231">IFERROR(
  INDEX(Table4[[Định mức tiêu hao]:[Vượt ĐM]],
        MATCH(1,(Table4[Tháng]=--'Form mẫu'!$U$2)*
                 (Table4[DC]="DC2")*
                 (Table4[Kích thước]='Form mẫu'!$B231)*
                 (Table4[Nguyên liệu, vật tư]='Form mẫu'!$C231),0),
        MATCH(TRIM(SUBSTITUTE(G$227,CHAR(160)," ")),
              TRIM(SUBSTITUTE(Table4[[#Headers],[Định mức tiêu hao]:[Vượt ĐM]],CHAR(160)," ")),0)
  ),
0)</f>
        <v>0</v>
      </c>
      <c r="H231" s="2246" cm="1">
        <f t="array" ref="H231">IFERROR(
  INDEX(Table4[[Định mức tiêu hao]:[Vượt ĐM]],
        MATCH(1,(Table4[Tháng]=--'Form mẫu'!$U$2)*
                 (Table4[DC]="DC2")*
                 (Table4[Kích thước]='Form mẫu'!$B231)*
                 (Table4[Nguyên liệu, vật tư]='Form mẫu'!$C231),0),
        MATCH(TRIM(SUBSTITUTE(H$227,CHAR(160)," ")),
              TRIM(SUBSTITUTE(Table4[[#Headers],[Định mức tiêu hao]:[Vượt ĐM]],CHAR(160)," ")),0)
  ),
0)</f>
        <v>0</v>
      </c>
      <c r="I231" s="2262" cm="1">
        <f t="array" ref="I231">IFERROR(
  INDEX(Table4[[Định mức tiêu hao]:[Vượt ĐM]],
        MATCH(1,(Table4[Tháng]=--'Form mẫu'!$U$2)*
                 (Table4[DC]="DC2")*
                 (Table4[Kích thước]='Form mẫu'!$B231)*
                 (Table4[Nguyên liệu, vật tư]='Form mẫu'!$C231),0),
        MATCH(TRIM(SUBSTITUTE(I$227,CHAR(160)," ")),
              TRIM(SUBSTITUTE(Table4[[#Headers],[Định mức tiêu hao]:[Vượt ĐM]],CHAR(160)," ")),0)
  ),
0)</f>
        <v>0</v>
      </c>
      <c r="J231" s="2262" cm="1">
        <f t="array" ref="J231">IFERROR(
  INDEX(Table4[[Định mức tiêu hao]:[Vượt ĐM]],
        MATCH(1,(Table4[Tháng]=--'Form mẫu'!$U$2)*
                 (Table4[DC]="DC2")*
                 (Table4[Kích thước]='Form mẫu'!$B231)*
                 (Table4[Nguyên liệu, vật tư]='Form mẫu'!$C231),0),
        MATCH(TRIM(SUBSTITUTE(J$227,CHAR(160)," ")),
              TRIM(SUBSTITUTE(Table4[[#Headers],[Định mức tiêu hao]:[Vượt ĐM]],CHAR(160)," ")),0)
  ),
0)</f>
        <v>0</v>
      </c>
      <c r="K231" s="3094" t="s">
        <v>362</v>
      </c>
      <c r="L231" s="3095"/>
      <c r="M231" s="3096">
        <f>M228+M17</f>
        <v>0</v>
      </c>
      <c r="N231" s="3107" t="e" cm="1">
        <f t="array" ref="N231">IF(INDEX('Data tổng hợp I'!M:M,MATCH(1,('Data tổng hợp I'!B:B='Form mẫu'!$U$2)*('Data tổng hợp I'!C:C="DC2")*('Data tổng hợp I'!E:E="Thực hiện")*('Data tổng hợp I'!F:F="m2")*('Data tổng hợp I'!D:D="50x50"),0))="",0,INDEX('Data tổng hợp I'!M:M,MATCH(1,('Data tổng hợp I'!B:B='Form mẫu'!$U$2)*('Data tổng hợp I'!C:C="DC2")*('Data tổng hợp I'!E:E="Thực hiện")*('Data tổng hợp I'!F:F="m2")*('Data tổng hợp I'!D:D="50x50"),0)))+N228</f>
        <v>#N/A</v>
      </c>
      <c r="O231" s="3108" t="e">
        <f>O228+O17</f>
        <v>#DIV/0!</v>
      </c>
    </row>
    <row r="232" spans="1:15" s="1" customFormat="1" ht="32" customHeight="1" x14ac:dyDescent="0.2">
      <c r="A232" s="1536">
        <v>5</v>
      </c>
      <c r="B232" s="1899" t="s">
        <v>119</v>
      </c>
      <c r="C232" s="3076" t="s">
        <v>1182</v>
      </c>
      <c r="D232" s="3077"/>
      <c r="E232" s="2289" t="s">
        <v>49</v>
      </c>
      <c r="F232" s="2291" cm="1">
        <f t="array" ref="F232">IFERROR(
  INDEX(Table4[[Định mức tiêu hao]:[Vượt ĐM]],
        MATCH(1,(Table4[Tháng]=--'Form mẫu'!$U$2)*
                 (Table4[DC]="DC2")*
                 (Table4[Kích thước]='Form mẫu'!$B232)*
                 (Table4[Nguyên liệu, vật tư]='Form mẫu'!$C232),0),
        MATCH(TRIM(SUBSTITUTE(F$227,CHAR(160)," ")),
              TRIM(SUBSTITUTE(Table4[[#Headers],[Định mức tiêu hao]:[Vượt ĐM]],CHAR(160)," ")),0)
  ),
0)</f>
        <v>0</v>
      </c>
      <c r="G232" s="2292" cm="1">
        <f t="array" ref="G232">IFERROR(
  INDEX(Table4[[Định mức tiêu hao]:[Vượt ĐM]],
        MATCH(1,(Table4[Tháng]=--'Form mẫu'!$U$2)*
                 (Table4[DC]="DC2")*
                 (Table4[Kích thước]='Form mẫu'!$B232)*
                 (Table4[Nguyên liệu, vật tư]='Form mẫu'!$C232),0),
        MATCH(TRIM(SUBSTITUTE(G$227,CHAR(160)," ")),
              TRIM(SUBSTITUTE(Table4[[#Headers],[Định mức tiêu hao]:[Vượt ĐM]],CHAR(160)," ")),0)
  ),
0)</f>
        <v>0</v>
      </c>
      <c r="H232" s="2246" cm="1">
        <f t="array" ref="H232">IFERROR(
  INDEX(Table4[[Định mức tiêu hao]:[Vượt ĐM]],
        MATCH(1,(Table4[Tháng]=--'Form mẫu'!$U$2)*
                 (Table4[DC]="DC2")*
                 (Table4[Kích thước]='Form mẫu'!$B232)*
                 (Table4[Nguyên liệu, vật tư]='Form mẫu'!$C232),0),
        MATCH(TRIM(SUBSTITUTE(H$227,CHAR(160)," ")),
              TRIM(SUBSTITUTE(Table4[[#Headers],[Định mức tiêu hao]:[Vượt ĐM]],CHAR(160)," ")),0)
  ),
0)</f>
        <v>0</v>
      </c>
      <c r="I232" s="2262" cm="1">
        <f t="array" ref="I232">IFERROR(
  INDEX(Table4[[Định mức tiêu hao]:[Vượt ĐM]],
        MATCH(1,(Table4[Tháng]=--'Form mẫu'!$U$2)*
                 (Table4[DC]="DC2")*
                 (Table4[Kích thước]='Form mẫu'!$B232)*
                 (Table4[Nguyên liệu, vật tư]='Form mẫu'!$C232),0),
        MATCH(TRIM(SUBSTITUTE(I$227,CHAR(160)," ")),
              TRIM(SUBSTITUTE(Table4[[#Headers],[Định mức tiêu hao]:[Vượt ĐM]],CHAR(160)," ")),0)
  ),
0)</f>
        <v>0</v>
      </c>
      <c r="J232" s="2293" cm="1">
        <f t="array" ref="J232">IFERROR(
  INDEX(Table4[[Định mức tiêu hao]:[Vượt ĐM]],
        MATCH(1,(Table4[Tháng]=--'Form mẫu'!$U$2)*
                 (Table4[DC]="DC2")*
                 (Table4[Kích thước]='Form mẫu'!$B232)*
                 (Table4[Nguyên liệu, vật tư]='Form mẫu'!$C232),0),
        MATCH(TRIM(SUBSTITUTE(J$227,CHAR(160)," ")),
              TRIM(SUBSTITUTE(Table4[[#Headers],[Định mức tiêu hao]:[Vượt ĐM]],CHAR(160)," ")),0)
  ),
0)</f>
        <v>0</v>
      </c>
      <c r="K232" s="2294"/>
      <c r="L232" s="2295"/>
      <c r="M232" s="2295"/>
      <c r="N232" s="2295"/>
      <c r="O232" s="2296"/>
    </row>
    <row r="233" spans="1:15" s="1" customFormat="1" ht="28" customHeight="1" x14ac:dyDescent="0.2">
      <c r="A233" s="1536">
        <v>6</v>
      </c>
      <c r="B233" s="1900" t="s">
        <v>119</v>
      </c>
      <c r="C233" s="3076" t="s">
        <v>1194</v>
      </c>
      <c r="D233" s="3077"/>
      <c r="E233" s="2289" t="s">
        <v>49</v>
      </c>
      <c r="F233" s="2297" cm="1">
        <f t="array" ref="F233">IFERROR(
  INDEX(Table4[[Định mức tiêu hao]:[Vượt ĐM]],
        MATCH(1,(Table4[Tháng]=--'Form mẫu'!$U$2)*
                 (Table4[DC]="DC2")*
                 (Table4[Kích thước]='Form mẫu'!$B233)*
                 (Table4[Nguyên liệu, vật tư]='Form mẫu'!$C233),0),
        MATCH(TRIM(SUBSTITUTE(F$227,CHAR(160)," ")),
              TRIM(SUBSTITUTE(Table4[[#Headers],[Định mức tiêu hao]:[Vượt ĐM]],CHAR(160)," ")),0)
  ),
0)</f>
        <v>0</v>
      </c>
      <c r="G233" s="2298" cm="1">
        <f t="array" ref="G233">IFERROR(
  INDEX(Table4[[Định mức tiêu hao]:[Vượt ĐM]],
        MATCH(1,(Table4[Tháng]=--'Form mẫu'!$U$2)*
                 (Table4[DC]="DC2")*
                 (Table4[Kích thước]='Form mẫu'!$B233)*
                 (Table4[Nguyên liệu, vật tư]='Form mẫu'!$C233),0),
        MATCH(TRIM(SUBSTITUTE(G$227,CHAR(160)," ")),
              TRIM(SUBSTITUTE(Table4[[#Headers],[Định mức tiêu hao]:[Vượt ĐM]],CHAR(160)," ")),0)
  ),
0)</f>
        <v>0</v>
      </c>
      <c r="H233" s="2246" cm="1">
        <f t="array" ref="H233">IFERROR(
  INDEX(Table4[[Định mức tiêu hao]:[Vượt ĐM]],
        MATCH(1,(Table4[Tháng]=--'Form mẫu'!$U$2)*
                 (Table4[DC]="DC2")*
                 (Table4[Kích thước]='Form mẫu'!$B233)*
                 (Table4[Nguyên liệu, vật tư]='Form mẫu'!$C233),0),
        MATCH(TRIM(SUBSTITUTE(H$227,CHAR(160)," ")),
              TRIM(SUBSTITUTE(Table4[[#Headers],[Định mức tiêu hao]:[Vượt ĐM]],CHAR(160)," ")),0)
  ),
0)</f>
        <v>0</v>
      </c>
      <c r="I233" s="2262" cm="1">
        <f t="array" ref="I233">IFERROR(
  INDEX(Table4[[Định mức tiêu hao]:[Vượt ĐM]],
        MATCH(1,(Table4[Tháng]=--'Form mẫu'!$U$2)*
                 (Table4[DC]="DC2")*
                 (Table4[Kích thước]='Form mẫu'!$B233)*
                 (Table4[Nguyên liệu, vật tư]='Form mẫu'!$C233),0),
        MATCH(TRIM(SUBSTITUTE(I$227,CHAR(160)," ")),
              TRIM(SUBSTITUTE(Table4[[#Headers],[Định mức tiêu hao]:[Vượt ĐM]],CHAR(160)," ")),0)
  ),
0)</f>
        <v>0</v>
      </c>
      <c r="J233" s="2293" cm="1">
        <f t="array" ref="J233">IFERROR(
  INDEX(Table4[[Định mức tiêu hao]:[Vượt ĐM]],
        MATCH(1,(Table4[Tháng]=--'Form mẫu'!$U$2)*
                 (Table4[DC]="DC2")*
                 (Table4[Kích thước]='Form mẫu'!$B233)*
                 (Table4[Nguyên liệu, vật tư]='Form mẫu'!$C233),0),
        MATCH(TRIM(SUBSTITUTE(J$227,CHAR(160)," ")),
              TRIM(SUBSTITUTE(Table4[[#Headers],[Định mức tiêu hao]:[Vượt ĐM]],CHAR(160)," ")),0)
  ),
0)</f>
        <v>0</v>
      </c>
      <c r="K233" s="2294"/>
      <c r="L233" s="2295"/>
      <c r="M233" s="2295"/>
      <c r="N233" s="2295"/>
      <c r="O233" s="2296"/>
    </row>
    <row r="234" spans="1:15" s="1" customFormat="1" ht="28" customHeight="1" x14ac:dyDescent="0.2">
      <c r="A234" s="1536">
        <v>7</v>
      </c>
      <c r="B234" s="1899" t="s">
        <v>119</v>
      </c>
      <c r="C234" s="3076" t="s">
        <v>176</v>
      </c>
      <c r="D234" s="3077"/>
      <c r="E234" s="2289" t="s">
        <v>195</v>
      </c>
      <c r="F234" s="2299" cm="1">
        <f t="array" ref="F234">IFERROR(
  INDEX(Table4[[Định mức tiêu hao]:[Vượt ĐM]],
        MATCH(1,(Table4[Tháng]=--'Form mẫu'!$U$2)*
                 (Table4[DC]="DC2")*
                 (Table4[Kích thước]='Form mẫu'!$B234)*
                 (Table4[Nguyên liệu, vật tư]='Form mẫu'!$C234),0),
        MATCH(TRIM(SUBSTITUTE(F$227,CHAR(160)," ")),
              TRIM(SUBSTITUTE(Table4[[#Headers],[Định mức tiêu hao]:[Vượt ĐM]],CHAR(160)," ")),0)
  ),
0)</f>
        <v>0</v>
      </c>
      <c r="G234" s="2298" cm="1">
        <f t="array" ref="G234">IFERROR(
  INDEX(Table4[[Định mức tiêu hao]:[Vượt ĐM]],
        MATCH(1,(Table4[Tháng]=--'Form mẫu'!$U$2)*
                 (Table4[DC]="DC2")*
                 (Table4[Kích thước]='Form mẫu'!$B234)*
                 (Table4[Nguyên liệu, vật tư]='Form mẫu'!$C234),0),
        MATCH(TRIM(SUBSTITUTE(G$227,CHAR(160)," ")),
              TRIM(SUBSTITUTE(Table4[[#Headers],[Định mức tiêu hao]:[Vượt ĐM]],CHAR(160)," ")),0)
  ),
0)</f>
        <v>0</v>
      </c>
      <c r="H234" s="2246" cm="1">
        <f t="array" ref="H234">IFERROR(
  INDEX(Table4[[Định mức tiêu hao]:[Vượt ĐM]],
        MATCH(1,(Table4[Tháng]=--'Form mẫu'!$U$2)*
                 (Table4[DC]="DC2")*
                 (Table4[Kích thước]='Form mẫu'!$B234)*
                 (Table4[Nguyên liệu, vật tư]='Form mẫu'!$C234),0),
        MATCH(TRIM(SUBSTITUTE(H$227,CHAR(160)," ")),
              TRIM(SUBSTITUTE(Table4[[#Headers],[Định mức tiêu hao]:[Vượt ĐM]],CHAR(160)," ")),0)
  ),
0)</f>
        <v>0</v>
      </c>
      <c r="I234" s="2300" cm="1">
        <f t="array" ref="I234">IFERROR(
  INDEX(Table4[[Định mức tiêu hao]:[Vượt ĐM]],
        MATCH(1,(Table4[Tháng]=--'Form mẫu'!$U$2)*
                 (Table4[DC]="DC2")*
                 (Table4[Kích thước]='Form mẫu'!$B234)*
                 (Table4[Nguyên liệu, vật tư]='Form mẫu'!$C234),0),
        MATCH(TRIM(SUBSTITUTE(I$227,CHAR(160)," ")),
              TRIM(SUBSTITUTE(Table4[[#Headers],[Định mức tiêu hao]:[Vượt ĐM]],CHAR(160)," ")),0)
  ),
0)</f>
        <v>0</v>
      </c>
      <c r="J234" s="2293" cm="1">
        <f t="array" ref="J234">IFERROR(
  INDEX(Table4[[Định mức tiêu hao]:[Vượt ĐM]],
        MATCH(1,(Table4[Tháng]=--'Form mẫu'!$U$2)*
                 (Table4[DC]="DC2")*
                 (Table4[Kích thước]='Form mẫu'!$B234)*
                 (Table4[Nguyên liệu, vật tư]='Form mẫu'!$C234),0),
        MATCH(TRIM(SUBSTITUTE(J$227,CHAR(160)," ")),
              TRIM(SUBSTITUTE(Table4[[#Headers],[Định mức tiêu hao]:[Vượt ĐM]],CHAR(160)," ")),0)
  ),
0)</f>
        <v>0</v>
      </c>
      <c r="K234" s="2294"/>
      <c r="L234" s="2295"/>
      <c r="M234" s="2295"/>
      <c r="N234" s="2295"/>
      <c r="O234" s="2296"/>
    </row>
    <row r="235" spans="1:15" s="1" customFormat="1" ht="28" customHeight="1" x14ac:dyDescent="0.2">
      <c r="A235" s="1536">
        <v>8</v>
      </c>
      <c r="B235" s="1899" t="s">
        <v>119</v>
      </c>
      <c r="C235" s="3076" t="s">
        <v>177</v>
      </c>
      <c r="D235" s="3077"/>
      <c r="E235" s="2289" t="s">
        <v>49</v>
      </c>
      <c r="F235" s="2291" cm="1">
        <f t="array" ref="F235">IFERROR(
  INDEX(Table4[[Định mức tiêu hao]:[Vượt ĐM]],
        MATCH(1,(Table4[Tháng]=--'Form mẫu'!$U$2)*
                 (Table4[DC]="DC2")*
                 (Table4[Kích thước]='Form mẫu'!$B235)*
                 (Table4[Nguyên liệu, vật tư]='Form mẫu'!$C235),0),
        MATCH(TRIM(SUBSTITUTE(F$227,CHAR(160)," ")),
              TRIM(SUBSTITUTE(Table4[[#Headers],[Định mức tiêu hao]:[Vượt ĐM]],CHAR(160)," ")),0)
  ),
0)</f>
        <v>0</v>
      </c>
      <c r="G235" s="2292" cm="1">
        <f t="array" ref="G235">IFERROR(
  INDEX(Table4[[Định mức tiêu hao]:[Vượt ĐM]],
        MATCH(1,(Table4[Tháng]=--'Form mẫu'!$U$2)*
                 (Table4[DC]="DC2")*
                 (Table4[Kích thước]='Form mẫu'!$B235)*
                 (Table4[Nguyên liệu, vật tư]='Form mẫu'!$C235),0),
        MATCH(TRIM(SUBSTITUTE(G$227,CHAR(160)," ")),
              TRIM(SUBSTITUTE(Table4[[#Headers],[Định mức tiêu hao]:[Vượt ĐM]],CHAR(160)," ")),0)
  ),
0)</f>
        <v>0</v>
      </c>
      <c r="H235" s="2246" cm="1">
        <f t="array" ref="H235">IFERROR(
  INDEX(Table4[[Định mức tiêu hao]:[Vượt ĐM]],
        MATCH(1,(Table4[Tháng]=--'Form mẫu'!$U$2)*
                 (Table4[DC]="DC2")*
                 (Table4[Kích thước]='Form mẫu'!$B235)*
                 (Table4[Nguyên liệu, vật tư]='Form mẫu'!$C235),0),
        MATCH(TRIM(SUBSTITUTE(H$227,CHAR(160)," ")),
              TRIM(SUBSTITUTE(Table4[[#Headers],[Định mức tiêu hao]:[Vượt ĐM]],CHAR(160)," ")),0)
  ),
0)</f>
        <v>0</v>
      </c>
      <c r="I235" s="2300" cm="1">
        <f t="array" ref="I235">IFERROR(
  INDEX(Table4[[Định mức tiêu hao]:[Vượt ĐM]],
        MATCH(1,(Table4[Tháng]=--'Form mẫu'!$U$2)*
                 (Table4[DC]="DC2")*
                 (Table4[Kích thước]='Form mẫu'!$B235)*
                 (Table4[Nguyên liệu, vật tư]='Form mẫu'!$C235),0),
        MATCH(TRIM(SUBSTITUTE(I$227,CHAR(160)," ")),
              TRIM(SUBSTITUTE(Table4[[#Headers],[Định mức tiêu hao]:[Vượt ĐM]],CHAR(160)," ")),0)
  ),
0)</f>
        <v>0</v>
      </c>
      <c r="J235" s="2293" cm="1">
        <f t="array" ref="J235">IFERROR(
  INDEX(Table4[[Định mức tiêu hao]:[Vượt ĐM]],
        MATCH(1,(Table4[Tháng]=--'Form mẫu'!$U$2)*
                 (Table4[DC]="DC2")*
                 (Table4[Kích thước]='Form mẫu'!$B235)*
                 (Table4[Nguyên liệu, vật tư]='Form mẫu'!$C235),0),
        MATCH(TRIM(SUBSTITUTE(J$227,CHAR(160)," ")),
              TRIM(SUBSTITUTE(Table4[[#Headers],[Định mức tiêu hao]:[Vượt ĐM]],CHAR(160)," ")),0)
  ),
0)</f>
        <v>0</v>
      </c>
      <c r="K235" s="2294"/>
      <c r="L235" s="2295"/>
      <c r="M235" s="2295"/>
      <c r="N235" s="2295"/>
      <c r="O235" s="2296"/>
    </row>
    <row r="236" spans="1:15" s="1" customFormat="1" ht="28" customHeight="1" x14ac:dyDescent="0.2">
      <c r="A236" s="1536">
        <v>9</v>
      </c>
      <c r="B236" s="1899" t="s">
        <v>119</v>
      </c>
      <c r="C236" s="3076" t="s">
        <v>178</v>
      </c>
      <c r="D236" s="3077"/>
      <c r="E236" s="2289" t="s">
        <v>49</v>
      </c>
      <c r="F236" s="2299" cm="1">
        <f t="array" ref="F236">IFERROR(
  INDEX(Table4[[Định mức tiêu hao]:[Vượt ĐM]],
        MATCH(1,(Table4[Tháng]=--'Form mẫu'!$U$2)*
                 (Table4[DC]="DC2")*
                 (Table4[Kích thước]='Form mẫu'!$B236)*
                 (Table4[Nguyên liệu, vật tư]='Form mẫu'!$C236),0),
        MATCH(TRIM(SUBSTITUTE(F$227,CHAR(160)," ")),
              TRIM(SUBSTITUTE(Table4[[#Headers],[Định mức tiêu hao]:[Vượt ĐM]],CHAR(160)," ")),0)
  ),
0)</f>
        <v>0</v>
      </c>
      <c r="G236" s="2298" cm="1">
        <f t="array" ref="G236">IFERROR(
  INDEX(Table4[[Định mức tiêu hao]:[Vượt ĐM]],
        MATCH(1,(Table4[Tháng]=--'Form mẫu'!$U$2)*
                 (Table4[DC]="DC2")*
                 (Table4[Kích thước]='Form mẫu'!$B236)*
                 (Table4[Nguyên liệu, vật tư]='Form mẫu'!$C236),0),
        MATCH(TRIM(SUBSTITUTE(G$227,CHAR(160)," ")),
              TRIM(SUBSTITUTE(Table4[[#Headers],[Định mức tiêu hao]:[Vượt ĐM]],CHAR(160)," ")),0)
  ),
0)</f>
        <v>0</v>
      </c>
      <c r="H236" s="2246" cm="1">
        <f t="array" ref="H236">IFERROR(
  INDEX(Table4[[Định mức tiêu hao]:[Vượt ĐM]],
        MATCH(1,(Table4[Tháng]=--'Form mẫu'!$U$2)*
                 (Table4[DC]="DC2")*
                 (Table4[Kích thước]='Form mẫu'!$B236)*
                 (Table4[Nguyên liệu, vật tư]='Form mẫu'!$C236),0),
        MATCH(TRIM(SUBSTITUTE(H$227,CHAR(160)," ")),
              TRIM(SUBSTITUTE(Table4[[#Headers],[Định mức tiêu hao]:[Vượt ĐM]],CHAR(160)," ")),0)
  ),
0)</f>
        <v>0</v>
      </c>
      <c r="I236" s="2300" cm="1">
        <f t="array" ref="I236">IFERROR(
  INDEX(Table4[[Định mức tiêu hao]:[Vượt ĐM]],
        MATCH(1,(Table4[Tháng]=--'Form mẫu'!$U$2)*
                 (Table4[DC]="DC2")*
                 (Table4[Kích thước]='Form mẫu'!$B236)*
                 (Table4[Nguyên liệu, vật tư]='Form mẫu'!$C236),0),
        MATCH(TRIM(SUBSTITUTE(I$227,CHAR(160)," ")),
              TRIM(SUBSTITUTE(Table4[[#Headers],[Định mức tiêu hao]:[Vượt ĐM]],CHAR(160)," ")),0)
  ),
0)</f>
        <v>0</v>
      </c>
      <c r="J236" s="2293" cm="1">
        <f t="array" ref="J236">IFERROR(
  INDEX(Table4[[Định mức tiêu hao]:[Vượt ĐM]],
        MATCH(1,(Table4[Tháng]=--'Form mẫu'!$U$2)*
                 (Table4[DC]="DC2")*
                 (Table4[Kích thước]='Form mẫu'!$B236)*
                 (Table4[Nguyên liệu, vật tư]='Form mẫu'!$C236),0),
        MATCH(TRIM(SUBSTITUTE(J$227,CHAR(160)," ")),
              TRIM(SUBSTITUTE(Table4[[#Headers],[Định mức tiêu hao]:[Vượt ĐM]],CHAR(160)," ")),0)
  ),
0)</f>
        <v>0</v>
      </c>
      <c r="K236" s="2294"/>
      <c r="L236" s="2295"/>
      <c r="M236" s="2295"/>
      <c r="N236" s="2295"/>
      <c r="O236" s="2296"/>
    </row>
    <row r="237" spans="1:15" s="1" customFormat="1" ht="28" customHeight="1" x14ac:dyDescent="0.2">
      <c r="A237" s="1536">
        <v>10</v>
      </c>
      <c r="B237" s="1899" t="s">
        <v>119</v>
      </c>
      <c r="C237" s="3076" t="s">
        <v>182</v>
      </c>
      <c r="D237" s="3077"/>
      <c r="E237" s="2289" t="s">
        <v>49</v>
      </c>
      <c r="F237" s="2301" cm="1">
        <f t="array" ref="F237">IFERROR(
  INDEX(Table4[[Định mức tiêu hao]:[Vượt ĐM]],
        MATCH(1,(Table4[Tháng]=--'Form mẫu'!$U$2)*
                 (Table4[DC]="DC2")*
                 (Table4[Kích thước]='Form mẫu'!$B237)*
                 (Table4[Nguyên liệu, vật tư]='Form mẫu'!$C237),0),
        MATCH(TRIM(SUBSTITUTE(F$227,CHAR(160)," ")),
              TRIM(SUBSTITUTE(Table4[[#Headers],[Định mức tiêu hao]:[Vượt ĐM]],CHAR(160)," ")),0)
  ),
0)</f>
        <v>0</v>
      </c>
      <c r="G237" s="2261" cm="1">
        <f t="array" ref="G237">IFERROR(
  INDEX(Table4[[Định mức tiêu hao]:[Vượt ĐM]],
        MATCH(1,(Table4[Tháng]=--'Form mẫu'!$U$2)*
                 (Table4[DC]="DC2")*
                 (Table4[Kích thước]='Form mẫu'!$B237)*
                 (Table4[Nguyên liệu, vật tư]='Form mẫu'!$C237),0),
        MATCH(TRIM(SUBSTITUTE(G$227,CHAR(160)," ")),
              TRIM(SUBSTITUTE(Table4[[#Headers],[Định mức tiêu hao]:[Vượt ĐM]],CHAR(160)," ")),0)
  ),
0)</f>
        <v>0</v>
      </c>
      <c r="H237" s="2246" cm="1">
        <f t="array" ref="H237">IFERROR(
  INDEX(Table4[[Định mức tiêu hao]:[Vượt ĐM]],
        MATCH(1,(Table4[Tháng]=--'Form mẫu'!$U$2)*
                 (Table4[DC]="DC2")*
                 (Table4[Kích thước]='Form mẫu'!$B237)*
                 (Table4[Nguyên liệu, vật tư]='Form mẫu'!$C237),0),
        MATCH(TRIM(SUBSTITUTE(H$227,CHAR(160)," ")),
              TRIM(SUBSTITUTE(Table4[[#Headers],[Định mức tiêu hao]:[Vượt ĐM]],CHAR(160)," ")),0)
  ),
0)</f>
        <v>0</v>
      </c>
      <c r="I237" s="2300" cm="1">
        <f t="array" ref="I237">IFERROR(
  INDEX(Table4[[Định mức tiêu hao]:[Vượt ĐM]],
        MATCH(1,(Table4[Tháng]=--'Form mẫu'!$U$2)*
                 (Table4[DC]="DC2")*
                 (Table4[Kích thước]='Form mẫu'!$B237)*
                 (Table4[Nguyên liệu, vật tư]='Form mẫu'!$C237),0),
        MATCH(TRIM(SUBSTITUTE(I$227,CHAR(160)," ")),
              TRIM(SUBSTITUTE(Table4[[#Headers],[Định mức tiêu hao]:[Vượt ĐM]],CHAR(160)," ")),0)
  ),
0)</f>
        <v>0</v>
      </c>
      <c r="J237" s="2293" cm="1">
        <f t="array" ref="J237">IFERROR(
  INDEX(Table4[[Định mức tiêu hao]:[Vượt ĐM]],
        MATCH(1,(Table4[Tháng]=--'Form mẫu'!$U$2)*
                 (Table4[DC]="DC2")*
                 (Table4[Kích thước]='Form mẫu'!$B237)*
                 (Table4[Nguyên liệu, vật tư]='Form mẫu'!$C237),0),
        MATCH(TRIM(SUBSTITUTE(J$227,CHAR(160)," ")),
              TRIM(SUBSTITUTE(Table4[[#Headers],[Định mức tiêu hao]:[Vượt ĐM]],CHAR(160)," ")),0)
  ),
0)</f>
        <v>0</v>
      </c>
      <c r="K237" s="2294"/>
      <c r="L237" s="2295"/>
      <c r="M237" s="2295"/>
      <c r="N237" s="2295"/>
      <c r="O237" s="2296"/>
    </row>
    <row r="238" spans="1:15" s="1" customFormat="1" ht="28" customHeight="1" x14ac:dyDescent="0.2">
      <c r="A238" s="1536">
        <v>11</v>
      </c>
      <c r="B238" s="1899" t="s">
        <v>119</v>
      </c>
      <c r="C238" s="3076" t="s">
        <v>183</v>
      </c>
      <c r="D238" s="3077"/>
      <c r="E238" s="2289" t="s">
        <v>49</v>
      </c>
      <c r="F238" s="2299" cm="1">
        <f t="array" ref="F238">IFERROR(
  INDEX(Table4[[Định mức tiêu hao]:[Vượt ĐM]],
        MATCH(1,(Table4[Tháng]=--'Form mẫu'!$U$2)*
                 (Table4[DC]="DC2")*
                 (Table4[Kích thước]='Form mẫu'!$B238)*
                 (Table4[Nguyên liệu, vật tư]='Form mẫu'!$C238),0),
        MATCH(TRIM(SUBSTITUTE(F$227,CHAR(160)," ")),
              TRIM(SUBSTITUTE(Table4[[#Headers],[Định mức tiêu hao]:[Vượt ĐM]],CHAR(160)," ")),0)
  ),
0)</f>
        <v>0</v>
      </c>
      <c r="G238" s="2298" cm="1">
        <f t="array" ref="G238">IFERROR(
  INDEX(Table4[[Định mức tiêu hao]:[Vượt ĐM]],
        MATCH(1,(Table4[Tháng]=--'Form mẫu'!$U$2)*
                 (Table4[DC]="DC2")*
                 (Table4[Kích thước]='Form mẫu'!$B238)*
                 (Table4[Nguyên liệu, vật tư]='Form mẫu'!$C238),0),
        MATCH(TRIM(SUBSTITUTE(G$227,CHAR(160)," ")),
              TRIM(SUBSTITUTE(Table4[[#Headers],[Định mức tiêu hao]:[Vượt ĐM]],CHAR(160)," ")),0)
  ),
0)</f>
        <v>0</v>
      </c>
      <c r="H238" s="2246" cm="1">
        <f t="array" ref="H238">IFERROR(
  INDEX(Table4[[Định mức tiêu hao]:[Vượt ĐM]],
        MATCH(1,(Table4[Tháng]=--'Form mẫu'!$U$2)*
                 (Table4[DC]="DC2")*
                 (Table4[Kích thước]='Form mẫu'!$B238)*
                 (Table4[Nguyên liệu, vật tư]='Form mẫu'!$C238),0),
        MATCH(TRIM(SUBSTITUTE(H$227,CHAR(160)," ")),
              TRIM(SUBSTITUTE(Table4[[#Headers],[Định mức tiêu hao]:[Vượt ĐM]],CHAR(160)," ")),0)
  ),
0)</f>
        <v>0</v>
      </c>
      <c r="I238" s="2300" cm="1">
        <f t="array" ref="I238">IFERROR(
  INDEX(Table4[[Định mức tiêu hao]:[Vượt ĐM]],
        MATCH(1,(Table4[Tháng]=--'Form mẫu'!$U$2)*
                 (Table4[DC]="DC2")*
                 (Table4[Kích thước]='Form mẫu'!$B238)*
                 (Table4[Nguyên liệu, vật tư]='Form mẫu'!$C238),0),
        MATCH(TRIM(SUBSTITUTE(I$227,CHAR(160)," ")),
              TRIM(SUBSTITUTE(Table4[[#Headers],[Định mức tiêu hao]:[Vượt ĐM]],CHAR(160)," ")),0)
  ),
0)</f>
        <v>0</v>
      </c>
      <c r="J238" s="2293" cm="1">
        <f t="array" ref="J238">IFERROR(
  INDEX(Table4[[Định mức tiêu hao]:[Vượt ĐM]],
        MATCH(1,(Table4[Tháng]=--'Form mẫu'!$U$2)*
                 (Table4[DC]="DC2")*
                 (Table4[Kích thước]='Form mẫu'!$B238)*
                 (Table4[Nguyên liệu, vật tư]='Form mẫu'!$C238),0),
        MATCH(TRIM(SUBSTITUTE(J$227,CHAR(160)," ")),
              TRIM(SUBSTITUTE(Table4[[#Headers],[Định mức tiêu hao]:[Vượt ĐM]],CHAR(160)," ")),0)
  ),
0)</f>
        <v>0</v>
      </c>
      <c r="K238" s="2294"/>
      <c r="L238" s="2295"/>
      <c r="M238" s="2295"/>
      <c r="N238" s="2295"/>
      <c r="O238" s="2296"/>
    </row>
    <row r="239" spans="1:15" s="1" customFormat="1" ht="28" customHeight="1" x14ac:dyDescent="0.2">
      <c r="A239" s="1536">
        <v>12</v>
      </c>
      <c r="B239" s="1899" t="s">
        <v>119</v>
      </c>
      <c r="C239" s="3076" t="s">
        <v>185</v>
      </c>
      <c r="D239" s="3077"/>
      <c r="E239" s="2289" t="s">
        <v>195</v>
      </c>
      <c r="F239" s="2299" cm="1">
        <f t="array" ref="F239">IFERROR(
  INDEX(Table4[[Định mức tiêu hao]:[Vượt ĐM]],
        MATCH(1,(Table4[Tháng]=--'Form mẫu'!$U$2)*
                 (Table4[DC]="DC2")*
                 (Table4[Kích thước]='Form mẫu'!$B239)*
                 (Table4[Nguyên liệu, vật tư]='Form mẫu'!$C239),0),
        MATCH(TRIM(SUBSTITUTE(F$227,CHAR(160)," ")),
              TRIM(SUBSTITUTE(Table4[[#Headers],[Định mức tiêu hao]:[Vượt ĐM]],CHAR(160)," ")),0)
  ),
0)</f>
        <v>0</v>
      </c>
      <c r="G239" s="2298" cm="1">
        <f t="array" ref="G239">IFERROR(
  INDEX(Table4[[Định mức tiêu hao]:[Vượt ĐM]],
        MATCH(1,(Table4[Tháng]=--'Form mẫu'!$U$2)*
                 (Table4[DC]="DC2")*
                 (Table4[Kích thước]='Form mẫu'!$B239)*
                 (Table4[Nguyên liệu, vật tư]='Form mẫu'!$C239),0),
        MATCH(TRIM(SUBSTITUTE(G$227,CHAR(160)," ")),
              TRIM(SUBSTITUTE(Table4[[#Headers],[Định mức tiêu hao]:[Vượt ĐM]],CHAR(160)," ")),0)
  ),
0)</f>
        <v>0</v>
      </c>
      <c r="H239" s="2246" cm="1">
        <f t="array" ref="H239">IFERROR(
  INDEX(Table4[[Định mức tiêu hao]:[Vượt ĐM]],
        MATCH(1,(Table4[Tháng]=--'Form mẫu'!$U$2)*
                 (Table4[DC]="DC2")*
                 (Table4[Kích thước]='Form mẫu'!$B239)*
                 (Table4[Nguyên liệu, vật tư]='Form mẫu'!$C239),0),
        MATCH(TRIM(SUBSTITUTE(H$227,CHAR(160)," ")),
              TRIM(SUBSTITUTE(Table4[[#Headers],[Định mức tiêu hao]:[Vượt ĐM]],CHAR(160)," ")),0)
  ),
0)</f>
        <v>0</v>
      </c>
      <c r="I239" s="2300" cm="1">
        <f t="array" ref="I239">IFERROR(
  INDEX(Table4[[Định mức tiêu hao]:[Vượt ĐM]],
        MATCH(1,(Table4[Tháng]=--'Form mẫu'!$U$2)*
                 (Table4[DC]="DC2")*
                 (Table4[Kích thước]='Form mẫu'!$B239)*
                 (Table4[Nguyên liệu, vật tư]='Form mẫu'!$C239),0),
        MATCH(TRIM(SUBSTITUTE(I$227,CHAR(160)," ")),
              TRIM(SUBSTITUTE(Table4[[#Headers],[Định mức tiêu hao]:[Vượt ĐM]],CHAR(160)," ")),0)
  ),
0)</f>
        <v>0</v>
      </c>
      <c r="J239" s="2293" cm="1">
        <f t="array" ref="J239">IFERROR(
  INDEX(Table4[[Định mức tiêu hao]:[Vượt ĐM]],
        MATCH(1,(Table4[Tháng]=--'Form mẫu'!$U$2)*
                 (Table4[DC]="DC2")*
                 (Table4[Kích thước]='Form mẫu'!$B239)*
                 (Table4[Nguyên liệu, vật tư]='Form mẫu'!$C239),0),
        MATCH(TRIM(SUBSTITUTE(J$227,CHAR(160)," ")),
              TRIM(SUBSTITUTE(Table4[[#Headers],[Định mức tiêu hao]:[Vượt ĐM]],CHAR(160)," ")),0)
  ),
0)</f>
        <v>0</v>
      </c>
      <c r="K239" s="3091" t="s">
        <v>1252</v>
      </c>
      <c r="L239" s="3092"/>
      <c r="M239" s="3092"/>
      <c r="N239" s="3092"/>
      <c r="O239" s="3093"/>
    </row>
    <row r="240" spans="1:15" s="1" customFormat="1" ht="28" customHeight="1" x14ac:dyDescent="0.2">
      <c r="A240" s="1536">
        <v>13</v>
      </c>
      <c r="B240" s="2302" t="s">
        <v>119</v>
      </c>
      <c r="C240" s="3078" t="s">
        <v>179</v>
      </c>
      <c r="D240" s="3079"/>
      <c r="E240" s="2289" t="s">
        <v>195</v>
      </c>
      <c r="F240" s="2299" cm="1">
        <f t="array" ref="F240">IFERROR(
  INDEX(Table4[[Định mức tiêu hao]:[Vượt ĐM]],
        MATCH(1,(Table4[Tháng]=--'Form mẫu'!$U$2)*
                 (Table4[DC]="DC2")*
                 (Table4[Kích thước]='Form mẫu'!$B240)*
                 (Table4[Nguyên liệu, vật tư]='Form mẫu'!$C240),0),
        MATCH(TRIM(SUBSTITUTE(F$227,CHAR(160)," ")),
              TRIM(SUBSTITUTE(Table4[[#Headers],[Định mức tiêu hao]:[Vượt ĐM]],CHAR(160)," ")),0)
  ),
0)</f>
        <v>0</v>
      </c>
      <c r="G240" s="2298" cm="1">
        <f t="array" ref="G240">IFERROR(
  INDEX(Table4[[Định mức tiêu hao]:[Vượt ĐM]],
        MATCH(1,(Table4[Tháng]=--'Form mẫu'!$U$2)*
                 (Table4[DC]="DC2")*
                 (Table4[Kích thước]='Form mẫu'!$B240)*
                 (Table4[Nguyên liệu, vật tư]='Form mẫu'!$C240),0),
        MATCH(TRIM(SUBSTITUTE(G$227,CHAR(160)," ")),
              TRIM(SUBSTITUTE(Table4[[#Headers],[Định mức tiêu hao]:[Vượt ĐM]],CHAR(160)," ")),0)
  ),
0)</f>
        <v>0</v>
      </c>
      <c r="H240" s="2246" cm="1">
        <f t="array" ref="H240">IFERROR(
  INDEX(Table4[[Định mức tiêu hao]:[Vượt ĐM]],
        MATCH(1,(Table4[Tháng]=--'Form mẫu'!$U$2)*
                 (Table4[DC]="DC2")*
                 (Table4[Kích thước]='Form mẫu'!$B240)*
                 (Table4[Nguyên liệu, vật tư]='Form mẫu'!$C240),0),
        MATCH(TRIM(SUBSTITUTE(H$227,CHAR(160)," ")),
              TRIM(SUBSTITUTE(Table4[[#Headers],[Định mức tiêu hao]:[Vượt ĐM]],CHAR(160)," ")),0)
  ),
0)</f>
        <v>0</v>
      </c>
      <c r="I240" s="2300" cm="1">
        <f t="array" ref="I240">IFERROR(
  INDEX(Table4[[Định mức tiêu hao]:[Vượt ĐM]],
        MATCH(1,(Table4[Tháng]=--'Form mẫu'!$U$2)*
                 (Table4[DC]="DC2")*
                 (Table4[Kích thước]='Form mẫu'!$B240)*
                 (Table4[Nguyên liệu, vật tư]='Form mẫu'!$C240),0),
        MATCH(TRIM(SUBSTITUTE(I$227,CHAR(160)," ")),
              TRIM(SUBSTITUTE(Table4[[#Headers],[Định mức tiêu hao]:[Vượt ĐM]],CHAR(160)," ")),0)
  ),
0)</f>
        <v>0</v>
      </c>
      <c r="J240" s="2293" cm="1">
        <f t="array" ref="J240">IFERROR(
  INDEX(Table4[[Định mức tiêu hao]:[Vượt ĐM]],
        MATCH(1,(Table4[Tháng]=--'Form mẫu'!$U$2)*
                 (Table4[DC]="DC2")*
                 (Table4[Kích thước]='Form mẫu'!$B240)*
                 (Table4[Nguyên liệu, vật tư]='Form mẫu'!$C240),0),
        MATCH(TRIM(SUBSTITUTE(J$227,CHAR(160)," ")),
              TRIM(SUBSTITUTE(Table4[[#Headers],[Định mức tiêu hao]:[Vượt ĐM]],CHAR(160)," ")),0)
  ),
0)</f>
        <v>0</v>
      </c>
      <c r="K240" s="3091" t="s">
        <v>1253</v>
      </c>
      <c r="L240" s="3092"/>
      <c r="M240" s="3092"/>
      <c r="N240" s="3092"/>
      <c r="O240" s="3093"/>
    </row>
    <row r="241" spans="1:15" s="1" customFormat="1" ht="28" hidden="1" customHeight="1" x14ac:dyDescent="0.2">
      <c r="A241" s="1536">
        <v>14</v>
      </c>
      <c r="B241" s="2064"/>
      <c r="C241" s="2023" t="s">
        <v>1061</v>
      </c>
      <c r="D241" s="2023"/>
      <c r="E241" s="2022" t="s">
        <v>195</v>
      </c>
      <c r="F241" s="2059" cm="1">
        <f t="array" ref="F241">IFERROR(
  INDEX(Table4[[Định mức tiêu hao]:[Vượt ĐM]],
        MATCH(1,(Table4[Tháng]=--'Form mẫu'!$U$2)*
                 (Table4[DC]="DC2")*
                 (Table4[Kích thước]='Form mẫu'!$B241)*
                 (Table4[Nguyên liệu, vật tư]='Form mẫu'!$C241),0),
        MATCH(TRIM(SUBSTITUTE(F$227,CHAR(160)," ")),
              TRIM(SUBSTITUTE(Table4[[#Headers],[Định mức tiêu hao]:[Vượt ĐM]],CHAR(160)," ")),0)
  ),
0)</f>
        <v>0</v>
      </c>
      <c r="G241" s="2060" cm="1">
        <f t="array" ref="G241">IFERROR(
  INDEX(Table4[[Định mức tiêu hao]:[Vượt ĐM]],
        MATCH(1,(Table4[Tháng]=--'Form mẫu'!$U$2)*
                 (Table4[DC]="DC2")*
                 (Table4[Kích thước]='Form mẫu'!$B241)*
                 (Table4[Nguyên liệu, vật tư]='Form mẫu'!$C241),0),
        MATCH(TRIM(SUBSTITUTE(G$227,CHAR(160)," ")),
              TRIM(SUBSTITUTE(Table4[[#Headers],[Định mức tiêu hao]:[Vượt ĐM]],CHAR(160)," ")),0)
  ),
0)</f>
        <v>0</v>
      </c>
      <c r="H241" s="2061" cm="1">
        <f t="array" ref="H241">IFERROR(
  INDEX(Table4[[Định mức tiêu hao]:[Vượt ĐM]],
        MATCH(1,(Table4[Tháng]=--'Form mẫu'!$U$2)*
                 (Table4[DC]="DC2")*
                 (Table4[Kích thước]='Form mẫu'!$B241)*
                 (Table4[Nguyên liệu, vật tư]='Form mẫu'!$C241),0),
        MATCH(TRIM(SUBSTITUTE(H$227,CHAR(160)," ")),
              TRIM(SUBSTITUTE(Table4[[#Headers],[Định mức tiêu hao]:[Vượt ĐM]],CHAR(160)," ")),0)
  ),
0)</f>
        <v>0</v>
      </c>
      <c r="I241" s="2062" cm="1">
        <f t="array" ref="I241">IFERROR(
  INDEX(Table4[[Định mức tiêu hao]:[Vượt ĐM]],
        MATCH(1,(Table4[Tháng]=--'Form mẫu'!$U$2)*
                 (Table4[DC]="DC2")*
                 (Table4[Kích thước]='Form mẫu'!$B241)*
                 (Table4[Nguyên liệu, vật tư]='Form mẫu'!$C241),0),
        MATCH(TRIM(SUBSTITUTE(I$227,CHAR(160)," ")),
              TRIM(SUBSTITUTE(Table4[[#Headers],[Định mức tiêu hao]:[Vượt ĐM]],CHAR(160)," ")),0)
  ),
0)</f>
        <v>0</v>
      </c>
      <c r="J241" s="2063" cm="1">
        <f t="array" ref="J241">IFERROR(
  INDEX(Table4[[Định mức tiêu hao]:[Vượt ĐM]],
        MATCH(1,(Table4[Tháng]=--'Form mẫu'!$U$2)*
                 (Table4[DC]="DC2")*
                 (Table4[Kích thước]='Form mẫu'!$B241)*
                 (Table4[Nguyên liệu, vật tư]='Form mẫu'!$C241),0),
        MATCH(TRIM(SUBSTITUTE(J$227,CHAR(160)," ")),
              TRIM(SUBSTITUTE(Table4[[#Headers],[Định mức tiêu hao]:[Vượt ĐM]],CHAR(160)," ")),0)
  ),
0)</f>
        <v>0</v>
      </c>
      <c r="K241" s="12"/>
      <c r="L241" s="12"/>
      <c r="M241" s="12"/>
      <c r="N241" s="12"/>
      <c r="O241" s="12"/>
    </row>
    <row r="242" spans="1:15" s="1" customFormat="1" ht="26" hidden="1" customHeight="1" x14ac:dyDescent="0.2">
      <c r="A242" s="3061" t="s">
        <v>737</v>
      </c>
      <c r="B242" s="3061"/>
      <c r="C242" s="3061"/>
      <c r="D242" s="3061"/>
      <c r="E242" s="3061"/>
      <c r="F242" s="3061"/>
      <c r="G242" s="3061"/>
      <c r="H242" s="3061"/>
      <c r="I242" s="3061"/>
      <c r="J242" s="3061"/>
      <c r="K242" s="3061"/>
      <c r="L242" s="3061"/>
      <c r="M242" s="3061"/>
      <c r="N242" s="3061"/>
    </row>
    <row r="243" spans="1:15" s="1" customFormat="1" ht="31" hidden="1" customHeight="1" x14ac:dyDescent="0.2">
      <c r="A243" s="2231" t="s">
        <v>39</v>
      </c>
      <c r="B243" s="2151" t="s">
        <v>6</v>
      </c>
      <c r="C243" s="3097" t="s">
        <v>148</v>
      </c>
      <c r="D243" s="3098"/>
      <c r="E243" s="2231" t="s">
        <v>17</v>
      </c>
      <c r="F243" s="2232" t="s">
        <v>149</v>
      </c>
      <c r="G243" s="2232" t="s">
        <v>1168</v>
      </c>
      <c r="H243" s="2151" t="s">
        <v>151</v>
      </c>
      <c r="I243" s="2233" t="s">
        <v>1029</v>
      </c>
      <c r="J243" s="2234" t="s">
        <v>1030</v>
      </c>
      <c r="K243" s="3080" t="s">
        <v>47</v>
      </c>
      <c r="L243" s="3081"/>
      <c r="M243" s="3081"/>
      <c r="N243" s="3081"/>
      <c r="O243" s="3082"/>
    </row>
    <row r="244" spans="1:15" s="1" customFormat="1" ht="28" hidden="1" customHeight="1" x14ac:dyDescent="0.2">
      <c r="A244" s="2303">
        <v>1</v>
      </c>
      <c r="B244" s="2152" t="s">
        <v>122</v>
      </c>
      <c r="C244" s="3056" t="s">
        <v>163</v>
      </c>
      <c r="D244" s="3057"/>
      <c r="E244" s="2185" t="s">
        <v>49</v>
      </c>
      <c r="F244" s="2285" cm="1">
        <f t="array" ref="F244">IFERROR(
  INDEX(Table4[[Định mức tiêu hao]:[Vượt ĐM]],
        MATCH(1,(Table4[Tháng]=--'Form mẫu'!$U$2)*
                 (Table4[DC]="DC2")*
                 (Table4[Kích thước]='Form mẫu'!$B244)*
                 (Table4[Nguyên liệu, vật tư]='Form mẫu'!$C244),0),
        MATCH(TRIM(SUBSTITUTE(F$243,CHAR(160)," ")),
              TRIM(SUBSTITUTE(Table4[[#Headers],[Định mức tiêu hao]:[Vượt ĐM]],CHAR(160)," ")),0)
  ),
0)</f>
        <v>0</v>
      </c>
      <c r="G244" s="2237" cm="1">
        <f t="array" ref="G244">IFERROR(
  INDEX(Table4[[Định mức tiêu hao]:[Vượt ĐM]],
        MATCH(1,(Table4[Tháng]=--'Form mẫu'!$U$2)*
                 (Table4[DC]="DC2")*
                 (Table4[Kích thước]='Form mẫu'!$B244)*
                 (Table4[Nguyên liệu, vật tư]='Form mẫu'!$C244),0),
        MATCH(TRIM(SUBSTITUTE(G$243,CHAR(160)," ")),
              TRIM(SUBSTITUTE(Table4[[#Headers],[Định mức tiêu hao]:[Vượt ĐM]],CHAR(160)," ")),0)
  ),
0)</f>
        <v>0</v>
      </c>
      <c r="H244" s="2235" cm="1">
        <f t="array" ref="H244">IFERROR(
  INDEX(Table4[[Định mức tiêu hao]:[Vượt ĐM]],
        MATCH(1,(Table4[Tháng]=--'Form mẫu'!$U$2)*
                 (Table4[DC]="DC2")*
                 (Table4[Kích thước]='Form mẫu'!$B244)*
                 (Table4[Nguyên liệu, vật tư]='Form mẫu'!$C244),0),
        MATCH(TRIM(SUBSTITUTE(H$243,CHAR(160)," ")),
              TRIM(SUBSTITUTE(Table4[[#Headers],[Định mức tiêu hao]:[Vượt ĐM]],CHAR(160)," ")),0)
  ),
0)</f>
        <v>0</v>
      </c>
      <c r="I244" s="2238" cm="1">
        <f t="array" ref="I244">IFERROR(
  INDEX(Table4[[Định mức tiêu hao]:[Vượt ĐM]],
        MATCH(1,(Table4[Tháng]=--'Form mẫu'!$U$2)*
                 (Table4[DC]="DC2")*
                 (Table4[Kích thước]='Form mẫu'!$B244)*
                 (Table4[Nguyên liệu, vật tư]='Form mẫu'!$C244),0),
        MATCH(TRIM(SUBSTITUTE(I$243,CHAR(160)," ")),
              TRIM(SUBSTITUTE(Table4[[#Headers],[Định mức tiêu hao]:[Vượt ĐM]],CHAR(160)," ")),0)
  ),
0)</f>
        <v>0</v>
      </c>
      <c r="J244" s="2287" cm="1">
        <f t="array" ref="J244">IFERROR(
  INDEX(Table4[[Định mức tiêu hao]:[Vượt ĐM]],
        MATCH(1,(Table4[Tháng]=--'Form mẫu'!$U$2)*
                 (Table4[DC]="DC2")*
                 (Table4[Kích thước]='Form mẫu'!$B244)*
                 (Table4[Nguyên liệu, vật tư]='Form mẫu'!$C244),0),
        MATCH(TRIM(SUBSTITUTE(J$243,CHAR(160)," ")),
              TRIM(SUBSTITUTE(Table4[[#Headers],[Định mức tiêu hao]:[Vượt ĐM]],CHAR(160)," ")),0)
  ),
0)</f>
        <v>0</v>
      </c>
      <c r="K244" s="3220" t="s">
        <v>165</v>
      </c>
      <c r="L244" s="3221"/>
      <c r="M244" s="3222"/>
      <c r="N244" s="3103">
        <f>SUMIFS('Data tổng hợp II'!H:H,'Data tổng hợp II'!B:B,'Form mẫu'!$U$2,'Data tổng hợp II'!C:C,"DC2",'Data tổng hợp II'!D:D,"60x60")</f>
        <v>0</v>
      </c>
      <c r="O244" s="3104">
        <f>F200+F201</f>
        <v>0</v>
      </c>
    </row>
    <row r="245" spans="1:15" s="1" customFormat="1" ht="28" hidden="1" customHeight="1" x14ac:dyDescent="0.2">
      <c r="A245" s="2303">
        <v>2</v>
      </c>
      <c r="B245" s="2067" t="s">
        <v>122</v>
      </c>
      <c r="C245" s="3056" t="s">
        <v>1180</v>
      </c>
      <c r="D245" s="3057"/>
      <c r="E245" s="2185" t="s">
        <v>49</v>
      </c>
      <c r="F245" s="2236" cm="1">
        <f t="array" ref="F245">IFERROR(
  INDEX(Table4[[Định mức tiêu hao]:[Vượt ĐM]],
        MATCH(1,(Table4[Tháng]=--'Form mẫu'!$U$2)*
                 (Table4[DC]="DC2")*
                 (Table4[Kích thước]='Form mẫu'!$B245)*
                 (Table4[Nguyên liệu, vật tư]='Form mẫu'!$C245),0),
        MATCH(TRIM(SUBSTITUTE(F$243,CHAR(160)," ")),
              TRIM(SUBSTITUTE(Table4[[#Headers],[Định mức tiêu hao]:[Vượt ĐM]],CHAR(160)," ")),0)
  ),
0)</f>
        <v>0</v>
      </c>
      <c r="G245" s="2286" cm="1">
        <f t="array" ref="G245">IFERROR(
  INDEX(Table4[[Định mức tiêu hao]:[Vượt ĐM]],
        MATCH(1,(Table4[Tháng]=--'Form mẫu'!$U$2)*
                 (Table4[DC]="DC2")*
                 (Table4[Kích thước]='Form mẫu'!$B245)*
                 (Table4[Nguyên liệu, vật tư]='Form mẫu'!$C245),0),
        MATCH(TRIM(SUBSTITUTE(G$243,CHAR(160)," ")),
              TRIM(SUBSTITUTE(Table4[[#Headers],[Định mức tiêu hao]:[Vượt ĐM]],CHAR(160)," ")),0)
  ),
0)</f>
        <v>0</v>
      </c>
      <c r="H245" s="2235" cm="1">
        <f t="array" ref="H245">IFERROR(
  INDEX(Table4[[Định mức tiêu hao]:[Vượt ĐM]],
        MATCH(1,(Table4[Tháng]=--'Form mẫu'!$U$2)*
                 (Table4[DC]="DC2")*
                 (Table4[Kích thước]='Form mẫu'!$B245)*
                 (Table4[Nguyên liệu, vật tư]='Form mẫu'!$C245),0),
        MATCH(TRIM(SUBSTITUTE(H$243,CHAR(160)," ")),
              TRIM(SUBSTITUTE(Table4[[#Headers],[Định mức tiêu hao]:[Vượt ĐM]],CHAR(160)," ")),0)
  ),
0)</f>
        <v>0</v>
      </c>
      <c r="I245" s="2304" cm="1">
        <f t="array" ref="I245">IFERROR(
  INDEX(Table4[[Định mức tiêu hao]:[Vượt ĐM]],
        MATCH(1,(Table4[Tháng]=--'Form mẫu'!$U$2)*
                 (Table4[DC]="DC2")*
                 (Table4[Kích thước]='Form mẫu'!$B245)*
                 (Table4[Nguyên liệu, vật tư]='Form mẫu'!$C245),0),
        MATCH(TRIM(SUBSTITUTE(I$243,CHAR(160)," ")),
              TRIM(SUBSTITUTE(Table4[[#Headers],[Định mức tiêu hao]:[Vượt ĐM]],CHAR(160)," ")),0)
  ),
0)</f>
        <v>0</v>
      </c>
      <c r="J245" s="2238" cm="1">
        <f t="array" ref="J245">IFERROR(
  INDEX(Table4[[Định mức tiêu hao]:[Vượt ĐM]],
        MATCH(1,(Table4[Tháng]=--'Form mẫu'!$U$2)*
                 (Table4[DC]="DC2")*
                 (Table4[Kích thước]='Form mẫu'!$B245)*
                 (Table4[Nguyên liệu, vật tư]='Form mẫu'!$C245),0),
        MATCH(TRIM(SUBSTITUTE(J$243,CHAR(160)," ")),
              TRIM(SUBSTITUTE(Table4[[#Headers],[Định mức tiêu hao]:[Vượt ĐM]],CHAR(160)," ")),0)
  ),
0)</f>
        <v>0</v>
      </c>
      <c r="K245" s="3099" t="s">
        <v>741</v>
      </c>
      <c r="L245" s="3099"/>
      <c r="M245" s="3099"/>
      <c r="N245" s="3105">
        <f>SUMIFS('Data tổng hợp II'!H:H,'Data tổng hợp II'!B:B,'Form mẫu'!$U$2,'Data tổng hợp II'!C:C,"DC2",'Data tổng hợp II'!D:D,"60x60",'Data tổng hợp II'!E:E,"Matt")</f>
        <v>0</v>
      </c>
      <c r="O245" s="3106">
        <f>F201</f>
        <v>0</v>
      </c>
    </row>
    <row r="246" spans="1:15" s="1" customFormat="1" ht="28" hidden="1" customHeight="1" x14ac:dyDescent="0.2">
      <c r="A246" s="2303">
        <v>3</v>
      </c>
      <c r="B246" s="2067" t="s">
        <v>122</v>
      </c>
      <c r="C246" s="3056" t="s">
        <v>1191</v>
      </c>
      <c r="D246" s="3057"/>
      <c r="E246" s="2185" t="s">
        <v>49</v>
      </c>
      <c r="F246" s="2236" cm="1">
        <f t="array" ref="F246">IFERROR(
  INDEX(Table4[[Định mức tiêu hao]:[Vượt ĐM]],
        MATCH(1,(Table4[Tháng]=--'Form mẫu'!$U$2)*
                 (Table4[DC]="DC2")*
                 (Table4[Kích thước]='Form mẫu'!$B246)*
                 (Table4[Nguyên liệu, vật tư]='Form mẫu'!$C246),0),
        MATCH(TRIM(SUBSTITUTE(F$243,CHAR(160)," ")),
              TRIM(SUBSTITUTE(Table4[[#Headers],[Định mức tiêu hao]:[Vượt ĐM]],CHAR(160)," ")),0)
  ),
0)</f>
        <v>0</v>
      </c>
      <c r="G246" s="2286" cm="1">
        <f t="array" ref="G246">IFERROR(
  INDEX(Table4[[Định mức tiêu hao]:[Vượt ĐM]],
        MATCH(1,(Table4[Tháng]=--'Form mẫu'!$U$2)*
                 (Table4[DC]="DC2")*
                 (Table4[Kích thước]='Form mẫu'!$B246)*
                 (Table4[Nguyên liệu, vật tư]='Form mẫu'!$C246),0),
        MATCH(TRIM(SUBSTITUTE(G$243,CHAR(160)," ")),
              TRIM(SUBSTITUTE(Table4[[#Headers],[Định mức tiêu hao]:[Vượt ĐM]],CHAR(160)," ")),0)
  ),
0)</f>
        <v>0</v>
      </c>
      <c r="H246" s="2235" cm="1">
        <f t="array" ref="H246">IFERROR(
  INDEX(Table4[[Định mức tiêu hao]:[Vượt ĐM]],
        MATCH(1,(Table4[Tháng]=--'Form mẫu'!$U$2)*
                 (Table4[DC]="DC2")*
                 (Table4[Kích thước]='Form mẫu'!$B246)*
                 (Table4[Nguyên liệu, vật tư]='Form mẫu'!$C246),0),
        MATCH(TRIM(SUBSTITUTE(H$243,CHAR(160)," ")),
              TRIM(SUBSTITUTE(Table4[[#Headers],[Định mức tiêu hao]:[Vượt ĐM]],CHAR(160)," ")),0)
  ),
0)</f>
        <v>0</v>
      </c>
      <c r="I246" s="2238" cm="1">
        <f t="array" ref="I246">IFERROR(
  INDEX(Table4[[Định mức tiêu hao]:[Vượt ĐM]],
        MATCH(1,(Table4[Tháng]=--'Form mẫu'!$U$2)*
                 (Table4[DC]="DC2")*
                 (Table4[Kích thước]='Form mẫu'!$B246)*
                 (Table4[Nguyên liệu, vật tư]='Form mẫu'!$C246),0),
        MATCH(TRIM(SUBSTITUTE(I$243,CHAR(160)," ")),
              TRIM(SUBSTITUTE(Table4[[#Headers],[Định mức tiêu hao]:[Vượt ĐM]],CHAR(160)," ")),0)
  ),
0)</f>
        <v>0</v>
      </c>
      <c r="J246" s="2287" cm="1">
        <f t="array" ref="J246">IFERROR(
  INDEX(Table4[[Định mức tiêu hao]:[Vượt ĐM]],
        MATCH(1,(Table4[Tháng]=--'Form mẫu'!$U$2)*
                 (Table4[DC]="DC2")*
                 (Table4[Kích thước]='Form mẫu'!$B246)*
                 (Table4[Nguyên liệu, vật tư]='Form mẫu'!$C246),0),
        MATCH(TRIM(SUBSTITUTE(J$243,CHAR(160)," ")),
              TRIM(SUBSTITUTE(Table4[[#Headers],[Định mức tiêu hao]:[Vượt ĐM]],CHAR(160)," ")),0)
  ),
0)</f>
        <v>0</v>
      </c>
      <c r="K246" s="3099" t="s">
        <v>735</v>
      </c>
      <c r="L246" s="3099"/>
      <c r="M246" s="3099"/>
      <c r="N246" s="3105">
        <f>SUMIFS('Data tổng hợp II'!H:H,'Data tổng hợp II'!B:B,'Form mẫu'!$U$2,'Data tổng hợp II'!C:C,"DC2",'Data tổng hợp II'!D:D,"60x60",'Data tổng hợp II'!E:E,"Matt")</f>
        <v>0</v>
      </c>
      <c r="O246" s="3106">
        <f t="shared" ref="O246:O247" si="13">F202</f>
        <v>0</v>
      </c>
    </row>
    <row r="247" spans="1:15" s="1" customFormat="1" ht="28" hidden="1" customHeight="1" x14ac:dyDescent="0.2">
      <c r="A247" s="2303">
        <v>4</v>
      </c>
      <c r="B247" s="2067" t="s">
        <v>122</v>
      </c>
      <c r="C247" s="3056" t="s">
        <v>1182</v>
      </c>
      <c r="D247" s="3057"/>
      <c r="E247" s="2185" t="s">
        <v>49</v>
      </c>
      <c r="F247" s="2236" cm="1">
        <f t="array" ref="F247">IFERROR(
  INDEX(Table4[[Định mức tiêu hao]:[Vượt ĐM]],
        MATCH(1,(Table4[Tháng]=--'Form mẫu'!$U$2)*
                 (Table4[DC]="DC2")*
                 (Table4[Kích thước]='Form mẫu'!$B247)*
                 (Table4[Nguyên liệu, vật tư]='Form mẫu'!$C247),0),
        MATCH(TRIM(SUBSTITUTE(F$243,CHAR(160)," ")),
              TRIM(SUBSTITUTE(Table4[[#Headers],[Định mức tiêu hao]:[Vượt ĐM]],CHAR(160)," ")),0)
  ),
0)</f>
        <v>0</v>
      </c>
      <c r="G247" s="2286" cm="1">
        <f t="array" ref="G247">IFERROR(
  INDEX(Table4[[Định mức tiêu hao]:[Vượt ĐM]],
        MATCH(1,(Table4[Tháng]=--'Form mẫu'!$U$2)*
                 (Table4[DC]="DC2")*
                 (Table4[Kích thước]='Form mẫu'!$B247)*
                 (Table4[Nguyên liệu, vật tư]='Form mẫu'!$C247),0),
        MATCH(TRIM(SUBSTITUTE(G$243,CHAR(160)," ")),
              TRIM(SUBSTITUTE(Table4[[#Headers],[Định mức tiêu hao]:[Vượt ĐM]],CHAR(160)," ")),0)
  ),
0)</f>
        <v>0</v>
      </c>
      <c r="H247" s="2235" cm="1">
        <f t="array" ref="H247">IFERROR(
  INDEX(Table4[[Định mức tiêu hao]:[Vượt ĐM]],
        MATCH(1,(Table4[Tháng]=--'Form mẫu'!$U$2)*
                 (Table4[DC]="DC2")*
                 (Table4[Kích thước]='Form mẫu'!$B247)*
                 (Table4[Nguyên liệu, vật tư]='Form mẫu'!$C247),0),
        MATCH(TRIM(SUBSTITUTE(H$243,CHAR(160)," ")),
              TRIM(SUBSTITUTE(Table4[[#Headers],[Định mức tiêu hao]:[Vượt ĐM]],CHAR(160)," ")),0)
  ),
0)</f>
        <v>0</v>
      </c>
      <c r="I247" s="2238" cm="1">
        <f t="array" ref="I247">IFERROR(
  INDEX(Table4[[Định mức tiêu hao]:[Vượt ĐM]],
        MATCH(1,(Table4[Tháng]=--'Form mẫu'!$U$2)*
                 (Table4[DC]="DC2")*
                 (Table4[Kích thước]='Form mẫu'!$B247)*
                 (Table4[Nguyên liệu, vật tư]='Form mẫu'!$C247),0),
        MATCH(TRIM(SUBSTITUTE(I$243,CHAR(160)," ")),
              TRIM(SUBSTITUTE(Table4[[#Headers],[Định mức tiêu hao]:[Vượt ĐM]],CHAR(160)," ")),0)
  ),
0)</f>
        <v>0</v>
      </c>
      <c r="J247" s="2287" cm="1">
        <f t="array" ref="J247">IFERROR(
  INDEX(Table4[[Định mức tiêu hao]:[Vượt ĐM]],
        MATCH(1,(Table4[Tháng]=--'Form mẫu'!$U$2)*
                 (Table4[DC]="DC2")*
                 (Table4[Kích thước]='Form mẫu'!$B247)*
                 (Table4[Nguyên liệu, vật tư]='Form mẫu'!$C247),0),
        MATCH(TRIM(SUBSTITUTE(J$243,CHAR(160)," ")),
              TRIM(SUBSTITUTE(Table4[[#Headers],[Định mức tiêu hao]:[Vượt ĐM]],CHAR(160)," ")),0)
  ),
0)</f>
        <v>0</v>
      </c>
      <c r="K247" s="3100" t="s">
        <v>735</v>
      </c>
      <c r="L247" s="3101"/>
      <c r="M247" s="3102">
        <f>F215</f>
        <v>0</v>
      </c>
      <c r="N247" s="3105">
        <f>SUMIFS('Data tổng hợp II'!H:H,'Data tổng hợp II'!B:B,'Form mẫu'!$U$2,'Data tổng hợp II'!C:C,"DC2",'Data tổng hợp II'!D:D,"60x60",'Data tổng hợp II'!E:E,"Bóng")</f>
        <v>0</v>
      </c>
      <c r="O247" s="3106">
        <f t="shared" si="13"/>
        <v>0</v>
      </c>
    </row>
    <row r="248" spans="1:15" s="1" customFormat="1" ht="28" hidden="1" customHeight="1" x14ac:dyDescent="0.15">
      <c r="A248" s="2305">
        <v>5</v>
      </c>
      <c r="B248" s="2067" t="s">
        <v>122</v>
      </c>
      <c r="C248" s="3056" t="s">
        <v>1192</v>
      </c>
      <c r="D248" s="3057"/>
      <c r="E248" s="2185" t="s">
        <v>49</v>
      </c>
      <c r="F248" s="2236" cm="1">
        <f t="array" ref="F248">IFERROR(
  INDEX(Table4[[Định mức tiêu hao]:[Vượt ĐM]],
        MATCH(1,(Table4[Tháng]=--'Form mẫu'!$U$2)*
                 (Table4[DC]="DC2")*
                 (Table4[Kích thước]='Form mẫu'!$B248)*
                 (Table4[Nguyên liệu, vật tư]='Form mẫu'!$C248),0),
        MATCH(TRIM(SUBSTITUTE(F$243,CHAR(160)," ")),
              TRIM(SUBSTITUTE(Table4[[#Headers],[Định mức tiêu hao]:[Vượt ĐM]],CHAR(160)," ")),0)
  ),
0)</f>
        <v>0</v>
      </c>
      <c r="G248" s="2306" cm="1">
        <f t="array" ref="G248">IFERROR(
  INDEX(Table4[[Định mức tiêu hao]:[Vượt ĐM]],
        MATCH(1,(Table4[Tháng]=--'Form mẫu'!$U$2)*
                 (Table4[DC]="DC2")*
                 (Table4[Kích thước]='Form mẫu'!$B248)*
                 (Table4[Nguyên liệu, vật tư]='Form mẫu'!$C248),0),
        MATCH(TRIM(SUBSTITUTE(G$243,CHAR(160)," ")),
              TRIM(SUBSTITUTE(Table4[[#Headers],[Định mức tiêu hao]:[Vượt ĐM]],CHAR(160)," ")),0)
  ),
0)</f>
        <v>0</v>
      </c>
      <c r="H248" s="2235" cm="1">
        <f t="array" ref="H248">IFERROR(
  INDEX(Table4[[Định mức tiêu hao]:[Vượt ĐM]],
        MATCH(1,(Table4[Tháng]=--'Form mẫu'!$U$2)*
                 (Table4[DC]="DC2")*
                 (Table4[Kích thước]='Form mẫu'!$B248)*
                 (Table4[Nguyên liệu, vật tư]='Form mẫu'!$C248),0),
        MATCH(TRIM(SUBSTITUTE(H$243,CHAR(160)," ")),
              TRIM(SUBSTITUTE(Table4[[#Headers],[Định mức tiêu hao]:[Vượt ĐM]],CHAR(160)," ")),0)
  ),
0)</f>
        <v>0</v>
      </c>
      <c r="I248" s="2238" cm="1">
        <f t="array" ref="I248">IFERROR(
  INDEX(Table4[[Định mức tiêu hao]:[Vượt ĐM]],
        MATCH(1,(Table4[Tháng]=--'Form mẫu'!$U$2)*
                 (Table4[DC]="DC2")*
                 (Table4[Kích thước]='Form mẫu'!$B248)*
                 (Table4[Nguyên liệu, vật tư]='Form mẫu'!$C248),0),
        MATCH(TRIM(SUBSTITUTE(I$243,CHAR(160)," ")),
              TRIM(SUBSTITUTE(Table4[[#Headers],[Định mức tiêu hao]:[Vượt ĐM]],CHAR(160)," ")),0)
  ),
0)</f>
        <v>0</v>
      </c>
      <c r="J248" s="2307" cm="1">
        <f t="array" ref="J248">IFERROR(
  INDEX(Table4[[Định mức tiêu hao]:[Vượt ĐM]],
        MATCH(1,(Table4[Tháng]=--'Form mẫu'!$U$2)*
                 (Table4[DC]="DC2")*
                 (Table4[Kích thước]='Form mẫu'!$B248)*
                 (Table4[Nguyên liệu, vật tư]='Form mẫu'!$C248),0),
        MATCH(TRIM(SUBSTITUTE(J$243,CHAR(160)," ")),
              TRIM(SUBSTITUTE(Table4[[#Headers],[Định mức tiêu hao]:[Vượt ĐM]],CHAR(160)," ")),0)
  ),
0)</f>
        <v>0</v>
      </c>
      <c r="K248" s="3058"/>
      <c r="L248" s="3059"/>
      <c r="M248" s="3059"/>
      <c r="N248" s="3059"/>
      <c r="O248" s="3060"/>
    </row>
    <row r="249" spans="1:15" s="1" customFormat="1" ht="28" hidden="1" customHeight="1" x14ac:dyDescent="0.15">
      <c r="A249" s="2308">
        <v>6</v>
      </c>
      <c r="B249" s="2066" t="s">
        <v>122</v>
      </c>
      <c r="C249" s="3056" t="s">
        <v>176</v>
      </c>
      <c r="D249" s="3057"/>
      <c r="E249" s="2186" t="s">
        <v>195</v>
      </c>
      <c r="F249" s="2236" cm="1">
        <f t="array" ref="F249">IFERROR(
  INDEX(Table4[[Định mức tiêu hao]:[Vượt ĐM]],
        MATCH(1,(Table4[Tháng]=--'Form mẫu'!$U$2)*
                 (Table4[DC]="DC2")*
                 (Table4[Kích thước]='Form mẫu'!$B249)*
                 (Table4[Nguyên liệu, vật tư]='Form mẫu'!$C249),0),
        MATCH(TRIM(SUBSTITUTE(F$243,CHAR(160)," ")),
              TRIM(SUBSTITUTE(Table4[[#Headers],[Định mức tiêu hao]:[Vượt ĐM]],CHAR(160)," ")),0)
  ),
0)</f>
        <v>0</v>
      </c>
      <c r="G249" s="2309" cm="1">
        <f t="array" ref="G249">IFERROR(
  INDEX(Table4[[Định mức tiêu hao]:[Vượt ĐM]],
        MATCH(1,(Table4[Tháng]=--'Form mẫu'!$U$2)*
                 (Table4[DC]="DC2")*
                 (Table4[Kích thước]='Form mẫu'!$B249)*
                 (Table4[Nguyên liệu, vật tư]='Form mẫu'!$C249),0),
        MATCH(TRIM(SUBSTITUTE(G$243,CHAR(160)," ")),
              TRIM(SUBSTITUTE(Table4[[#Headers],[Định mức tiêu hao]:[Vượt ĐM]],CHAR(160)," ")),0)
  ),
0)</f>
        <v>0</v>
      </c>
      <c r="H249" s="2235" cm="1">
        <f t="array" ref="H249">IFERROR(
  INDEX(Table4[[Định mức tiêu hao]:[Vượt ĐM]],
        MATCH(1,(Table4[Tháng]=--'Form mẫu'!$U$2)*
                 (Table4[DC]="DC2")*
                 (Table4[Kích thước]='Form mẫu'!$B249)*
                 (Table4[Nguyên liệu, vật tư]='Form mẫu'!$C249),0),
        MATCH(TRIM(SUBSTITUTE(H$243,CHAR(160)," ")),
              TRIM(SUBSTITUTE(Table4[[#Headers],[Định mức tiêu hao]:[Vượt ĐM]],CHAR(160)," ")),0)
  ),
0)</f>
        <v>0</v>
      </c>
      <c r="I249" s="2310" cm="1">
        <f t="array" ref="I249">IFERROR(
  INDEX(Table4[[Định mức tiêu hao]:[Vượt ĐM]],
        MATCH(1,(Table4[Tháng]=--'Form mẫu'!$U$2)*
                 (Table4[DC]="DC2")*
                 (Table4[Kích thước]='Form mẫu'!$B249)*
                 (Table4[Nguyên liệu, vật tư]='Form mẫu'!$C249),0),
        MATCH(TRIM(SUBSTITUTE(I$243,CHAR(160)," ")),
              TRIM(SUBSTITUTE(Table4[[#Headers],[Định mức tiêu hao]:[Vượt ĐM]],CHAR(160)," ")),0)
  ),
0)</f>
        <v>0</v>
      </c>
      <c r="J249" s="2311" cm="1">
        <f t="array" ref="J249">IFERROR(
  INDEX(Table4[[Định mức tiêu hao]:[Vượt ĐM]],
        MATCH(1,(Table4[Tháng]=--'Form mẫu'!$U$2)*
                 (Table4[DC]="DC2")*
                 (Table4[Kích thước]='Form mẫu'!$B249)*
                 (Table4[Nguyên liệu, vật tư]='Form mẫu'!$C249),0),
        MATCH(TRIM(SUBSTITUTE(J$243,CHAR(160)," ")),
              TRIM(SUBSTITUTE(Table4[[#Headers],[Định mức tiêu hao]:[Vượt ĐM]],CHAR(160)," ")),0)
  ),
0)</f>
        <v>0</v>
      </c>
      <c r="K249" s="3058"/>
      <c r="L249" s="3059"/>
      <c r="M249" s="3059"/>
      <c r="N249" s="3059"/>
      <c r="O249" s="3060"/>
    </row>
    <row r="250" spans="1:15" s="1" customFormat="1" ht="28" hidden="1" customHeight="1" x14ac:dyDescent="0.15">
      <c r="A250" s="2303">
        <v>7</v>
      </c>
      <c r="B250" s="2067" t="s">
        <v>122</v>
      </c>
      <c r="C250" s="3056" t="s">
        <v>177</v>
      </c>
      <c r="D250" s="3057"/>
      <c r="E250" s="2185" t="s">
        <v>49</v>
      </c>
      <c r="F250" s="2236" cm="1">
        <f t="array" ref="F250">IFERROR(
  INDEX(Table4[[Định mức tiêu hao]:[Vượt ĐM]],
        MATCH(1,(Table4[Tháng]=--'Form mẫu'!$U$2)*
                 (Table4[DC]="DC2")*
                 (Table4[Kích thước]='Form mẫu'!$B250)*
                 (Table4[Nguyên liệu, vật tư]='Form mẫu'!$C250),0),
        MATCH(TRIM(SUBSTITUTE(F$243,CHAR(160)," ")),
              TRIM(SUBSTITUTE(Table4[[#Headers],[Định mức tiêu hao]:[Vượt ĐM]],CHAR(160)," ")),0)
  ),
0)</f>
        <v>0</v>
      </c>
      <c r="G250" s="2286" cm="1">
        <f t="array" ref="G250">IFERROR(
  INDEX(Table4[[Định mức tiêu hao]:[Vượt ĐM]],
        MATCH(1,(Table4[Tháng]=--'Form mẫu'!$U$2)*
                 (Table4[DC]="DC2")*
                 (Table4[Kích thước]='Form mẫu'!$B250)*
                 (Table4[Nguyên liệu, vật tư]='Form mẫu'!$C250),0),
        MATCH(TRIM(SUBSTITUTE(G$243,CHAR(160)," ")),
              TRIM(SUBSTITUTE(Table4[[#Headers],[Định mức tiêu hao]:[Vượt ĐM]],CHAR(160)," ")),0)
  ),
0)</f>
        <v>0</v>
      </c>
      <c r="H250" s="2235" cm="1">
        <f t="array" ref="H250">IFERROR(
  INDEX(Table4[[Định mức tiêu hao]:[Vượt ĐM]],
        MATCH(1,(Table4[Tháng]=--'Form mẫu'!$U$2)*
                 (Table4[DC]="DC2")*
                 (Table4[Kích thước]='Form mẫu'!$B250)*
                 (Table4[Nguyên liệu, vật tư]='Form mẫu'!$C250),0),
        MATCH(TRIM(SUBSTITUTE(H$243,CHAR(160)," ")),
              TRIM(SUBSTITUTE(Table4[[#Headers],[Định mức tiêu hao]:[Vượt ĐM]],CHAR(160)," ")),0)
  ),
0)</f>
        <v>0</v>
      </c>
      <c r="I250" s="2238" cm="1">
        <f t="array" ref="I250">IFERROR(
  INDEX(Table4[[Định mức tiêu hao]:[Vượt ĐM]],
        MATCH(1,(Table4[Tháng]=--'Form mẫu'!$U$2)*
                 (Table4[DC]="DC2")*
                 (Table4[Kích thước]='Form mẫu'!$B250)*
                 (Table4[Nguyên liệu, vật tư]='Form mẫu'!$C250),0),
        MATCH(TRIM(SUBSTITUTE(I$243,CHAR(160)," ")),
              TRIM(SUBSTITUTE(Table4[[#Headers],[Định mức tiêu hao]:[Vượt ĐM]],CHAR(160)," ")),0)
  ),
0)</f>
        <v>0</v>
      </c>
      <c r="J250" s="2287" cm="1">
        <f t="array" ref="J250">IFERROR(
  INDEX(Table4[[Định mức tiêu hao]:[Vượt ĐM]],
        MATCH(1,(Table4[Tháng]=--'Form mẫu'!$U$2)*
                 (Table4[DC]="DC2")*
                 (Table4[Kích thước]='Form mẫu'!$B250)*
                 (Table4[Nguyên liệu, vật tư]='Form mẫu'!$C250),0),
        MATCH(TRIM(SUBSTITUTE(J$243,CHAR(160)," ")),
              TRIM(SUBSTITUTE(Table4[[#Headers],[Định mức tiêu hao]:[Vượt ĐM]],CHAR(160)," ")),0)
  ),
0)</f>
        <v>0</v>
      </c>
      <c r="K250" s="3058"/>
      <c r="L250" s="3059"/>
      <c r="M250" s="3059"/>
      <c r="N250" s="3059"/>
      <c r="O250" s="3060"/>
    </row>
    <row r="251" spans="1:15" s="1" customFormat="1" ht="28" hidden="1" customHeight="1" x14ac:dyDescent="0.15">
      <c r="A251" s="2303">
        <v>8</v>
      </c>
      <c r="B251" s="2067" t="s">
        <v>122</v>
      </c>
      <c r="C251" s="3056" t="s">
        <v>178</v>
      </c>
      <c r="D251" s="3057"/>
      <c r="E251" s="2185" t="s">
        <v>49</v>
      </c>
      <c r="F251" s="2236" cm="1">
        <f t="array" ref="F251">IFERROR(
  INDEX(Table4[[Định mức tiêu hao]:[Vượt ĐM]],
        MATCH(1,(Table4[Tháng]=--'Form mẫu'!$U$2)*
                 (Table4[DC]="DC2")*
                 (Table4[Kích thước]='Form mẫu'!$B251)*
                 (Table4[Nguyên liệu, vật tư]='Form mẫu'!$C251),0),
        MATCH(TRIM(SUBSTITUTE(F$243,CHAR(160)," ")),
              TRIM(SUBSTITUTE(Table4[[#Headers],[Định mức tiêu hao]:[Vượt ĐM]],CHAR(160)," ")),0)
  ),
0)</f>
        <v>0</v>
      </c>
      <c r="G251" s="2288" cm="1">
        <f t="array" ref="G251">IFERROR(
  INDEX(Table4[[Định mức tiêu hao]:[Vượt ĐM]],
        MATCH(1,(Table4[Tháng]=--'Form mẫu'!$U$2)*
                 (Table4[DC]="DC2")*
                 (Table4[Kích thước]='Form mẫu'!$B251)*
                 (Table4[Nguyên liệu, vật tư]='Form mẫu'!$C251),0),
        MATCH(TRIM(SUBSTITUTE(G$243,CHAR(160)," ")),
              TRIM(SUBSTITUTE(Table4[[#Headers],[Định mức tiêu hao]:[Vượt ĐM]],CHAR(160)," ")),0)
  ),
0)</f>
        <v>0</v>
      </c>
      <c r="H251" s="2235" cm="1">
        <f t="array" ref="H251">IFERROR(
  INDEX(Table4[[Định mức tiêu hao]:[Vượt ĐM]],
        MATCH(1,(Table4[Tháng]=--'Form mẫu'!$U$2)*
                 (Table4[DC]="DC2")*
                 (Table4[Kích thước]='Form mẫu'!$B251)*
                 (Table4[Nguyên liệu, vật tư]='Form mẫu'!$C251),0),
        MATCH(TRIM(SUBSTITUTE(H$243,CHAR(160)," ")),
              TRIM(SUBSTITUTE(Table4[[#Headers],[Định mức tiêu hao]:[Vượt ĐM]],CHAR(160)," ")),0)
  ),
0)</f>
        <v>0</v>
      </c>
      <c r="I251" s="2238" cm="1">
        <f t="array" ref="I251">IFERROR(
  INDEX(Table4[[Định mức tiêu hao]:[Vượt ĐM]],
        MATCH(1,(Table4[Tháng]=--'Form mẫu'!$U$2)*
                 (Table4[DC]="DC2")*
                 (Table4[Kích thước]='Form mẫu'!$B251)*
                 (Table4[Nguyên liệu, vật tư]='Form mẫu'!$C251),0),
        MATCH(TRIM(SUBSTITUTE(I$243,CHAR(160)," ")),
              TRIM(SUBSTITUTE(Table4[[#Headers],[Định mức tiêu hao]:[Vượt ĐM]],CHAR(160)," ")),0)
  ),
0)</f>
        <v>0</v>
      </c>
      <c r="J251" s="2287" cm="1">
        <f t="array" ref="J251">IFERROR(
  INDEX(Table4[[Định mức tiêu hao]:[Vượt ĐM]],
        MATCH(1,(Table4[Tháng]=--'Form mẫu'!$U$2)*
                 (Table4[DC]="DC2")*
                 (Table4[Kích thước]='Form mẫu'!$B251)*
                 (Table4[Nguyên liệu, vật tư]='Form mẫu'!$C251),0),
        MATCH(TRIM(SUBSTITUTE(J$243,CHAR(160)," ")),
              TRIM(SUBSTITUTE(Table4[[#Headers],[Định mức tiêu hao]:[Vượt ĐM]],CHAR(160)," ")),0)
  ),
0)</f>
        <v>0</v>
      </c>
      <c r="K251" s="3058"/>
      <c r="L251" s="3059"/>
      <c r="M251" s="3059"/>
      <c r="N251" s="3059"/>
      <c r="O251" s="3060"/>
    </row>
    <row r="252" spans="1:15" s="1" customFormat="1" ht="28" hidden="1" customHeight="1" x14ac:dyDescent="0.15">
      <c r="A252" s="2303">
        <v>9</v>
      </c>
      <c r="B252" s="2067" t="s">
        <v>122</v>
      </c>
      <c r="C252" s="3056" t="s">
        <v>182</v>
      </c>
      <c r="D252" s="3057"/>
      <c r="E252" s="2185" t="s">
        <v>49</v>
      </c>
      <c r="F252" s="2236" cm="1">
        <f t="array" ref="F252">IFERROR(
  INDEX(Table4[[Định mức tiêu hao]:[Vượt ĐM]],
        MATCH(1,(Table4[Tháng]=--'Form mẫu'!$U$2)*
                 (Table4[DC]="DC2")*
                 (Table4[Kích thước]='Form mẫu'!$B252)*
                 (Table4[Nguyên liệu, vật tư]='Form mẫu'!$C252),0),
        MATCH(TRIM(SUBSTITUTE(F$243,CHAR(160)," ")),
              TRIM(SUBSTITUTE(Table4[[#Headers],[Định mức tiêu hao]:[Vượt ĐM]],CHAR(160)," ")),0)
  ),
0)</f>
        <v>0</v>
      </c>
      <c r="G252" s="2237" cm="1">
        <f t="array" ref="G252">IFERROR(
  INDEX(Table4[[Định mức tiêu hao]:[Vượt ĐM]],
        MATCH(1,(Table4[Tháng]=--'Form mẫu'!$U$2)*
                 (Table4[DC]="DC2")*
                 (Table4[Kích thước]='Form mẫu'!$B252)*
                 (Table4[Nguyên liệu, vật tư]='Form mẫu'!$C252),0),
        MATCH(TRIM(SUBSTITUTE(G$243,CHAR(160)," ")),
              TRIM(SUBSTITUTE(Table4[[#Headers],[Định mức tiêu hao]:[Vượt ĐM]],CHAR(160)," ")),0)
  ),
0)</f>
        <v>0</v>
      </c>
      <c r="H252" s="2235" cm="1">
        <f t="array" ref="H252">IFERROR(
  INDEX(Table4[[Định mức tiêu hao]:[Vượt ĐM]],
        MATCH(1,(Table4[Tháng]=--'Form mẫu'!$U$2)*
                 (Table4[DC]="DC2")*
                 (Table4[Kích thước]='Form mẫu'!$B252)*
                 (Table4[Nguyên liệu, vật tư]='Form mẫu'!$C252),0),
        MATCH(TRIM(SUBSTITUTE(H$243,CHAR(160)," ")),
              TRIM(SUBSTITUTE(Table4[[#Headers],[Định mức tiêu hao]:[Vượt ĐM]],CHAR(160)," ")),0)
  ),
0)</f>
        <v>0</v>
      </c>
      <c r="I252" s="2238" cm="1">
        <f t="array" ref="I252">IFERROR(
  INDEX(Table4[[Định mức tiêu hao]:[Vượt ĐM]],
        MATCH(1,(Table4[Tháng]=--'Form mẫu'!$U$2)*
                 (Table4[DC]="DC2")*
                 (Table4[Kích thước]='Form mẫu'!$B252)*
                 (Table4[Nguyên liệu, vật tư]='Form mẫu'!$C252),0),
        MATCH(TRIM(SUBSTITUTE(I$243,CHAR(160)," ")),
              TRIM(SUBSTITUTE(Table4[[#Headers],[Định mức tiêu hao]:[Vượt ĐM]],CHAR(160)," ")),0)
  ),
0)</f>
        <v>0</v>
      </c>
      <c r="J252" s="2287" cm="1">
        <f t="array" ref="J252">IFERROR(
  INDEX(Table4[[Định mức tiêu hao]:[Vượt ĐM]],
        MATCH(1,(Table4[Tháng]=--'Form mẫu'!$U$2)*
                 (Table4[DC]="DC2")*
                 (Table4[Kích thước]='Form mẫu'!$B252)*
                 (Table4[Nguyên liệu, vật tư]='Form mẫu'!$C252),0),
        MATCH(TRIM(SUBSTITUTE(J$243,CHAR(160)," ")),
              TRIM(SUBSTITUTE(Table4[[#Headers],[Định mức tiêu hao]:[Vượt ĐM]],CHAR(160)," ")),0)
  ),
0)</f>
        <v>0</v>
      </c>
      <c r="K252" s="3058"/>
      <c r="L252" s="3059"/>
      <c r="M252" s="3059"/>
      <c r="N252" s="3059"/>
      <c r="O252" s="3060"/>
    </row>
    <row r="253" spans="1:15" s="1" customFormat="1" ht="28" hidden="1" customHeight="1" x14ac:dyDescent="0.15">
      <c r="A253" s="2303">
        <v>10</v>
      </c>
      <c r="B253" s="2067" t="s">
        <v>122</v>
      </c>
      <c r="C253" s="3056" t="s">
        <v>183</v>
      </c>
      <c r="D253" s="3057"/>
      <c r="E253" s="2185" t="s">
        <v>49</v>
      </c>
      <c r="F253" s="2236" cm="1">
        <f t="array" ref="F253">IFERROR(
  INDEX(Table4[[Định mức tiêu hao]:[Vượt ĐM]],
        MATCH(1,(Table4[Tháng]=--'Form mẫu'!$U$2)*
                 (Table4[DC]="DC2")*
                 (Table4[Kích thước]='Form mẫu'!$B253)*
                 (Table4[Nguyên liệu, vật tư]='Form mẫu'!$C253),0),
        MATCH(TRIM(SUBSTITUTE(F$243,CHAR(160)," ")),
              TRIM(SUBSTITUTE(Table4[[#Headers],[Định mức tiêu hao]:[Vượt ĐM]],CHAR(160)," ")),0)
  ),
0)</f>
        <v>0</v>
      </c>
      <c r="G253" s="2288" cm="1">
        <f t="array" ref="G253">IFERROR(
  INDEX(Table4[[Định mức tiêu hao]:[Vượt ĐM]],
        MATCH(1,(Table4[Tháng]=--'Form mẫu'!$U$2)*
                 (Table4[DC]="DC2")*
                 (Table4[Kích thước]='Form mẫu'!$B253)*
                 (Table4[Nguyên liệu, vật tư]='Form mẫu'!$C253),0),
        MATCH(TRIM(SUBSTITUTE(G$243,CHAR(160)," ")),
              TRIM(SUBSTITUTE(Table4[[#Headers],[Định mức tiêu hao]:[Vượt ĐM]],CHAR(160)," ")),0)
  ),
0)</f>
        <v>0</v>
      </c>
      <c r="H253" s="2235" cm="1">
        <f t="array" ref="H253">IFERROR(
  INDEX(Table4[[Định mức tiêu hao]:[Vượt ĐM]],
        MATCH(1,(Table4[Tháng]=--'Form mẫu'!$U$2)*
                 (Table4[DC]="DC2")*
                 (Table4[Kích thước]='Form mẫu'!$B253)*
                 (Table4[Nguyên liệu, vật tư]='Form mẫu'!$C253),0),
        MATCH(TRIM(SUBSTITUTE(H$243,CHAR(160)," ")),
              TRIM(SUBSTITUTE(Table4[[#Headers],[Định mức tiêu hao]:[Vượt ĐM]],CHAR(160)," ")),0)
  ),
0)</f>
        <v>0</v>
      </c>
      <c r="I253" s="2238" cm="1">
        <f t="array" ref="I253">IFERROR(
  INDEX(Table4[[Định mức tiêu hao]:[Vượt ĐM]],
        MATCH(1,(Table4[Tháng]=--'Form mẫu'!$U$2)*
                 (Table4[DC]="DC2")*
                 (Table4[Kích thước]='Form mẫu'!$B253)*
                 (Table4[Nguyên liệu, vật tư]='Form mẫu'!$C253),0),
        MATCH(TRIM(SUBSTITUTE(I$243,CHAR(160)," ")),
              TRIM(SUBSTITUTE(Table4[[#Headers],[Định mức tiêu hao]:[Vượt ĐM]],CHAR(160)," ")),0)
  ),
0)</f>
        <v>0</v>
      </c>
      <c r="J253" s="2287" cm="1">
        <f t="array" ref="J253">IFERROR(
  INDEX(Table4[[Định mức tiêu hao]:[Vượt ĐM]],
        MATCH(1,(Table4[Tháng]=--'Form mẫu'!$U$2)*
                 (Table4[DC]="DC2")*
                 (Table4[Kích thước]='Form mẫu'!$B253)*
                 (Table4[Nguyên liệu, vật tư]='Form mẫu'!$C253),0),
        MATCH(TRIM(SUBSTITUTE(J$243,CHAR(160)," ")),
              TRIM(SUBSTITUTE(Table4[[#Headers],[Định mức tiêu hao]:[Vượt ĐM]],CHAR(160)," ")),0)
  ),
0)</f>
        <v>0</v>
      </c>
      <c r="K253" s="3058"/>
      <c r="L253" s="3059"/>
      <c r="M253" s="3059"/>
      <c r="N253" s="3059"/>
      <c r="O253" s="3060"/>
    </row>
    <row r="254" spans="1:15" s="1" customFormat="1" ht="28" hidden="1" customHeight="1" x14ac:dyDescent="0.2">
      <c r="A254" s="2303">
        <v>11</v>
      </c>
      <c r="B254" s="2067" t="s">
        <v>122</v>
      </c>
      <c r="C254" s="3056" t="s">
        <v>185</v>
      </c>
      <c r="D254" s="3057"/>
      <c r="E254" s="2185" t="s">
        <v>195</v>
      </c>
      <c r="F254" s="2236" cm="1">
        <f t="array" ref="F254">IFERROR(
  INDEX(Table4[[Định mức tiêu hao]:[Vượt ĐM]],
        MATCH(1,(Table4[Tháng]=--'Form mẫu'!$U$2)*
                 (Table4[DC]="DC2")*
                 (Table4[Kích thước]='Form mẫu'!$B254)*
                 (Table4[Nguyên liệu, vật tư]='Form mẫu'!$C254),0),
        MATCH(TRIM(SUBSTITUTE(F$243,CHAR(160)," ")),
              TRIM(SUBSTITUTE(Table4[[#Headers],[Định mức tiêu hao]:[Vượt ĐM]],CHAR(160)," ")),0)
  ),
0)</f>
        <v>0</v>
      </c>
      <c r="G254" s="2288" cm="1">
        <f t="array" ref="G254">IFERROR(
  INDEX(Table4[[Định mức tiêu hao]:[Vượt ĐM]],
        MATCH(1,(Table4[Tháng]=--'Form mẫu'!$U$2)*
                 (Table4[DC]="DC2")*
                 (Table4[Kích thước]='Form mẫu'!$B254)*
                 (Table4[Nguyên liệu, vật tư]='Form mẫu'!$C254),0),
        MATCH(TRIM(SUBSTITUTE(G$243,CHAR(160)," ")),
              TRIM(SUBSTITUTE(Table4[[#Headers],[Định mức tiêu hao]:[Vượt ĐM]],CHAR(160)," ")),0)
  ),
0)</f>
        <v>0</v>
      </c>
      <c r="H254" s="2235" cm="1">
        <f t="array" ref="H254">IFERROR(
  INDEX(Table4[[Định mức tiêu hao]:[Vượt ĐM]],
        MATCH(1,(Table4[Tháng]=--'Form mẫu'!$U$2)*
                 (Table4[DC]="DC2")*
                 (Table4[Kích thước]='Form mẫu'!$B254)*
                 (Table4[Nguyên liệu, vật tư]='Form mẫu'!$C254),0),
        MATCH(TRIM(SUBSTITUTE(H$243,CHAR(160)," ")),
              TRIM(SUBSTITUTE(Table4[[#Headers],[Định mức tiêu hao]:[Vượt ĐM]],CHAR(160)," ")),0)
  ),
0)</f>
        <v>0</v>
      </c>
      <c r="I254" s="2238" cm="1">
        <f t="array" ref="I254">IFERROR(
  INDEX(Table4[[Định mức tiêu hao]:[Vượt ĐM]],
        MATCH(1,(Table4[Tháng]=--'Form mẫu'!$U$2)*
                 (Table4[DC]="DC2")*
                 (Table4[Kích thước]='Form mẫu'!$B254)*
                 (Table4[Nguyên liệu, vật tư]='Form mẫu'!$C254),0),
        MATCH(TRIM(SUBSTITUTE(I$243,CHAR(160)," ")),
              TRIM(SUBSTITUTE(Table4[[#Headers],[Định mức tiêu hao]:[Vượt ĐM]],CHAR(160)," ")),0)
  ),
0)</f>
        <v>0</v>
      </c>
      <c r="J254" s="2287" cm="1">
        <f t="array" ref="J254">IFERROR(
  INDEX(Table4[[Định mức tiêu hao]:[Vượt ĐM]],
        MATCH(1,(Table4[Tháng]=--'Form mẫu'!$U$2)*
                 (Table4[DC]="DC2")*
                 (Table4[Kích thước]='Form mẫu'!$B254)*
                 (Table4[Nguyên liệu, vật tư]='Form mẫu'!$C254),0),
        MATCH(TRIM(SUBSTITUTE(J$243,CHAR(160)," ")),
              TRIM(SUBSTITUTE(Table4[[#Headers],[Định mức tiêu hao]:[Vượt ĐM]],CHAR(160)," ")),0)
  ),
0)</f>
        <v>0</v>
      </c>
      <c r="K254" s="3062" t="s">
        <v>742</v>
      </c>
      <c r="L254" s="3063"/>
      <c r="M254" s="3063"/>
      <c r="N254" s="3063"/>
      <c r="O254" s="3064"/>
    </row>
    <row r="255" spans="1:15" s="1" customFormat="1" ht="28" hidden="1" customHeight="1" x14ac:dyDescent="0.2">
      <c r="A255" s="2303">
        <v>12</v>
      </c>
      <c r="B255" s="2153" t="s">
        <v>122</v>
      </c>
      <c r="C255" s="3056" t="s">
        <v>1061</v>
      </c>
      <c r="D255" s="3057"/>
      <c r="E255" s="2185" t="s">
        <v>49</v>
      </c>
      <c r="F255" s="2236" cm="1">
        <f t="array" ref="F255">IFERROR(
  INDEX(Table4[[Định mức tiêu hao]:[Vượt ĐM]],
        MATCH(1,(Table4[Tháng]=--'Form mẫu'!$U$2)*
                 (Table4[DC]="DC2")*
                 (Table4[Kích thước]='Form mẫu'!$B255)*
                 (Table4[Nguyên liệu, vật tư]='Form mẫu'!$C255),0),
        MATCH(TRIM(SUBSTITUTE(F$243,CHAR(160)," ")),
              TRIM(SUBSTITUTE(Table4[[#Headers],[Định mức tiêu hao]:[Vượt ĐM]],CHAR(160)," ")),0)
  ),
0)</f>
        <v>0</v>
      </c>
      <c r="G255" s="2288" cm="1">
        <f t="array" ref="G255">IFERROR(
  INDEX(Table4[[Định mức tiêu hao]:[Vượt ĐM]],
        MATCH(1,(Table4[Tháng]=--'Form mẫu'!$U$2)*
                 (Table4[DC]="DC2")*
                 (Table4[Kích thước]='Form mẫu'!$B255)*
                 (Table4[Nguyên liệu, vật tư]='Form mẫu'!$C255),0),
        MATCH(TRIM(SUBSTITUTE(G$243,CHAR(160)," ")),
              TRIM(SUBSTITUTE(Table4[[#Headers],[Định mức tiêu hao]:[Vượt ĐM]],CHAR(160)," ")),0)
  ),
0)</f>
        <v>0</v>
      </c>
      <c r="H255" s="2235" cm="1">
        <f t="array" ref="H255">IFERROR(
  INDEX(Table4[[Định mức tiêu hao]:[Vượt ĐM]],
        MATCH(1,(Table4[Tháng]=--'Form mẫu'!$U$2)*
                 (Table4[DC]="DC2")*
                 (Table4[Kích thước]='Form mẫu'!$B255)*
                 (Table4[Nguyên liệu, vật tư]='Form mẫu'!$C255),0),
        MATCH(TRIM(SUBSTITUTE(H$243,CHAR(160)," ")),
              TRIM(SUBSTITUTE(Table4[[#Headers],[Định mức tiêu hao]:[Vượt ĐM]],CHAR(160)," ")),0)
  ),
0)</f>
        <v>0</v>
      </c>
      <c r="I255" s="2238" cm="1">
        <f t="array" ref="I255">IFERROR(
  INDEX(Table4[[Định mức tiêu hao]:[Vượt ĐM]],
        MATCH(1,(Table4[Tháng]=--'Form mẫu'!$U$2)*
                 (Table4[DC]="DC2")*
                 (Table4[Kích thước]='Form mẫu'!$B255)*
                 (Table4[Nguyên liệu, vật tư]='Form mẫu'!$C255),0),
        MATCH(TRIM(SUBSTITUTE(I$243,CHAR(160)," ")),
              TRIM(SUBSTITUTE(Table4[[#Headers],[Định mức tiêu hao]:[Vượt ĐM]],CHAR(160)," ")),0)
  ),
0)</f>
        <v>0</v>
      </c>
      <c r="J255" s="2287" cm="1">
        <f t="array" ref="J255">IFERROR(
  INDEX(Table4[[Định mức tiêu hao]:[Vượt ĐM]],
        MATCH(1,(Table4[Tháng]=--'Form mẫu'!$U$2)*
                 (Table4[DC]="DC2")*
                 (Table4[Kích thước]='Form mẫu'!$B255)*
                 (Table4[Nguyên liệu, vật tư]='Form mẫu'!$C255),0),
        MATCH(TRIM(SUBSTITUTE(J$243,CHAR(160)," ")),
              TRIM(SUBSTITUTE(Table4[[#Headers],[Định mức tiêu hao]:[Vượt ĐM]],CHAR(160)," ")),0)
  ),
0)</f>
        <v>0</v>
      </c>
      <c r="K255" s="3062" t="s">
        <v>653</v>
      </c>
      <c r="L255" s="3063"/>
      <c r="M255" s="3063"/>
      <c r="N255" s="3063"/>
      <c r="O255" s="3064"/>
    </row>
    <row r="256" spans="1:15" s="1" customFormat="1" ht="26" customHeight="1" x14ac:dyDescent="0.2">
      <c r="A256" s="3061" t="s">
        <v>743</v>
      </c>
      <c r="B256" s="3061"/>
      <c r="C256" s="3061"/>
      <c r="D256" s="3061"/>
      <c r="E256" s="3061"/>
      <c r="F256" s="3061"/>
      <c r="G256" s="3061"/>
      <c r="H256" s="3061"/>
      <c r="I256" s="3061"/>
      <c r="J256" s="3061"/>
      <c r="K256" s="3061"/>
      <c r="L256" s="3061"/>
      <c r="M256" s="3061"/>
      <c r="N256" s="3061"/>
    </row>
    <row r="257" spans="1:18" s="1" customFormat="1" ht="37" customHeight="1" x14ac:dyDescent="0.2">
      <c r="A257" s="238" t="s">
        <v>39</v>
      </c>
      <c r="B257" s="241" t="s">
        <v>6</v>
      </c>
      <c r="C257" s="3049" t="s">
        <v>148</v>
      </c>
      <c r="D257" s="3050"/>
      <c r="E257" s="239" t="s">
        <v>17</v>
      </c>
      <c r="F257" s="240" t="s">
        <v>149</v>
      </c>
      <c r="G257" s="240" t="s">
        <v>1168</v>
      </c>
      <c r="H257" s="241" t="s">
        <v>151</v>
      </c>
      <c r="I257" s="392" t="s">
        <v>1029</v>
      </c>
      <c r="J257" s="242" t="s">
        <v>1030</v>
      </c>
      <c r="K257" s="3051" t="s">
        <v>47</v>
      </c>
      <c r="L257" s="3052"/>
      <c r="M257" s="3052"/>
      <c r="N257" s="3052"/>
      <c r="O257" s="3053"/>
    </row>
    <row r="258" spans="1:18" s="1" customFormat="1" ht="26" customHeight="1" x14ac:dyDescent="0.2">
      <c r="A258" s="1536">
        <v>1</v>
      </c>
      <c r="B258" s="1593" t="s">
        <v>116</v>
      </c>
      <c r="C258" s="3054" t="s">
        <v>163</v>
      </c>
      <c r="D258" s="3055"/>
      <c r="E258" s="223" t="s">
        <v>49</v>
      </c>
      <c r="F258" s="1072" cm="1">
        <f t="array" ref="F258">IFERROR(
  INDEX(Table4[[Định mức tiêu hao]:[Vượt ĐM]],
        MATCH(1,(Table4[Tháng]=--'Form mẫu'!$U$2)*
                 (Table4[DC]="DC2")*
                 (Table4[Kích thước]='Form mẫu'!$B258)*
                 (Table4[Nguyên liệu, vật tư]='Form mẫu'!$C258),0),
        MATCH(TRIM(SUBSTITUTE(F$257,CHAR(160)," ")),
              TRIM(SUBSTITUTE(Table4[[#Headers],[Định mức tiêu hao]:[Vượt ĐM]],CHAR(160)," ")),0)
  ),
0)</f>
        <v>0</v>
      </c>
      <c r="G258" s="1071" cm="1">
        <f t="array" ref="G258">IFERROR(
  INDEX(Table4[[Định mức tiêu hao]:[Vượt ĐM]],
        MATCH(1,(Table4[Tháng]=--'Form mẫu'!$U$2)*
                 (Table4[DC]="DC2")*
                 (Table4[Kích thước]='Form mẫu'!$B258)*
                 (Table4[Nguyên liệu, vật tư]='Form mẫu'!$C258),0),
        MATCH(TRIM(SUBSTITUTE(G$257,CHAR(160)," ")),
              TRIM(SUBSTITUTE(Table4[[#Headers],[Định mức tiêu hao]:[Vượt ĐM]],CHAR(160)," ")),0)
  ),
0)</f>
        <v>0</v>
      </c>
      <c r="H258" s="1820" cm="1">
        <f t="array" ref="H258">IFERROR(
  INDEX(Table4[[Định mức tiêu hao]:[Vượt ĐM]],
        MATCH(1,(Table4[Tháng]=--'Form mẫu'!$U$2)*
                 (Table4[DC]="DC2")*
                 (Table4[Kích thước]='Form mẫu'!$B258)*
                 (Table4[Nguyên liệu, vật tư]='Form mẫu'!$C258),0),
        MATCH(TRIM(SUBSTITUTE(H$257,CHAR(160)," ")),
              TRIM(SUBSTITUTE(Table4[[#Headers],[Định mức tiêu hao]:[Vượt ĐM]],CHAR(160)," ")),0)
  ),
0)</f>
        <v>0</v>
      </c>
      <c r="I258" s="1820" cm="1">
        <f t="array" ref="I258">IFERROR(
  INDEX(Table4[[Định mức tiêu hao]:[Vượt ĐM]],
        MATCH(1,(Table4[Tháng]=--'Form mẫu'!$U$2)*
                 (Table4[DC]="DC2")*
                 (Table4[Kích thước]='Form mẫu'!$B258)*
                 (Table4[Nguyên liệu, vật tư]='Form mẫu'!$C258),0),
        MATCH(TRIM(SUBSTITUTE(I$257,CHAR(160)," ")),
              TRIM(SUBSTITUTE(Table4[[#Headers],[Định mức tiêu hao]:[Vượt ĐM]],CHAR(160)," ")),0)
  ),
0)</f>
        <v>0</v>
      </c>
      <c r="J258" s="1071" cm="1">
        <f t="array" ref="J258">IFERROR(
  INDEX(Table4[[Định mức tiêu hao]:[Vượt ĐM]],
        MATCH(1,(Table4[Tháng]=--'Form mẫu'!$U$2)*
                 (Table4[DC]="DC2")*
                 (Table4[Kích thước]='Form mẫu'!$B258)*
                 (Table4[Nguyên liệu, vật tư]='Form mẫu'!$C258),0),
        MATCH(TRIM(SUBSTITUTE(J$257,CHAR(160)," ")),
              TRIM(SUBSTITUTE(Table4[[#Headers],[Định mức tiêu hao]:[Vượt ĐM]],CHAR(160)," ")),0)
  ),
0)</f>
        <v>0</v>
      </c>
      <c r="K258" s="3065" t="s">
        <v>165</v>
      </c>
      <c r="L258" s="3066"/>
      <c r="M258" s="3067"/>
      <c r="N258" s="3070">
        <f>SUMIFS('Data tổng hợp II'!H:H,'Data tổng hợp II'!B:B,'Form mẫu'!$U$2,'Data tổng hợp II'!C:C,"DC2",'Data tổng hợp II'!D:D,"40x80")</f>
        <v>0</v>
      </c>
      <c r="O258" s="3071">
        <f>F202</f>
        <v>0</v>
      </c>
    </row>
    <row r="259" spans="1:18" s="1" customFormat="1" ht="26" customHeight="1" x14ac:dyDescent="0.2">
      <c r="A259" s="1536">
        <v>2</v>
      </c>
      <c r="B259" s="1568" t="s">
        <v>116</v>
      </c>
      <c r="C259" s="3054" t="s">
        <v>1183</v>
      </c>
      <c r="D259" s="3055"/>
      <c r="E259" s="223" t="s">
        <v>49</v>
      </c>
      <c r="F259" s="1072" cm="1">
        <f t="array" ref="F259">IFERROR(
  INDEX(Table4[[Định mức tiêu hao]:[Vượt ĐM]],
        MATCH(1,(Table4[Tháng]=--'Form mẫu'!$U$2)*
                 (Table4[DC]="DC2")*
                 (Table4[Kích thước]='Form mẫu'!$B259)*
                 (Table4[Nguyên liệu, vật tư]='Form mẫu'!$C259),0),
        MATCH(TRIM(SUBSTITUTE(F$257,CHAR(160)," ")),
              TRIM(SUBSTITUTE(Table4[[#Headers],[Định mức tiêu hao]:[Vượt ĐM]],CHAR(160)," ")),0)
  ),
0)</f>
        <v>0</v>
      </c>
      <c r="G259" s="268" cm="1">
        <f t="array" ref="G259">IFERROR(
  INDEX(Table4[[Định mức tiêu hao]:[Vượt ĐM]],
        MATCH(1,(Table4[Tháng]=--'Form mẫu'!$U$2)*
                 (Table4[DC]="DC2")*
                 (Table4[Kích thước]='Form mẫu'!$B259)*
                 (Table4[Nguyên liệu, vật tư]='Form mẫu'!$C259),0),
        MATCH(TRIM(SUBSTITUTE(G$257,CHAR(160)," ")),
              TRIM(SUBSTITUTE(Table4[[#Headers],[Định mức tiêu hao]:[Vượt ĐM]],CHAR(160)," ")),0)
  ),
0)</f>
        <v>0</v>
      </c>
      <c r="H259" s="1820" cm="1">
        <f t="array" ref="H259">IFERROR(
  INDEX(Table4[[Định mức tiêu hao]:[Vượt ĐM]],
        MATCH(1,(Table4[Tháng]=--'Form mẫu'!$U$2)*
                 (Table4[DC]="DC2")*
                 (Table4[Kích thước]='Form mẫu'!$B259)*
                 (Table4[Nguyên liệu, vật tư]='Form mẫu'!$C259),0),
        MATCH(TRIM(SUBSTITUTE(H$257,CHAR(160)," ")),
              TRIM(SUBSTITUTE(Table4[[#Headers],[Định mức tiêu hao]:[Vượt ĐM]],CHAR(160)," ")),0)
  ),
0)</f>
        <v>0</v>
      </c>
      <c r="I259" s="531" cm="1">
        <f t="array" ref="I259">IFERROR(
  INDEX(Table4[[Định mức tiêu hao]:[Vượt ĐM]],
        MATCH(1,(Table4[Tháng]=--'Form mẫu'!$U$2)*
                 (Table4[DC]="DC2")*
                 (Table4[Kích thước]='Form mẫu'!$B259)*
                 (Table4[Nguyên liệu, vật tư]='Form mẫu'!$C259),0),
        MATCH(TRIM(SUBSTITUTE(I$257,CHAR(160)," ")),
              TRIM(SUBSTITUTE(Table4[[#Headers],[Định mức tiêu hao]:[Vượt ĐM]],CHAR(160)," ")),0)
  ),
0)</f>
        <v>0</v>
      </c>
      <c r="J259" s="445" cm="1">
        <f t="array" ref="J259">IFERROR(
  INDEX(Table4[[Định mức tiêu hao]:[Vượt ĐM]],
        MATCH(1,(Table4[Tháng]=--'Form mẫu'!$U$2)*
                 (Table4[DC]="DC2")*
                 (Table4[Kích thước]='Form mẫu'!$B259)*
                 (Table4[Nguyên liệu, vật tư]='Form mẫu'!$C259),0),
        MATCH(TRIM(SUBSTITUTE(J$257,CHAR(160)," ")),
              TRIM(SUBSTITUTE(Table4[[#Headers],[Định mức tiêu hao]:[Vượt ĐM]],CHAR(160)," ")),0)
  ),
0)</f>
        <v>0</v>
      </c>
      <c r="K259" s="3068"/>
      <c r="L259" s="3069"/>
      <c r="M259" s="3069"/>
      <c r="N259" s="3072"/>
      <c r="O259" s="3073"/>
    </row>
    <row r="260" spans="1:18" s="1" customFormat="1" ht="26" customHeight="1" x14ac:dyDescent="0.2">
      <c r="A260" s="1536">
        <v>3</v>
      </c>
      <c r="B260" s="1568" t="s">
        <v>116</v>
      </c>
      <c r="C260" s="3054" t="s">
        <v>1184</v>
      </c>
      <c r="D260" s="3055"/>
      <c r="E260" s="223" t="s">
        <v>49</v>
      </c>
      <c r="F260" s="1072" cm="1">
        <f t="array" ref="F260">IFERROR(
  INDEX(Table4[[Định mức tiêu hao]:[Vượt ĐM]],
        MATCH(1,(Table4[Tháng]=--'Form mẫu'!$U$2)*
                 (Table4[DC]="DC2")*
                 (Table4[Kích thước]='Form mẫu'!$B260)*
                 (Table4[Nguyên liệu, vật tư]='Form mẫu'!$C260),0),
        MATCH(TRIM(SUBSTITUTE(F$257,CHAR(160)," ")),
              TRIM(SUBSTITUTE(Table4[[#Headers],[Định mức tiêu hao]:[Vượt ĐM]],CHAR(160)," ")),0)
  ),
0)</f>
        <v>0</v>
      </c>
      <c r="G260" s="268" cm="1">
        <f t="array" ref="G260">IFERROR(
  INDEX(Table4[[Định mức tiêu hao]:[Vượt ĐM]],
        MATCH(1,(Table4[Tháng]=--'Form mẫu'!$U$2)*
                 (Table4[DC]="DC2")*
                 (Table4[Kích thước]='Form mẫu'!$B260)*
                 (Table4[Nguyên liệu, vật tư]='Form mẫu'!$C260),0),
        MATCH(TRIM(SUBSTITUTE(G$257,CHAR(160)," ")),
              TRIM(SUBSTITUTE(Table4[[#Headers],[Định mức tiêu hao]:[Vượt ĐM]],CHAR(160)," ")),0)
  ),
0)</f>
        <v>0</v>
      </c>
      <c r="H260" s="1820" cm="1">
        <f t="array" ref="H260">IFERROR(
  INDEX(Table4[[Định mức tiêu hao]:[Vượt ĐM]],
        MATCH(1,(Table4[Tháng]=--'Form mẫu'!$U$2)*
                 (Table4[DC]="DC2")*
                 (Table4[Kích thước]='Form mẫu'!$B260)*
                 (Table4[Nguyên liệu, vật tư]='Form mẫu'!$C260),0),
        MATCH(TRIM(SUBSTITUTE(H$257,CHAR(160)," ")),
              TRIM(SUBSTITUTE(Table4[[#Headers],[Định mức tiêu hao]:[Vượt ĐM]],CHAR(160)," ")),0)
  ),
0)</f>
        <v>0</v>
      </c>
      <c r="I260" s="531" cm="1">
        <f t="array" ref="I260">IFERROR(
  INDEX(Table4[[Định mức tiêu hao]:[Vượt ĐM]],
        MATCH(1,(Table4[Tháng]=--'Form mẫu'!$U$2)*
                 (Table4[DC]="DC2")*
                 (Table4[Kích thước]='Form mẫu'!$B260)*
                 (Table4[Nguyên liệu, vật tư]='Form mẫu'!$C260),0),
        MATCH(TRIM(SUBSTITUTE(I$257,CHAR(160)," ")),
              TRIM(SUBSTITUTE(Table4[[#Headers],[Định mức tiêu hao]:[Vượt ĐM]],CHAR(160)," ")),0)
  ),
0)</f>
        <v>0</v>
      </c>
      <c r="J260" s="445" cm="1">
        <f t="array" ref="J260">IFERROR(
  INDEX(Table4[[Định mức tiêu hao]:[Vượt ĐM]],
        MATCH(1,(Table4[Tháng]=--'Form mẫu'!$U$2)*
                 (Table4[DC]="DC2")*
                 (Table4[Kích thước]='Form mẫu'!$B260)*
                 (Table4[Nguyên liệu, vật tư]='Form mẫu'!$C260),0),
        MATCH(TRIM(SUBSTITUTE(J$257,CHAR(160)," ")),
              TRIM(SUBSTITUTE(Table4[[#Headers],[Định mức tiêu hao]:[Vượt ĐM]],CHAR(160)," ")),0)
  ),
0)</f>
        <v>0</v>
      </c>
      <c r="K260" s="3178"/>
      <c r="L260" s="3179"/>
      <c r="M260" s="3179"/>
      <c r="N260" s="3179"/>
      <c r="O260" s="3180"/>
    </row>
    <row r="261" spans="1:18" s="1" customFormat="1" ht="26" customHeight="1" x14ac:dyDescent="0.2">
      <c r="A261" s="1536">
        <v>4</v>
      </c>
      <c r="B261" s="1568" t="s">
        <v>116</v>
      </c>
      <c r="C261" s="3054" t="s">
        <v>176</v>
      </c>
      <c r="D261" s="3055"/>
      <c r="E261" s="223" t="s">
        <v>195</v>
      </c>
      <c r="F261" s="1072" cm="1">
        <f t="array" ref="F261">IFERROR(
  INDEX(Table4[[Định mức tiêu hao]:[Vượt ĐM]],
        MATCH(1,(Table4[Tháng]=--'Form mẫu'!$U$2)*
                 (Table4[DC]="DC2")*
                 (Table4[Kích thước]='Form mẫu'!$B261)*
                 (Table4[Nguyên liệu, vật tư]='Form mẫu'!$C261),0),
        MATCH(TRIM(SUBSTITUTE(F$257,CHAR(160)," ")),
              TRIM(SUBSTITUTE(Table4[[#Headers],[Định mức tiêu hao]:[Vượt ĐM]],CHAR(160)," ")),0)
  ),
0)</f>
        <v>0</v>
      </c>
      <c r="G261" s="268" cm="1">
        <f t="array" ref="G261">IFERROR(
  INDEX(Table4[[Định mức tiêu hao]:[Vượt ĐM]],
        MATCH(1,(Table4[Tháng]=--'Form mẫu'!$U$2)*
                 (Table4[DC]="DC2")*
                 (Table4[Kích thước]='Form mẫu'!$B261)*
                 (Table4[Nguyên liệu, vật tư]='Form mẫu'!$C261),0),
        MATCH(TRIM(SUBSTITUTE(G$257,CHAR(160)," ")),
              TRIM(SUBSTITUTE(Table4[[#Headers],[Định mức tiêu hao]:[Vượt ĐM]],CHAR(160)," ")),0)
  ),
0)</f>
        <v>0</v>
      </c>
      <c r="H261" s="1820" cm="1">
        <f t="array" ref="H261">IFERROR(
  INDEX(Table4[[Định mức tiêu hao]:[Vượt ĐM]],
        MATCH(1,(Table4[Tháng]=--'Form mẫu'!$U$2)*
                 (Table4[DC]="DC2")*
                 (Table4[Kích thước]='Form mẫu'!$B261)*
                 (Table4[Nguyên liệu, vật tư]='Form mẫu'!$C261),0),
        MATCH(TRIM(SUBSTITUTE(H$257,CHAR(160)," ")),
              TRIM(SUBSTITUTE(Table4[[#Headers],[Định mức tiêu hao]:[Vượt ĐM]],CHAR(160)," ")),0)
  ),
0)</f>
        <v>0</v>
      </c>
      <c r="I261" s="531" cm="1">
        <f t="array" ref="I261">IFERROR(
  INDEX(Table4[[Định mức tiêu hao]:[Vượt ĐM]],
        MATCH(1,(Table4[Tháng]=--'Form mẫu'!$U$2)*
                 (Table4[DC]="DC2")*
                 (Table4[Kích thước]='Form mẫu'!$B261)*
                 (Table4[Nguyên liệu, vật tư]='Form mẫu'!$C261),0),
        MATCH(TRIM(SUBSTITUTE(I$257,CHAR(160)," ")),
              TRIM(SUBSTITUTE(Table4[[#Headers],[Định mức tiêu hao]:[Vượt ĐM]],CHAR(160)," ")),0)
  ),
0)</f>
        <v>0</v>
      </c>
      <c r="J261" s="445" cm="1">
        <f t="array" ref="J261">IFERROR(
  INDEX(Table4[[Định mức tiêu hao]:[Vượt ĐM]],
        MATCH(1,(Table4[Tháng]=--'Form mẫu'!$U$2)*
                 (Table4[DC]="DC2")*
                 (Table4[Kích thước]='Form mẫu'!$B261)*
                 (Table4[Nguyên liệu, vật tư]='Form mẫu'!$C261),0),
        MATCH(TRIM(SUBSTITUTE(J$257,CHAR(160)," ")),
              TRIM(SUBSTITUTE(Table4[[#Headers],[Định mức tiêu hao]:[Vượt ĐM]],CHAR(160)," ")),0)
  ),
0)</f>
        <v>0</v>
      </c>
      <c r="K261" s="3178"/>
      <c r="L261" s="3179"/>
      <c r="M261" s="3179"/>
      <c r="N261" s="3179"/>
      <c r="O261" s="3180"/>
    </row>
    <row r="262" spans="1:18" s="1" customFormat="1" ht="26" customHeight="1" x14ac:dyDescent="0.2">
      <c r="A262" s="1727">
        <v>5</v>
      </c>
      <c r="B262" s="1567" t="s">
        <v>116</v>
      </c>
      <c r="C262" s="3054" t="s">
        <v>177</v>
      </c>
      <c r="D262" s="3055"/>
      <c r="E262" s="223" t="s">
        <v>49</v>
      </c>
      <c r="F262" s="1072" cm="1">
        <f t="array" ref="F262">IFERROR(
  INDEX(Table4[[Định mức tiêu hao]:[Vượt ĐM]],
        MATCH(1,(Table4[Tháng]=--'Form mẫu'!$U$2)*
                 (Table4[DC]="DC2")*
                 (Table4[Kích thước]='Form mẫu'!$B262)*
                 (Table4[Nguyên liệu, vật tư]='Form mẫu'!$C262),0),
        MATCH(TRIM(SUBSTITUTE(F$257,CHAR(160)," ")),
              TRIM(SUBSTITUTE(Table4[[#Headers],[Định mức tiêu hao]:[Vượt ĐM]],CHAR(160)," ")),0)
  ),
0)</f>
        <v>0</v>
      </c>
      <c r="G262" s="268" cm="1">
        <f t="array" ref="G262">IFERROR(
  INDEX(Table4[[Định mức tiêu hao]:[Vượt ĐM]],
        MATCH(1,(Table4[Tháng]=--'Form mẫu'!$U$2)*
                 (Table4[DC]="DC2")*
                 (Table4[Kích thước]='Form mẫu'!$B262)*
                 (Table4[Nguyên liệu, vật tư]='Form mẫu'!$C262),0),
        MATCH(TRIM(SUBSTITUTE(G$257,CHAR(160)," ")),
              TRIM(SUBSTITUTE(Table4[[#Headers],[Định mức tiêu hao]:[Vượt ĐM]],CHAR(160)," ")),0)
  ),
0)</f>
        <v>0</v>
      </c>
      <c r="H262" s="1820" cm="1">
        <f t="array" ref="H262">IFERROR(
  INDEX(Table4[[Định mức tiêu hao]:[Vượt ĐM]],
        MATCH(1,(Table4[Tháng]=--'Form mẫu'!$U$2)*
                 (Table4[DC]="DC2")*
                 (Table4[Kích thước]='Form mẫu'!$B262)*
                 (Table4[Nguyên liệu, vật tư]='Form mẫu'!$C262),0),
        MATCH(TRIM(SUBSTITUTE(H$257,CHAR(160)," ")),
              TRIM(SUBSTITUTE(Table4[[#Headers],[Định mức tiêu hao]:[Vượt ĐM]],CHAR(160)," ")),0)
  ),
0)</f>
        <v>0</v>
      </c>
      <c r="I262" s="531" cm="1">
        <f t="array" ref="I262">IFERROR(
  INDEX(Table4[[Định mức tiêu hao]:[Vượt ĐM]],
        MATCH(1,(Table4[Tháng]=--'Form mẫu'!$U$2)*
                 (Table4[DC]="DC2")*
                 (Table4[Kích thước]='Form mẫu'!$B262)*
                 (Table4[Nguyên liệu, vật tư]='Form mẫu'!$C262),0),
        MATCH(TRIM(SUBSTITUTE(I$257,CHAR(160)," ")),
              TRIM(SUBSTITUTE(Table4[[#Headers],[Định mức tiêu hao]:[Vượt ĐM]],CHAR(160)," ")),0)
  ),
0)</f>
        <v>0</v>
      </c>
      <c r="J262" s="445" cm="1">
        <f t="array" ref="J262">IFERROR(
  INDEX(Table4[[Định mức tiêu hao]:[Vượt ĐM]],
        MATCH(1,(Table4[Tháng]=--'Form mẫu'!$U$2)*
                 (Table4[DC]="DC2")*
                 (Table4[Kích thước]='Form mẫu'!$B262)*
                 (Table4[Nguyên liệu, vật tư]='Form mẫu'!$C262),0),
        MATCH(TRIM(SUBSTITUTE(J$257,CHAR(160)," ")),
              TRIM(SUBSTITUTE(Table4[[#Headers],[Định mức tiêu hao]:[Vượt ĐM]],CHAR(160)," ")),0)
  ),
0)</f>
        <v>0</v>
      </c>
      <c r="K262" s="3178"/>
      <c r="L262" s="3179"/>
      <c r="M262" s="3179"/>
      <c r="N262" s="3179"/>
      <c r="O262" s="3180"/>
    </row>
    <row r="263" spans="1:18" s="1" customFormat="1" ht="26" customHeight="1" x14ac:dyDescent="0.2">
      <c r="A263" s="1536">
        <v>6</v>
      </c>
      <c r="B263" s="1568" t="s">
        <v>116</v>
      </c>
      <c r="C263" s="3054" t="s">
        <v>178</v>
      </c>
      <c r="D263" s="3055"/>
      <c r="E263" s="223" t="s">
        <v>49</v>
      </c>
      <c r="F263" s="1984" cm="1">
        <f t="array" ref="F263">IFERROR(
  INDEX(Table4[[Định mức tiêu hao]:[Vượt ĐM]],
        MATCH(1,(Table4[Tháng]=--'Form mẫu'!$U$2)*
                 (Table4[DC]="DC2")*
                 (Table4[Kích thước]='Form mẫu'!$B263)*
                 (Table4[Nguyên liệu, vật tư]='Form mẫu'!$C263),0),
        MATCH(TRIM(SUBSTITUTE(F$257,CHAR(160)," ")),
              TRIM(SUBSTITUTE(Table4[[#Headers],[Định mức tiêu hao]:[Vượt ĐM]],CHAR(160)," ")),0)
  ),
0)</f>
        <v>0</v>
      </c>
      <c r="G263" s="270" cm="1">
        <f t="array" ref="G263">IFERROR(
  INDEX(Table4[[Định mức tiêu hao]:[Vượt ĐM]],
        MATCH(1,(Table4[Tháng]=--'Form mẫu'!$U$2)*
                 (Table4[DC]="DC2")*
                 (Table4[Kích thước]='Form mẫu'!$B263)*
                 (Table4[Nguyên liệu, vật tư]='Form mẫu'!$C263),0),
        MATCH(TRIM(SUBSTITUTE(G$257,CHAR(160)," ")),
              TRIM(SUBSTITUTE(Table4[[#Headers],[Định mức tiêu hao]:[Vượt ĐM]],CHAR(160)," ")),0)
  ),
0)</f>
        <v>0</v>
      </c>
      <c r="H263" s="1820" cm="1">
        <f t="array" ref="H263">IFERROR(
  INDEX(Table4[[Định mức tiêu hao]:[Vượt ĐM]],
        MATCH(1,(Table4[Tháng]=--'Form mẫu'!$U$2)*
                 (Table4[DC]="DC2")*
                 (Table4[Kích thước]='Form mẫu'!$B263)*
                 (Table4[Nguyên liệu, vật tư]='Form mẫu'!$C263),0),
        MATCH(TRIM(SUBSTITUTE(H$257,CHAR(160)," ")),
              TRIM(SUBSTITUTE(Table4[[#Headers],[Định mức tiêu hao]:[Vượt ĐM]],CHAR(160)," ")),0)
  ),
0)</f>
        <v>0</v>
      </c>
      <c r="I263" s="531" cm="1">
        <f t="array" ref="I263">IFERROR(
  INDEX(Table4[[Định mức tiêu hao]:[Vượt ĐM]],
        MATCH(1,(Table4[Tháng]=--'Form mẫu'!$U$2)*
                 (Table4[DC]="DC2")*
                 (Table4[Kích thước]='Form mẫu'!$B263)*
                 (Table4[Nguyên liệu, vật tư]='Form mẫu'!$C263),0),
        MATCH(TRIM(SUBSTITUTE(I$257,CHAR(160)," ")),
              TRIM(SUBSTITUTE(Table4[[#Headers],[Định mức tiêu hao]:[Vượt ĐM]],CHAR(160)," ")),0)
  ),
0)</f>
        <v>0</v>
      </c>
      <c r="J263" s="445" cm="1">
        <f t="array" ref="J263">IFERROR(
  INDEX(Table4[[Định mức tiêu hao]:[Vượt ĐM]],
        MATCH(1,(Table4[Tháng]=--'Form mẫu'!$U$2)*
                 (Table4[DC]="DC2")*
                 (Table4[Kích thước]='Form mẫu'!$B263)*
                 (Table4[Nguyên liệu, vật tư]='Form mẫu'!$C263),0),
        MATCH(TRIM(SUBSTITUTE(J$257,CHAR(160)," ")),
              TRIM(SUBSTITUTE(Table4[[#Headers],[Định mức tiêu hao]:[Vượt ĐM]],CHAR(160)," ")),0)
  ),
0)</f>
        <v>0</v>
      </c>
      <c r="K263" s="3178"/>
      <c r="L263" s="3179"/>
      <c r="M263" s="3179"/>
      <c r="N263" s="3179"/>
      <c r="O263" s="3180"/>
    </row>
    <row r="264" spans="1:18" s="1" customFormat="1" ht="26" customHeight="1" x14ac:dyDescent="0.2">
      <c r="A264" s="1693">
        <v>7</v>
      </c>
      <c r="B264" s="1568" t="s">
        <v>116</v>
      </c>
      <c r="C264" s="3054" t="s">
        <v>182</v>
      </c>
      <c r="D264" s="3055"/>
      <c r="E264" s="223" t="s">
        <v>49</v>
      </c>
      <c r="F264" s="1072" cm="1">
        <f t="array" ref="F264">IFERROR(
  INDEX(Table4[[Định mức tiêu hao]:[Vượt ĐM]],
        MATCH(1,(Table4[Tháng]=--'Form mẫu'!$U$2)*
                 (Table4[DC]="DC2")*
                 (Table4[Kích thước]='Form mẫu'!$B264)*
                 (Table4[Nguyên liệu, vật tư]='Form mẫu'!$C264),0),
        MATCH(TRIM(SUBSTITUTE(F$257,CHAR(160)," ")),
              TRIM(SUBSTITUTE(Table4[[#Headers],[Định mức tiêu hao]:[Vượt ĐM]],CHAR(160)," ")),0)
  ),
0)</f>
        <v>0</v>
      </c>
      <c r="G264" s="261" cm="1">
        <f t="array" ref="G264">IFERROR(
  INDEX(Table4[[Định mức tiêu hao]:[Vượt ĐM]],
        MATCH(1,(Table4[Tháng]=--'Form mẫu'!$U$2)*
                 (Table4[DC]="DC2")*
                 (Table4[Kích thước]='Form mẫu'!$B264)*
                 (Table4[Nguyên liệu, vật tư]='Form mẫu'!$C264),0),
        MATCH(TRIM(SUBSTITUTE(G$257,CHAR(160)," ")),
              TRIM(SUBSTITUTE(Table4[[#Headers],[Định mức tiêu hao]:[Vượt ĐM]],CHAR(160)," ")),0)
  ),
0)</f>
        <v>0</v>
      </c>
      <c r="H264" s="1820" cm="1">
        <f t="array" ref="H264">IFERROR(
  INDEX(Table4[[Định mức tiêu hao]:[Vượt ĐM]],
        MATCH(1,(Table4[Tháng]=--'Form mẫu'!$U$2)*
                 (Table4[DC]="DC2")*
                 (Table4[Kích thước]='Form mẫu'!$B264)*
                 (Table4[Nguyên liệu, vật tư]='Form mẫu'!$C264),0),
        MATCH(TRIM(SUBSTITUTE(H$257,CHAR(160)," ")),
              TRIM(SUBSTITUTE(Table4[[#Headers],[Định mức tiêu hao]:[Vượt ĐM]],CHAR(160)," ")),0)
  ),
0)</f>
        <v>0</v>
      </c>
      <c r="I264" s="531" cm="1">
        <f t="array" ref="I264">IFERROR(
  INDEX(Table4[[Định mức tiêu hao]:[Vượt ĐM]],
        MATCH(1,(Table4[Tháng]=--'Form mẫu'!$U$2)*
                 (Table4[DC]="DC2")*
                 (Table4[Kích thước]='Form mẫu'!$B264)*
                 (Table4[Nguyên liệu, vật tư]='Form mẫu'!$C264),0),
        MATCH(TRIM(SUBSTITUTE(I$257,CHAR(160)," ")),
              TRIM(SUBSTITUTE(Table4[[#Headers],[Định mức tiêu hao]:[Vượt ĐM]],CHAR(160)," ")),0)
  ),
0)</f>
        <v>0</v>
      </c>
      <c r="J264" s="445" cm="1">
        <f t="array" ref="J264">IFERROR(
  INDEX(Table4[[Định mức tiêu hao]:[Vượt ĐM]],
        MATCH(1,(Table4[Tháng]=--'Form mẫu'!$U$2)*
                 (Table4[DC]="DC2")*
                 (Table4[Kích thước]='Form mẫu'!$B264)*
                 (Table4[Nguyên liệu, vật tư]='Form mẫu'!$C264),0),
        MATCH(TRIM(SUBSTITUTE(J$257,CHAR(160)," ")),
              TRIM(SUBSTITUTE(Table4[[#Headers],[Định mức tiêu hao]:[Vượt ĐM]],CHAR(160)," ")),0)
  ),
0)</f>
        <v>0</v>
      </c>
      <c r="K264" s="3178"/>
      <c r="L264" s="3179"/>
      <c r="M264" s="3179"/>
      <c r="N264" s="3179"/>
      <c r="O264" s="3180"/>
    </row>
    <row r="265" spans="1:18" s="1" customFormat="1" ht="26" customHeight="1" x14ac:dyDescent="0.2">
      <c r="A265" s="1536">
        <v>8</v>
      </c>
      <c r="B265" s="1568" t="s">
        <v>116</v>
      </c>
      <c r="C265" s="3054" t="s">
        <v>183</v>
      </c>
      <c r="D265" s="3055"/>
      <c r="E265" s="223" t="s">
        <v>49</v>
      </c>
      <c r="F265" s="1072" cm="1">
        <f t="array" ref="F265">IFERROR(
  INDEX(Table4[[Định mức tiêu hao]:[Vượt ĐM]],
        MATCH(1,(Table4[Tháng]=--'Form mẫu'!$U$2)*
                 (Table4[DC]="DC2")*
                 (Table4[Kích thước]='Form mẫu'!$B265)*
                 (Table4[Nguyên liệu, vật tư]='Form mẫu'!$C265),0),
        MATCH(TRIM(SUBSTITUTE(F$257,CHAR(160)," ")),
              TRIM(SUBSTITUTE(Table4[[#Headers],[Định mức tiêu hao]:[Vượt ĐM]],CHAR(160)," ")),0)
  ),
0)</f>
        <v>0</v>
      </c>
      <c r="G265" s="270" cm="1">
        <f t="array" ref="G265">IFERROR(
  INDEX(Table4[[Định mức tiêu hao]:[Vượt ĐM]],
        MATCH(1,(Table4[Tháng]=--'Form mẫu'!$U$2)*
                 (Table4[DC]="DC2")*
                 (Table4[Kích thước]='Form mẫu'!$B265)*
                 (Table4[Nguyên liệu, vật tư]='Form mẫu'!$C265),0),
        MATCH(TRIM(SUBSTITUTE(G$257,CHAR(160)," ")),
              TRIM(SUBSTITUTE(Table4[[#Headers],[Định mức tiêu hao]:[Vượt ĐM]],CHAR(160)," ")),0)
  ),
0)</f>
        <v>0</v>
      </c>
      <c r="H265" s="1820" cm="1">
        <f t="array" ref="H265">IFERROR(
  INDEX(Table4[[Định mức tiêu hao]:[Vượt ĐM]],
        MATCH(1,(Table4[Tháng]=--'Form mẫu'!$U$2)*
                 (Table4[DC]="DC2")*
                 (Table4[Kích thước]='Form mẫu'!$B265)*
                 (Table4[Nguyên liệu, vật tư]='Form mẫu'!$C265),0),
        MATCH(TRIM(SUBSTITUTE(H$257,CHAR(160)," ")),
              TRIM(SUBSTITUTE(Table4[[#Headers],[Định mức tiêu hao]:[Vượt ĐM]],CHAR(160)," ")),0)
  ),
0)</f>
        <v>0</v>
      </c>
      <c r="I265" s="531" cm="1">
        <f t="array" ref="I265">IFERROR(
  INDEX(Table4[[Định mức tiêu hao]:[Vượt ĐM]],
        MATCH(1,(Table4[Tháng]=--'Form mẫu'!$U$2)*
                 (Table4[DC]="DC2")*
                 (Table4[Kích thước]='Form mẫu'!$B265)*
                 (Table4[Nguyên liệu, vật tư]='Form mẫu'!$C265),0),
        MATCH(TRIM(SUBSTITUTE(I$257,CHAR(160)," ")),
              TRIM(SUBSTITUTE(Table4[[#Headers],[Định mức tiêu hao]:[Vượt ĐM]],CHAR(160)," ")),0)
  ),
0)</f>
        <v>0</v>
      </c>
      <c r="J265" s="445" cm="1">
        <f t="array" ref="J265">IFERROR(
  INDEX(Table4[[Định mức tiêu hao]:[Vượt ĐM]],
        MATCH(1,(Table4[Tháng]=--'Form mẫu'!$U$2)*
                 (Table4[DC]="DC2")*
                 (Table4[Kích thước]='Form mẫu'!$B265)*
                 (Table4[Nguyên liệu, vật tư]='Form mẫu'!$C265),0),
        MATCH(TRIM(SUBSTITUTE(J$257,CHAR(160)," ")),
              TRIM(SUBSTITUTE(Table4[[#Headers],[Định mức tiêu hao]:[Vượt ĐM]],CHAR(160)," ")),0)
  ),
0)</f>
        <v>0</v>
      </c>
      <c r="K265" s="3178"/>
      <c r="L265" s="3179"/>
      <c r="M265" s="3179"/>
      <c r="N265" s="3179"/>
      <c r="O265" s="3180"/>
    </row>
    <row r="266" spans="1:18" s="1" customFormat="1" ht="26" customHeight="1" x14ac:dyDescent="0.2">
      <c r="A266" s="1536">
        <v>9</v>
      </c>
      <c r="B266" s="1568" t="s">
        <v>116</v>
      </c>
      <c r="C266" s="3054" t="s">
        <v>184</v>
      </c>
      <c r="D266" s="3055"/>
      <c r="E266" s="223" t="s">
        <v>195</v>
      </c>
      <c r="F266" s="1072" cm="1">
        <f t="array" ref="F266">IFERROR(
  INDEX(Table4[[Định mức tiêu hao]:[Vượt ĐM]],
        MATCH(1,(Table4[Tháng]=--'Form mẫu'!$U$2)*
                 (Table4[DC]="DC2")*
                 (Table4[Kích thước]='Form mẫu'!$B266)*
                 (Table4[Nguyên liệu, vật tư]='Form mẫu'!$C266),0),
        MATCH(TRIM(SUBSTITUTE(F$257,CHAR(160)," ")),
              TRIM(SUBSTITUTE(Table4[[#Headers],[Định mức tiêu hao]:[Vượt ĐM]],CHAR(160)," ")),0)
  ),
0)</f>
        <v>0</v>
      </c>
      <c r="G266" s="268" cm="1">
        <f t="array" ref="G266">IFERROR(
  INDEX(Table4[[Định mức tiêu hao]:[Vượt ĐM]],
        MATCH(1,(Table4[Tháng]=--'Form mẫu'!$U$2)*
                 (Table4[DC]="DC2")*
                 (Table4[Kích thước]='Form mẫu'!$B266)*
                 (Table4[Nguyên liệu, vật tư]='Form mẫu'!$C266),0),
        MATCH(TRIM(SUBSTITUTE(G$257,CHAR(160)," ")),
              TRIM(SUBSTITUTE(Table4[[#Headers],[Định mức tiêu hao]:[Vượt ĐM]],CHAR(160)," ")),0)
  ),
0)</f>
        <v>0</v>
      </c>
      <c r="H266" s="1820" cm="1">
        <f t="array" ref="H266">IFERROR(
  INDEX(Table4[[Định mức tiêu hao]:[Vượt ĐM]],
        MATCH(1,(Table4[Tháng]=--'Form mẫu'!$U$2)*
                 (Table4[DC]="DC2")*
                 (Table4[Kích thước]='Form mẫu'!$B266)*
                 (Table4[Nguyên liệu, vật tư]='Form mẫu'!$C266),0),
        MATCH(TRIM(SUBSTITUTE(H$257,CHAR(160)," ")),
              TRIM(SUBSTITUTE(Table4[[#Headers],[Định mức tiêu hao]:[Vượt ĐM]],CHAR(160)," ")),0)
  ),
0)</f>
        <v>0</v>
      </c>
      <c r="I266" s="531" cm="1">
        <f t="array" ref="I266">IFERROR(
  INDEX(Table4[[Định mức tiêu hao]:[Vượt ĐM]],
        MATCH(1,(Table4[Tháng]=--'Form mẫu'!$U$2)*
                 (Table4[DC]="DC2")*
                 (Table4[Kích thước]='Form mẫu'!$B266)*
                 (Table4[Nguyên liệu, vật tư]='Form mẫu'!$C266),0),
        MATCH(TRIM(SUBSTITUTE(I$257,CHAR(160)," ")),
              TRIM(SUBSTITUTE(Table4[[#Headers],[Định mức tiêu hao]:[Vượt ĐM]],CHAR(160)," ")),0)
  ),
0)</f>
        <v>0</v>
      </c>
      <c r="J266" s="445" cm="1">
        <f t="array" ref="J266">IFERROR(
  INDEX(Table4[[Định mức tiêu hao]:[Vượt ĐM]],
        MATCH(1,(Table4[Tháng]=--'Form mẫu'!$U$2)*
                 (Table4[DC]="DC2")*
                 (Table4[Kích thước]='Form mẫu'!$B266)*
                 (Table4[Nguyên liệu, vật tư]='Form mẫu'!$C266),0),
        MATCH(TRIM(SUBSTITUTE(J$257,CHAR(160)," ")),
              TRIM(SUBSTITUTE(Table4[[#Headers],[Định mức tiêu hao]:[Vượt ĐM]],CHAR(160)," ")),0)
  ),
0)</f>
        <v>0</v>
      </c>
      <c r="K266" s="3178"/>
      <c r="L266" s="3179"/>
      <c r="M266" s="3179"/>
      <c r="N266" s="3179"/>
      <c r="O266" s="3180"/>
    </row>
    <row r="267" spans="1:18" s="1" customFormat="1" ht="26" customHeight="1" x14ac:dyDescent="0.2">
      <c r="A267" s="1536">
        <v>10</v>
      </c>
      <c r="B267" s="1568" t="s">
        <v>116</v>
      </c>
      <c r="C267" s="3054" t="s">
        <v>185</v>
      </c>
      <c r="D267" s="3055"/>
      <c r="E267" s="223" t="s">
        <v>195</v>
      </c>
      <c r="F267" s="1072" cm="1">
        <f t="array" ref="F267">IFERROR(
  INDEX(Table4[[Định mức tiêu hao]:[Vượt ĐM]],
        MATCH(1,(Table4[Tháng]=--'Form mẫu'!$U$2)*
                 (Table4[DC]="DC2")*
                 (Table4[Kích thước]='Form mẫu'!$B267)*
                 (Table4[Nguyên liệu, vật tư]='Form mẫu'!$C267),0),
        MATCH(TRIM(SUBSTITUTE(F$257,CHAR(160)," ")),
              TRIM(SUBSTITUTE(Table4[[#Headers],[Định mức tiêu hao]:[Vượt ĐM]],CHAR(160)," ")),0)
  ),
0)</f>
        <v>0</v>
      </c>
      <c r="G267" s="261" cm="1">
        <f t="array" ref="G267">IFERROR(
  INDEX(Table4[[Định mức tiêu hao]:[Vượt ĐM]],
        MATCH(1,(Table4[Tháng]=--'Form mẫu'!$U$2)*
                 (Table4[DC]="DC2")*
                 (Table4[Kích thước]='Form mẫu'!$B267)*
                 (Table4[Nguyên liệu, vật tư]='Form mẫu'!$C267),0),
        MATCH(TRIM(SUBSTITUTE(G$257,CHAR(160)," ")),
              TRIM(SUBSTITUTE(Table4[[#Headers],[Định mức tiêu hao]:[Vượt ĐM]],CHAR(160)," ")),0)
  ),
0)</f>
        <v>0</v>
      </c>
      <c r="H267" s="1820" cm="1">
        <f t="array" ref="H267">IFERROR(
  INDEX(Table4[[Định mức tiêu hao]:[Vượt ĐM]],
        MATCH(1,(Table4[Tháng]=--'Form mẫu'!$U$2)*
                 (Table4[DC]="DC2")*
                 (Table4[Kích thước]='Form mẫu'!$B267)*
                 (Table4[Nguyên liệu, vật tư]='Form mẫu'!$C267),0),
        MATCH(TRIM(SUBSTITUTE(H$257,CHAR(160)," ")),
              TRIM(SUBSTITUTE(Table4[[#Headers],[Định mức tiêu hao]:[Vượt ĐM]],CHAR(160)," ")),0)
  ),
0)</f>
        <v>0</v>
      </c>
      <c r="I267" s="531" cm="1">
        <f t="array" ref="I267">IFERROR(
  INDEX(Table4[[Định mức tiêu hao]:[Vượt ĐM]],
        MATCH(1,(Table4[Tháng]=--'Form mẫu'!$U$2)*
                 (Table4[DC]="DC2")*
                 (Table4[Kích thước]='Form mẫu'!$B267)*
                 (Table4[Nguyên liệu, vật tư]='Form mẫu'!$C267),0),
        MATCH(TRIM(SUBSTITUTE(I$257,CHAR(160)," ")),
              TRIM(SUBSTITUTE(Table4[[#Headers],[Định mức tiêu hao]:[Vượt ĐM]],CHAR(160)," ")),0)
  ),
0)</f>
        <v>0</v>
      </c>
      <c r="J267" s="445" cm="1">
        <f t="array" ref="J267">IFERROR(
  INDEX(Table4[[Định mức tiêu hao]:[Vượt ĐM]],
        MATCH(1,(Table4[Tháng]=--'Form mẫu'!$U$2)*
                 (Table4[DC]="DC2")*
                 (Table4[Kích thước]='Form mẫu'!$B267)*
                 (Table4[Nguyên liệu, vật tư]='Form mẫu'!$C267),0),
        MATCH(TRIM(SUBSTITUTE(J$257,CHAR(160)," ")),
              TRIM(SUBSTITUTE(Table4[[#Headers],[Định mức tiêu hao]:[Vượt ĐM]],CHAR(160)," ")),0)
  ),
0)</f>
        <v>0</v>
      </c>
      <c r="K267" s="3178" t="s">
        <v>1270</v>
      </c>
      <c r="L267" s="3179"/>
      <c r="M267" s="3179"/>
      <c r="N267" s="3179"/>
      <c r="O267" s="3180"/>
    </row>
    <row r="268" spans="1:18" s="1" customFormat="1" ht="26" customHeight="1" x14ac:dyDescent="0.2">
      <c r="A268" s="1536">
        <v>11</v>
      </c>
      <c r="B268" s="1584" t="s">
        <v>116</v>
      </c>
      <c r="C268" s="3054" t="s">
        <v>179</v>
      </c>
      <c r="D268" s="3055"/>
      <c r="E268" s="223" t="s">
        <v>49</v>
      </c>
      <c r="F268" s="1072" cm="1">
        <f t="array" ref="F268">IFERROR(
  INDEX(Table4[[Định mức tiêu hao]:[Vượt ĐM]],
        MATCH(1,(Table4[Tháng]=--'Form mẫu'!$U$2)*
                 (Table4[DC]="DC2")*
                 (Table4[Kích thước]='Form mẫu'!$B268)*
                 (Table4[Nguyên liệu, vật tư]='Form mẫu'!$C268),0),
        MATCH(TRIM(SUBSTITUTE(F$257,CHAR(160)," ")),
              TRIM(SUBSTITUTE(Table4[[#Headers],[Định mức tiêu hao]:[Vượt ĐM]],CHAR(160)," ")),0)
  ),
0)</f>
        <v>0</v>
      </c>
      <c r="G268" s="1931" cm="1">
        <f t="array" ref="G268">IFERROR(
  INDEX(Table4[[Định mức tiêu hao]:[Vượt ĐM]],
        MATCH(1,(Table4[Tháng]=--'Form mẫu'!$U$2)*
                 (Table4[DC]="DC2")*
                 (Table4[Kích thước]='Form mẫu'!$B268)*
                 (Table4[Nguyên liệu, vật tư]='Form mẫu'!$C268),0),
        MATCH(TRIM(SUBSTITUTE(G$257,CHAR(160)," ")),
              TRIM(SUBSTITUTE(Table4[[#Headers],[Định mức tiêu hao]:[Vượt ĐM]],CHAR(160)," ")),0)
  ),
0)</f>
        <v>0</v>
      </c>
      <c r="H268" s="1820" cm="1">
        <f t="array" ref="H268">IFERROR(
  INDEX(Table4[[Định mức tiêu hao]:[Vượt ĐM]],
        MATCH(1,(Table4[Tháng]=--'Form mẫu'!$U$2)*
                 (Table4[DC]="DC2")*
                 (Table4[Kích thước]='Form mẫu'!$B268)*
                 (Table4[Nguyên liệu, vật tư]='Form mẫu'!$C268),0),
        MATCH(TRIM(SUBSTITUTE(H$257,CHAR(160)," ")),
              TRIM(SUBSTITUTE(Table4[[#Headers],[Định mức tiêu hao]:[Vượt ĐM]],CHAR(160)," ")),0)
  ),
0)</f>
        <v>0</v>
      </c>
      <c r="I268" s="531" cm="1">
        <f t="array" ref="I268">IFERROR(
  INDEX(Table4[[Định mức tiêu hao]:[Vượt ĐM]],
        MATCH(1,(Table4[Tháng]=--'Form mẫu'!$U$2)*
                 (Table4[DC]="DC2")*
                 (Table4[Kích thước]='Form mẫu'!$B268)*
                 (Table4[Nguyên liệu, vật tư]='Form mẫu'!$C268),0),
        MATCH(TRIM(SUBSTITUTE(I$257,CHAR(160)," ")),
              TRIM(SUBSTITUTE(Table4[[#Headers],[Định mức tiêu hao]:[Vượt ĐM]],CHAR(160)," ")),0)
  ),
0)</f>
        <v>0</v>
      </c>
      <c r="J268" s="445" cm="1">
        <f t="array" ref="J268">IFERROR(
  INDEX(Table4[[Định mức tiêu hao]:[Vượt ĐM]],
        MATCH(1,(Table4[Tháng]=--'Form mẫu'!$U$2)*
                 (Table4[DC]="DC2")*
                 (Table4[Kích thước]='Form mẫu'!$B268)*
                 (Table4[Nguyên liệu, vật tư]='Form mẫu'!$C268),0),
        MATCH(TRIM(SUBSTITUTE(J$257,CHAR(160)," ")),
              TRIM(SUBSTITUTE(Table4[[#Headers],[Định mức tiêu hao]:[Vượt ĐM]],CHAR(160)," ")),0)
  ),
0)</f>
        <v>0</v>
      </c>
      <c r="K268" s="3178" t="s">
        <v>653</v>
      </c>
      <c r="L268" s="3179"/>
      <c r="M268" s="3179"/>
      <c r="N268" s="3179"/>
      <c r="O268" s="3180"/>
    </row>
    <row r="269" spans="1:18" s="1" customFormat="1" ht="29" customHeight="1" x14ac:dyDescent="0.2">
      <c r="A269" s="42" t="s">
        <v>1244</v>
      </c>
      <c r="H269" s="78"/>
      <c r="I269" s="447"/>
      <c r="J269" s="71"/>
      <c r="K269" s="71"/>
      <c r="N269" s="209"/>
    </row>
    <row r="270" spans="1:18" s="1" customFormat="1" ht="30" customHeight="1" x14ac:dyDescent="0.2">
      <c r="A270" s="42" t="s">
        <v>38</v>
      </c>
      <c r="H270" s="78"/>
      <c r="I270" s="447"/>
      <c r="J270" s="71"/>
      <c r="K270" s="71"/>
      <c r="N270" s="209"/>
    </row>
    <row r="271" spans="1:18" s="1" customFormat="1" ht="41" customHeight="1" x14ac:dyDescent="0.2">
      <c r="A271" s="3040" t="s">
        <v>39</v>
      </c>
      <c r="B271" s="3040" t="s">
        <v>34</v>
      </c>
      <c r="C271" s="3040" t="s">
        <v>6</v>
      </c>
      <c r="D271" s="3046" t="s">
        <v>40</v>
      </c>
      <c r="E271" s="3046" t="s">
        <v>1199</v>
      </c>
      <c r="F271" s="3040" t="s">
        <v>1034</v>
      </c>
      <c r="G271" s="3043" t="s">
        <v>41</v>
      </c>
      <c r="H271" s="3044"/>
      <c r="I271" s="3045"/>
      <c r="J271" s="2024" t="s">
        <v>42</v>
      </c>
      <c r="K271" s="2024" t="s">
        <v>43</v>
      </c>
      <c r="L271" s="2190" t="s">
        <v>44</v>
      </c>
      <c r="M271" s="3043" t="s">
        <v>535</v>
      </c>
      <c r="N271" s="3045"/>
      <c r="O271" s="1198" t="s">
        <v>45</v>
      </c>
      <c r="P271" s="2024" t="s">
        <v>46</v>
      </c>
      <c r="Q271" s="3046" t="s">
        <v>531</v>
      </c>
      <c r="R271" s="3040" t="s">
        <v>47</v>
      </c>
    </row>
    <row r="272" spans="1:18" s="2" customFormat="1" ht="33" customHeight="1" x14ac:dyDescent="0.2">
      <c r="A272" s="3041"/>
      <c r="B272" s="3041"/>
      <c r="C272" s="3041"/>
      <c r="D272" s="3047"/>
      <c r="E272" s="3047"/>
      <c r="F272" s="3041"/>
      <c r="G272" s="2024" t="s">
        <v>48</v>
      </c>
      <c r="H272" s="1198" t="s">
        <v>527</v>
      </c>
      <c r="I272" s="1198" t="s">
        <v>528</v>
      </c>
      <c r="J272" s="2024" t="s">
        <v>164</v>
      </c>
      <c r="K272" s="2024" t="s">
        <v>530</v>
      </c>
      <c r="L272" s="2190" t="s">
        <v>529</v>
      </c>
      <c r="M272" s="2024" t="s">
        <v>164</v>
      </c>
      <c r="N272" s="1198" t="s">
        <v>532</v>
      </c>
      <c r="O272" s="2190" t="s">
        <v>529</v>
      </c>
      <c r="P272" s="2024" t="s">
        <v>164</v>
      </c>
      <c r="Q272" s="3047"/>
      <c r="R272" s="3041"/>
    </row>
    <row r="273" spans="1:22" ht="57" customHeight="1" x14ac:dyDescent="0.2">
      <c r="A273" s="2075">
        <f>IF(B273="","",COUNTA($B$273:B273))</f>
        <v>1</v>
      </c>
      <c r="B273" s="2075" t="s">
        <v>5</v>
      </c>
      <c r="C273" s="2075" t="s">
        <v>115</v>
      </c>
      <c r="D273" s="2089" t="str" cm="1">
        <f t="array" ref="D273">IFERROR(
  _xlfn.LET(
    _xlpm.thang,'Data tổng hợp IV'!$B$3:$B$1934,
    _xlpm.dc,   'Data tổng hợp IV'!$C$3:$C$1934,
    _xlpm.kt,   'Data tổng hợp IV'!$D$3:$D$1934,
    _xlpm.ten,  'Data tổng hợp IV'!$E$3:$E$1934,
    _xlpm.block,'Data tổng hợp IV'!$G$3:$T$1934,
    _xlpm.m,$U$2, _xlpm.d,$B273, _xlpm.k,$C273,
    _xlfn._xlws.FILTER( _xlfn.HSTACK(_xlpm.ten, _xlpm.block), (_xlpm.thang=_xlpm.m)*(_xlpm.dc=_xlpm.d)*(_xlpm.kt=_xlpm.k) )
  ),
"")</f>
        <v/>
      </c>
      <c r="E273" s="2327"/>
      <c r="F273" s="2313"/>
      <c r="G273" s="2072"/>
      <c r="H273" s="2314"/>
      <c r="I273" s="2314"/>
      <c r="J273" s="2267"/>
      <c r="K273" s="2072"/>
      <c r="L273" s="2260"/>
      <c r="M273" s="2072"/>
      <c r="N273" s="2314"/>
      <c r="O273" s="2316"/>
      <c r="P273" s="2072"/>
      <c r="Q273" s="2260"/>
      <c r="R273" s="2317"/>
    </row>
    <row r="274" spans="1:22" ht="57" customHeight="1" x14ac:dyDescent="0.2">
      <c r="A274" s="2075">
        <f>IF(B274="","",COUNTA($B$273:B274))</f>
        <v>2</v>
      </c>
      <c r="B274" s="2075" t="s">
        <v>5</v>
      </c>
      <c r="C274" s="2075" t="s">
        <v>115</v>
      </c>
      <c r="D274" s="2089"/>
      <c r="E274" s="2381"/>
      <c r="F274" s="2313"/>
      <c r="G274" s="2072"/>
      <c r="H274" s="2314"/>
      <c r="I274" s="2314"/>
      <c r="J274" s="2267"/>
      <c r="K274" s="2072"/>
      <c r="L274" s="2260"/>
      <c r="M274" s="2072"/>
      <c r="N274" s="2314"/>
      <c r="O274" s="2316"/>
      <c r="P274" s="2072"/>
      <c r="Q274" s="2260"/>
      <c r="R274" s="2317"/>
    </row>
    <row r="275" spans="1:22" ht="57" customHeight="1" x14ac:dyDescent="0.2">
      <c r="A275" s="2075">
        <f>IF(B275="","",COUNTA($B$273:B275))</f>
        <v>3</v>
      </c>
      <c r="B275" s="2075" t="s">
        <v>5</v>
      </c>
      <c r="C275" s="2075" t="s">
        <v>115</v>
      </c>
      <c r="D275" s="2089"/>
      <c r="E275" s="2327"/>
      <c r="F275" s="2313"/>
      <c r="G275" s="2072"/>
      <c r="H275" s="2314"/>
      <c r="I275" s="2314"/>
      <c r="J275" s="2267"/>
      <c r="K275" s="2072"/>
      <c r="L275" s="2260"/>
      <c r="M275" s="2072"/>
      <c r="N275" s="2314"/>
      <c r="O275" s="2316"/>
      <c r="P275" s="2072"/>
      <c r="Q275" s="2260"/>
      <c r="R275" s="2157"/>
      <c r="T275" s="356"/>
      <c r="U275" s="356"/>
      <c r="V275" s="356"/>
    </row>
    <row r="276" spans="1:22" ht="57" customHeight="1" x14ac:dyDescent="0.2">
      <c r="A276" s="2075">
        <f>IF(B276="","",COUNTA($B$273:B276))</f>
        <v>4</v>
      </c>
      <c r="B276" s="2075" t="s">
        <v>5</v>
      </c>
      <c r="C276" s="2075" t="s">
        <v>115</v>
      </c>
      <c r="D276" s="2089"/>
      <c r="E276" s="2327"/>
      <c r="F276" s="2313"/>
      <c r="G276" s="2072"/>
      <c r="H276" s="2314"/>
      <c r="I276" s="2314"/>
      <c r="J276" s="2267"/>
      <c r="K276" s="2072"/>
      <c r="L276" s="2260"/>
      <c r="M276" s="2072"/>
      <c r="N276" s="2314"/>
      <c r="O276" s="2316"/>
      <c r="P276" s="2072"/>
      <c r="Q276" s="2260"/>
      <c r="R276" s="2317"/>
    </row>
    <row r="277" spans="1:22" ht="49" hidden="1" customHeight="1" x14ac:dyDescent="0.2">
      <c r="A277" s="2075">
        <f>IF(B277="","",COUNTA($B$273:B277))</f>
        <v>5</v>
      </c>
      <c r="B277" s="2075" t="s">
        <v>5</v>
      </c>
      <c r="C277" s="2075" t="s">
        <v>115</v>
      </c>
      <c r="D277" s="2089"/>
      <c r="E277" s="2312"/>
      <c r="F277" s="2313"/>
      <c r="G277" s="2072"/>
      <c r="H277" s="2314"/>
      <c r="I277" s="2314"/>
      <c r="J277" s="2267"/>
      <c r="K277" s="2072"/>
      <c r="L277" s="2260"/>
      <c r="M277" s="2072"/>
      <c r="N277" s="2314"/>
      <c r="O277" s="2316"/>
      <c r="P277" s="2072"/>
      <c r="Q277" s="2260"/>
      <c r="R277" s="2317"/>
    </row>
    <row r="278" spans="1:22" ht="49" hidden="1" customHeight="1" x14ac:dyDescent="0.2">
      <c r="A278" s="2075">
        <f>IF(B278="","",COUNTA($B$273:B278))</f>
        <v>6</v>
      </c>
      <c r="B278" s="2075" t="s">
        <v>5</v>
      </c>
      <c r="C278" s="2075" t="s">
        <v>115</v>
      </c>
      <c r="D278" s="2089"/>
      <c r="E278" s="2312"/>
      <c r="F278" s="2313"/>
      <c r="G278" s="2072"/>
      <c r="H278" s="2314"/>
      <c r="I278" s="2314"/>
      <c r="J278" s="2267"/>
      <c r="K278" s="2072"/>
      <c r="L278" s="2260"/>
      <c r="M278" s="2072"/>
      <c r="N278" s="2314"/>
      <c r="O278" s="2316"/>
      <c r="P278" s="2318"/>
      <c r="Q278" s="2260"/>
      <c r="R278" s="2317"/>
    </row>
    <row r="279" spans="1:22" s="1" customFormat="1" ht="27" customHeight="1" x14ac:dyDescent="0.2">
      <c r="A279" s="3042" t="s">
        <v>54</v>
      </c>
      <c r="B279" s="3042"/>
      <c r="C279" s="3042"/>
      <c r="D279" s="3042"/>
      <c r="E279" s="3042"/>
      <c r="F279" s="3042"/>
      <c r="G279" s="2319"/>
      <c r="H279" s="2320" t="e">
        <f>AVERAGE(H273:H278)</f>
        <v>#DIV/0!</v>
      </c>
      <c r="I279" s="2320" t="e">
        <f>AVERAGE(I273:I278)</f>
        <v>#DIV/0!</v>
      </c>
      <c r="J279" s="2319">
        <f>SUM(J273:J278)</f>
        <v>0</v>
      </c>
      <c r="K279" s="2321">
        <f>SUM(K273:K278)</f>
        <v>0</v>
      </c>
      <c r="L279" s="2322" t="e">
        <f>J279/K279</f>
        <v>#DIV/0!</v>
      </c>
      <c r="M279" s="2150">
        <f>SUM(M273:M278)</f>
        <v>0</v>
      </c>
      <c r="N279" s="2320" t="e">
        <f>AVERAGE(N273:N278)</f>
        <v>#DIV/0!</v>
      </c>
      <c r="O279" s="2324" t="e">
        <f>(J279+M279)/K279</f>
        <v>#DIV/0!</v>
      </c>
      <c r="P279" s="2321">
        <f>SUM(P273:P278)</f>
        <v>0</v>
      </c>
      <c r="Q279" s="2322" t="e">
        <f>(J279+M279+P279)/K279</f>
        <v>#DIV/0!</v>
      </c>
      <c r="R279" s="2325"/>
    </row>
    <row r="280" spans="1:22" s="1" customFormat="1" ht="18" customHeight="1" x14ac:dyDescent="0.2">
      <c r="A280" s="67"/>
      <c r="B280" s="67"/>
      <c r="C280" s="67"/>
      <c r="D280" s="67"/>
      <c r="E280" s="67"/>
      <c r="F280" s="1125"/>
      <c r="G280" s="1126"/>
      <c r="H280" s="1127"/>
      <c r="I280" s="1128"/>
      <c r="J280" s="1129"/>
      <c r="K280" s="1129"/>
      <c r="L280" s="1126"/>
      <c r="M280" s="1127"/>
      <c r="N280" s="272"/>
    </row>
    <row r="281" spans="1:22" s="1" customFormat="1" ht="24" customHeight="1" x14ac:dyDescent="0.2">
      <c r="A281" s="42" t="s">
        <v>685</v>
      </c>
      <c r="H281" s="78"/>
      <c r="I281" s="447"/>
      <c r="J281" s="71"/>
      <c r="K281" s="71"/>
      <c r="N281" s="209"/>
    </row>
    <row r="282" spans="1:22" ht="39" customHeight="1" x14ac:dyDescent="0.2">
      <c r="A282" s="3040" t="s">
        <v>39</v>
      </c>
      <c r="B282" s="3040" t="s">
        <v>34</v>
      </c>
      <c r="C282" s="3040" t="s">
        <v>6</v>
      </c>
      <c r="D282" s="3046" t="s">
        <v>40</v>
      </c>
      <c r="E282" s="3046" t="s">
        <v>1199</v>
      </c>
      <c r="F282" s="3040" t="s">
        <v>1034</v>
      </c>
      <c r="G282" s="3043" t="s">
        <v>41</v>
      </c>
      <c r="H282" s="3044"/>
      <c r="I282" s="3045"/>
      <c r="J282" s="2024" t="s">
        <v>42</v>
      </c>
      <c r="K282" s="2024" t="s">
        <v>43</v>
      </c>
      <c r="L282" s="2190" t="s">
        <v>44</v>
      </c>
      <c r="M282" s="3043" t="s">
        <v>535</v>
      </c>
      <c r="N282" s="3045"/>
      <c r="O282" s="1198" t="s">
        <v>45</v>
      </c>
      <c r="P282" s="2024" t="s">
        <v>46</v>
      </c>
      <c r="Q282" s="3046" t="s">
        <v>531</v>
      </c>
      <c r="R282" s="3040" t="s">
        <v>47</v>
      </c>
    </row>
    <row r="283" spans="1:22" ht="37" customHeight="1" x14ac:dyDescent="0.2">
      <c r="A283" s="3041"/>
      <c r="B283" s="3041"/>
      <c r="C283" s="3041"/>
      <c r="D283" s="3047"/>
      <c r="E283" s="3047"/>
      <c r="F283" s="3041"/>
      <c r="G283" s="2024" t="s">
        <v>48</v>
      </c>
      <c r="H283" s="1198" t="s">
        <v>527</v>
      </c>
      <c r="I283" s="1198" t="s">
        <v>528</v>
      </c>
      <c r="J283" s="2024" t="s">
        <v>164</v>
      </c>
      <c r="K283" s="2024" t="s">
        <v>530</v>
      </c>
      <c r="L283" s="2190" t="s">
        <v>529</v>
      </c>
      <c r="M283" s="2024" t="s">
        <v>164</v>
      </c>
      <c r="N283" s="1198" t="s">
        <v>532</v>
      </c>
      <c r="O283" s="2190" t="s">
        <v>529</v>
      </c>
      <c r="P283" s="2024" t="s">
        <v>164</v>
      </c>
      <c r="Q283" s="3047"/>
      <c r="R283" s="3041"/>
    </row>
    <row r="284" spans="1:22" ht="63" customHeight="1" x14ac:dyDescent="0.2">
      <c r="A284" s="2075">
        <f>IF(B284="","",COUNTA($B$273:B284))</f>
        <v>8</v>
      </c>
      <c r="B284" s="2075" t="s">
        <v>5</v>
      </c>
      <c r="C284" s="2075"/>
      <c r="D284" s="2089" t="str" cm="1">
        <f t="array" ref="D284">IFERROR(
  _xlfn.LET(
    _xlpm.thang,'Data tổng hợp IV'!$B$3:$B$1934,
    _xlpm.dc,   'Data tổng hợp IV'!$C$3:$C$1934,
    _xlpm.kt,   'Data tổng hợp IV'!$D$3:$D$1934,
    _xlpm.ten,  'Data tổng hợp IV'!$E$3:$E$1934,
    _xlpm.block,'Data tổng hợp IV'!$G$3:$T$1934,
    _xlpm.m,$U$2, _xlpm.d,$B284, _xlpm.k,$C284,
    _xlfn._xlws.FILTER( _xlfn.HSTACK(_xlpm.ten, _xlpm.block), (_xlpm.thang=_xlpm.m)*(_xlpm.dc=_xlpm.d)*(_xlpm.kt=_xlpm.k) )
  ),
"")</f>
        <v/>
      </c>
      <c r="E284" s="2327"/>
      <c r="F284" s="2313"/>
      <c r="G284" s="2072"/>
      <c r="H284" s="2314"/>
      <c r="I284" s="2314"/>
      <c r="J284" s="2267"/>
      <c r="K284" s="2072"/>
      <c r="L284" s="2260"/>
      <c r="M284" s="2072"/>
      <c r="N284" s="2315"/>
      <c r="O284" s="2316"/>
      <c r="P284" s="2072"/>
      <c r="Q284" s="2260"/>
      <c r="R284" s="2317"/>
    </row>
    <row r="285" spans="1:22" ht="63" customHeight="1" x14ac:dyDescent="0.2">
      <c r="A285" s="2075">
        <f>IF(B285="","",COUNTA($B$284:B285))</f>
        <v>2</v>
      </c>
      <c r="B285" s="2075" t="s">
        <v>25</v>
      </c>
      <c r="C285" s="2075" t="s">
        <v>119</v>
      </c>
      <c r="D285" s="2328"/>
      <c r="E285" s="2312"/>
      <c r="F285" s="2313"/>
      <c r="G285" s="2333"/>
      <c r="H285" s="2334"/>
      <c r="I285" s="2334"/>
      <c r="J285" s="2335"/>
      <c r="K285" s="2331"/>
      <c r="L285" s="2260"/>
      <c r="M285" s="2329"/>
      <c r="N285" s="2330"/>
      <c r="O285" s="2316"/>
      <c r="P285" s="2329"/>
      <c r="Q285" s="2260"/>
      <c r="R285" s="2332"/>
    </row>
    <row r="286" spans="1:22" ht="63" customHeight="1" x14ac:dyDescent="0.2">
      <c r="A286" s="2075">
        <f>IF(B286="","",COUNTA($B$284:B286))</f>
        <v>3</v>
      </c>
      <c r="B286" s="2075" t="s">
        <v>25</v>
      </c>
      <c r="C286" s="2075" t="s">
        <v>119</v>
      </c>
      <c r="D286" s="2328"/>
      <c r="E286" s="2312"/>
      <c r="F286" s="2313"/>
      <c r="G286" s="2333"/>
      <c r="H286" s="2334"/>
      <c r="I286" s="2334"/>
      <c r="J286" s="2335"/>
      <c r="K286" s="2331"/>
      <c r="L286" s="2260"/>
      <c r="M286" s="2329"/>
      <c r="N286" s="2330"/>
      <c r="O286" s="2316"/>
      <c r="P286" s="2329"/>
      <c r="Q286" s="2260"/>
      <c r="R286" s="2332"/>
    </row>
    <row r="287" spans="1:22" ht="63" customHeight="1" x14ac:dyDescent="0.2">
      <c r="A287" s="2075">
        <f>IF(B287="","",COUNTA($B$284:B287))</f>
        <v>4</v>
      </c>
      <c r="B287" s="2075" t="s">
        <v>25</v>
      </c>
      <c r="C287" s="2075" t="s">
        <v>119</v>
      </c>
      <c r="D287" s="2328"/>
      <c r="E287" s="2312"/>
      <c r="F287" s="2313"/>
      <c r="G287" s="2333"/>
      <c r="H287" s="2334"/>
      <c r="I287" s="2334"/>
      <c r="J287" s="2335"/>
      <c r="K287" s="2331"/>
      <c r="L287" s="2260"/>
      <c r="M287" s="2329"/>
      <c r="N287" s="2330"/>
      <c r="O287" s="2316"/>
      <c r="P287" s="2329"/>
      <c r="Q287" s="2260"/>
      <c r="R287" s="2332"/>
    </row>
    <row r="288" spans="1:22" ht="63" customHeight="1" x14ac:dyDescent="0.2">
      <c r="A288" s="2075">
        <f>IF(B288="","",COUNTA($B$284:B288))</f>
        <v>5</v>
      </c>
      <c r="B288" s="2075" t="s">
        <v>25</v>
      </c>
      <c r="C288" s="2075" t="s">
        <v>119</v>
      </c>
      <c r="D288" s="2328"/>
      <c r="E288" s="2312"/>
      <c r="F288" s="2313"/>
      <c r="G288" s="2329"/>
      <c r="H288" s="2330"/>
      <c r="I288" s="2334"/>
      <c r="J288" s="2331"/>
      <c r="K288" s="2329"/>
      <c r="L288" s="2260"/>
      <c r="M288" s="2329"/>
      <c r="N288" s="2330"/>
      <c r="O288" s="2316"/>
      <c r="P288" s="2329"/>
      <c r="Q288" s="2260"/>
      <c r="R288" s="2317"/>
    </row>
    <row r="289" spans="1:18" ht="63" customHeight="1" x14ac:dyDescent="0.2">
      <c r="A289" s="2075">
        <f>IF(B289="","",COUNTA($B$284:B289))</f>
        <v>6</v>
      </c>
      <c r="B289" s="2075" t="s">
        <v>25</v>
      </c>
      <c r="C289" s="2075" t="s">
        <v>119</v>
      </c>
      <c r="D289" s="2328"/>
      <c r="E289" s="2312"/>
      <c r="F289" s="2313"/>
      <c r="G289" s="2329"/>
      <c r="H289" s="2330"/>
      <c r="I289" s="2334"/>
      <c r="J289" s="2331"/>
      <c r="K289" s="2329"/>
      <c r="L289" s="2260"/>
      <c r="M289" s="2329"/>
      <c r="N289" s="2330"/>
      <c r="O289" s="2316"/>
      <c r="P289" s="2329"/>
      <c r="Q289" s="2260"/>
      <c r="R289" s="2317"/>
    </row>
    <row r="290" spans="1:18" ht="27" customHeight="1" x14ac:dyDescent="0.2">
      <c r="A290" s="3042" t="s">
        <v>54</v>
      </c>
      <c r="B290" s="3042"/>
      <c r="C290" s="3042"/>
      <c r="D290" s="3042"/>
      <c r="E290" s="3042"/>
      <c r="F290" s="3042"/>
      <c r="G290" s="2319">
        <f>SUM(G284:G289)</f>
        <v>0</v>
      </c>
      <c r="H290" s="2323" t="e">
        <f>AVERAGE(H284:H289)</f>
        <v>#DIV/0!</v>
      </c>
      <c r="I290" s="2323" t="e">
        <f>AVERAGE(I284:I289)</f>
        <v>#DIV/0!</v>
      </c>
      <c r="J290" s="2319">
        <f>SUM(J284:J289)</f>
        <v>0</v>
      </c>
      <c r="K290" s="2319">
        <f>SUM(K284:K289)</f>
        <v>0</v>
      </c>
      <c r="L290" s="2322" t="e">
        <f>J290/K290</f>
        <v>#DIV/0!</v>
      </c>
      <c r="M290" s="2150">
        <f>SUM(M284:M289)</f>
        <v>0</v>
      </c>
      <c r="N290" s="2323" t="e">
        <f>AVERAGE(N284:N289)</f>
        <v>#DIV/0!</v>
      </c>
      <c r="O290" s="2322" t="e">
        <f>(J290+M290)/K290</f>
        <v>#DIV/0!</v>
      </c>
      <c r="P290" s="2319">
        <f>SUM(P284:P289)</f>
        <v>0</v>
      </c>
      <c r="Q290" s="2322" t="e">
        <f>(J290+M290+P290)/K290</f>
        <v>#DIV/0!</v>
      </c>
      <c r="R290" s="2325"/>
    </row>
    <row r="291" spans="1:18" s="1" customFormat="1" ht="27" customHeight="1" x14ac:dyDescent="0.2">
      <c r="A291" s="42" t="s">
        <v>1254</v>
      </c>
      <c r="H291" s="78"/>
      <c r="I291" s="447"/>
      <c r="J291" s="71"/>
      <c r="K291" s="71"/>
      <c r="N291" s="209"/>
    </row>
    <row r="292" spans="1:18" s="1" customFormat="1" ht="41" customHeight="1" x14ac:dyDescent="0.2">
      <c r="A292" s="3040" t="s">
        <v>39</v>
      </c>
      <c r="B292" s="3040" t="s">
        <v>34</v>
      </c>
      <c r="C292" s="3040" t="s">
        <v>6</v>
      </c>
      <c r="D292" s="3046" t="s">
        <v>40</v>
      </c>
      <c r="E292" s="3046" t="s">
        <v>1199</v>
      </c>
      <c r="F292" s="3040" t="s">
        <v>1034</v>
      </c>
      <c r="G292" s="3043" t="s">
        <v>41</v>
      </c>
      <c r="H292" s="3044"/>
      <c r="I292" s="3045"/>
      <c r="J292" s="2024" t="s">
        <v>42</v>
      </c>
      <c r="K292" s="2024" t="s">
        <v>43</v>
      </c>
      <c r="L292" s="2190" t="s">
        <v>44</v>
      </c>
      <c r="M292" s="3043" t="s">
        <v>535</v>
      </c>
      <c r="N292" s="3045"/>
      <c r="O292" s="1198" t="s">
        <v>45</v>
      </c>
      <c r="P292" s="2024" t="s">
        <v>46</v>
      </c>
      <c r="Q292" s="3046" t="s">
        <v>531</v>
      </c>
      <c r="R292" s="3040" t="s">
        <v>47</v>
      </c>
    </row>
    <row r="293" spans="1:18" s="1" customFormat="1" ht="41" customHeight="1" x14ac:dyDescent="0.2">
      <c r="A293" s="3041"/>
      <c r="B293" s="3041"/>
      <c r="C293" s="3041"/>
      <c r="D293" s="3047"/>
      <c r="E293" s="3047"/>
      <c r="F293" s="3041"/>
      <c r="G293" s="2024" t="s">
        <v>48</v>
      </c>
      <c r="H293" s="1198" t="s">
        <v>527</v>
      </c>
      <c r="I293" s="1198" t="s">
        <v>528</v>
      </c>
      <c r="J293" s="2024" t="s">
        <v>164</v>
      </c>
      <c r="K293" s="2024" t="s">
        <v>530</v>
      </c>
      <c r="L293" s="2190" t="s">
        <v>529</v>
      </c>
      <c r="M293" s="2024" t="s">
        <v>164</v>
      </c>
      <c r="N293" s="1198" t="s">
        <v>532</v>
      </c>
      <c r="O293" s="2190" t="s">
        <v>529</v>
      </c>
      <c r="P293" s="2024" t="s">
        <v>164</v>
      </c>
      <c r="Q293" s="3047"/>
      <c r="R293" s="3041"/>
    </row>
    <row r="294" spans="1:18" ht="64" customHeight="1" x14ac:dyDescent="0.2">
      <c r="A294" s="2075">
        <f>IF(B294="","",COUNTA($B$294:B294))</f>
        <v>1</v>
      </c>
      <c r="B294" s="2075" t="s">
        <v>25</v>
      </c>
      <c r="C294" s="2075" t="s">
        <v>122</v>
      </c>
      <c r="D294" s="2328" t="str" cm="1">
        <f t="array" ref="D294">IFERROR(
  _xlfn.LET(
    _xlpm.thang,'Data tổng hợp IV'!$B$3:$B$1934,
    _xlpm.dc,   'Data tổng hợp IV'!$C$3:$C$1934,
    _xlpm.kt,   'Data tổng hợp IV'!$D$3:$D$1934,
    _xlpm.ten,  'Data tổng hợp IV'!$E$3:$E$1934,
    _xlpm.block,'Data tổng hợp IV'!$G$3:$T$1934,
    _xlpm.m,$U$2, _xlpm.d,$B294, _xlpm.k,$C294,
    _xlfn._xlws.FILTER( _xlfn.HSTACK(_xlpm.ten, _xlpm.block), (_xlpm.thang=_xlpm.m)*(_xlpm.dc=_xlpm.d)*(_xlpm.kt=_xlpm.k) )
  ),
"")</f>
        <v/>
      </c>
      <c r="E294" s="2326"/>
      <c r="F294" s="2313"/>
      <c r="G294" s="2329"/>
      <c r="H294" s="2336"/>
      <c r="I294" s="2336"/>
      <c r="J294" s="2331"/>
      <c r="K294" s="2329"/>
      <c r="L294" s="2260"/>
      <c r="M294" s="2329"/>
      <c r="N294" s="2336"/>
      <c r="O294" s="2316"/>
      <c r="P294" s="2329"/>
      <c r="Q294" s="2260"/>
      <c r="R294" s="2317"/>
    </row>
    <row r="295" spans="1:18" ht="64" customHeight="1" x14ac:dyDescent="0.2">
      <c r="A295" s="2075">
        <f>IF(B295="","",COUNTA($B$294:B295))</f>
        <v>2</v>
      </c>
      <c r="B295" s="2075" t="s">
        <v>25</v>
      </c>
      <c r="C295" s="2075" t="s">
        <v>119</v>
      </c>
      <c r="D295" s="2328"/>
      <c r="E295" s="2326"/>
      <c r="F295" s="2313"/>
      <c r="G295" s="2333"/>
      <c r="H295" s="2337"/>
      <c r="I295" s="2337"/>
      <c r="J295" s="2335"/>
      <c r="K295" s="2331"/>
      <c r="L295" s="2260"/>
      <c r="M295" s="2329"/>
      <c r="N295" s="2348"/>
      <c r="O295" s="2316"/>
      <c r="P295" s="2329"/>
      <c r="Q295" s="2260"/>
      <c r="R295" s="2317"/>
    </row>
    <row r="296" spans="1:18" ht="64" hidden="1" customHeight="1" x14ac:dyDescent="0.2">
      <c r="A296" s="2075">
        <f>IF(B296="","",COUNTA($B$294:B296))</f>
        <v>3</v>
      </c>
      <c r="B296" s="2075" t="s">
        <v>25</v>
      </c>
      <c r="C296" s="2075" t="s">
        <v>122</v>
      </c>
      <c r="D296" s="2328"/>
      <c r="E296" s="2312"/>
      <c r="F296" s="2313"/>
      <c r="G296" s="2333"/>
      <c r="H296" s="2337"/>
      <c r="I296" s="2337"/>
      <c r="J296" s="2335"/>
      <c r="K296" s="2331"/>
      <c r="L296" s="2260"/>
      <c r="M296" s="2329"/>
      <c r="N296" s="2330"/>
      <c r="O296" s="2316"/>
      <c r="P296" s="2329"/>
      <c r="Q296" s="2260"/>
      <c r="R296" s="2317"/>
    </row>
    <row r="297" spans="1:18" ht="64" hidden="1" customHeight="1" x14ac:dyDescent="0.2">
      <c r="A297" s="2075">
        <f>IF(B297="","",COUNTA($B$294:B297))</f>
        <v>4</v>
      </c>
      <c r="B297" s="2075" t="s">
        <v>25</v>
      </c>
      <c r="C297" s="2075" t="s">
        <v>122</v>
      </c>
      <c r="D297" s="2328"/>
      <c r="E297" s="2312"/>
      <c r="F297" s="2313"/>
      <c r="G297" s="2333"/>
      <c r="H297" s="2334"/>
      <c r="I297" s="2334"/>
      <c r="J297" s="2335"/>
      <c r="K297" s="2331"/>
      <c r="L297" s="2260"/>
      <c r="M297" s="2338"/>
      <c r="N297" s="2330"/>
      <c r="O297" s="2316"/>
      <c r="P297" s="2329"/>
      <c r="Q297" s="2260"/>
      <c r="R297" s="2317"/>
    </row>
    <row r="298" spans="1:18" s="1" customFormat="1" ht="64" hidden="1" customHeight="1" x14ac:dyDescent="0.2">
      <c r="A298" s="2075">
        <f>IF(B298="","",COUNTA($B$294:B298))</f>
        <v>5</v>
      </c>
      <c r="B298" s="2075" t="s">
        <v>25</v>
      </c>
      <c r="C298" s="2075" t="s">
        <v>122</v>
      </c>
      <c r="D298" s="2328"/>
      <c r="E298" s="2312"/>
      <c r="F298" s="2313"/>
      <c r="G298" s="2329"/>
      <c r="H298" s="2330"/>
      <c r="I298" s="2334"/>
      <c r="J298" s="2331"/>
      <c r="K298" s="2329"/>
      <c r="L298" s="2260"/>
      <c r="M298" s="2329"/>
      <c r="N298" s="2330"/>
      <c r="O298" s="2316"/>
      <c r="P298" s="2329"/>
      <c r="Q298" s="2260"/>
      <c r="R298" s="2317"/>
    </row>
    <row r="299" spans="1:18" s="1" customFormat="1" ht="64" hidden="1" customHeight="1" x14ac:dyDescent="0.2">
      <c r="A299" s="2075">
        <f>IF(B299="","",COUNTA($B$294:B299))</f>
        <v>6</v>
      </c>
      <c r="B299" s="2075" t="s">
        <v>25</v>
      </c>
      <c r="C299" s="2075" t="s">
        <v>122</v>
      </c>
      <c r="D299" s="2328"/>
      <c r="E299" s="2312"/>
      <c r="F299" s="2313"/>
      <c r="G299" s="2329"/>
      <c r="H299" s="2330"/>
      <c r="I299" s="2334"/>
      <c r="J299" s="2331"/>
      <c r="K299" s="2329"/>
      <c r="L299" s="2260"/>
      <c r="M299" s="2329"/>
      <c r="N299" s="2330"/>
      <c r="O299" s="2316"/>
      <c r="P299" s="2329"/>
      <c r="Q299" s="2260"/>
      <c r="R299" s="2317"/>
    </row>
    <row r="300" spans="1:18" s="1" customFormat="1" ht="32" customHeight="1" x14ac:dyDescent="0.2">
      <c r="A300" s="3042" t="s">
        <v>54</v>
      </c>
      <c r="B300" s="3042"/>
      <c r="C300" s="3042"/>
      <c r="D300" s="3042"/>
      <c r="E300" s="3042"/>
      <c r="F300" s="3042"/>
      <c r="G300" s="2319"/>
      <c r="H300" s="2323" t="e">
        <f>AVERAGE(H294:H299)</f>
        <v>#DIV/0!</v>
      </c>
      <c r="I300" s="2323" t="e">
        <f>AVERAGE(I294:I299)</f>
        <v>#DIV/0!</v>
      </c>
      <c r="J300" s="2319">
        <f>SUM(J294:J299)</f>
        <v>0</v>
      </c>
      <c r="K300" s="2319">
        <f>SUM(K294:K299)</f>
        <v>0</v>
      </c>
      <c r="L300" s="2322">
        <f>SUM(L294:L299)</f>
        <v>0</v>
      </c>
      <c r="M300" s="2319">
        <f>SUM(M294:M299)</f>
        <v>0</v>
      </c>
      <c r="N300" s="2323" t="e">
        <f>AVERAGE(N294:N299)</f>
        <v>#DIV/0!</v>
      </c>
      <c r="O300" s="2322">
        <f>SUM(O294:O299)</f>
        <v>0</v>
      </c>
      <c r="P300" s="2321">
        <f>SUM(P294:P299)</f>
        <v>0</v>
      </c>
      <c r="Q300" s="2322">
        <f>SUM(Q294:Q299)</f>
        <v>0</v>
      </c>
      <c r="R300" s="2339"/>
    </row>
    <row r="301" spans="1:18" s="1" customFormat="1" ht="27" hidden="1" customHeight="1" x14ac:dyDescent="0.2">
      <c r="A301" s="42" t="s">
        <v>688</v>
      </c>
      <c r="H301" s="78"/>
      <c r="I301" s="447"/>
      <c r="J301" s="71"/>
      <c r="K301" s="71"/>
      <c r="N301" s="209"/>
    </row>
    <row r="302" spans="1:18" s="1" customFormat="1" ht="38" hidden="1" customHeight="1" x14ac:dyDescent="0.2">
      <c r="A302" s="3040" t="s">
        <v>39</v>
      </c>
      <c r="B302" s="3040" t="s">
        <v>34</v>
      </c>
      <c r="C302" s="3040" t="s">
        <v>6</v>
      </c>
      <c r="D302" s="3046" t="s">
        <v>40</v>
      </c>
      <c r="E302" s="3046" t="s">
        <v>1199</v>
      </c>
      <c r="F302" s="3040" t="s">
        <v>1034</v>
      </c>
      <c r="G302" s="3043" t="s">
        <v>41</v>
      </c>
      <c r="H302" s="3044"/>
      <c r="I302" s="3045"/>
      <c r="J302" s="2024" t="s">
        <v>42</v>
      </c>
      <c r="K302" s="2024" t="s">
        <v>43</v>
      </c>
      <c r="L302" s="2190" t="s">
        <v>44</v>
      </c>
      <c r="M302" s="3043" t="s">
        <v>535</v>
      </c>
      <c r="N302" s="3045"/>
      <c r="O302" s="1198" t="s">
        <v>45</v>
      </c>
      <c r="P302" s="2024" t="s">
        <v>46</v>
      </c>
      <c r="Q302" s="3046" t="s">
        <v>531</v>
      </c>
      <c r="R302" s="3040" t="s">
        <v>47</v>
      </c>
    </row>
    <row r="303" spans="1:18" s="1" customFormat="1" ht="32" hidden="1" customHeight="1" x14ac:dyDescent="0.2">
      <c r="A303" s="3041"/>
      <c r="B303" s="3041"/>
      <c r="C303" s="3041"/>
      <c r="D303" s="3047"/>
      <c r="E303" s="3047"/>
      <c r="F303" s="3041"/>
      <c r="G303" s="2024" t="s">
        <v>48</v>
      </c>
      <c r="H303" s="1198" t="s">
        <v>527</v>
      </c>
      <c r="I303" s="1198" t="s">
        <v>528</v>
      </c>
      <c r="J303" s="2024" t="s">
        <v>164</v>
      </c>
      <c r="K303" s="2024" t="s">
        <v>530</v>
      </c>
      <c r="L303" s="2190" t="s">
        <v>529</v>
      </c>
      <c r="M303" s="2024" t="s">
        <v>164</v>
      </c>
      <c r="N303" s="1198" t="s">
        <v>532</v>
      </c>
      <c r="O303" s="2190" t="s">
        <v>529</v>
      </c>
      <c r="P303" s="2024" t="s">
        <v>164</v>
      </c>
      <c r="Q303" s="3047"/>
      <c r="R303" s="3041"/>
    </row>
    <row r="304" spans="1:18" ht="62" hidden="1" customHeight="1" x14ac:dyDescent="0.2">
      <c r="A304" s="2075">
        <f>IF(B304="","",COUNTA($B$304:B304))</f>
        <v>1</v>
      </c>
      <c r="B304" s="2075" t="s">
        <v>25</v>
      </c>
      <c r="C304" s="2075" t="s">
        <v>116</v>
      </c>
      <c r="D304" s="2328" t="str" cm="1">
        <f t="array" ref="D304">IFERROR(
  _xlfn.LET(
    _xlpm.thang,'Data tổng hợp IV'!$B$3:$B$1934,
    _xlpm.dc,   'Data tổng hợp IV'!$C$3:$C$1934,
    _xlpm.kt,   'Data tổng hợp IV'!$D$3:$D$1934,
    _xlpm.ten,  'Data tổng hợp IV'!$E$3:$E$1934,
    _xlpm.block,'Data tổng hợp IV'!$G$3:$T$1934,
    _xlpm.m,$U$2, _xlpm.d,$B304, _xlpm.k,$C304,
    _xlfn._xlws.FILTER( _xlfn.HSTACK(_xlpm.ten, _xlpm.block), (_xlpm.thang=_xlpm.m)*(_xlpm.dc=_xlpm.d)*(_xlpm.kt=_xlpm.k) )
  ),
"")</f>
        <v/>
      </c>
      <c r="E304" s="2312"/>
      <c r="F304" s="2313"/>
      <c r="G304" s="2329"/>
      <c r="H304" s="2330"/>
      <c r="I304" s="2330"/>
      <c r="J304" s="2331"/>
      <c r="K304" s="2329"/>
      <c r="L304" s="2260"/>
      <c r="M304" s="2329"/>
      <c r="N304" s="2330"/>
      <c r="O304" s="2316"/>
      <c r="P304" s="2329"/>
      <c r="Q304" s="2260"/>
      <c r="R304" s="2317"/>
    </row>
    <row r="305" spans="1:18" ht="62" hidden="1" customHeight="1" x14ac:dyDescent="0.2">
      <c r="A305" s="2075">
        <f>IF(B305="","",COUNTA($B$304:B305))</f>
        <v>2</v>
      </c>
      <c r="B305" s="2075" t="s">
        <v>25</v>
      </c>
      <c r="C305" s="2075" t="s">
        <v>116</v>
      </c>
      <c r="D305" s="2328"/>
      <c r="E305" s="2312"/>
      <c r="F305" s="2313"/>
      <c r="G305" s="2333"/>
      <c r="H305" s="2334"/>
      <c r="I305" s="2334"/>
      <c r="J305" s="2335"/>
      <c r="K305" s="2331"/>
      <c r="L305" s="2260"/>
      <c r="M305" s="2338"/>
      <c r="N305" s="2330"/>
      <c r="O305" s="2316"/>
      <c r="P305" s="2329"/>
      <c r="Q305" s="2260"/>
      <c r="R305" s="2317"/>
    </row>
    <row r="306" spans="1:18" ht="62" hidden="1" customHeight="1" x14ac:dyDescent="0.2">
      <c r="A306" s="2075">
        <f>IF(B306="","",COUNTA($B$304:B306))</f>
        <v>3</v>
      </c>
      <c r="B306" s="2075" t="s">
        <v>25</v>
      </c>
      <c r="C306" s="2075" t="s">
        <v>116</v>
      </c>
      <c r="D306" s="2089"/>
      <c r="E306" s="2312"/>
      <c r="F306" s="2313"/>
      <c r="G306" s="2340"/>
      <c r="H306" s="2341"/>
      <c r="I306" s="2341"/>
      <c r="J306" s="2342"/>
      <c r="K306" s="2267"/>
      <c r="L306" s="2260"/>
      <c r="M306" s="2343"/>
      <c r="N306" s="2315"/>
      <c r="O306" s="2316"/>
      <c r="P306" s="2072"/>
      <c r="Q306" s="2260"/>
      <c r="R306" s="2157"/>
    </row>
    <row r="307" spans="1:18" ht="62" hidden="1" customHeight="1" x14ac:dyDescent="0.2">
      <c r="A307" s="2075">
        <f>IF(B307="","",COUNTA($B$304:B307))</f>
        <v>4</v>
      </c>
      <c r="B307" s="2075" t="s">
        <v>25</v>
      </c>
      <c r="C307" s="2075" t="s">
        <v>116</v>
      </c>
      <c r="D307" s="2328"/>
      <c r="E307" s="2312"/>
      <c r="F307" s="2313"/>
      <c r="G307" s="2333"/>
      <c r="H307" s="2334"/>
      <c r="I307" s="2334"/>
      <c r="J307" s="2335"/>
      <c r="K307" s="2331"/>
      <c r="L307" s="2260"/>
      <c r="M307" s="2338"/>
      <c r="N307" s="2330"/>
      <c r="O307" s="2316"/>
      <c r="P307" s="2329"/>
      <c r="Q307" s="2260"/>
      <c r="R307" s="2317"/>
    </row>
    <row r="308" spans="1:18" ht="54" hidden="1" customHeight="1" x14ac:dyDescent="0.2">
      <c r="A308" s="2075">
        <f>IF(B308="","",COUNTA($B$304:B308))</f>
        <v>5</v>
      </c>
      <c r="B308" s="2075" t="s">
        <v>25</v>
      </c>
      <c r="C308" s="2075" t="s">
        <v>116</v>
      </c>
      <c r="D308" s="2328"/>
      <c r="E308" s="2312"/>
      <c r="F308" s="2313"/>
      <c r="G308" s="2329"/>
      <c r="H308" s="2330"/>
      <c r="I308" s="2334"/>
      <c r="J308" s="2331"/>
      <c r="K308" s="2329"/>
      <c r="L308" s="2260"/>
      <c r="M308" s="2329"/>
      <c r="N308" s="2330"/>
      <c r="O308" s="2316"/>
      <c r="P308" s="2329"/>
      <c r="Q308" s="2260"/>
      <c r="R308" s="2317"/>
    </row>
    <row r="309" spans="1:18" ht="54" hidden="1" customHeight="1" x14ac:dyDescent="0.2">
      <c r="A309" s="2075">
        <f>IF(B309="","",COUNTA($B$304:B309))</f>
        <v>6</v>
      </c>
      <c r="B309" s="2075" t="s">
        <v>25</v>
      </c>
      <c r="C309" s="2075" t="s">
        <v>116</v>
      </c>
      <c r="D309" s="2328"/>
      <c r="E309" s="2312"/>
      <c r="F309" s="2313"/>
      <c r="G309" s="2329"/>
      <c r="H309" s="2330"/>
      <c r="I309" s="2334"/>
      <c r="J309" s="2331"/>
      <c r="K309" s="2329"/>
      <c r="L309" s="2260"/>
      <c r="M309" s="2329"/>
      <c r="N309" s="2330"/>
      <c r="O309" s="2316"/>
      <c r="P309" s="2329"/>
      <c r="Q309" s="2260"/>
      <c r="R309" s="2317"/>
    </row>
    <row r="310" spans="1:18" s="1" customFormat="1" ht="27" hidden="1" customHeight="1" x14ac:dyDescent="0.2">
      <c r="A310" s="3042" t="s">
        <v>54</v>
      </c>
      <c r="B310" s="3042"/>
      <c r="C310" s="3042"/>
      <c r="D310" s="3042"/>
      <c r="E310" s="3042"/>
      <c r="F310" s="3042"/>
      <c r="G310" s="2319">
        <f>SUM(G304:G309)</f>
        <v>0</v>
      </c>
      <c r="H310" s="2323" t="e">
        <f>AVERAGE(H304:H309)</f>
        <v>#DIV/0!</v>
      </c>
      <c r="I310" s="2323" t="e">
        <f>AVERAGE(I304:I309)</f>
        <v>#DIV/0!</v>
      </c>
      <c r="J310" s="2319">
        <f>SUM(J304:J309)</f>
        <v>0</v>
      </c>
      <c r="K310" s="2319">
        <f>SUM(K304:K309)</f>
        <v>0</v>
      </c>
      <c r="L310" s="2322">
        <f>SUM(L304:L309)</f>
        <v>0</v>
      </c>
      <c r="M310" s="2319">
        <f>SUM(M304:M309)</f>
        <v>0</v>
      </c>
      <c r="N310" s="2323" t="e">
        <f>AVERAGE(N304:N309)</f>
        <v>#DIV/0!</v>
      </c>
      <c r="O310" s="2322">
        <f>SUM(O304:O309)</f>
        <v>0</v>
      </c>
      <c r="P310" s="2319">
        <f>SUM(P304:P309)</f>
        <v>0</v>
      </c>
      <c r="Q310" s="2322">
        <f>SUM(Q304:Q309)</f>
        <v>0</v>
      </c>
      <c r="R310" s="2325"/>
    </row>
    <row r="311" spans="1:18" s="1" customFormat="1" ht="27" customHeight="1" x14ac:dyDescent="0.2">
      <c r="A311" s="3048" t="s">
        <v>1169</v>
      </c>
      <c r="B311" s="3048"/>
      <c r="C311" s="3048"/>
      <c r="D311" s="3048"/>
      <c r="E311" s="3048"/>
      <c r="F311" s="3048"/>
      <c r="G311" s="3048"/>
      <c r="H311" s="3048"/>
      <c r="I311" s="3048"/>
      <c r="J311" s="3048"/>
      <c r="K311" s="3048"/>
      <c r="L311" s="3048"/>
      <c r="M311" s="3048"/>
      <c r="N311" s="3048"/>
      <c r="O311" s="1031"/>
      <c r="P311" s="1031"/>
      <c r="Q311" s="1031"/>
      <c r="R311" s="1031"/>
    </row>
    <row r="312" spans="1:18" s="1" customFormat="1" ht="35" customHeight="1" x14ac:dyDescent="0.2">
      <c r="A312" s="3040" t="s">
        <v>39</v>
      </c>
      <c r="B312" s="3040" t="s">
        <v>34</v>
      </c>
      <c r="C312" s="3040" t="s">
        <v>6</v>
      </c>
      <c r="D312" s="3046" t="s">
        <v>40</v>
      </c>
      <c r="E312" s="3046" t="s">
        <v>1199</v>
      </c>
      <c r="F312" s="3040" t="s">
        <v>1034</v>
      </c>
      <c r="G312" s="3043" t="s">
        <v>41</v>
      </c>
      <c r="H312" s="3044"/>
      <c r="I312" s="3045"/>
      <c r="J312" s="2024" t="s">
        <v>42</v>
      </c>
      <c r="K312" s="2024" t="s">
        <v>43</v>
      </c>
      <c r="L312" s="2190" t="s">
        <v>44</v>
      </c>
      <c r="M312" s="3043" t="s">
        <v>535</v>
      </c>
      <c r="N312" s="3045"/>
      <c r="O312" s="1198" t="s">
        <v>45</v>
      </c>
      <c r="P312" s="2024" t="s">
        <v>46</v>
      </c>
      <c r="Q312" s="3046" t="s">
        <v>531</v>
      </c>
      <c r="R312" s="3040" t="s">
        <v>47</v>
      </c>
    </row>
    <row r="313" spans="1:18" s="1" customFormat="1" ht="32" customHeight="1" x14ac:dyDescent="0.2">
      <c r="A313" s="3041"/>
      <c r="B313" s="3041"/>
      <c r="C313" s="3041"/>
      <c r="D313" s="3047"/>
      <c r="E313" s="3047"/>
      <c r="F313" s="3041"/>
      <c r="G313" s="2024" t="s">
        <v>48</v>
      </c>
      <c r="H313" s="1198" t="s">
        <v>527</v>
      </c>
      <c r="I313" s="1198" t="s">
        <v>528</v>
      </c>
      <c r="J313" s="2024" t="s">
        <v>164</v>
      </c>
      <c r="K313" s="2024" t="s">
        <v>530</v>
      </c>
      <c r="L313" s="2190" t="s">
        <v>529</v>
      </c>
      <c r="M313" s="2024" t="s">
        <v>164</v>
      </c>
      <c r="N313" s="1198" t="s">
        <v>532</v>
      </c>
      <c r="O313" s="2190" t="s">
        <v>529</v>
      </c>
      <c r="P313" s="2024" t="s">
        <v>164</v>
      </c>
      <c r="Q313" s="3047"/>
      <c r="R313" s="3041"/>
    </row>
    <row r="314" spans="1:18" ht="58" customHeight="1" x14ac:dyDescent="0.2">
      <c r="A314" s="2075" t="str">
        <f>IF(D314="","",COUNTA($D$314:D314))</f>
        <v/>
      </c>
      <c r="B314" s="2075" t="str">
        <f>IF(C314&lt;&gt;"","DC2","")</f>
        <v/>
      </c>
      <c r="C314" s="2157" t="str">
        <f>IF(D314="","","50x50, 60x60, 40x80")</f>
        <v/>
      </c>
      <c r="D314" s="2328" t="str" cm="1">
        <f t="array" ref="D314">IFERROR(
  _xlfn.LET(
    _xlpm.thang,'Data tổng hợp IV'!$B$3:$B$1934,
    _xlpm.dc,   'Data tổng hợp IV'!$C$3:$C$1934,
    _xlpm.ten,  'Data tổng hợp IV'!$E$3:$E$1934,
    _xlpm.ngay, 'Data tổng hợp IV'!$G$3:$G$1934,
    _xlpm.loai, 'Data tổng hợp IV'!$H$3:$H$1934,
    _xlpm.m,$U$2,
    _xlpm.d,"DC2",
    _xlfn.UNIQUE( _xlfn._xlws.FILTER( _xlfn.HSTACK(_xlpm.ten,_xlpm.ngay,_xlpm.loai), (_xlpm.thang=_xlpm.m)*(_xlpm.dc=_xlpm.d) ) )
  ),
"")</f>
        <v/>
      </c>
      <c r="E314" s="2326"/>
      <c r="F314" s="2313"/>
      <c r="G314" s="2333">
        <f>IFERROR(SUMIFS(Table3[Nhiệt trị],Table3[DC],"DC2",Table3[Tên than],'Form mẫu'!$D314,Table3[Loại đốt lò],'Form mẫu'!$F314,Table3[Tháng],'Form mẫu'!$U$2,Table3[Ngày nhập],'Form mẫu'!E314),"")</f>
        <v>0</v>
      </c>
      <c r="H314" s="2330" t="str">
        <f>IFERROR(AVERAGEIFS(Table3[Tỷ lệ cám],Table3[DC],"DC2",Table3[Tên than],$D314,Table3[Loại đốt lò],$F314,Table3[Tháng],'Form mẫu'!$U$2,Table3[Ngày nhập],'Form mẫu'!E314),"")</f>
        <v/>
      </c>
      <c r="I314" s="2330" t="str">
        <f>IFERROR(AVERAGEIFS(Table3[Tỷ lệ xít đá],Table3[DC],"DC2",Table3[Tên than],'Form mẫu'!$D314,Table3[Loại đốt lò],'Form mẫu'!$F314,Table3[Tháng],'Form mẫu'!$U$2,Table3[Ngày nhập],'Form mẫu'!E314),"")</f>
        <v/>
      </c>
      <c r="J314" s="2331">
        <f>IFERROR(SUMIFS(Table3[[KL Lĩnh ]],Table3[DC],"DC2",Table3[Tên than],'Form mẫu'!$D314,Table3[Loại đốt lò],'Form mẫu'!$F314,Table3[Tháng],'Form mẫu'!$U$2,Table3[Ngày nhập],'Form mẫu'!E314),"")</f>
        <v>0</v>
      </c>
      <c r="K314" s="2329">
        <f>IFERROR(SUMIFS(Table3[Sản lượng],Table3[DC],"DC2",Table3[Tên than],'Form mẫu'!$D314,Table3[Loại đốt lò],'Form mẫu'!$F314,Table3[Tháng],'Form mẫu'!$U$2,Table3[Ngày nhập],'Form mẫu'!E314),"")</f>
        <v>0</v>
      </c>
      <c r="L314" s="2260">
        <f>IFERROR(SUMIFS(Table3[Tiêu hao],Table3[DC],"DC2",Table3[Tên than],'Form mẫu'!$D314,Table3[Loại đốt lò],'Form mẫu'!$F314,Table3[Tháng],'Form mẫu'!$U$2,Table3[Ngày nhập],'Form mẫu'!E314),"")</f>
        <v>0</v>
      </c>
      <c r="M314" s="2329">
        <f>IFERROR(SUMIFS(Table3[Xuất cám],Table3[DC],"DC2",Table3[Tên than],'Form mẫu'!$D314,Table3[Loại đốt lò],'Form mẫu'!$F314,Table3[Tháng],'Form mẫu'!$U$2,Table3[Ngày nhập],'Form mẫu'!E314),"")</f>
        <v>0</v>
      </c>
      <c r="N314" s="2330" t="str">
        <f>IFERROR(AVERAGEIFS(Table3[% Xuất cám],Table3[DC],"DC2",Table3[Tên than],'Form mẫu'!$D314,Table3[Loại đốt lò],'Form mẫu'!$F314,Table3[Tháng],'Form mẫu'!$U$2,Table3[Ngày nhập],'Form mẫu'!E314),"")</f>
        <v/>
      </c>
      <c r="O314" s="2316">
        <f>IFERROR(SUMIFS(Table3[Tiêu hao (có cám)],Table3[DC],"DC2",Table3[Tên than],'Form mẫu'!$D314,Table3[Loại đốt lò],'Form mẫu'!$F314,Table3[Tháng],'Form mẫu'!$U$2,Table3[Ngày nhập],'Form mẫu'!E314),"")</f>
        <v>0</v>
      </c>
      <c r="P314" s="2329">
        <f>IFERROR(SUMIFS(Table3[Lĩnh bù],Table3[DC],"DC2",Table3[Tên than],'Form mẫu'!$D314,Table3[Loại đốt lò],'Form mẫu'!$F314,Table3[Tháng],'Form mẫu'!$U$2,Table3[Ngày nhập],'Form mẫu'!E314),"")</f>
        <v>0</v>
      </c>
      <c r="Q314" s="2260">
        <f>IFERROR(SUMIFS(Table3[Tiêu hao (cục+cám+lĩnh bù)],Table3[DC],"DC2",Table3[Tên than],'Form mẫu'!$D314,Table3[Loại đốt lò],'Form mẫu'!$F314,Table3[Tháng],'Form mẫu'!$U$2,Table3[Ngày nhập],'Form mẫu'!E314),"")</f>
        <v>0</v>
      </c>
      <c r="R314" s="2317"/>
    </row>
    <row r="315" spans="1:18" ht="58" customHeight="1" x14ac:dyDescent="0.2">
      <c r="A315" s="2075" t="str">
        <f>IF(D315="","",COUNTA($D$314:D315))</f>
        <v/>
      </c>
      <c r="B315" s="2075" t="str">
        <f t="shared" ref="B315:B324" si="14">IF(C315&lt;&gt;"","DC2","")</f>
        <v/>
      </c>
      <c r="C315" s="2075" t="str">
        <f t="shared" ref="C315:C319" si="15">IF(D315="","","50x50, 60x60, 40x80")</f>
        <v/>
      </c>
      <c r="D315" s="2328"/>
      <c r="E315" s="2312"/>
      <c r="F315" s="2313"/>
      <c r="G315" s="2333">
        <f>IFERROR(SUMIFS(Table3[Nhiệt trị],Table3[DC],"DC2",Table3[Tên than],'Form mẫu'!$D315,Table3[Loại đốt lò],'Form mẫu'!$F315,Table3[Tháng],'Form mẫu'!$U$2,Table3[Ngày nhập],'Form mẫu'!E315),"")</f>
        <v>0</v>
      </c>
      <c r="H315" s="2330" t="str">
        <f>IFERROR(AVERAGEIFS(Table3[Tỷ lệ cám],Table3[DC],"DC2",Table3[Tên than],$D315,Table3[Loại đốt lò],$F315,Table3[Tháng],'Form mẫu'!$U$2,Table3[Ngày nhập],'Form mẫu'!E315),"")</f>
        <v/>
      </c>
      <c r="I315" s="2330" t="str">
        <f>IFERROR(AVERAGEIFS(Table3[Tỷ lệ xít đá],Table3[DC],"DC2",Table3[Tên than],'Form mẫu'!$D315,Table3[Loại đốt lò],'Form mẫu'!$F315,Table3[Tháng],'Form mẫu'!$U$2,Table3[Ngày nhập],'Form mẫu'!E315),"")</f>
        <v/>
      </c>
      <c r="J315" s="2331">
        <f>IFERROR(SUMIFS(Table3[[KL Lĩnh ]],Table3[DC],"DC2",Table3[Tên than],'Form mẫu'!$D315,Table3[Loại đốt lò],'Form mẫu'!$F315,Table3[Tháng],'Form mẫu'!$U$2,Table3[Ngày nhập],'Form mẫu'!E315),"")</f>
        <v>0</v>
      </c>
      <c r="K315" s="2329">
        <f>IFERROR(SUMIFS(Table3[Sản lượng],Table3[DC],"DC2",Table3[Tên than],'Form mẫu'!$D315,Table3[Loại đốt lò],'Form mẫu'!$F315,Table3[Tháng],'Form mẫu'!$U$2,Table3[Ngày nhập],'Form mẫu'!E315),"")</f>
        <v>0</v>
      </c>
      <c r="L315" s="2260">
        <f>IFERROR(SUMIFS(Table3[Tiêu hao],Table3[DC],"DC2",Table3[Tên than],'Form mẫu'!$D315,Table3[Loại đốt lò],'Form mẫu'!$F315,Table3[Tháng],'Form mẫu'!$U$2,Table3[Ngày nhập],'Form mẫu'!E315),"")</f>
        <v>0</v>
      </c>
      <c r="M315" s="2329">
        <f>IFERROR(SUMIFS(Table3[Xuất cám],Table3[DC],"DC2",Table3[Tên than],'Form mẫu'!$D315,Table3[Loại đốt lò],'Form mẫu'!$F315,Table3[Tháng],'Form mẫu'!$U$2,Table3[Ngày nhập],'Form mẫu'!E315),"")</f>
        <v>0</v>
      </c>
      <c r="N315" s="2330" t="str">
        <f>IFERROR(AVERAGEIFS(Table3[% Xuất cám],Table3[DC],"DC2",Table3[Tên than],'Form mẫu'!$D315,Table3[Loại đốt lò],'Form mẫu'!$F315,Table3[Tháng],'Form mẫu'!$U$2,Table3[Ngày nhập],'Form mẫu'!E315),"")</f>
        <v/>
      </c>
      <c r="O315" s="2316">
        <f>IFERROR(SUMIFS(Table3[Tiêu hao (có cám)],Table3[DC],"DC2",Table3[Tên than],'Form mẫu'!$D315,Table3[Loại đốt lò],'Form mẫu'!$F315,Table3[Tháng],'Form mẫu'!$U$2,Table3[Ngày nhập],'Form mẫu'!E315),"")</f>
        <v>0</v>
      </c>
      <c r="P315" s="2329">
        <f>IFERROR(SUMIFS(Table3[Lĩnh bù],Table3[DC],"DC2",Table3[Tên than],'Form mẫu'!$D315,Table3[Loại đốt lò],'Form mẫu'!$F315,Table3[Tháng],'Form mẫu'!$U$2,Table3[Ngày nhập],'Form mẫu'!E315),"")</f>
        <v>0</v>
      </c>
      <c r="Q315" s="2260">
        <f>IFERROR(SUMIFS(Table3[Tiêu hao (cục+cám+lĩnh bù)],Table3[DC],"DC2",Table3[Tên than],'Form mẫu'!$D315,Table3[Loại đốt lò],'Form mẫu'!$F315,Table3[Tháng],'Form mẫu'!$U$2,Table3[Ngày nhập],'Form mẫu'!E315),"")</f>
        <v>0</v>
      </c>
      <c r="R315" s="2317"/>
    </row>
    <row r="316" spans="1:18" ht="58" customHeight="1" x14ac:dyDescent="0.2">
      <c r="A316" s="2075" t="str">
        <f>IF(D316="","",COUNTA($D$314:D316))</f>
        <v/>
      </c>
      <c r="B316" s="2075" t="str">
        <f t="shared" si="14"/>
        <v/>
      </c>
      <c r="C316" s="2075" t="str">
        <f t="shared" si="15"/>
        <v/>
      </c>
      <c r="D316" s="2328"/>
      <c r="E316" s="2312"/>
      <c r="F316" s="2313"/>
      <c r="G316" s="2333">
        <f>IFERROR(SUMIFS(Table3[Nhiệt trị],Table3[DC],"DC2",Table3[Tên than],'Form mẫu'!$D316,Table3[Loại đốt lò],'Form mẫu'!$F316,Table3[Tháng],'Form mẫu'!$U$2,Table3[Ngày nhập],'Form mẫu'!E316),"")</f>
        <v>0</v>
      </c>
      <c r="H316" s="2330" t="str">
        <f>IFERROR(AVERAGEIFS(Table3[Tỷ lệ cám],Table3[DC],"DC2",Table3[Tên than],$D316,Table3[Loại đốt lò],$F316,Table3[Tháng],'Form mẫu'!$U$2,Table3[Ngày nhập],'Form mẫu'!E316),"")</f>
        <v/>
      </c>
      <c r="I316" s="2330" t="str">
        <f>IFERROR(AVERAGEIFS(Table3[Tỷ lệ xít đá],Table3[DC],"DC2",Table3[Tên than],'Form mẫu'!$D316,Table3[Loại đốt lò],'Form mẫu'!$F316,Table3[Tháng],'Form mẫu'!$U$2,Table3[Ngày nhập],'Form mẫu'!E316),"")</f>
        <v/>
      </c>
      <c r="J316" s="2331">
        <f>IFERROR(SUMIFS(Table3[[KL Lĩnh ]],Table3[DC],"DC2",Table3[Tên than],'Form mẫu'!$D316,Table3[Loại đốt lò],'Form mẫu'!$F316,Table3[Tháng],'Form mẫu'!$U$2,Table3[Ngày nhập],'Form mẫu'!E316),"")</f>
        <v>0</v>
      </c>
      <c r="K316" s="2329">
        <f>IFERROR(SUMIFS(Table3[Sản lượng],Table3[DC],"DC2",Table3[Tên than],'Form mẫu'!$D316,Table3[Loại đốt lò],'Form mẫu'!$F316,Table3[Tháng],'Form mẫu'!$U$2,Table3[Ngày nhập],'Form mẫu'!E316),"")</f>
        <v>0</v>
      </c>
      <c r="L316" s="2260">
        <f>IFERROR(SUMIFS(Table3[Tiêu hao],Table3[DC],"DC2",Table3[Tên than],'Form mẫu'!$D316,Table3[Loại đốt lò],'Form mẫu'!$F316,Table3[Tháng],'Form mẫu'!$U$2,Table3[Ngày nhập],'Form mẫu'!E316),"")</f>
        <v>0</v>
      </c>
      <c r="M316" s="2329">
        <f>IFERROR(SUMIFS(Table3[Xuất cám],Table3[DC],"DC2",Table3[Tên than],'Form mẫu'!$D316,Table3[Loại đốt lò],'Form mẫu'!$F316,Table3[Tháng],'Form mẫu'!$U$2,Table3[Ngày nhập],'Form mẫu'!E316),"")</f>
        <v>0</v>
      </c>
      <c r="N316" s="2330" t="str">
        <f>IFERROR(AVERAGEIFS(Table3[% Xuất cám],Table3[DC],"DC2",Table3[Tên than],'Form mẫu'!$D316,Table3[Loại đốt lò],'Form mẫu'!$F316,Table3[Tháng],'Form mẫu'!$U$2,Table3[Ngày nhập],'Form mẫu'!E316),"")</f>
        <v/>
      </c>
      <c r="O316" s="2316">
        <f>IFERROR(SUMIFS(Table3[Tiêu hao (có cám)],Table3[DC],"DC2",Table3[Tên than],'Form mẫu'!$D316,Table3[Loại đốt lò],'Form mẫu'!$F316,Table3[Tháng],'Form mẫu'!$U$2,Table3[Ngày nhập],'Form mẫu'!E316),"")</f>
        <v>0</v>
      </c>
      <c r="P316" s="2329">
        <f>IFERROR(SUMIFS(Table3[Lĩnh bù],Table3[DC],"DC2",Table3[Tên than],'Form mẫu'!$D316,Table3[Loại đốt lò],'Form mẫu'!$F316,Table3[Tháng],'Form mẫu'!$U$2,Table3[Ngày nhập],'Form mẫu'!E316),"")</f>
        <v>0</v>
      </c>
      <c r="Q316" s="2260">
        <f>IFERROR(SUMIFS(Table3[Tiêu hao (cục+cám+lĩnh bù)],Table3[DC],"DC2",Table3[Tên than],'Form mẫu'!$D316,Table3[Loại đốt lò],'Form mẫu'!$F316,Table3[Tháng],'Form mẫu'!$U$2,Table3[Ngày nhập],'Form mẫu'!E316),"")</f>
        <v>0</v>
      </c>
      <c r="R316" s="2317"/>
    </row>
    <row r="317" spans="1:18" ht="58" customHeight="1" x14ac:dyDescent="0.2">
      <c r="A317" s="2075" t="str">
        <f>IF(D317="","",COUNTA($D$314:D317))</f>
        <v/>
      </c>
      <c r="B317" s="2075" t="str">
        <f t="shared" si="14"/>
        <v/>
      </c>
      <c r="C317" s="2075" t="str">
        <f t="shared" si="15"/>
        <v/>
      </c>
      <c r="D317" s="2328"/>
      <c r="E317" s="2312"/>
      <c r="F317" s="2313"/>
      <c r="G317" s="2333">
        <f>IFERROR(SUMIFS(Table3[Nhiệt trị],Table3[DC],"DC2",Table3[Tên than],'Form mẫu'!$D317,Table3[Loại đốt lò],'Form mẫu'!$F317,Table3[Tháng],'Form mẫu'!$U$2,Table3[Ngày nhập],'Form mẫu'!E317),"")</f>
        <v>0</v>
      </c>
      <c r="H317" s="2330" t="str">
        <f>IFERROR(AVERAGEIFS(Table3[Tỷ lệ cám],Table3[DC],"DC2",Table3[Tên than],$D317,Table3[Loại đốt lò],$F317,Table3[Tháng],'Form mẫu'!$U$2,Table3[Ngày nhập],'Form mẫu'!E317),"")</f>
        <v/>
      </c>
      <c r="I317" s="2330" t="str">
        <f>IFERROR(AVERAGEIFS(Table3[Tỷ lệ xít đá],Table3[DC],"DC2",Table3[Tên than],'Form mẫu'!$D317,Table3[Loại đốt lò],'Form mẫu'!$F317,Table3[Tháng],'Form mẫu'!$U$2,Table3[Ngày nhập],'Form mẫu'!E317),"")</f>
        <v/>
      </c>
      <c r="J317" s="2331">
        <f>IFERROR(SUMIFS(Table3[[KL Lĩnh ]],Table3[DC],"DC2",Table3[Tên than],'Form mẫu'!$D317,Table3[Loại đốt lò],'Form mẫu'!$F317,Table3[Tháng],'Form mẫu'!$U$2,Table3[Ngày nhập],'Form mẫu'!E317),"")</f>
        <v>0</v>
      </c>
      <c r="K317" s="2329">
        <f>IFERROR(SUMIFS(Table3[Sản lượng],Table3[DC],"DC2",Table3[Tên than],'Form mẫu'!$D317,Table3[Loại đốt lò],'Form mẫu'!$F317,Table3[Tháng],'Form mẫu'!$U$2,Table3[Ngày nhập],'Form mẫu'!E317),"")</f>
        <v>0</v>
      </c>
      <c r="L317" s="2260">
        <f>IFERROR(SUMIFS(Table3[Tiêu hao],Table3[DC],"DC2",Table3[Tên than],'Form mẫu'!$D317,Table3[Loại đốt lò],'Form mẫu'!$F317,Table3[Tháng],'Form mẫu'!$U$2,Table3[Ngày nhập],'Form mẫu'!E317),"")</f>
        <v>0</v>
      </c>
      <c r="M317" s="2329">
        <f>IFERROR(SUMIFS(Table3[Xuất cám],Table3[DC],"DC2",Table3[Tên than],'Form mẫu'!$D317,Table3[Loại đốt lò],'Form mẫu'!$F317,Table3[Tháng],'Form mẫu'!$U$2,Table3[Ngày nhập],'Form mẫu'!E317),"")</f>
        <v>0</v>
      </c>
      <c r="N317" s="2330" t="str">
        <f>IFERROR(AVERAGEIFS(Table3[% Xuất cám],Table3[DC],"DC2",Table3[Tên than],'Form mẫu'!$D317,Table3[Loại đốt lò],'Form mẫu'!$F317,Table3[Tháng],'Form mẫu'!$U$2,Table3[Ngày nhập],'Form mẫu'!E317),"")</f>
        <v/>
      </c>
      <c r="O317" s="2316">
        <f>IFERROR(SUMIFS(Table3[Tiêu hao (có cám)],Table3[DC],"DC2",Table3[Tên than],'Form mẫu'!$D317,Table3[Loại đốt lò],'Form mẫu'!$F317,Table3[Tháng],'Form mẫu'!$U$2,Table3[Ngày nhập],'Form mẫu'!E317),"")</f>
        <v>0</v>
      </c>
      <c r="P317" s="2329">
        <f>IFERROR(SUMIFS(Table3[Lĩnh bù],Table3[DC],"DC2",Table3[Tên than],'Form mẫu'!$D317,Table3[Loại đốt lò],'Form mẫu'!$F317,Table3[Tháng],'Form mẫu'!$U$2,Table3[Ngày nhập],'Form mẫu'!E317),"")</f>
        <v>0</v>
      </c>
      <c r="Q317" s="2260">
        <f>IFERROR(SUMIFS(Table3[Tiêu hao (cục+cám+lĩnh bù)],Table3[DC],"DC2",Table3[Tên than],'Form mẫu'!$D317,Table3[Loại đốt lò],'Form mẫu'!$F317,Table3[Tháng],'Form mẫu'!$U$2,Table3[Ngày nhập],'Form mẫu'!E317),"")</f>
        <v>0</v>
      </c>
      <c r="R317" s="2317"/>
    </row>
    <row r="318" spans="1:18" ht="58" hidden="1" customHeight="1" x14ac:dyDescent="0.2">
      <c r="A318" s="2075" t="str">
        <f>IF(D318="","",COUNTA($D$314:D318))</f>
        <v/>
      </c>
      <c r="B318" s="2075" t="str">
        <f t="shared" si="14"/>
        <v/>
      </c>
      <c r="C318" s="2075" t="str">
        <f t="shared" si="15"/>
        <v/>
      </c>
      <c r="D318" s="2328"/>
      <c r="E318" s="2312"/>
      <c r="F318" s="2313"/>
      <c r="G318" s="2333">
        <f>IFERROR(SUMIFS(Table3[Nhiệt trị],Table3[DC],"DC2",Table3[Tên than],'Form mẫu'!$D318,Table3[Loại đốt lò],'Form mẫu'!$F318,Table3[Tháng],'Form mẫu'!$U$2,Table3[Ngày nhập],'Form mẫu'!E318),"")</f>
        <v>0</v>
      </c>
      <c r="H318" s="2330" t="str">
        <f>IFERROR(AVERAGEIFS(Table3[Tỷ lệ cám],Table3[DC],"DC2",Table3[Tên than],$D318,Table3[Loại đốt lò],$F318,Table3[Tháng],'Form mẫu'!$U$2,Table3[Ngày nhập],'Form mẫu'!E318),"")</f>
        <v/>
      </c>
      <c r="I318" s="2330" t="str">
        <f>IFERROR(AVERAGEIFS(Table3[Tỷ lệ xít đá],Table3[DC],"DC2",Table3[Tên than],'Form mẫu'!$D318,Table3[Loại đốt lò],'Form mẫu'!$F318,Table3[Tháng],'Form mẫu'!$U$2,Table3[Ngày nhập],'Form mẫu'!E318),"")</f>
        <v/>
      </c>
      <c r="J318" s="2331">
        <f>IFERROR(SUMIFS(Table3[[KL Lĩnh ]],Table3[DC],"DC2",Table3[Tên than],'Form mẫu'!$D318,Table3[Loại đốt lò],'Form mẫu'!$F318,Table3[Tháng],'Form mẫu'!$U$2,Table3[Ngày nhập],'Form mẫu'!E318),"")</f>
        <v>0</v>
      </c>
      <c r="K318" s="2329">
        <f>IFERROR(SUMIFS(Table3[Sản lượng],Table3[DC],"DC2",Table3[Tên than],'Form mẫu'!$D318,Table3[Loại đốt lò],'Form mẫu'!$F318,Table3[Tháng],'Form mẫu'!$U$2,Table3[Ngày nhập],'Form mẫu'!E318),"")</f>
        <v>0</v>
      </c>
      <c r="L318" s="2260">
        <f>IFERROR(SUMIFS(Table3[Tiêu hao],Table3[DC],"DC2",Table3[Tên than],'Form mẫu'!$D318,Table3[Loại đốt lò],'Form mẫu'!$F318,Table3[Tháng],'Form mẫu'!$U$2,Table3[Ngày nhập],'Form mẫu'!E318),"")</f>
        <v>0</v>
      </c>
      <c r="M318" s="2329">
        <f>IFERROR(SUMIFS(Table3[Xuất cám],Table3[DC],"DC2",Table3[Tên than],'Form mẫu'!$D318,Table3[Loại đốt lò],'Form mẫu'!$F318,Table3[Tháng],'Form mẫu'!$U$2,Table3[Ngày nhập],'Form mẫu'!E318),"")</f>
        <v>0</v>
      </c>
      <c r="N318" s="2330" t="str">
        <f>IFERROR(AVERAGEIFS(Table3[% Xuất cám],Table3[DC],"DC2",Table3[Tên than],'Form mẫu'!$D318,Table3[Loại đốt lò],'Form mẫu'!$F318,Table3[Tháng],'Form mẫu'!$U$2,Table3[Ngày nhập],'Form mẫu'!E318),"")</f>
        <v/>
      </c>
      <c r="O318" s="2316">
        <f>IFERROR(SUMIFS(Table3[Tiêu hao (có cám)],Table3[DC],"DC2",Table3[Tên than],'Form mẫu'!$D318,Table3[Loại đốt lò],'Form mẫu'!$F318,Table3[Tháng],'Form mẫu'!$U$2,Table3[Ngày nhập],'Form mẫu'!E318),"")</f>
        <v>0</v>
      </c>
      <c r="P318" s="2329">
        <f>IFERROR(SUMIFS(Table3[Lĩnh bù],Table3[DC],"DC2",Table3[Tên than],'Form mẫu'!$D318,Table3[Loại đốt lò],'Form mẫu'!$F318,Table3[Tháng],'Form mẫu'!$U$2,Table3[Ngày nhập],'Form mẫu'!E318),"")</f>
        <v>0</v>
      </c>
      <c r="Q318" s="2260">
        <f>IFERROR(SUMIFS(Table3[Tiêu hao (cục+cám+lĩnh bù)],Table3[DC],"DC2",Table3[Tên than],'Form mẫu'!$D318,Table3[Loại đốt lò],'Form mẫu'!$F318,Table3[Tháng],'Form mẫu'!$U$2,Table3[Ngày nhập],'Form mẫu'!E318),"")</f>
        <v>0</v>
      </c>
      <c r="R318" s="2317"/>
    </row>
    <row r="319" spans="1:18" ht="58" hidden="1" customHeight="1" x14ac:dyDescent="0.2">
      <c r="A319" s="2075" t="str">
        <f>IF(D319="","",COUNTA($D$314:D319))</f>
        <v/>
      </c>
      <c r="B319" s="2075" t="str">
        <f t="shared" si="14"/>
        <v/>
      </c>
      <c r="C319" s="2075" t="str">
        <f t="shared" si="15"/>
        <v/>
      </c>
      <c r="D319" s="2328"/>
      <c r="E319" s="2312"/>
      <c r="F319" s="2313"/>
      <c r="G319" s="2333">
        <f>IFERROR(SUMIFS(Table3[Nhiệt trị],Table3[DC],"DC2",Table3[Tên than],'Form mẫu'!$D319,Table3[Loại đốt lò],'Form mẫu'!$F319,Table3[Tháng],'Form mẫu'!$U$2,Table3[Ngày nhập],'Form mẫu'!E319),"")</f>
        <v>0</v>
      </c>
      <c r="H319" s="2330" t="str">
        <f>IFERROR(AVERAGEIFS(Table3[Tỷ lệ cám],Table3[DC],"DC2",Table3[Tên than],$D319,Table3[Loại đốt lò],$F319,Table3[Tháng],'Form mẫu'!$U$2,Table3[Ngày nhập],'Form mẫu'!E319),"")</f>
        <v/>
      </c>
      <c r="I319" s="2330" t="str">
        <f>IFERROR(AVERAGEIFS(Table3[Tỷ lệ xít đá],Table3[DC],"DC2",Table3[Tên than],'Form mẫu'!$D319,Table3[Loại đốt lò],'Form mẫu'!$F319,Table3[Tháng],'Form mẫu'!$U$2,Table3[Ngày nhập],'Form mẫu'!E319),"")</f>
        <v/>
      </c>
      <c r="J319" s="2331">
        <f>IFERROR(SUMIFS(Table3[[KL Lĩnh ]],Table3[DC],"DC2",Table3[Tên than],'Form mẫu'!$D319,Table3[Loại đốt lò],'Form mẫu'!$F319,Table3[Tháng],'Form mẫu'!$U$2,Table3[Ngày nhập],'Form mẫu'!E319),"")</f>
        <v>0</v>
      </c>
      <c r="K319" s="2329">
        <f>IFERROR(SUMIFS(Table3[Sản lượng],Table3[DC],"DC2",Table3[Tên than],'Form mẫu'!$D319,Table3[Loại đốt lò],'Form mẫu'!$F319,Table3[Tháng],'Form mẫu'!$U$2,Table3[Ngày nhập],'Form mẫu'!E319),"")</f>
        <v>0</v>
      </c>
      <c r="L319" s="2260">
        <f>IFERROR(SUMIFS(Table3[Tiêu hao],Table3[DC],"DC2",Table3[Tên than],'Form mẫu'!$D319,Table3[Loại đốt lò],'Form mẫu'!$F319,Table3[Tháng],'Form mẫu'!$U$2,Table3[Ngày nhập],'Form mẫu'!E319),"")</f>
        <v>0</v>
      </c>
      <c r="M319" s="2329">
        <f>IFERROR(SUMIFS(Table3[Xuất cám],Table3[DC],"DC2",Table3[Tên than],'Form mẫu'!$D319,Table3[Loại đốt lò],'Form mẫu'!$F319,Table3[Tháng],'Form mẫu'!$U$2,Table3[Ngày nhập],'Form mẫu'!E319),"")</f>
        <v>0</v>
      </c>
      <c r="N319" s="2330" t="str">
        <f>IFERROR(AVERAGEIFS(Table3[% Xuất cám],Table3[DC],"DC2",Table3[Tên than],'Form mẫu'!$D319,Table3[Loại đốt lò],'Form mẫu'!$F319,Table3[Tháng],'Form mẫu'!$U$2,Table3[Ngày nhập],'Form mẫu'!E319),"")</f>
        <v/>
      </c>
      <c r="O319" s="2316">
        <f>IFERROR(SUMIFS(Table3[Tiêu hao (có cám)],Table3[DC],"DC2",Table3[Tên than],'Form mẫu'!$D319,Table3[Loại đốt lò],'Form mẫu'!$F319,Table3[Tháng],'Form mẫu'!$U$2,Table3[Ngày nhập],'Form mẫu'!E319),"")</f>
        <v>0</v>
      </c>
      <c r="P319" s="2329">
        <f>IFERROR(SUMIFS(Table3[Lĩnh bù],Table3[DC],"DC2",Table3[Tên than],'Form mẫu'!$D319,Table3[Loại đốt lò],'Form mẫu'!$F319,Table3[Tháng],'Form mẫu'!$U$2,Table3[Ngày nhập],'Form mẫu'!E319),"")</f>
        <v>0</v>
      </c>
      <c r="Q319" s="2260">
        <f>IFERROR(SUMIFS(Table3[Tiêu hao (cục+cám+lĩnh bù)],Table3[DC],"DC2",Table3[Tên than],'Form mẫu'!$D319,Table3[Loại đốt lò],'Form mẫu'!$F319,Table3[Tháng],'Form mẫu'!$U$2,Table3[Ngày nhập],'Form mẫu'!E319),"")</f>
        <v>0</v>
      </c>
      <c r="R319" s="2317"/>
    </row>
    <row r="320" spans="1:18" ht="58" hidden="1" customHeight="1" x14ac:dyDescent="0.2">
      <c r="A320" s="2075" t="str">
        <f>IF(D320="","",COUNTA($D$314:D320))</f>
        <v/>
      </c>
      <c r="B320" s="2075" t="str">
        <f t="shared" si="14"/>
        <v/>
      </c>
      <c r="C320" s="2212"/>
      <c r="D320" s="2328"/>
      <c r="E320" s="2312"/>
      <c r="F320" s="2313"/>
      <c r="G320" s="2333"/>
      <c r="H320" s="2334"/>
      <c r="I320" s="2334"/>
      <c r="J320" s="2333"/>
      <c r="K320" s="2333"/>
      <c r="L320" s="2333"/>
      <c r="M320" s="2333"/>
      <c r="N320" s="2334"/>
      <c r="O320" s="2316"/>
      <c r="P320" s="2333"/>
      <c r="Q320" s="2260"/>
      <c r="R320" s="2317"/>
    </row>
    <row r="321" spans="1:18" ht="58" hidden="1" customHeight="1" x14ac:dyDescent="0.2">
      <c r="A321" s="2075" t="str">
        <f>IF(D321="","",COUNTA($D$314:D321))</f>
        <v/>
      </c>
      <c r="B321" s="2075" t="str">
        <f t="shared" si="14"/>
        <v/>
      </c>
      <c r="C321" s="2212"/>
      <c r="D321" s="2089"/>
      <c r="E321" s="2312"/>
      <c r="F321" s="2313"/>
      <c r="G321" s="2340"/>
      <c r="H321" s="2341"/>
      <c r="I321" s="2341"/>
      <c r="J321" s="2340"/>
      <c r="K321" s="2340"/>
      <c r="L321" s="2340"/>
      <c r="M321" s="2340"/>
      <c r="N321" s="2341"/>
      <c r="O321" s="2316"/>
      <c r="P321" s="2340"/>
      <c r="Q321" s="2260"/>
      <c r="R321" s="2157"/>
    </row>
    <row r="322" spans="1:18" ht="58" hidden="1" customHeight="1" x14ac:dyDescent="0.2">
      <c r="A322" s="2075" t="str">
        <f>IF(D322="","",COUNTA($D$314:D322))</f>
        <v/>
      </c>
      <c r="B322" s="2075" t="str">
        <f t="shared" si="14"/>
        <v/>
      </c>
      <c r="C322" s="2212"/>
      <c r="D322" s="2328"/>
      <c r="E322" s="2312"/>
      <c r="F322" s="2313"/>
      <c r="G322" s="2333"/>
      <c r="H322" s="2334"/>
      <c r="I322" s="2334"/>
      <c r="J322" s="2333"/>
      <c r="K322" s="2333"/>
      <c r="L322" s="2333"/>
      <c r="M322" s="2333"/>
      <c r="N322" s="2334"/>
      <c r="O322" s="2316"/>
      <c r="P322" s="2333"/>
      <c r="Q322" s="2260"/>
      <c r="R322" s="2317"/>
    </row>
    <row r="323" spans="1:18" s="1" customFormat="1" ht="58" hidden="1" customHeight="1" x14ac:dyDescent="0.2">
      <c r="A323" s="2075" t="str">
        <f>IF(D323="","",COUNTA($D$314:D323))</f>
        <v/>
      </c>
      <c r="B323" s="2075" t="str">
        <f t="shared" si="14"/>
        <v/>
      </c>
      <c r="C323" s="2212"/>
      <c r="D323" s="2328"/>
      <c r="E323" s="2312"/>
      <c r="F323" s="2313"/>
      <c r="G323" s="2333"/>
      <c r="H323" s="2330"/>
      <c r="I323" s="2330"/>
      <c r="J323" s="2333"/>
      <c r="K323" s="2333"/>
      <c r="L323" s="2333"/>
      <c r="M323" s="2333"/>
      <c r="N323" s="2334"/>
      <c r="O323" s="2316"/>
      <c r="P323" s="2333"/>
      <c r="Q323" s="2260"/>
      <c r="R323" s="2317"/>
    </row>
    <row r="324" spans="1:18" s="1" customFormat="1" ht="58" hidden="1" customHeight="1" x14ac:dyDescent="0.2">
      <c r="A324" s="2075" t="str">
        <f>IF(D324="","",COUNTA($D$314:D324))</f>
        <v/>
      </c>
      <c r="B324" s="2075" t="str">
        <f t="shared" si="14"/>
        <v/>
      </c>
      <c r="C324" s="2212"/>
      <c r="D324" s="2328"/>
      <c r="E324" s="2312"/>
      <c r="F324" s="2313"/>
      <c r="G324" s="2329"/>
      <c r="H324" s="2330"/>
      <c r="I324" s="2330"/>
      <c r="J324" s="2333"/>
      <c r="K324" s="2333"/>
      <c r="L324" s="2333"/>
      <c r="M324" s="2333"/>
      <c r="N324" s="2334"/>
      <c r="O324" s="2316"/>
      <c r="P324" s="2333"/>
      <c r="Q324" s="2260"/>
      <c r="R324" s="2317"/>
    </row>
    <row r="325" spans="1:18" s="1" customFormat="1" ht="27" customHeight="1" x14ac:dyDescent="0.2">
      <c r="A325" s="3042" t="s">
        <v>54</v>
      </c>
      <c r="B325" s="3042"/>
      <c r="C325" s="3042"/>
      <c r="D325" s="3042"/>
      <c r="E325" s="3042"/>
      <c r="F325" s="3042"/>
      <c r="G325" s="2319"/>
      <c r="H325" s="2320"/>
      <c r="I325" s="2320"/>
      <c r="J325" s="2319">
        <f t="shared" ref="J325:M325" si="16">SUM(J314:J324)</f>
        <v>0</v>
      </c>
      <c r="K325" s="2321">
        <f t="shared" si="16"/>
        <v>0</v>
      </c>
      <c r="L325" s="2322">
        <f t="shared" si="16"/>
        <v>0</v>
      </c>
      <c r="M325" s="2319">
        <f t="shared" si="16"/>
        <v>0</v>
      </c>
      <c r="N325" s="2323" t="e">
        <f>AVERAGE(N314:N324)</f>
        <v>#DIV/0!</v>
      </c>
      <c r="O325" s="2322">
        <f>SUM(O314:O324)</f>
        <v>0</v>
      </c>
      <c r="P325" s="2319">
        <f>SUM(P314:P324)</f>
        <v>0</v>
      </c>
      <c r="Q325" s="2322">
        <f>SUM(Q314:Q324)</f>
        <v>0</v>
      </c>
      <c r="R325" s="2325"/>
    </row>
    <row r="326" spans="1:18" s="1" customFormat="1" ht="23" customHeight="1" x14ac:dyDescent="0.2">
      <c r="A326" s="2202" t="s">
        <v>1245</v>
      </c>
      <c r="B326" s="1031"/>
      <c r="C326" s="1031"/>
      <c r="D326" s="1031"/>
      <c r="E326" s="1031"/>
      <c r="F326" s="1031"/>
      <c r="G326" s="1031"/>
      <c r="H326" s="2344"/>
      <c r="I326" s="2345"/>
      <c r="J326" s="2346"/>
      <c r="K326" s="2346"/>
      <c r="L326" s="1031"/>
      <c r="M326" s="1031"/>
      <c r="N326" s="2347"/>
      <c r="O326" s="1031"/>
      <c r="P326" s="1031"/>
      <c r="Q326" s="1031"/>
      <c r="R326" s="1031"/>
    </row>
    <row r="327" spans="1:18" s="1" customFormat="1" ht="34" customHeight="1" x14ac:dyDescent="0.2">
      <c r="A327" s="3040" t="s">
        <v>39</v>
      </c>
      <c r="B327" s="3040" t="s">
        <v>34</v>
      </c>
      <c r="C327" s="3040" t="s">
        <v>6</v>
      </c>
      <c r="D327" s="3046" t="s">
        <v>40</v>
      </c>
      <c r="E327" s="3046" t="s">
        <v>1199</v>
      </c>
      <c r="F327" s="3040" t="s">
        <v>1034</v>
      </c>
      <c r="G327" s="3043" t="s">
        <v>41</v>
      </c>
      <c r="H327" s="3044"/>
      <c r="I327" s="3045"/>
      <c r="J327" s="2024" t="s">
        <v>42</v>
      </c>
      <c r="K327" s="2024" t="s">
        <v>43</v>
      </c>
      <c r="L327" s="2190" t="s">
        <v>44</v>
      </c>
      <c r="M327" s="3043" t="s">
        <v>535</v>
      </c>
      <c r="N327" s="3045"/>
      <c r="O327" s="1198" t="s">
        <v>45</v>
      </c>
      <c r="P327" s="2024" t="s">
        <v>46</v>
      </c>
      <c r="Q327" s="3046" t="s">
        <v>531</v>
      </c>
      <c r="R327" s="3040" t="s">
        <v>47</v>
      </c>
    </row>
    <row r="328" spans="1:18" s="1" customFormat="1" ht="35" customHeight="1" x14ac:dyDescent="0.2">
      <c r="A328" s="3041"/>
      <c r="B328" s="3041"/>
      <c r="C328" s="3041"/>
      <c r="D328" s="3047"/>
      <c r="E328" s="3047"/>
      <c r="F328" s="3041"/>
      <c r="G328" s="2024" t="s">
        <v>48</v>
      </c>
      <c r="H328" s="1198" t="s">
        <v>527</v>
      </c>
      <c r="I328" s="1198" t="s">
        <v>528</v>
      </c>
      <c r="J328" s="2024" t="s">
        <v>164</v>
      </c>
      <c r="K328" s="2024" t="s">
        <v>530</v>
      </c>
      <c r="L328" s="2190" t="s">
        <v>529</v>
      </c>
      <c r="M328" s="2024" t="s">
        <v>164</v>
      </c>
      <c r="N328" s="1198" t="s">
        <v>532</v>
      </c>
      <c r="O328" s="2190" t="s">
        <v>529</v>
      </c>
      <c r="P328" s="2024" t="s">
        <v>164</v>
      </c>
      <c r="Q328" s="3047"/>
      <c r="R328" s="3041"/>
    </row>
    <row r="329" spans="1:18" ht="62" customHeight="1" x14ac:dyDescent="0.2">
      <c r="A329" s="2075" t="str">
        <f>IF(D329="","",COUNTA($D$329:D329))</f>
        <v/>
      </c>
      <c r="B329" s="2157" t="str">
        <f>IF(D329="","","DC1 + DC2")</f>
        <v/>
      </c>
      <c r="C329" s="2157" t="str">
        <f>IF(D329="","","30x60, 50x50, 
60x60, 40x80")</f>
        <v/>
      </c>
      <c r="D329" s="2328" t="str" cm="1">
        <f t="array" ref="D329">IFERROR(
  _xlfn.LET(
    _xlpm.thang,'Data tổng hợp IV'!$B$3:$B$1934,
    _xlpm.ten,  'Data tổng hợp IV'!$E$3:$E$1934,
    _xlpm.ngay, 'Data tổng hợp IV'!$G$3:$G$1934,
    _xlpm.loai, 'Data tổng hợp IV'!$H$3:$H$1934,
    _xlpm.m,$U$2,
    _xlfn.UNIQUE(
      _xlfn._xlws.FILTER( _xlfn.HSTACK(_xlpm.ten,_xlpm.ngay,_xlpm.loai), _xlpm.thang=_xlpm.m )
    )
  ),
"")</f>
        <v/>
      </c>
      <c r="E329" s="2326"/>
      <c r="F329" s="2313"/>
      <c r="G329" s="2333">
        <f>IFERROR(SUMIFS(Table3[Nhiệt trị],Table3[Tên than],'Form mẫu'!$D329,Table3[Loại đốt lò],'Form mẫu'!$F329,Table3[Tháng],'Form mẫu'!$U$2,Table3[Ngày nhập],'Form mẫu'!E329),"")</f>
        <v>0</v>
      </c>
      <c r="H329" s="2330" t="str">
        <f>IFERROR(AVERAGEIFS(Table3[Tỷ lệ cám],Table3[Tên than],$D329,Table3[Loại đốt lò],$F329,Table3[Tháng],'Form mẫu'!$U$2,Table3[Ngày nhập],'Form mẫu'!E329),"")</f>
        <v/>
      </c>
      <c r="I329" s="2330" t="str">
        <f>IFERROR(AVERAGEIFS(Table3[Tỷ lệ xít đá],Table3[Tên than],'Form mẫu'!$D329,Table3[Loại đốt lò],'Form mẫu'!$F329,Table3[Tháng],'Form mẫu'!$U$2,Table3[Ngày nhập],'Form mẫu'!E329),"")</f>
        <v/>
      </c>
      <c r="J329" s="2331">
        <f>IFERROR(SUMIFS(Table3[[KL Lĩnh ]],Table3[Tên than],'Form mẫu'!$D329,Table3[Loại đốt lò],'Form mẫu'!$F329,Table3[Tháng],'Form mẫu'!$U$2,Table3[Ngày nhập],'Form mẫu'!E329),"")</f>
        <v>0</v>
      </c>
      <c r="K329" s="2329">
        <f>IFERROR(SUMIFS(Table3[Sản lượng],Table3[Tên than],'Form mẫu'!$D329,Table3[Loại đốt lò],'Form mẫu'!$F329,Table3[Tháng],'Form mẫu'!$U$2,Table3[Ngày nhập],'Form mẫu'!E329),"")</f>
        <v>0</v>
      </c>
      <c r="L329" s="2260">
        <f>IFERROR(SUMIFS(Table3[Tiêu hao],Table3[Tên than],'Form mẫu'!$D329,Table3[Loại đốt lò],'Form mẫu'!$F329,Table3[Tháng],'Form mẫu'!$U$2,Table3[Ngày nhập],'Form mẫu'!E329),"")</f>
        <v>0</v>
      </c>
      <c r="M329" s="2329">
        <f>IFERROR(SUMIFS(Table3[Xuất cám],Table3[Tên than],'Form mẫu'!$D329,Table3[Loại đốt lò],'Form mẫu'!$F329,Table3[Tháng],'Form mẫu'!$U$2,Table3[Ngày nhập],'Form mẫu'!E329),"")</f>
        <v>0</v>
      </c>
      <c r="N329" s="2330" t="str">
        <f>IFERROR(AVERAGEIFS(Table3[% Xuất cám],Table3[Tên than],'Form mẫu'!$D329,Table3[Loại đốt lò],'Form mẫu'!$F329,Table3[Tháng],'Form mẫu'!$U$2,Table3[Ngày nhập],'Form mẫu'!E329),"")</f>
        <v/>
      </c>
      <c r="O329" s="2316">
        <f>IFERROR(SUMIFS(Table3[Tiêu hao (có cám)],Table3[Tên than],'Form mẫu'!$D329,Table3[Loại đốt lò],'Form mẫu'!$F329,Table3[Tháng],'Form mẫu'!$U$2,Table3[Ngày nhập],'Form mẫu'!E329),"")</f>
        <v>0</v>
      </c>
      <c r="P329" s="2329">
        <f>IFERROR(SUMIFS(Table3[Lĩnh bù],Table3[Tên than],'Form mẫu'!$D329,Table3[Loại đốt lò],'Form mẫu'!$F329,Table3[Tháng],'Form mẫu'!$U$2,Table3[Ngày nhập],'Form mẫu'!E329),"")</f>
        <v>0</v>
      </c>
      <c r="Q329" s="2260">
        <f>IFERROR(SUMIFS(Table3[Tiêu hao (cục+cám+lĩnh bù)],Table3[Tên than],'Form mẫu'!$D329,Table3[Loại đốt lò],'Form mẫu'!$F329,Table3[Tháng],'Form mẫu'!$U$2,Table3[Ngày nhập],'Form mẫu'!E329),"")</f>
        <v>0</v>
      </c>
      <c r="R329" s="2317"/>
    </row>
    <row r="330" spans="1:18" ht="62" customHeight="1" x14ac:dyDescent="0.2">
      <c r="A330" s="2075" t="str">
        <f>IF(D330="","",COUNTA($D$329:D330))</f>
        <v/>
      </c>
      <c r="B330" s="2075" t="str">
        <f t="shared" ref="B330:B336" si="17">IF(D330="","","DC1 + DC2")</f>
        <v/>
      </c>
      <c r="C330" s="2157" t="str">
        <f t="shared" ref="C330:C336" si="18">IF(D330="","","30x60, 50x50, 
60x60, 40x80")</f>
        <v/>
      </c>
      <c r="D330" s="2328"/>
      <c r="E330" s="2312"/>
      <c r="F330" s="2313"/>
      <c r="G330" s="2333">
        <f>IFERROR(SUMIFS(Table3[Nhiệt trị],Table3[Tên than],'Form mẫu'!$D330,Table3[Loại đốt lò],'Form mẫu'!$F330,Table3[Tháng],'Form mẫu'!$U$2,Table3[Ngày nhập],'Form mẫu'!E330),"")</f>
        <v>0</v>
      </c>
      <c r="H330" s="2330" t="str">
        <f>IFERROR(AVERAGEIFS(Table3[Tỷ lệ cám],Table3[Tên than],$D330,Table3[Loại đốt lò],$F330,Table3[Tháng],'Form mẫu'!$U$2,Table3[Ngày nhập],'Form mẫu'!E330),"")</f>
        <v/>
      </c>
      <c r="I330" s="2330" t="str">
        <f>IFERROR(AVERAGEIFS(Table3[Tỷ lệ xít đá],Table3[Tên than],'Form mẫu'!$D330,Table3[Loại đốt lò],'Form mẫu'!$F330,Table3[Tháng],'Form mẫu'!$U$2,Table3[Ngày nhập],'Form mẫu'!E330),"")</f>
        <v/>
      </c>
      <c r="J330" s="2331">
        <f>IFERROR(SUMIFS(Table3[[KL Lĩnh ]],Table3[Tên than],'Form mẫu'!$D330,Table3[Loại đốt lò],'Form mẫu'!$F330,Table3[Tháng],'Form mẫu'!$U$2,Table3[Ngày nhập],'Form mẫu'!E330),"")</f>
        <v>0</v>
      </c>
      <c r="K330" s="2329">
        <f>IFERROR(SUMIFS(Table3[Sản lượng],Table3[Tên than],'Form mẫu'!$D330,Table3[Loại đốt lò],'Form mẫu'!$F330,Table3[Tháng],'Form mẫu'!$U$2,Table3[Ngày nhập],'Form mẫu'!E330),"")</f>
        <v>0</v>
      </c>
      <c r="L330" s="2260">
        <f>IFERROR(SUMIFS(Table3[Tiêu hao],Table3[Tên than],'Form mẫu'!$D330,Table3[Loại đốt lò],'Form mẫu'!$F330,Table3[Tháng],'Form mẫu'!$U$2,Table3[Ngày nhập],'Form mẫu'!E330),"")</f>
        <v>0</v>
      </c>
      <c r="M330" s="2329">
        <f>IFERROR(SUMIFS(Table3[Xuất cám],Table3[Tên than],'Form mẫu'!$D330,Table3[Loại đốt lò],'Form mẫu'!$F330,Table3[Tháng],'Form mẫu'!$U$2,Table3[Ngày nhập],'Form mẫu'!E330),"")</f>
        <v>0</v>
      </c>
      <c r="N330" s="2330" t="str">
        <f>IFERROR(AVERAGEIFS(Table3[% Xuất cám],Table3[Tên than],'Form mẫu'!$D330,Table3[Loại đốt lò],'Form mẫu'!$F330,Table3[Tháng],'Form mẫu'!$U$2,Table3[Ngày nhập],'Form mẫu'!E330),"")</f>
        <v/>
      </c>
      <c r="O330" s="2316">
        <f>IFERROR(SUMIFS(Table3[Tiêu hao (có cám)],Table3[Tên than],'Form mẫu'!$D330,Table3[Loại đốt lò],'Form mẫu'!$F330,Table3[Tháng],'Form mẫu'!$U$2,Table3[Ngày nhập],'Form mẫu'!E330),"")</f>
        <v>0</v>
      </c>
      <c r="P330" s="2329">
        <f>IFERROR(SUMIFS(Table3[Lĩnh bù],Table3[Tên than],'Form mẫu'!$D330,Table3[Loại đốt lò],'Form mẫu'!$F330,Table3[Tháng],'Form mẫu'!$U$2,Table3[Ngày nhập],'Form mẫu'!E330),"")</f>
        <v>0</v>
      </c>
      <c r="Q330" s="2260">
        <f>IFERROR(SUMIFS(Table3[Tiêu hao (cục+cám+lĩnh bù)],Table3[Tên than],'Form mẫu'!$D330,Table3[Loại đốt lò],'Form mẫu'!$F330,Table3[Tháng],'Form mẫu'!$U$2,Table3[Ngày nhập],'Form mẫu'!E330),"")</f>
        <v>0</v>
      </c>
      <c r="R330" s="2317"/>
    </row>
    <row r="331" spans="1:18" ht="62" customHeight="1" x14ac:dyDescent="0.2">
      <c r="A331" s="2075" t="str">
        <f>IF(D331="","",COUNTA($D$329:D331))</f>
        <v/>
      </c>
      <c r="B331" s="2075" t="str">
        <f t="shared" si="17"/>
        <v/>
      </c>
      <c r="C331" s="2157" t="str">
        <f t="shared" si="18"/>
        <v/>
      </c>
      <c r="D331" s="2328"/>
      <c r="E331" s="2312"/>
      <c r="F331" s="2313"/>
      <c r="G331" s="2333">
        <f>IFERROR(SUMIFS(Table3[Nhiệt trị],Table3[Tên than],'Form mẫu'!$D331,Table3[Loại đốt lò],'Form mẫu'!$F331,Table3[Tháng],'Form mẫu'!$U$2,Table3[Ngày nhập],'Form mẫu'!E331),"")</f>
        <v>0</v>
      </c>
      <c r="H331" s="2330" t="str">
        <f>IFERROR(AVERAGEIFS(Table3[Tỷ lệ cám],Table3[Tên than],$D331,Table3[Loại đốt lò],$F331,Table3[Tháng],'Form mẫu'!$U$2,Table3[Ngày nhập],'Form mẫu'!E331),"")</f>
        <v/>
      </c>
      <c r="I331" s="2330" t="str">
        <f>IFERROR(AVERAGEIFS(Table3[Tỷ lệ xít đá],Table3[Tên than],'Form mẫu'!$D331,Table3[Loại đốt lò],'Form mẫu'!$F331,Table3[Tháng],'Form mẫu'!$U$2,Table3[Ngày nhập],'Form mẫu'!E331),"")</f>
        <v/>
      </c>
      <c r="J331" s="2331">
        <f>IFERROR(SUMIFS(Table3[[KL Lĩnh ]],Table3[Tên than],'Form mẫu'!$D331,Table3[Loại đốt lò],'Form mẫu'!$F331,Table3[Tháng],'Form mẫu'!$U$2,Table3[Ngày nhập],'Form mẫu'!E331),"")</f>
        <v>0</v>
      </c>
      <c r="K331" s="2329">
        <f>IFERROR(SUMIFS(Table3[Sản lượng],Table3[Tên than],'Form mẫu'!$D331,Table3[Loại đốt lò],'Form mẫu'!$F331,Table3[Tháng],'Form mẫu'!$U$2,Table3[Ngày nhập],'Form mẫu'!E331),"")</f>
        <v>0</v>
      </c>
      <c r="L331" s="2260">
        <f>IFERROR(SUMIFS(Table3[Tiêu hao],Table3[Tên than],'Form mẫu'!$D331,Table3[Loại đốt lò],'Form mẫu'!$F331,Table3[Tháng],'Form mẫu'!$U$2,Table3[Ngày nhập],'Form mẫu'!E331),"")</f>
        <v>0</v>
      </c>
      <c r="M331" s="2329">
        <f>IFERROR(SUMIFS(Table3[Xuất cám],Table3[Tên than],'Form mẫu'!$D331,Table3[Loại đốt lò],'Form mẫu'!$F331,Table3[Tháng],'Form mẫu'!$U$2,Table3[Ngày nhập],'Form mẫu'!E331),"")</f>
        <v>0</v>
      </c>
      <c r="N331" s="2330" t="str">
        <f>IFERROR(AVERAGEIFS(Table3[% Xuất cám],Table3[Tên than],'Form mẫu'!$D331,Table3[Loại đốt lò],'Form mẫu'!$F331,Table3[Tháng],'Form mẫu'!$U$2,Table3[Ngày nhập],'Form mẫu'!E331),"")</f>
        <v/>
      </c>
      <c r="O331" s="2316">
        <f>IFERROR(SUMIFS(Table3[Tiêu hao (có cám)],Table3[Tên than],'Form mẫu'!$D331,Table3[Loại đốt lò],'Form mẫu'!$F331,Table3[Tháng],'Form mẫu'!$U$2,Table3[Ngày nhập],'Form mẫu'!E331),"")</f>
        <v>0</v>
      </c>
      <c r="P331" s="2329">
        <f>IFERROR(SUMIFS(Table3[Lĩnh bù],Table3[Tên than],'Form mẫu'!$D331,Table3[Loại đốt lò],'Form mẫu'!$F331,Table3[Tháng],'Form mẫu'!$U$2,Table3[Ngày nhập],'Form mẫu'!E331),"")</f>
        <v>0</v>
      </c>
      <c r="Q331" s="2260">
        <f>IFERROR(SUMIFS(Table3[Tiêu hao (cục+cám+lĩnh bù)],Table3[Tên than],'Form mẫu'!$D331,Table3[Loại đốt lò],'Form mẫu'!$F331,Table3[Tháng],'Form mẫu'!$U$2,Table3[Ngày nhập],'Form mẫu'!E331),"")</f>
        <v>0</v>
      </c>
      <c r="R331" s="2317"/>
    </row>
    <row r="332" spans="1:18" ht="62" customHeight="1" x14ac:dyDescent="0.2">
      <c r="A332" s="2075" t="str">
        <f>IF(D332="","",COUNTA($D$329:D332))</f>
        <v/>
      </c>
      <c r="B332" s="2075" t="str">
        <f t="shared" si="17"/>
        <v/>
      </c>
      <c r="C332" s="2157" t="str">
        <f t="shared" si="18"/>
        <v/>
      </c>
      <c r="D332" s="2328"/>
      <c r="E332" s="2312"/>
      <c r="F332" s="2313"/>
      <c r="G332" s="2333">
        <f>IFERROR(SUMIFS(Table3[Nhiệt trị],Table3[Tên than],'Form mẫu'!$D332,Table3[Loại đốt lò],'Form mẫu'!$F332,Table3[Tháng],'Form mẫu'!$U$2,Table3[Ngày nhập],'Form mẫu'!E332),"")</f>
        <v>0</v>
      </c>
      <c r="H332" s="2330" t="str">
        <f>IFERROR(AVERAGEIFS(Table3[Tỷ lệ cám],Table3[Tên than],$D332,Table3[Loại đốt lò],$F332,Table3[Tháng],'Form mẫu'!$U$2,Table3[Ngày nhập],'Form mẫu'!E332),"")</f>
        <v/>
      </c>
      <c r="I332" s="2330" t="str">
        <f>IFERROR(AVERAGEIFS(Table3[Tỷ lệ xít đá],Table3[Tên than],'Form mẫu'!$D332,Table3[Loại đốt lò],'Form mẫu'!$F332,Table3[Tháng],'Form mẫu'!$U$2,Table3[Ngày nhập],'Form mẫu'!E332),"")</f>
        <v/>
      </c>
      <c r="J332" s="2331">
        <f>IFERROR(SUMIFS(Table3[[KL Lĩnh ]],Table3[Tên than],'Form mẫu'!$D332,Table3[Loại đốt lò],'Form mẫu'!$F332,Table3[Tháng],'Form mẫu'!$U$2,Table3[Ngày nhập],'Form mẫu'!E332),"")</f>
        <v>0</v>
      </c>
      <c r="K332" s="2329">
        <f>IFERROR(SUMIFS(Table3[Sản lượng],Table3[Tên than],'Form mẫu'!$D332,Table3[Loại đốt lò],'Form mẫu'!$F332,Table3[Tháng],'Form mẫu'!$U$2,Table3[Ngày nhập],'Form mẫu'!E332),"")</f>
        <v>0</v>
      </c>
      <c r="L332" s="2260">
        <f>IFERROR(SUMIFS(Table3[Tiêu hao],Table3[Tên than],'Form mẫu'!$D332,Table3[Loại đốt lò],'Form mẫu'!$F332,Table3[Tháng],'Form mẫu'!$U$2,Table3[Ngày nhập],'Form mẫu'!E332),"")</f>
        <v>0</v>
      </c>
      <c r="M332" s="2329">
        <f>IFERROR(SUMIFS(Table3[Xuất cám],Table3[Tên than],'Form mẫu'!$D332,Table3[Loại đốt lò],'Form mẫu'!$F332,Table3[Tháng],'Form mẫu'!$U$2,Table3[Ngày nhập],'Form mẫu'!E332),"")</f>
        <v>0</v>
      </c>
      <c r="N332" s="2330" t="str">
        <f>IFERROR(AVERAGEIFS(Table3[% Xuất cám],Table3[Tên than],'Form mẫu'!$D332,Table3[Loại đốt lò],'Form mẫu'!$F332,Table3[Tháng],'Form mẫu'!$U$2,Table3[Ngày nhập],'Form mẫu'!E332),"")</f>
        <v/>
      </c>
      <c r="O332" s="2316">
        <f>IFERROR(SUMIFS(Table3[Tiêu hao (có cám)],Table3[Tên than],'Form mẫu'!$D332,Table3[Loại đốt lò],'Form mẫu'!$F332,Table3[Tháng],'Form mẫu'!$U$2,Table3[Ngày nhập],'Form mẫu'!E332),"")</f>
        <v>0</v>
      </c>
      <c r="P332" s="2329">
        <f>IFERROR(SUMIFS(Table3[Lĩnh bù],Table3[Tên than],'Form mẫu'!$D332,Table3[Loại đốt lò],'Form mẫu'!$F332,Table3[Tháng],'Form mẫu'!$U$2,Table3[Ngày nhập],'Form mẫu'!E332),"")</f>
        <v>0</v>
      </c>
      <c r="Q332" s="2260">
        <f>IFERROR(SUMIFS(Table3[Tiêu hao (cục+cám+lĩnh bù)],Table3[Tên than],'Form mẫu'!$D332,Table3[Loại đốt lò],'Form mẫu'!$F332,Table3[Tháng],'Form mẫu'!$U$2,Table3[Ngày nhập],'Form mẫu'!E332),"")</f>
        <v>0</v>
      </c>
      <c r="R332" s="2317"/>
    </row>
    <row r="333" spans="1:18" ht="62" customHeight="1" x14ac:dyDescent="0.2">
      <c r="A333" s="2075" t="str">
        <f>IF(D333="","",COUNTA($D$329:D333))</f>
        <v/>
      </c>
      <c r="B333" s="2075" t="str">
        <f t="shared" si="17"/>
        <v/>
      </c>
      <c r="C333" s="2157" t="str">
        <f t="shared" si="18"/>
        <v/>
      </c>
      <c r="D333" s="2328"/>
      <c r="E333" s="2312"/>
      <c r="F333" s="2313"/>
      <c r="G333" s="2329">
        <f>IFERROR(SUMIFS(Table3[Nhiệt trị],Table3[Tên than],'Form mẫu'!$D333,Table3[Loại đốt lò],'Form mẫu'!$F333,Table3[Tháng],'Form mẫu'!$U$2,Table3[Ngày nhập],'Form mẫu'!E333),"")</f>
        <v>0</v>
      </c>
      <c r="H333" s="2330" t="str">
        <f>IFERROR(AVERAGEIFS(Table3[Tỷ lệ cám],Table3[Tên than],$D333,Table3[Loại đốt lò],$F333,Table3[Tháng],'Form mẫu'!$U$2,Table3[Ngày nhập],'Form mẫu'!E333),"")</f>
        <v/>
      </c>
      <c r="I333" s="2330" t="str">
        <f>IFERROR(AVERAGEIFS(Table3[Tỷ lệ xít đá],Table3[Tên than],'Form mẫu'!$D333,Table3[Loại đốt lò],'Form mẫu'!$F333,Table3[Tháng],'Form mẫu'!$U$2,Table3[Ngày nhập],'Form mẫu'!E333),"")</f>
        <v/>
      </c>
      <c r="J333" s="2329">
        <f>IFERROR(SUMIFS(Table3[[KL Lĩnh ]],Table3[Tên than],'Form mẫu'!$D333,Table3[Loại đốt lò],'Form mẫu'!$F333,Table3[Tháng],'Form mẫu'!$U$2,Table3[Ngày nhập],'Form mẫu'!E333),"")</f>
        <v>0</v>
      </c>
      <c r="K333" s="2329">
        <f>IFERROR(SUMIFS(Table3[Sản lượng],Table3[Tên than],'Form mẫu'!$D333,Table3[Loại đốt lò],'Form mẫu'!$F333,Table3[Tháng],'Form mẫu'!$U$2,Table3[Ngày nhập],'Form mẫu'!E333),"")</f>
        <v>0</v>
      </c>
      <c r="L333" s="2329">
        <f>IFERROR(SUMIFS(Table3[Tiêu hao],Table3[Tên than],'Form mẫu'!$D333,Table3[Loại đốt lò],'Form mẫu'!$F333,Table3[Tháng],'Form mẫu'!$U$2,Table3[Ngày nhập],'Form mẫu'!E333),"")</f>
        <v>0</v>
      </c>
      <c r="M333" s="2329">
        <f>IFERROR(SUMIFS(Table3[Xuất cám],Table3[Tên than],'Form mẫu'!$D333,Table3[Loại đốt lò],'Form mẫu'!$F333,Table3[Tháng],'Form mẫu'!$U$2,Table3[Ngày nhập],'Form mẫu'!E333),"")</f>
        <v>0</v>
      </c>
      <c r="N333" s="2330" t="str">
        <f>IFERROR(AVERAGEIFS(Table3[% Xuất cám],Table3[Tên than],'Form mẫu'!$D333,Table3[Loại đốt lò],'Form mẫu'!$F333,Table3[Tháng],'Form mẫu'!$U$2,Table3[Ngày nhập],'Form mẫu'!E333),"")</f>
        <v/>
      </c>
      <c r="O333" s="2316">
        <f>IFERROR(SUMIFS(Table3[Tiêu hao (có cám)],Table3[Tên than],'Form mẫu'!$D333,Table3[Loại đốt lò],'Form mẫu'!$F333,Table3[Tháng],'Form mẫu'!$U$2,Table3[Ngày nhập],'Form mẫu'!E333),"")</f>
        <v>0</v>
      </c>
      <c r="P333" s="2329">
        <f>IFERROR(SUMIFS(Table3[Lĩnh bù],Table3[Tên than],'Form mẫu'!$D333,Table3[Loại đốt lò],'Form mẫu'!$F333,Table3[Tháng],'Form mẫu'!$U$2,Table3[Ngày nhập],'Form mẫu'!E333),"")</f>
        <v>0</v>
      </c>
      <c r="Q333" s="2260">
        <f>IFERROR(SUMIFS(Table3[Tiêu hao (cục+cám+lĩnh bù)],Table3[Tên than],'Form mẫu'!$D333,Table3[Loại đốt lò],'Form mẫu'!$F333,Table3[Tháng],'Form mẫu'!$U$2,Table3[Ngày nhập],'Form mẫu'!E333),"")</f>
        <v>0</v>
      </c>
      <c r="R333" s="2317"/>
    </row>
    <row r="334" spans="1:18" ht="62" hidden="1" customHeight="1" x14ac:dyDescent="0.2">
      <c r="A334" s="2075" t="str">
        <f>IF(D334="","",COUNTA($D$329:D334))</f>
        <v/>
      </c>
      <c r="B334" s="2075" t="str">
        <f t="shared" si="17"/>
        <v/>
      </c>
      <c r="C334" s="2157" t="str">
        <f t="shared" si="18"/>
        <v/>
      </c>
      <c r="D334" s="2328"/>
      <c r="E334" s="2312"/>
      <c r="F334" s="2313"/>
      <c r="G334" s="2329">
        <f>IFERROR(SUMIFS(Table3[Nhiệt trị],Table3[Tên than],'Form mẫu'!$D334,Table3[Loại đốt lò],'Form mẫu'!$F334,Table3[Tháng],'Form mẫu'!$U$2,Table3[Ngày nhập],'Form mẫu'!E334),"")</f>
        <v>0</v>
      </c>
      <c r="H334" s="2330" t="str">
        <f>IFERROR(AVERAGEIFS(Table3[Tỷ lệ cám],Table3[Tên than],$D334,Table3[Loại đốt lò],$F334,Table3[Tháng],'Form mẫu'!$U$2,Table3[Ngày nhập],'Form mẫu'!E334),"")</f>
        <v/>
      </c>
      <c r="I334" s="2330" t="str">
        <f>IFERROR(AVERAGEIFS(Table3[Tỷ lệ xít đá],Table3[Tên than],'Form mẫu'!$D334,Table3[Loại đốt lò],'Form mẫu'!$F334,Table3[Tháng],'Form mẫu'!$U$2,Table3[Ngày nhập],'Form mẫu'!E334),"")</f>
        <v/>
      </c>
      <c r="J334" s="2329">
        <f>IFERROR(SUMIFS(Table3[[KL Lĩnh ]],Table3[Tên than],'Form mẫu'!$D334,Table3[Loại đốt lò],'Form mẫu'!$F334,Table3[Tháng],'Form mẫu'!$U$2,Table3[Ngày nhập],'Form mẫu'!E334),"")</f>
        <v>0</v>
      </c>
      <c r="K334" s="2329">
        <f>IFERROR(SUMIFS(Table3[Sản lượng],Table3[Tên than],'Form mẫu'!$D334,Table3[Loại đốt lò],'Form mẫu'!$F334,Table3[Tháng],'Form mẫu'!$U$2,Table3[Ngày nhập],'Form mẫu'!E334),"")</f>
        <v>0</v>
      </c>
      <c r="L334" s="2329">
        <f>IFERROR(SUMIFS(Table3[Tiêu hao],Table3[Tên than],'Form mẫu'!$D334,Table3[Loại đốt lò],'Form mẫu'!$F334,Table3[Tháng],'Form mẫu'!$U$2,Table3[Ngày nhập],'Form mẫu'!E334),"")</f>
        <v>0</v>
      </c>
      <c r="M334" s="2329">
        <f>IFERROR(SUMIFS(Table3[Xuất cám],Table3[Tên than],'Form mẫu'!$D334,Table3[Loại đốt lò],'Form mẫu'!$F334,Table3[Tháng],'Form mẫu'!$U$2,Table3[Ngày nhập],'Form mẫu'!E334),"")</f>
        <v>0</v>
      </c>
      <c r="N334" s="2330" t="str">
        <f>IFERROR(AVERAGEIFS(Table3[% Xuất cám],Table3[Tên than],'Form mẫu'!$D334,Table3[Loại đốt lò],'Form mẫu'!$F334,Table3[Tháng],'Form mẫu'!$U$2,Table3[Ngày nhập],'Form mẫu'!E334),"")</f>
        <v/>
      </c>
      <c r="O334" s="2316">
        <f>IFERROR(SUMIFS(Table3[Tiêu hao (có cám)],Table3[Tên than],'Form mẫu'!$D334,Table3[Loại đốt lò],'Form mẫu'!$F334,Table3[Tháng],'Form mẫu'!$U$2,Table3[Ngày nhập],'Form mẫu'!E334),"")</f>
        <v>0</v>
      </c>
      <c r="P334" s="2329">
        <f>IFERROR(SUMIFS(Table3[Lĩnh bù],Table3[Tên than],'Form mẫu'!$D334,Table3[Loại đốt lò],'Form mẫu'!$F334,Table3[Tháng],'Form mẫu'!$U$2,Table3[Ngày nhập],'Form mẫu'!E334),"")</f>
        <v>0</v>
      </c>
      <c r="Q334" s="2260">
        <f>IFERROR(SUMIFS(Table3[Tiêu hao (cục+cám+lĩnh bù)],Table3[Tên than],'Form mẫu'!$D334,Table3[Loại đốt lò],'Form mẫu'!$F334,Table3[Tháng],'Form mẫu'!$U$2,Table3[Ngày nhập],'Form mẫu'!E334),"")</f>
        <v>0</v>
      </c>
      <c r="R334" s="2317"/>
    </row>
    <row r="335" spans="1:18" s="1" customFormat="1" ht="62" hidden="1" customHeight="1" x14ac:dyDescent="0.2">
      <c r="A335" s="2075" t="str">
        <f>IF(D335="","",COUNTA($D$329:D335))</f>
        <v/>
      </c>
      <c r="B335" s="2075" t="str">
        <f t="shared" si="17"/>
        <v/>
      </c>
      <c r="C335" s="2157" t="str">
        <f t="shared" si="18"/>
        <v/>
      </c>
      <c r="D335" s="2089"/>
      <c r="E335" s="2312"/>
      <c r="F335" s="2313"/>
      <c r="G335" s="2072">
        <f>IFERROR(SUMIFS(Table3[Nhiệt trị],Table3[Tên than],'Form mẫu'!$D335,Table3[Loại đốt lò],'Form mẫu'!$F335,Table3[Tháng],'Form mẫu'!$U$2,Table3[Ngày nhập],'Form mẫu'!E335),"")</f>
        <v>0</v>
      </c>
      <c r="H335" s="2315" t="str">
        <f>IFERROR(AVERAGEIFS(Table3[Tỷ lệ cám],Table3[Tên than],$D335,Table3[Loại đốt lò],$F335,Table3[Tháng],'Form mẫu'!$U$2,Table3[Ngày nhập],'Form mẫu'!E335),"")</f>
        <v/>
      </c>
      <c r="I335" s="2315" t="str">
        <f>IFERROR(AVERAGEIFS(Table3[Tỷ lệ xít đá],Table3[Tên than],'Form mẫu'!$D335,Table3[Loại đốt lò],'Form mẫu'!$F335,Table3[Tháng],'Form mẫu'!$U$2,Table3[Ngày nhập],'Form mẫu'!E335),"")</f>
        <v/>
      </c>
      <c r="J335" s="2072">
        <f>IFERROR(SUMIFS(Table3[[KL Lĩnh ]],Table3[Tên than],'Form mẫu'!$D335,Table3[Loại đốt lò],'Form mẫu'!$F335,Table3[Tháng],'Form mẫu'!$U$2,Table3[Ngày nhập],'Form mẫu'!E335),"")</f>
        <v>0</v>
      </c>
      <c r="K335" s="2072">
        <f>IFERROR(SUMIFS(Table3[Sản lượng],Table3[Tên than],'Form mẫu'!$D335,Table3[Loại đốt lò],'Form mẫu'!$F335,Table3[Tháng],'Form mẫu'!$U$2,Table3[Ngày nhập],'Form mẫu'!E335),"")</f>
        <v>0</v>
      </c>
      <c r="L335" s="2072">
        <f>IFERROR(SUMIFS(Table3[Tiêu hao],Table3[Tên than],'Form mẫu'!$D335,Table3[Loại đốt lò],'Form mẫu'!$F335,Table3[Tháng],'Form mẫu'!$U$2,Table3[Ngày nhập],'Form mẫu'!E335),"")</f>
        <v>0</v>
      </c>
      <c r="M335" s="2072">
        <f>IFERROR(SUMIFS(Table3[Xuất cám],Table3[Tên than],'Form mẫu'!$D335,Table3[Loại đốt lò],'Form mẫu'!$F335,Table3[Tháng],'Form mẫu'!$U$2,Table3[Ngày nhập],'Form mẫu'!E335),"")</f>
        <v>0</v>
      </c>
      <c r="N335" s="2315" t="str">
        <f>IFERROR(AVERAGEIFS(Table3[% Xuất cám],Table3[Tên than],'Form mẫu'!$D335,Table3[Loại đốt lò],'Form mẫu'!$F335,Table3[Tháng],'Form mẫu'!$U$2,Table3[Ngày nhập],'Form mẫu'!E335),"")</f>
        <v/>
      </c>
      <c r="O335" s="2316">
        <f>IFERROR(SUMIFS(Table3[Tiêu hao (có cám)],Table3[Tên than],'Form mẫu'!$D335,Table3[Loại đốt lò],'Form mẫu'!$F335,Table3[Tháng],'Form mẫu'!$U$2,Table3[Ngày nhập],'Form mẫu'!E335),"")</f>
        <v>0</v>
      </c>
      <c r="P335" s="2072">
        <f>IFERROR(SUMIFS(Table3[Lĩnh bù],Table3[Tên than],'Form mẫu'!$D335,Table3[Loại đốt lò],'Form mẫu'!$F335,Table3[Tháng],'Form mẫu'!$U$2,Table3[Ngày nhập],'Form mẫu'!E335),"")</f>
        <v>0</v>
      </c>
      <c r="Q335" s="2260">
        <f>IFERROR(SUMIFS(Table3[Tiêu hao (cục+cám+lĩnh bù)],Table3[Tên than],'Form mẫu'!$D335,Table3[Loại đốt lò],'Form mẫu'!$F335,Table3[Tháng],'Form mẫu'!$U$2,Table3[Ngày nhập],'Form mẫu'!E335),"")</f>
        <v>0</v>
      </c>
      <c r="R335" s="2157"/>
    </row>
    <row r="336" spans="1:18" s="1" customFormat="1" ht="62" hidden="1" customHeight="1" x14ac:dyDescent="0.2">
      <c r="A336" s="2075" t="str">
        <f>IF(D336="","",COUNTA($D$329:D336))</f>
        <v/>
      </c>
      <c r="B336" s="2075" t="str">
        <f t="shared" si="17"/>
        <v/>
      </c>
      <c r="C336" s="2157" t="str">
        <f t="shared" si="18"/>
        <v/>
      </c>
      <c r="D336" s="2089"/>
      <c r="E336" s="2312"/>
      <c r="F336" s="2313"/>
      <c r="G336" s="2072">
        <f>IFERROR(SUMIFS(Table3[Nhiệt trị],Table3[Tên than],'Form mẫu'!$D336,Table3[Loại đốt lò],'Form mẫu'!$F336,Table3[Tháng],'Form mẫu'!$U$2,Table3[Ngày nhập],'Form mẫu'!E336),"")</f>
        <v>0</v>
      </c>
      <c r="H336" s="2315" t="str">
        <f>IFERROR(AVERAGEIFS(Table3[Tỷ lệ cám],Table3[Tên than],$D336,Table3[Loại đốt lò],$F336,Table3[Tháng],'Form mẫu'!$U$2,Table3[Ngày nhập],'Form mẫu'!E336),"")</f>
        <v/>
      </c>
      <c r="I336" s="2315" t="str">
        <f>IFERROR(AVERAGEIFS(Table3[Tỷ lệ xít đá],Table3[Tên than],'Form mẫu'!$D336,Table3[Loại đốt lò],'Form mẫu'!$F336,Table3[Tháng],'Form mẫu'!$U$2,Table3[Ngày nhập],'Form mẫu'!E336),"")</f>
        <v/>
      </c>
      <c r="J336" s="2072">
        <f>IFERROR(SUMIFS(Table3[[KL Lĩnh ]],Table3[Tên than],'Form mẫu'!$D336,Table3[Loại đốt lò],'Form mẫu'!$F336,Table3[Tháng],'Form mẫu'!$U$2,Table3[Ngày nhập],'Form mẫu'!E336),"")</f>
        <v>0</v>
      </c>
      <c r="K336" s="2072">
        <f>IFERROR(SUMIFS(Table3[Sản lượng],Table3[Tên than],'Form mẫu'!$D336,Table3[Loại đốt lò],'Form mẫu'!$F336,Table3[Tháng],'Form mẫu'!$U$2,Table3[Ngày nhập],'Form mẫu'!E336),"")</f>
        <v>0</v>
      </c>
      <c r="L336" s="2072">
        <f>IFERROR(SUMIFS(Table3[Tiêu hao],Table3[Tên than],'Form mẫu'!$D336,Table3[Loại đốt lò],'Form mẫu'!$F336,Table3[Tháng],'Form mẫu'!$U$2,Table3[Ngày nhập],'Form mẫu'!E336),"")</f>
        <v>0</v>
      </c>
      <c r="M336" s="2072">
        <f>IFERROR(SUMIFS(Table3[Xuất cám],Table3[Tên than],'Form mẫu'!$D336,Table3[Loại đốt lò],'Form mẫu'!$F336,Table3[Tháng],'Form mẫu'!$U$2,Table3[Ngày nhập],'Form mẫu'!E336),"")</f>
        <v>0</v>
      </c>
      <c r="N336" s="2315" t="str">
        <f>IFERROR(AVERAGEIFS(Table3[% Xuất cám],Table3[Tên than],'Form mẫu'!$D336,Table3[Loại đốt lò],'Form mẫu'!$F336,Table3[Tháng],'Form mẫu'!$U$2,Table3[Ngày nhập],'Form mẫu'!E336),"")</f>
        <v/>
      </c>
      <c r="O336" s="2316">
        <f>IFERROR(SUMIFS(Table3[Tiêu hao (có cám)],Table3[Tên than],'Form mẫu'!$D336,Table3[Loại đốt lò],'Form mẫu'!$F336,Table3[Tháng],'Form mẫu'!$U$2,Table3[Ngày nhập],'Form mẫu'!E336),"")</f>
        <v>0</v>
      </c>
      <c r="P336" s="2072">
        <f>IFERROR(SUMIFS(Table3[Lĩnh bù],Table3[Tên than],'Form mẫu'!$D336,Table3[Loại đốt lò],'Form mẫu'!$F336,Table3[Tháng],'Form mẫu'!$U$2,Table3[Ngày nhập],'Form mẫu'!E336),"")</f>
        <v>0</v>
      </c>
      <c r="Q336" s="2260">
        <f>IFERROR(SUMIFS(Table3[Tiêu hao (cục+cám+lĩnh bù)],Table3[Tên than],'Form mẫu'!$D336,Table3[Loại đốt lò],'Form mẫu'!$F336,Table3[Tháng],'Form mẫu'!$U$2,Table3[Ngày nhập],'Form mẫu'!E336),"")</f>
        <v>0</v>
      </c>
      <c r="R336" s="2157"/>
    </row>
    <row r="337" spans="1:18" s="1" customFormat="1" ht="27" customHeight="1" x14ac:dyDescent="0.2">
      <c r="A337" s="3042" t="s">
        <v>54</v>
      </c>
      <c r="B337" s="3042"/>
      <c r="C337" s="3042"/>
      <c r="D337" s="3042"/>
      <c r="E337" s="3042"/>
      <c r="F337" s="3042"/>
      <c r="G337" s="2319">
        <f>SUM(G329:G336)</f>
        <v>0</v>
      </c>
      <c r="H337" s="2323" t="e">
        <f>AVERAGE(H329:H336)</f>
        <v>#DIV/0!</v>
      </c>
      <c r="I337" s="2323" t="e">
        <f>AVERAGE(I329:I336)</f>
        <v>#DIV/0!</v>
      </c>
      <c r="J337" s="2319">
        <f>SUM(J329:J336)</f>
        <v>0</v>
      </c>
      <c r="K337" s="2319">
        <f>SUM(K329:K336)</f>
        <v>0</v>
      </c>
      <c r="L337" s="2322">
        <f>SUM(L329:L336)</f>
        <v>0</v>
      </c>
      <c r="M337" s="2319">
        <f>SUM(M329:M336)</f>
        <v>0</v>
      </c>
      <c r="N337" s="2323" t="e">
        <f>AVERAGE(N329:N336)</f>
        <v>#DIV/0!</v>
      </c>
      <c r="O337" s="2322">
        <f>SUM(O329:O336)</f>
        <v>0</v>
      </c>
      <c r="P337" s="2319">
        <f>SUM(P329:P336)</f>
        <v>0</v>
      </c>
      <c r="Q337" s="2322">
        <f>SUM(Q329:Q336)</f>
        <v>0</v>
      </c>
      <c r="R337" s="2325"/>
    </row>
    <row r="338" spans="1:18" s="1" customFormat="1" ht="26" customHeight="1" x14ac:dyDescent="0.2">
      <c r="A338" s="1001" t="s">
        <v>515</v>
      </c>
      <c r="B338" s="1002"/>
      <c r="C338" s="1002"/>
      <c r="D338" s="1002"/>
      <c r="E338" s="1002"/>
      <c r="F338" s="1002"/>
      <c r="G338" s="1002"/>
      <c r="H338" s="1002"/>
      <c r="I338" s="1003"/>
      <c r="J338" s="1003"/>
      <c r="K338" s="1004"/>
      <c r="L338" s="1004"/>
      <c r="M338" s="1005"/>
      <c r="N338" s="1005"/>
      <c r="O338" s="876"/>
      <c r="P338" s="876"/>
      <c r="Q338" s="876"/>
      <c r="R338" s="876"/>
    </row>
    <row r="339" spans="1:18" s="1" customFormat="1" ht="40" customHeight="1" x14ac:dyDescent="0.2">
      <c r="A339" s="3197" t="s">
        <v>701</v>
      </c>
      <c r="B339" s="3197"/>
      <c r="C339" s="3197"/>
      <c r="D339" s="3197"/>
      <c r="E339" s="3197"/>
      <c r="F339" s="3197"/>
      <c r="G339" s="3197"/>
      <c r="H339" s="3197"/>
      <c r="I339" s="3197"/>
      <c r="J339" s="3197"/>
      <c r="K339" s="3197"/>
      <c r="L339" s="3197"/>
      <c r="M339" s="3197"/>
      <c r="N339" s="3197"/>
      <c r="O339" s="1000"/>
      <c r="P339" s="1000"/>
      <c r="Q339" s="1000"/>
      <c r="R339" s="1000"/>
    </row>
    <row r="340" spans="1:18" s="1" customFormat="1" ht="33" customHeight="1" x14ac:dyDescent="0.2">
      <c r="A340" s="3197" t="s">
        <v>702</v>
      </c>
      <c r="B340" s="3197"/>
      <c r="C340" s="3197"/>
      <c r="D340" s="3197"/>
      <c r="E340" s="3197"/>
      <c r="F340" s="3197"/>
      <c r="G340" s="3197"/>
      <c r="H340" s="3197"/>
      <c r="I340" s="3197"/>
      <c r="J340" s="3197"/>
      <c r="K340" s="3197"/>
      <c r="L340" s="3197"/>
      <c r="M340" s="3197"/>
      <c r="N340" s="3197"/>
      <c r="O340" s="1068"/>
      <c r="P340" s="1068"/>
      <c r="Q340" s="1068"/>
      <c r="R340" s="1068"/>
    </row>
    <row r="341" spans="1:18" s="1" customFormat="1" ht="40" customHeight="1" x14ac:dyDescent="0.2">
      <c r="A341" s="3197" t="s">
        <v>775</v>
      </c>
      <c r="B341" s="3197"/>
      <c r="C341" s="3197"/>
      <c r="D341" s="3197"/>
      <c r="E341" s="3197"/>
      <c r="F341" s="3197"/>
      <c r="G341" s="3197"/>
      <c r="H341" s="3197"/>
      <c r="I341" s="3197"/>
      <c r="J341" s="3197"/>
      <c r="K341" s="3197"/>
      <c r="L341" s="3197"/>
      <c r="M341" s="3197"/>
      <c r="N341" s="3197"/>
      <c r="O341" s="1068"/>
      <c r="P341" s="1068"/>
      <c r="Q341" s="1068"/>
      <c r="R341" s="994"/>
    </row>
    <row r="342" spans="1:18" s="1" customFormat="1" ht="31" customHeight="1" x14ac:dyDescent="0.2">
      <c r="A342" s="1070" t="s">
        <v>703</v>
      </c>
      <c r="B342" s="1070"/>
      <c r="C342" s="1070"/>
      <c r="D342" s="1070"/>
      <c r="E342" s="1070"/>
      <c r="F342" s="1070"/>
      <c r="G342" s="1070"/>
      <c r="H342" s="1070"/>
      <c r="I342" s="1070"/>
      <c r="J342" s="1070"/>
      <c r="K342" s="1070"/>
      <c r="L342" s="1070"/>
      <c r="M342" s="1070"/>
      <c r="N342" s="1070"/>
      <c r="O342" s="1070"/>
      <c r="P342" s="1070"/>
      <c r="Q342" s="1070"/>
      <c r="R342" s="994"/>
    </row>
    <row r="343" spans="1:18" s="1" customFormat="1" ht="40" customHeight="1" x14ac:dyDescent="0.2">
      <c r="A343" s="3186" t="s">
        <v>696</v>
      </c>
      <c r="B343" s="3186"/>
      <c r="C343" s="3186"/>
      <c r="D343" s="3186"/>
      <c r="E343" s="3186"/>
      <c r="F343" s="3186"/>
      <c r="G343" s="3186"/>
      <c r="H343" s="3186"/>
      <c r="I343" s="3186"/>
      <c r="J343" s="3186"/>
      <c r="K343" s="3186"/>
      <c r="L343" s="3186"/>
      <c r="M343" s="3186"/>
      <c r="N343" s="3186"/>
      <c r="O343" s="3186"/>
      <c r="P343" s="3186"/>
      <c r="Q343" s="3186"/>
      <c r="R343" s="995"/>
    </row>
    <row r="344" spans="1:18" s="1" customFormat="1" ht="27" customHeight="1" x14ac:dyDescent="0.2">
      <c r="A344" s="3186" t="s">
        <v>697</v>
      </c>
      <c r="B344" s="3186"/>
      <c r="C344" s="3186"/>
      <c r="D344" s="3186"/>
      <c r="E344" s="3186"/>
      <c r="F344" s="3186"/>
      <c r="G344" s="3186"/>
      <c r="H344" s="3186"/>
      <c r="I344" s="3186"/>
      <c r="J344" s="3186"/>
      <c r="K344" s="3186"/>
      <c r="L344" s="3186"/>
      <c r="M344" s="3186"/>
      <c r="N344" s="3186"/>
      <c r="O344" s="3186"/>
      <c r="P344" s="3186"/>
      <c r="Q344" s="3186"/>
      <c r="R344" s="996"/>
    </row>
    <row r="345" spans="1:18" s="1" customFormat="1" ht="27" customHeight="1" x14ac:dyDescent="0.2">
      <c r="A345" s="3181" t="s">
        <v>698</v>
      </c>
      <c r="B345" s="3181"/>
      <c r="C345" s="3181"/>
      <c r="D345" s="3181"/>
      <c r="E345" s="3181"/>
      <c r="F345" s="3181"/>
      <c r="G345" s="3181"/>
      <c r="H345" s="3181"/>
      <c r="I345" s="3181"/>
      <c r="J345" s="3181"/>
      <c r="K345" s="3181"/>
      <c r="L345" s="3181"/>
      <c r="M345" s="3181"/>
      <c r="N345" s="3181"/>
      <c r="O345" s="3181"/>
      <c r="P345" s="3181"/>
      <c r="Q345" s="996"/>
      <c r="R345" s="996"/>
    </row>
    <row r="346" spans="1:18" s="1" customFormat="1" ht="27" customHeight="1" x14ac:dyDescent="0.2">
      <c r="A346" s="3181" t="s">
        <v>699</v>
      </c>
      <c r="B346" s="3181"/>
      <c r="C346" s="3181"/>
      <c r="D346" s="3181"/>
      <c r="E346" s="3181"/>
      <c r="F346" s="3181"/>
      <c r="G346" s="3181"/>
      <c r="H346" s="3181"/>
      <c r="I346" s="3181"/>
      <c r="J346" s="3181"/>
      <c r="K346" s="3181"/>
      <c r="L346" s="3181"/>
      <c r="M346" s="3181"/>
      <c r="N346" s="1069"/>
      <c r="O346" s="995"/>
      <c r="P346" s="996"/>
      <c r="Q346" s="996"/>
      <c r="R346" s="996"/>
    </row>
    <row r="347" spans="1:18" s="1" customFormat="1" ht="24" customHeight="1" x14ac:dyDescent="0.2">
      <c r="A347" s="3181" t="s">
        <v>700</v>
      </c>
      <c r="B347" s="3181"/>
      <c r="C347" s="3181"/>
      <c r="D347" s="3181"/>
      <c r="E347" s="3181"/>
      <c r="F347" s="3181"/>
      <c r="G347" s="3181"/>
      <c r="H347" s="3181"/>
      <c r="I347" s="3181"/>
      <c r="J347" s="3181"/>
      <c r="K347" s="3181"/>
      <c r="L347" s="3181"/>
      <c r="M347" s="3181"/>
      <c r="N347" s="1069"/>
      <c r="O347" s="995"/>
      <c r="P347" s="996"/>
      <c r="Q347" s="996"/>
      <c r="R347" s="996"/>
    </row>
    <row r="348" spans="1:18" s="1" customFormat="1" ht="24.75" customHeight="1" x14ac:dyDescent="0.2">
      <c r="A348" s="2475" t="s">
        <v>1241</v>
      </c>
      <c r="B348" s="2475"/>
      <c r="C348" s="2475"/>
      <c r="D348" s="2475"/>
      <c r="E348" s="2475"/>
      <c r="F348" s="2475"/>
      <c r="G348" s="2475"/>
      <c r="H348" s="2475"/>
      <c r="I348" s="2475"/>
      <c r="J348" s="2475"/>
      <c r="K348" s="2475"/>
      <c r="L348" s="2475"/>
      <c r="M348" s="2475"/>
      <c r="N348" s="2475"/>
      <c r="O348" s="75"/>
    </row>
    <row r="349" spans="1:18" s="1" customFormat="1" ht="42" customHeight="1" x14ac:dyDescent="0.2">
      <c r="A349" s="3017" t="s">
        <v>39</v>
      </c>
      <c r="B349" s="3017" t="s">
        <v>467</v>
      </c>
      <c r="C349" s="3192" t="s">
        <v>262</v>
      </c>
      <c r="D349" s="3192"/>
      <c r="E349" s="3017" t="s">
        <v>263</v>
      </c>
      <c r="F349" s="3017"/>
      <c r="G349" s="3193" t="s">
        <v>468</v>
      </c>
      <c r="H349" s="3193"/>
      <c r="I349" s="3194" t="s">
        <v>264</v>
      </c>
      <c r="J349" s="3194"/>
      <c r="K349" s="3184" t="s">
        <v>720</v>
      </c>
      <c r="L349" s="3184"/>
      <c r="M349" s="3185" t="s">
        <v>564</v>
      </c>
      <c r="N349" s="3185"/>
      <c r="O349" s="3195"/>
      <c r="P349" s="3196"/>
    </row>
    <row r="350" spans="1:18" s="1" customFormat="1" ht="48" customHeight="1" x14ac:dyDescent="0.2">
      <c r="A350" s="3017"/>
      <c r="B350" s="3017"/>
      <c r="C350" s="812" t="s">
        <v>5</v>
      </c>
      <c r="D350" s="812" t="s">
        <v>25</v>
      </c>
      <c r="E350" s="804" t="s">
        <v>5</v>
      </c>
      <c r="F350" s="804" t="s">
        <v>25</v>
      </c>
      <c r="G350" s="990" t="s">
        <v>711</v>
      </c>
      <c r="H350" s="990" t="s">
        <v>640</v>
      </c>
      <c r="I350" s="804" t="s">
        <v>5</v>
      </c>
      <c r="J350" s="804" t="s">
        <v>25</v>
      </c>
      <c r="K350" s="804" t="s">
        <v>5</v>
      </c>
      <c r="L350" s="804" t="s">
        <v>25</v>
      </c>
      <c r="M350" s="808" t="s">
        <v>5</v>
      </c>
      <c r="N350" s="808" t="s">
        <v>25</v>
      </c>
      <c r="O350" s="75"/>
    </row>
    <row r="351" spans="1:18" s="1" customFormat="1" ht="39" customHeight="1" x14ac:dyDescent="0.2">
      <c r="A351" s="51">
        <v>1</v>
      </c>
      <c r="B351" s="51" t="s">
        <v>469</v>
      </c>
      <c r="C351" s="811">
        <v>3</v>
      </c>
      <c r="D351" s="811">
        <v>3</v>
      </c>
      <c r="E351" s="805"/>
      <c r="F351" s="805"/>
      <c r="G351" s="806"/>
      <c r="H351" s="806"/>
      <c r="I351" s="806"/>
      <c r="J351" s="805"/>
      <c r="K351" s="805">
        <v>3</v>
      </c>
      <c r="L351" s="805">
        <v>3</v>
      </c>
      <c r="M351" s="954">
        <f t="shared" ref="M351:N358" si="19">C351-K351</f>
        <v>0</v>
      </c>
      <c r="N351" s="954">
        <f t="shared" si="19"/>
        <v>0</v>
      </c>
      <c r="O351" s="75"/>
    </row>
    <row r="352" spans="1:18" s="1" customFormat="1" ht="39" customHeight="1" x14ac:dyDescent="0.2">
      <c r="A352" s="51">
        <v>2</v>
      </c>
      <c r="B352" s="51" t="s">
        <v>470</v>
      </c>
      <c r="C352" s="811">
        <v>4</v>
      </c>
      <c r="D352" s="811">
        <v>5</v>
      </c>
      <c r="E352" s="805"/>
      <c r="F352" s="805"/>
      <c r="G352" s="806"/>
      <c r="H352" s="806"/>
      <c r="I352" s="806"/>
      <c r="J352" s="805"/>
      <c r="K352" s="805">
        <v>5</v>
      </c>
      <c r="L352" s="805">
        <v>5</v>
      </c>
      <c r="M352" s="954">
        <f t="shared" si="19"/>
        <v>-1</v>
      </c>
      <c r="N352" s="954">
        <f t="shared" si="19"/>
        <v>0</v>
      </c>
      <c r="O352" s="953"/>
    </row>
    <row r="353" spans="1:15" s="1" customFormat="1" ht="39" customHeight="1" x14ac:dyDescent="0.2">
      <c r="A353" s="51">
        <v>3</v>
      </c>
      <c r="B353" s="51" t="s">
        <v>471</v>
      </c>
      <c r="C353" s="811">
        <v>27</v>
      </c>
      <c r="D353" s="811">
        <v>30</v>
      </c>
      <c r="E353" s="805"/>
      <c r="F353" s="805"/>
      <c r="G353" s="806">
        <v>3</v>
      </c>
      <c r="H353" s="806"/>
      <c r="I353" s="806">
        <v>2</v>
      </c>
      <c r="J353" s="805"/>
      <c r="K353" s="805">
        <v>25</v>
      </c>
      <c r="L353" s="805">
        <v>28</v>
      </c>
      <c r="M353" s="954">
        <f t="shared" si="19"/>
        <v>2</v>
      </c>
      <c r="N353" s="954">
        <f t="shared" si="19"/>
        <v>2</v>
      </c>
      <c r="O353" s="953"/>
    </row>
    <row r="354" spans="1:15" s="1" customFormat="1" ht="39" customHeight="1" x14ac:dyDescent="0.2">
      <c r="A354" s="51">
        <v>4</v>
      </c>
      <c r="B354" s="51" t="s">
        <v>472</v>
      </c>
      <c r="C354" s="811">
        <v>15</v>
      </c>
      <c r="D354" s="811">
        <v>23</v>
      </c>
      <c r="E354" s="805"/>
      <c r="F354" s="805"/>
      <c r="G354" s="806">
        <v>1</v>
      </c>
      <c r="H354" s="806"/>
      <c r="I354" s="806"/>
      <c r="J354" s="805"/>
      <c r="K354" s="805">
        <v>15</v>
      </c>
      <c r="L354" s="805">
        <v>21</v>
      </c>
      <c r="M354" s="954">
        <f t="shared" si="19"/>
        <v>0</v>
      </c>
      <c r="N354" s="954">
        <f t="shared" si="19"/>
        <v>2</v>
      </c>
      <c r="O354" s="953"/>
    </row>
    <row r="355" spans="1:15" s="1" customFormat="1" ht="39" customHeight="1" x14ac:dyDescent="0.2">
      <c r="A355" s="51">
        <v>5</v>
      </c>
      <c r="B355" s="51" t="s">
        <v>473</v>
      </c>
      <c r="C355" s="811">
        <v>45</v>
      </c>
      <c r="D355" s="811">
        <v>33</v>
      </c>
      <c r="E355" s="805">
        <v>2</v>
      </c>
      <c r="F355" s="805">
        <v>4</v>
      </c>
      <c r="G355" s="806">
        <v>4</v>
      </c>
      <c r="H355" s="806"/>
      <c r="I355" s="806">
        <v>3</v>
      </c>
      <c r="J355" s="805">
        <v>3</v>
      </c>
      <c r="K355" s="805">
        <v>43</v>
      </c>
      <c r="L355" s="805">
        <v>35</v>
      </c>
      <c r="M355" s="954">
        <f t="shared" si="19"/>
        <v>2</v>
      </c>
      <c r="N355" s="954">
        <f t="shared" si="19"/>
        <v>-2</v>
      </c>
      <c r="O355" s="953"/>
    </row>
    <row r="356" spans="1:15" s="1" customFormat="1" ht="39" customHeight="1" x14ac:dyDescent="0.2">
      <c r="A356" s="51">
        <v>6</v>
      </c>
      <c r="B356" s="51" t="s">
        <v>474</v>
      </c>
      <c r="C356" s="811">
        <v>6</v>
      </c>
      <c r="D356" s="811">
        <v>6</v>
      </c>
      <c r="E356" s="805"/>
      <c r="F356" s="805"/>
      <c r="G356" s="806"/>
      <c r="H356" s="806"/>
      <c r="I356" s="806"/>
      <c r="J356" s="805"/>
      <c r="K356" s="805">
        <v>6</v>
      </c>
      <c r="L356" s="805">
        <v>6</v>
      </c>
      <c r="M356" s="954">
        <f t="shared" si="19"/>
        <v>0</v>
      </c>
      <c r="N356" s="954">
        <f t="shared" si="19"/>
        <v>0</v>
      </c>
      <c r="O356" s="953"/>
    </row>
    <row r="357" spans="1:15" s="1" customFormat="1" ht="39" customHeight="1" x14ac:dyDescent="0.2">
      <c r="A357" s="51">
        <v>7</v>
      </c>
      <c r="B357" s="51" t="s">
        <v>475</v>
      </c>
      <c r="C357" s="811">
        <v>2</v>
      </c>
      <c r="D357" s="811">
        <v>2</v>
      </c>
      <c r="E357" s="805"/>
      <c r="F357" s="805"/>
      <c r="G357" s="806"/>
      <c r="H357" s="806"/>
      <c r="I357" s="806"/>
      <c r="J357" s="805"/>
      <c r="K357" s="805">
        <v>2</v>
      </c>
      <c r="L357" s="805">
        <v>2</v>
      </c>
      <c r="M357" s="954">
        <f t="shared" si="19"/>
        <v>0</v>
      </c>
      <c r="N357" s="954">
        <f t="shared" si="19"/>
        <v>0</v>
      </c>
      <c r="O357" s="953"/>
    </row>
    <row r="358" spans="1:15" s="1" customFormat="1" ht="39" customHeight="1" x14ac:dyDescent="0.2">
      <c r="A358" s="3017" t="s">
        <v>476</v>
      </c>
      <c r="B358" s="3017"/>
      <c r="C358" s="813">
        <f t="shared" ref="C358:L358" si="20">SUM(C351:C357)</f>
        <v>102</v>
      </c>
      <c r="D358" s="813">
        <f t="shared" si="20"/>
        <v>102</v>
      </c>
      <c r="E358" s="807">
        <f t="shared" si="20"/>
        <v>2</v>
      </c>
      <c r="F358" s="807">
        <f t="shared" si="20"/>
        <v>4</v>
      </c>
      <c r="G358" s="807">
        <f t="shared" si="20"/>
        <v>8</v>
      </c>
      <c r="H358" s="807">
        <f t="shared" si="20"/>
        <v>0</v>
      </c>
      <c r="I358" s="807">
        <f t="shared" si="20"/>
        <v>5</v>
      </c>
      <c r="J358" s="807">
        <f t="shared" si="20"/>
        <v>3</v>
      </c>
      <c r="K358" s="813">
        <f t="shared" si="20"/>
        <v>99</v>
      </c>
      <c r="L358" s="813">
        <f t="shared" si="20"/>
        <v>100</v>
      </c>
      <c r="M358" s="814">
        <f t="shared" si="19"/>
        <v>3</v>
      </c>
      <c r="N358" s="814">
        <f t="shared" si="19"/>
        <v>2</v>
      </c>
      <c r="O358" s="953"/>
    </row>
    <row r="359" spans="1:15" s="1" customFormat="1" ht="4" customHeight="1" x14ac:dyDescent="0.2">
      <c r="A359" s="67"/>
      <c r="B359" s="67"/>
      <c r="C359" s="1057"/>
      <c r="D359" s="1057"/>
      <c r="E359" s="1058"/>
      <c r="F359" s="1058"/>
      <c r="G359" s="1058"/>
      <c r="H359" s="1058"/>
      <c r="I359" s="1058"/>
      <c r="J359" s="1058"/>
      <c r="K359" s="1057"/>
      <c r="L359" s="1057"/>
      <c r="M359" s="1059"/>
      <c r="N359" s="1059"/>
      <c r="O359" s="953"/>
    </row>
    <row r="360" spans="1:15" s="1" customFormat="1" ht="41" customHeight="1" x14ac:dyDescent="0.2">
      <c r="A360" s="51">
        <v>8</v>
      </c>
      <c r="B360" s="51" t="s">
        <v>663</v>
      </c>
      <c r="C360" s="805">
        <v>62</v>
      </c>
      <c r="D360" s="805"/>
      <c r="E360" s="805"/>
      <c r="F360" s="805"/>
      <c r="G360" s="806"/>
      <c r="H360" s="806"/>
      <c r="I360" s="806"/>
      <c r="J360" s="805"/>
      <c r="K360" s="805"/>
      <c r="L360" s="805"/>
      <c r="M360" s="1060">
        <v>62</v>
      </c>
      <c r="N360" s="1060">
        <f>C360-M360</f>
        <v>0</v>
      </c>
      <c r="O360" s="953"/>
    </row>
    <row r="361" spans="1:15" s="1" customFormat="1" ht="41" customHeight="1" x14ac:dyDescent="0.2">
      <c r="A361" s="51">
        <v>9</v>
      </c>
      <c r="B361" s="51" t="s">
        <v>665</v>
      </c>
      <c r="C361" s="805">
        <v>26</v>
      </c>
      <c r="D361" s="805"/>
      <c r="E361" s="805"/>
      <c r="F361" s="805"/>
      <c r="G361" s="806"/>
      <c r="H361" s="806"/>
      <c r="I361" s="806"/>
      <c r="J361" s="805"/>
      <c r="K361" s="805"/>
      <c r="L361" s="805"/>
      <c r="M361" s="1060">
        <f>C361-K361</f>
        <v>26</v>
      </c>
      <c r="N361" s="1060">
        <f>C361-M361</f>
        <v>0</v>
      </c>
      <c r="O361" s="953"/>
    </row>
    <row r="362" spans="1:15" s="1" customFormat="1" ht="41" customHeight="1" x14ac:dyDescent="0.2">
      <c r="A362" s="51">
        <v>10</v>
      </c>
      <c r="B362" s="51" t="s">
        <v>666</v>
      </c>
      <c r="C362" s="805">
        <v>24</v>
      </c>
      <c r="D362" s="805"/>
      <c r="E362" s="805"/>
      <c r="F362" s="805"/>
      <c r="G362" s="806"/>
      <c r="H362" s="806"/>
      <c r="I362" s="806"/>
      <c r="J362" s="805"/>
      <c r="K362" s="805"/>
      <c r="L362" s="805"/>
      <c r="M362" s="1060">
        <f>C362-K362</f>
        <v>24</v>
      </c>
      <c r="N362" s="1060">
        <f>C362-M362</f>
        <v>0</v>
      </c>
      <c r="O362" s="953"/>
    </row>
    <row r="363" spans="1:15" s="1" customFormat="1" ht="27" customHeight="1" x14ac:dyDescent="0.2">
      <c r="A363" s="3161" t="s">
        <v>32</v>
      </c>
      <c r="B363" s="3161"/>
      <c r="C363" s="3161"/>
      <c r="D363" s="3161"/>
      <c r="E363" s="3161"/>
      <c r="F363" s="3161"/>
      <c r="G363" s="3161"/>
      <c r="H363" s="3161"/>
      <c r="I363" s="3161"/>
      <c r="J363" s="3161"/>
      <c r="K363" s="3161"/>
      <c r="L363" s="3161"/>
      <c r="M363" s="3161"/>
      <c r="N363" s="3161"/>
      <c r="O363" s="953"/>
    </row>
    <row r="364" spans="1:15" s="1" customFormat="1" ht="43" customHeight="1" x14ac:dyDescent="0.2">
      <c r="A364" s="3183" t="s">
        <v>722</v>
      </c>
      <c r="B364" s="3183"/>
      <c r="C364" s="3183"/>
      <c r="D364" s="3183"/>
      <c r="E364" s="3183"/>
      <c r="F364" s="3183"/>
      <c r="G364" s="3183"/>
      <c r="H364" s="3183"/>
      <c r="I364" s="3183"/>
      <c r="J364" s="3183"/>
      <c r="K364" s="3183"/>
      <c r="L364" s="3183"/>
      <c r="M364" s="3183"/>
      <c r="N364" s="3183"/>
      <c r="O364" s="942"/>
    </row>
    <row r="365" spans="1:15" s="1" customFormat="1" ht="43" customHeight="1" x14ac:dyDescent="0.2">
      <c r="A365" s="3183" t="s">
        <v>746</v>
      </c>
      <c r="B365" s="3183"/>
      <c r="C365" s="3183"/>
      <c r="D365" s="3183"/>
      <c r="E365" s="3183"/>
      <c r="F365" s="3183"/>
      <c r="G365" s="3183"/>
      <c r="H365" s="3183"/>
      <c r="I365" s="3183"/>
      <c r="J365" s="3183"/>
      <c r="K365" s="3183"/>
      <c r="L365" s="3183"/>
      <c r="M365" s="3183"/>
      <c r="N365" s="3183"/>
      <c r="O365" s="942"/>
    </row>
    <row r="366" spans="1:15" s="1" customFormat="1" ht="30" customHeight="1" x14ac:dyDescent="0.2">
      <c r="A366" s="3021" t="s">
        <v>769</v>
      </c>
      <c r="B366" s="3182"/>
      <c r="C366" s="3182"/>
      <c r="D366" s="3182"/>
      <c r="E366" s="3182"/>
      <c r="F366" s="3182"/>
      <c r="G366" s="3182"/>
      <c r="H366" s="3182"/>
      <c r="I366" s="3182"/>
      <c r="J366" s="3182"/>
      <c r="K366" s="3182"/>
      <c r="L366" s="3182"/>
      <c r="M366" s="3182"/>
      <c r="N366" s="3182"/>
      <c r="O366" s="942"/>
    </row>
    <row r="367" spans="1:15" s="1" customFormat="1" ht="30" customHeight="1" x14ac:dyDescent="0.2">
      <c r="A367" s="3183" t="s">
        <v>768</v>
      </c>
      <c r="B367" s="3183"/>
      <c r="C367" s="3183"/>
      <c r="D367" s="3183"/>
      <c r="E367" s="3183"/>
      <c r="F367" s="3183"/>
      <c r="G367" s="3183"/>
      <c r="H367" s="3183"/>
      <c r="I367" s="3183"/>
      <c r="J367" s="3183"/>
      <c r="K367" s="3183"/>
      <c r="L367" s="3183"/>
      <c r="M367" s="3183"/>
      <c r="N367" s="3183"/>
      <c r="O367" s="942"/>
    </row>
    <row r="368" spans="1:15" s="1" customFormat="1" ht="26" customHeight="1" thickBot="1" x14ac:dyDescent="0.25">
      <c r="A368" s="42" t="s">
        <v>1246</v>
      </c>
      <c r="B368" s="42"/>
      <c r="E368" s="43"/>
      <c r="F368" s="43"/>
      <c r="H368" s="78"/>
      <c r="I368" s="447"/>
      <c r="J368" s="71"/>
      <c r="K368" s="71"/>
      <c r="N368" s="209"/>
      <c r="O368" s="75"/>
    </row>
    <row r="369" spans="1:15" s="1" customFormat="1" ht="36" customHeight="1" x14ac:dyDescent="0.2">
      <c r="A369" s="3036" t="s">
        <v>34</v>
      </c>
      <c r="B369" s="3037" t="s">
        <v>6</v>
      </c>
      <c r="C369" s="3037"/>
      <c r="D369" s="2817" t="s">
        <v>7</v>
      </c>
      <c r="E369" s="3037" t="s">
        <v>8</v>
      </c>
      <c r="F369" s="3037"/>
      <c r="G369" s="3037"/>
      <c r="H369" s="3038" t="s">
        <v>9</v>
      </c>
      <c r="I369" s="2817" t="s">
        <v>10</v>
      </c>
      <c r="J369" s="6" t="s">
        <v>35</v>
      </c>
      <c r="K369" s="6" t="s">
        <v>12</v>
      </c>
      <c r="L369" s="2031" t="s">
        <v>13</v>
      </c>
      <c r="M369" s="2031" t="s">
        <v>14</v>
      </c>
      <c r="N369" s="1767" t="s">
        <v>15</v>
      </c>
      <c r="O369" s="75"/>
    </row>
    <row r="370" spans="1:15" s="1" customFormat="1" ht="26" customHeight="1" x14ac:dyDescent="0.2">
      <c r="A370" s="2810"/>
      <c r="B370" s="8" t="s">
        <v>36</v>
      </c>
      <c r="C370" s="7" t="s">
        <v>17</v>
      </c>
      <c r="D370" s="2602"/>
      <c r="E370" s="9" t="s">
        <v>18</v>
      </c>
      <c r="F370" s="9" t="s">
        <v>19</v>
      </c>
      <c r="G370" s="7" t="s">
        <v>20</v>
      </c>
      <c r="H370" s="3039"/>
      <c r="I370" s="2602"/>
      <c r="J370" s="8" t="s">
        <v>21</v>
      </c>
      <c r="K370" s="8" t="s">
        <v>22</v>
      </c>
      <c r="L370" s="3190" t="s">
        <v>22</v>
      </c>
      <c r="M370" s="3191"/>
      <c r="N370" s="1768" t="s">
        <v>23</v>
      </c>
      <c r="O370" s="75"/>
    </row>
    <row r="371" spans="1:15" s="1" customFormat="1" ht="26" customHeight="1" x14ac:dyDescent="0.2">
      <c r="A371" s="3175" t="s">
        <v>1247</v>
      </c>
      <c r="B371" s="2551" t="s">
        <v>412</v>
      </c>
      <c r="C371" s="12" t="s">
        <v>21</v>
      </c>
      <c r="D371" s="14">
        <f>I371*J371*100/K372</f>
        <v>456010.20408163266</v>
      </c>
      <c r="E371" s="14">
        <f>E372*H371/100</f>
        <v>397732.1</v>
      </c>
      <c r="F371" s="14">
        <f>F372*H371/100</f>
        <v>26813.4</v>
      </c>
      <c r="G371" s="14">
        <f>G372*H371/100</f>
        <v>22344.5</v>
      </c>
      <c r="H371" s="853">
        <f>I371*J371</f>
        <v>446890</v>
      </c>
      <c r="I371" s="434">
        <v>29</v>
      </c>
      <c r="J371" s="357">
        <v>15410</v>
      </c>
      <c r="K371" s="348"/>
      <c r="L371" s="28"/>
      <c r="M371" s="28"/>
      <c r="N371" s="576"/>
      <c r="O371" s="75"/>
    </row>
    <row r="372" spans="1:15" s="1" customFormat="1" ht="26" customHeight="1" thickBot="1" x14ac:dyDescent="0.25">
      <c r="A372" s="3176"/>
      <c r="B372" s="3177"/>
      <c r="C372" s="2032" t="s">
        <v>22</v>
      </c>
      <c r="D372" s="2033"/>
      <c r="E372" s="2034">
        <v>89</v>
      </c>
      <c r="F372" s="2034">
        <v>6</v>
      </c>
      <c r="G372" s="2034">
        <v>5</v>
      </c>
      <c r="H372" s="2035">
        <f>SUM(E372:G372)</f>
        <v>100</v>
      </c>
      <c r="I372" s="2036"/>
      <c r="J372" s="2037"/>
      <c r="K372" s="2038">
        <v>98</v>
      </c>
      <c r="L372" s="3188">
        <v>2</v>
      </c>
      <c r="M372" s="3188"/>
      <c r="N372" s="2039">
        <v>40</v>
      </c>
      <c r="O372" s="75"/>
    </row>
    <row r="373" spans="1:15" s="1" customFormat="1" ht="26" hidden="1" customHeight="1" x14ac:dyDescent="0.2">
      <c r="A373" s="3189" t="s">
        <v>594</v>
      </c>
      <c r="B373" s="2567" t="s">
        <v>412</v>
      </c>
      <c r="C373" s="37" t="s">
        <v>21</v>
      </c>
      <c r="D373" s="2040">
        <f>I373*J373*100/K374</f>
        <v>0</v>
      </c>
      <c r="E373" s="2040">
        <f>E374*H373/100</f>
        <v>0</v>
      </c>
      <c r="F373" s="2040">
        <f>F374*H373/100</f>
        <v>0</v>
      </c>
      <c r="G373" s="2040">
        <f>G374*H373/100</f>
        <v>0</v>
      </c>
      <c r="H373" s="2041">
        <f>J373*I373</f>
        <v>0</v>
      </c>
      <c r="I373" s="2042"/>
      <c r="J373" s="2043"/>
      <c r="K373" s="2044"/>
      <c r="L373" s="1507"/>
      <c r="M373" s="1507"/>
      <c r="N373" s="2044"/>
      <c r="O373" s="75"/>
    </row>
    <row r="374" spans="1:15" s="1" customFormat="1" ht="26" hidden="1" customHeight="1" x14ac:dyDescent="0.2">
      <c r="A374" s="3031"/>
      <c r="B374" s="2551"/>
      <c r="C374" s="12" t="s">
        <v>22</v>
      </c>
      <c r="D374" s="13"/>
      <c r="E374" s="16"/>
      <c r="F374" s="16"/>
      <c r="G374" s="16"/>
      <c r="H374" s="396">
        <v>100</v>
      </c>
      <c r="I374" s="435"/>
      <c r="J374" s="362"/>
      <c r="K374" s="365">
        <v>98</v>
      </c>
      <c r="L374" s="2933">
        <v>2</v>
      </c>
      <c r="M374" s="2933"/>
      <c r="N374" s="348">
        <v>40</v>
      </c>
      <c r="O374" s="75"/>
    </row>
    <row r="375" spans="1:15" s="1" customFormat="1" ht="26" hidden="1" customHeight="1" x14ac:dyDescent="0.2">
      <c r="A375" s="3032" t="s">
        <v>1143</v>
      </c>
      <c r="B375" s="3032"/>
      <c r="C375" s="31" t="s">
        <v>21</v>
      </c>
      <c r="D375" s="2045">
        <f>D371+D373</f>
        <v>456010.20408163266</v>
      </c>
      <c r="E375" s="2045">
        <f t="shared" ref="E375:I375" si="21">E371+E373</f>
        <v>397732.1</v>
      </c>
      <c r="F375" s="2045">
        <f t="shared" si="21"/>
        <v>26813.4</v>
      </c>
      <c r="G375" s="2045">
        <f t="shared" si="21"/>
        <v>22344.5</v>
      </c>
      <c r="H375" s="2045">
        <f t="shared" si="21"/>
        <v>446890</v>
      </c>
      <c r="I375" s="615">
        <f t="shared" si="21"/>
        <v>29</v>
      </c>
      <c r="J375" s="2045">
        <f>H375/I375</f>
        <v>15410</v>
      </c>
      <c r="K375" s="619"/>
      <c r="L375" s="620"/>
      <c r="M375" s="620"/>
      <c r="N375" s="621"/>
      <c r="O375" s="75"/>
    </row>
    <row r="376" spans="1:15" s="1" customFormat="1" ht="26" hidden="1" customHeight="1" x14ac:dyDescent="0.2">
      <c r="A376" s="3032"/>
      <c r="B376" s="3032"/>
      <c r="C376" s="31" t="s">
        <v>22</v>
      </c>
      <c r="D376" s="32"/>
      <c r="E376" s="975">
        <f>+E375/H375*100</f>
        <v>88.999999999999986</v>
      </c>
      <c r="F376" s="975">
        <f>+F375/H375*100</f>
        <v>6.0000000000000009</v>
      </c>
      <c r="G376" s="975">
        <f>+G375/H375*100</f>
        <v>5</v>
      </c>
      <c r="H376" s="397">
        <v>100</v>
      </c>
      <c r="I376" s="436"/>
      <c r="J376" s="358"/>
      <c r="K376" s="976">
        <f>+H375/D375*100</f>
        <v>98</v>
      </c>
      <c r="L376" s="3033">
        <f>100-K376</f>
        <v>2</v>
      </c>
      <c r="M376" s="3033"/>
      <c r="N376" s="346"/>
      <c r="O376" s="75"/>
    </row>
    <row r="377" spans="1:15" s="1" customFormat="1" ht="26" customHeight="1" x14ac:dyDescent="0.2">
      <c r="A377" s="3031" t="s">
        <v>25</v>
      </c>
      <c r="B377" s="2551" t="s">
        <v>819</v>
      </c>
      <c r="C377" s="12" t="s">
        <v>21</v>
      </c>
      <c r="D377" s="14">
        <f>I377*J377*100/K378</f>
        <v>116357.14285714286</v>
      </c>
      <c r="E377" s="14">
        <f>E378*H377/100</f>
        <v>107188.2</v>
      </c>
      <c r="F377" s="14">
        <f>F378*H377/100</f>
        <v>3420.9</v>
      </c>
      <c r="G377" s="14">
        <f>G378*H377/100</f>
        <v>3420.9</v>
      </c>
      <c r="H377" s="853">
        <f>J377*I377</f>
        <v>114030</v>
      </c>
      <c r="I377" s="434">
        <v>9</v>
      </c>
      <c r="J377" s="357">
        <v>12670</v>
      </c>
      <c r="K377" s="348"/>
      <c r="L377" s="28"/>
      <c r="M377" s="28"/>
      <c r="N377" s="348"/>
      <c r="O377" s="75"/>
    </row>
    <row r="378" spans="1:15" s="1" customFormat="1" ht="26" customHeight="1" x14ac:dyDescent="0.2">
      <c r="A378" s="3031"/>
      <c r="B378" s="2551"/>
      <c r="C378" s="12" t="s">
        <v>22</v>
      </c>
      <c r="D378" s="13"/>
      <c r="E378" s="16">
        <v>94</v>
      </c>
      <c r="F378" s="16">
        <v>3</v>
      </c>
      <c r="G378" s="16">
        <v>3</v>
      </c>
      <c r="H378" s="396">
        <f>SUM(E378:G378)</f>
        <v>100</v>
      </c>
      <c r="I378" s="435"/>
      <c r="J378" s="362"/>
      <c r="K378" s="365">
        <v>98</v>
      </c>
      <c r="L378" s="2933">
        <v>2</v>
      </c>
      <c r="M378" s="2933"/>
      <c r="N378" s="348">
        <v>100</v>
      </c>
      <c r="O378" s="75"/>
    </row>
    <row r="379" spans="1:15" s="1" customFormat="1" ht="26" customHeight="1" x14ac:dyDescent="0.2">
      <c r="A379" s="3031"/>
      <c r="B379" s="2551" t="s">
        <v>492</v>
      </c>
      <c r="C379" s="12" t="s">
        <v>21</v>
      </c>
      <c r="D379" s="14">
        <f>I379*J379*100/K380</f>
        <v>284897.95918367349</v>
      </c>
      <c r="E379" s="14">
        <f>E380*H379/100</f>
        <v>248488</v>
      </c>
      <c r="F379" s="14">
        <f>F380*H379/100</f>
        <v>22336</v>
      </c>
      <c r="G379" s="14">
        <f>G380*H379/100</f>
        <v>8376</v>
      </c>
      <c r="H379" s="853">
        <f>I379*J379</f>
        <v>279200</v>
      </c>
      <c r="I379" s="434">
        <v>20</v>
      </c>
      <c r="J379" s="357">
        <v>13960</v>
      </c>
      <c r="K379" s="348"/>
      <c r="L379" s="28"/>
      <c r="M379" s="28"/>
      <c r="N379" s="348"/>
      <c r="O379" s="75"/>
    </row>
    <row r="380" spans="1:15" s="1" customFormat="1" ht="26" customHeight="1" x14ac:dyDescent="0.2">
      <c r="A380" s="3031"/>
      <c r="B380" s="2551"/>
      <c r="C380" s="12" t="s">
        <v>22</v>
      </c>
      <c r="D380" s="13"/>
      <c r="E380" s="16">
        <v>89</v>
      </c>
      <c r="F380" s="16">
        <v>8</v>
      </c>
      <c r="G380" s="16">
        <v>3</v>
      </c>
      <c r="H380" s="396">
        <f>SUM(E380:G380)</f>
        <v>100</v>
      </c>
      <c r="I380" s="435"/>
      <c r="J380" s="362"/>
      <c r="K380" s="365">
        <v>98</v>
      </c>
      <c r="L380" s="2933">
        <v>2</v>
      </c>
      <c r="M380" s="2933"/>
      <c r="N380" s="348">
        <v>40</v>
      </c>
      <c r="O380" s="75"/>
    </row>
    <row r="381" spans="1:15" s="1" customFormat="1" ht="26" hidden="1" customHeight="1" x14ac:dyDescent="0.2">
      <c r="A381" s="729"/>
      <c r="B381" s="2551" t="s">
        <v>492</v>
      </c>
      <c r="C381" s="12" t="s">
        <v>21</v>
      </c>
      <c r="D381" s="14">
        <f>I381*J381*100/K382</f>
        <v>0</v>
      </c>
      <c r="E381" s="14">
        <f>E382*H381/100</f>
        <v>0</v>
      </c>
      <c r="F381" s="14">
        <f>F382*H381/100</f>
        <v>0</v>
      </c>
      <c r="G381" s="14">
        <f>G382*H381/100</f>
        <v>0</v>
      </c>
      <c r="H381" s="853">
        <f>J381*I381</f>
        <v>0</v>
      </c>
      <c r="I381" s="434"/>
      <c r="J381" s="357"/>
      <c r="K381" s="348"/>
      <c r="L381" s="28"/>
      <c r="M381" s="28"/>
      <c r="N381" s="348"/>
      <c r="O381" s="75"/>
    </row>
    <row r="382" spans="1:15" s="1" customFormat="1" ht="26" hidden="1" customHeight="1" x14ac:dyDescent="0.2">
      <c r="A382" s="729"/>
      <c r="B382" s="2551"/>
      <c r="C382" s="12" t="s">
        <v>22</v>
      </c>
      <c r="D382" s="13"/>
      <c r="E382" s="16"/>
      <c r="F382" s="16"/>
      <c r="G382" s="16"/>
      <c r="H382" s="396">
        <f>SUM(E382:G382)</f>
        <v>0</v>
      </c>
      <c r="I382" s="435"/>
      <c r="J382" s="362"/>
      <c r="K382" s="365">
        <v>98</v>
      </c>
      <c r="L382" s="2933">
        <v>2</v>
      </c>
      <c r="M382" s="2933"/>
      <c r="N382" s="348">
        <v>40</v>
      </c>
      <c r="O382" s="75"/>
    </row>
    <row r="383" spans="1:15" s="1" customFormat="1" ht="26" customHeight="1" x14ac:dyDescent="0.2">
      <c r="A383" s="3032" t="s">
        <v>1147</v>
      </c>
      <c r="B383" s="3032"/>
      <c r="C383" s="31" t="s">
        <v>21</v>
      </c>
      <c r="D383" s="842">
        <f>D377+D379+D381</f>
        <v>401255.10204081633</v>
      </c>
      <c r="E383" s="842">
        <f t="shared" ref="E383:I383" si="22">E377+E379+E381</f>
        <v>355676.2</v>
      </c>
      <c r="F383" s="842">
        <f t="shared" si="22"/>
        <v>25756.9</v>
      </c>
      <c r="G383" s="842">
        <f t="shared" si="22"/>
        <v>11796.9</v>
      </c>
      <c r="H383" s="842">
        <f t="shared" si="22"/>
        <v>393230</v>
      </c>
      <c r="I383" s="34">
        <f t="shared" si="22"/>
        <v>29</v>
      </c>
      <c r="J383" s="842">
        <f>H383/I383</f>
        <v>13559.655172413793</v>
      </c>
      <c r="K383" s="368"/>
      <c r="L383" s="826"/>
      <c r="M383" s="826"/>
      <c r="N383" s="367"/>
      <c r="O383" s="75"/>
    </row>
    <row r="384" spans="1:15" s="1" customFormat="1" ht="26" customHeight="1" x14ac:dyDescent="0.2">
      <c r="A384" s="3032"/>
      <c r="B384" s="3032"/>
      <c r="C384" s="31" t="s">
        <v>22</v>
      </c>
      <c r="D384" s="32"/>
      <c r="E384" s="975">
        <f>+E383/H383*100</f>
        <v>90.449914808127559</v>
      </c>
      <c r="F384" s="975">
        <f>+F383/H383*100</f>
        <v>6.5500851918724416</v>
      </c>
      <c r="G384" s="975">
        <f>+G383/H383*100</f>
        <v>3</v>
      </c>
      <c r="H384" s="397">
        <v>100</v>
      </c>
      <c r="I384" s="436"/>
      <c r="J384" s="358"/>
      <c r="K384" s="976">
        <f>+H383/D383*100</f>
        <v>98</v>
      </c>
      <c r="L384" s="3033">
        <f>100-K384</f>
        <v>2</v>
      </c>
      <c r="M384" s="3033"/>
      <c r="N384" s="367"/>
      <c r="O384" s="75"/>
    </row>
    <row r="385" spans="1:15" s="1" customFormat="1" ht="26" customHeight="1" x14ac:dyDescent="0.2">
      <c r="A385" s="3034" t="s">
        <v>1148</v>
      </c>
      <c r="B385" s="3034"/>
      <c r="C385" s="977" t="s">
        <v>21</v>
      </c>
      <c r="D385" s="978">
        <f>D383+D375</f>
        <v>857265.30612244899</v>
      </c>
      <c r="E385" s="978">
        <f t="shared" ref="E385:I385" si="23">E383+E375</f>
        <v>753408.3</v>
      </c>
      <c r="F385" s="978">
        <f t="shared" si="23"/>
        <v>52570.3</v>
      </c>
      <c r="G385" s="978">
        <f t="shared" si="23"/>
        <v>34141.4</v>
      </c>
      <c r="H385" s="978">
        <f t="shared" si="23"/>
        <v>840120</v>
      </c>
      <c r="I385" s="979">
        <f t="shared" si="23"/>
        <v>58</v>
      </c>
      <c r="J385" s="978">
        <f>H385/I385</f>
        <v>14484.827586206897</v>
      </c>
      <c r="K385" s="980"/>
      <c r="L385" s="981"/>
      <c r="M385" s="981"/>
      <c r="N385" s="982"/>
      <c r="O385" s="75"/>
    </row>
    <row r="386" spans="1:15" s="1" customFormat="1" ht="26" customHeight="1" x14ac:dyDescent="0.2">
      <c r="A386" s="3034"/>
      <c r="B386" s="3034"/>
      <c r="C386" s="977" t="s">
        <v>22</v>
      </c>
      <c r="D386" s="983"/>
      <c r="E386" s="984">
        <f>+E385/H385*100</f>
        <v>89.678653049564346</v>
      </c>
      <c r="F386" s="984">
        <f>+F385/H385*100</f>
        <v>6.2574751226015328</v>
      </c>
      <c r="G386" s="984">
        <f>+G385/H385*100</f>
        <v>4.0638718278341184</v>
      </c>
      <c r="H386" s="985">
        <v>100</v>
      </c>
      <c r="I386" s="986"/>
      <c r="J386" s="987"/>
      <c r="K386" s="988">
        <f>+H385/D385*100</f>
        <v>98</v>
      </c>
      <c r="L386" s="3035">
        <f>100-K386</f>
        <v>2</v>
      </c>
      <c r="M386" s="3035"/>
      <c r="N386" s="982"/>
      <c r="O386" s="75"/>
    </row>
    <row r="387" spans="1:15" s="340" customFormat="1" ht="26" customHeight="1" thickBot="1" x14ac:dyDescent="0.2">
      <c r="A387" s="2475" t="s">
        <v>1248</v>
      </c>
      <c r="B387" s="2475"/>
      <c r="C387" s="2475"/>
      <c r="D387" s="2475"/>
      <c r="E387" s="2475"/>
      <c r="F387" s="2475"/>
      <c r="G387" s="2475"/>
      <c r="H387" s="2475"/>
      <c r="I387" s="2475"/>
      <c r="J387" s="2475"/>
      <c r="K387" s="2475"/>
      <c r="L387" s="2475"/>
      <c r="M387" s="2475"/>
      <c r="N387" s="2475"/>
    </row>
    <row r="388" spans="1:15" s="340" customFormat="1" ht="35" customHeight="1" x14ac:dyDescent="0.15">
      <c r="A388" s="3036" t="s">
        <v>34</v>
      </c>
      <c r="B388" s="3037" t="s">
        <v>6</v>
      </c>
      <c r="C388" s="3037"/>
      <c r="D388" s="2817" t="s">
        <v>7</v>
      </c>
      <c r="E388" s="3037" t="s">
        <v>8</v>
      </c>
      <c r="F388" s="3037"/>
      <c r="G388" s="3037"/>
      <c r="H388" s="3038" t="s">
        <v>9</v>
      </c>
      <c r="I388" s="2817" t="s">
        <v>10</v>
      </c>
      <c r="J388" s="6" t="s">
        <v>35</v>
      </c>
      <c r="K388" s="6" t="s">
        <v>12</v>
      </c>
      <c r="L388" s="2031" t="s">
        <v>13</v>
      </c>
      <c r="M388" s="2031" t="s">
        <v>14</v>
      </c>
      <c r="N388" s="1767" t="s">
        <v>15</v>
      </c>
    </row>
    <row r="389" spans="1:15" s="340" customFormat="1" ht="26" customHeight="1" x14ac:dyDescent="0.15">
      <c r="A389" s="2810"/>
      <c r="B389" s="8" t="s">
        <v>37</v>
      </c>
      <c r="C389" s="7" t="s">
        <v>17</v>
      </c>
      <c r="D389" s="2602"/>
      <c r="E389" s="9" t="s">
        <v>18</v>
      </c>
      <c r="F389" s="9" t="s">
        <v>19</v>
      </c>
      <c r="G389" s="7" t="s">
        <v>20</v>
      </c>
      <c r="H389" s="3039"/>
      <c r="I389" s="2602"/>
      <c r="J389" s="8" t="s">
        <v>21</v>
      </c>
      <c r="K389" s="8" t="s">
        <v>22</v>
      </c>
      <c r="L389" s="3174" t="s">
        <v>22</v>
      </c>
      <c r="M389" s="3174"/>
      <c r="N389" s="1768" t="s">
        <v>23</v>
      </c>
    </row>
    <row r="390" spans="1:15" s="340" customFormat="1" ht="26" customHeight="1" x14ac:dyDescent="0.15">
      <c r="A390" s="3175" t="s">
        <v>1247</v>
      </c>
      <c r="B390" s="2551" t="s">
        <v>412</v>
      </c>
      <c r="C390" s="12" t="s">
        <v>21</v>
      </c>
      <c r="D390" s="14">
        <f>I390*J390*100/K391</f>
        <v>465130.40816326538</v>
      </c>
      <c r="E390" s="14">
        <f>E391*H390/100</f>
        <v>414803.29800000007</v>
      </c>
      <c r="F390" s="14">
        <f>F391*H390/100</f>
        <v>18233.112000000001</v>
      </c>
      <c r="G390" s="14">
        <f>G391*H390/100</f>
        <v>22791.39</v>
      </c>
      <c r="H390" s="853">
        <f>I390*J390</f>
        <v>455827.80000000005</v>
      </c>
      <c r="I390" s="434">
        <v>29</v>
      </c>
      <c r="J390" s="357">
        <f>J371+J371*2%</f>
        <v>15718.2</v>
      </c>
      <c r="K390" s="348"/>
      <c r="L390" s="28"/>
      <c r="M390" s="28"/>
      <c r="N390" s="576">
        <v>25</v>
      </c>
    </row>
    <row r="391" spans="1:15" s="340" customFormat="1" ht="26" customHeight="1" thickBot="1" x14ac:dyDescent="0.2">
      <c r="A391" s="3176"/>
      <c r="B391" s="3177"/>
      <c r="C391" s="2032" t="s">
        <v>22</v>
      </c>
      <c r="D391" s="2033"/>
      <c r="E391" s="2034">
        <v>91</v>
      </c>
      <c r="F391" s="2034">
        <v>4</v>
      </c>
      <c r="G391" s="2034">
        <v>5</v>
      </c>
      <c r="H391" s="2035">
        <v>100</v>
      </c>
      <c r="I391" s="2036"/>
      <c r="J391" s="2037"/>
      <c r="K391" s="2038">
        <v>98</v>
      </c>
      <c r="L391" s="3188">
        <f>100-K391</f>
        <v>2</v>
      </c>
      <c r="M391" s="3188"/>
      <c r="N391" s="2039"/>
    </row>
    <row r="392" spans="1:15" s="340" customFormat="1" ht="26" hidden="1" customHeight="1" x14ac:dyDescent="0.15">
      <c r="A392" s="3189" t="s">
        <v>594</v>
      </c>
      <c r="B392" s="2567" t="s">
        <v>412</v>
      </c>
      <c r="C392" s="37" t="s">
        <v>21</v>
      </c>
      <c r="D392" s="2040">
        <f>I392*J392*100/K393</f>
        <v>0</v>
      </c>
      <c r="E392" s="2040">
        <f>E393*H392/100</f>
        <v>0</v>
      </c>
      <c r="F392" s="2040">
        <f>F393*H392/100</f>
        <v>0</v>
      </c>
      <c r="G392" s="2040">
        <f>G393*H392/100</f>
        <v>0</v>
      </c>
      <c r="H392" s="2041">
        <f>J392*I392</f>
        <v>0</v>
      </c>
      <c r="I392" s="2042"/>
      <c r="J392" s="2043"/>
      <c r="K392" s="2044"/>
      <c r="L392" s="1507"/>
      <c r="M392" s="1507"/>
      <c r="N392" s="2044">
        <v>25</v>
      </c>
    </row>
    <row r="393" spans="1:15" s="340" customFormat="1" ht="26" hidden="1" customHeight="1" x14ac:dyDescent="0.15">
      <c r="A393" s="3031"/>
      <c r="B393" s="2551"/>
      <c r="C393" s="12" t="s">
        <v>22</v>
      </c>
      <c r="D393" s="13"/>
      <c r="E393" s="16"/>
      <c r="F393" s="16"/>
      <c r="G393" s="16"/>
      <c r="H393" s="396">
        <v>100</v>
      </c>
      <c r="I393" s="435"/>
      <c r="J393" s="362"/>
      <c r="K393" s="365">
        <v>98</v>
      </c>
      <c r="L393" s="2933">
        <v>2</v>
      </c>
      <c r="M393" s="2933"/>
      <c r="N393" s="348"/>
    </row>
    <row r="394" spans="1:15" s="340" customFormat="1" ht="26" customHeight="1" x14ac:dyDescent="0.15">
      <c r="A394" s="3032" t="s">
        <v>1151</v>
      </c>
      <c r="B394" s="3032"/>
      <c r="C394" s="31" t="s">
        <v>21</v>
      </c>
      <c r="D394" s="842">
        <f>D390+D392</f>
        <v>465130.40816326538</v>
      </c>
      <c r="E394" s="842">
        <f t="shared" ref="E394:I394" si="24">E390+E392</f>
        <v>414803.29800000007</v>
      </c>
      <c r="F394" s="842">
        <f t="shared" si="24"/>
        <v>18233.112000000001</v>
      </c>
      <c r="G394" s="842">
        <f t="shared" si="24"/>
        <v>22791.39</v>
      </c>
      <c r="H394" s="842">
        <f t="shared" si="24"/>
        <v>455827.80000000005</v>
      </c>
      <c r="I394" s="34">
        <f t="shared" si="24"/>
        <v>29</v>
      </c>
      <c r="J394" s="842">
        <f>H394/I394</f>
        <v>15718.2</v>
      </c>
      <c r="K394" s="368"/>
      <c r="L394" s="826"/>
      <c r="M394" s="826"/>
      <c r="N394" s="367">
        <v>25</v>
      </c>
    </row>
    <row r="395" spans="1:15" s="340" customFormat="1" ht="26" customHeight="1" x14ac:dyDescent="0.15">
      <c r="A395" s="3032"/>
      <c r="B395" s="3032"/>
      <c r="C395" s="31" t="s">
        <v>22</v>
      </c>
      <c r="D395" s="32"/>
      <c r="E395" s="33">
        <f>+E394/H394*100</f>
        <v>91</v>
      </c>
      <c r="F395" s="33">
        <f>+F394/H394*100</f>
        <v>4</v>
      </c>
      <c r="G395" s="33">
        <f>+G394/H394*100</f>
        <v>5</v>
      </c>
      <c r="H395" s="397">
        <v>100</v>
      </c>
      <c r="I395" s="436"/>
      <c r="J395" s="358"/>
      <c r="K395" s="976">
        <f>+H394/D394*100</f>
        <v>98</v>
      </c>
      <c r="L395" s="3033">
        <f>100-K395</f>
        <v>2</v>
      </c>
      <c r="M395" s="3033"/>
      <c r="N395" s="367"/>
    </row>
    <row r="396" spans="1:15" s="340" customFormat="1" ht="26" customHeight="1" x14ac:dyDescent="0.15">
      <c r="A396" s="3031" t="s">
        <v>25</v>
      </c>
      <c r="B396" s="2551" t="s">
        <v>819</v>
      </c>
      <c r="C396" s="12" t="s">
        <v>21</v>
      </c>
      <c r="D396" s="14">
        <f>I396*J396*100/K397</f>
        <v>118684.28571428571</v>
      </c>
      <c r="E396" s="14">
        <f>E397*H396/100</f>
        <v>111658.17599999999</v>
      </c>
      <c r="F396" s="14">
        <f>F397*H396/100</f>
        <v>2326.212</v>
      </c>
      <c r="G396" s="14">
        <f>G397*H396/100</f>
        <v>2326.212</v>
      </c>
      <c r="H396" s="853">
        <f>I396*J396</f>
        <v>116310.59999999999</v>
      </c>
      <c r="I396" s="434">
        <v>9</v>
      </c>
      <c r="J396" s="357">
        <f>J377+J377*2%</f>
        <v>12923.4</v>
      </c>
      <c r="K396" s="348"/>
      <c r="L396" s="28"/>
      <c r="M396" s="28"/>
      <c r="N396" s="348"/>
    </row>
    <row r="397" spans="1:15" s="340" customFormat="1" ht="26" customHeight="1" x14ac:dyDescent="0.15">
      <c r="A397" s="3031"/>
      <c r="B397" s="2551"/>
      <c r="C397" s="12" t="s">
        <v>22</v>
      </c>
      <c r="D397" s="13"/>
      <c r="E397" s="16">
        <v>96</v>
      </c>
      <c r="F397" s="16">
        <v>2</v>
      </c>
      <c r="G397" s="16">
        <v>2</v>
      </c>
      <c r="H397" s="396">
        <f>SUM(E397:G397)</f>
        <v>100</v>
      </c>
      <c r="I397" s="435"/>
      <c r="J397" s="362"/>
      <c r="K397" s="365">
        <v>98</v>
      </c>
      <c r="L397" s="2933">
        <v>2</v>
      </c>
      <c r="M397" s="2933"/>
      <c r="N397" s="348">
        <v>80</v>
      </c>
    </row>
    <row r="398" spans="1:15" s="340" customFormat="1" ht="26" customHeight="1" x14ac:dyDescent="0.15">
      <c r="A398" s="3031"/>
      <c r="B398" s="2551" t="s">
        <v>492</v>
      </c>
      <c r="C398" s="12" t="s">
        <v>21</v>
      </c>
      <c r="D398" s="14">
        <f>I398*J398*100/K399</f>
        <v>290595.91836734692</v>
      </c>
      <c r="E398" s="14">
        <f>E399*H398/100</f>
        <v>259153.44</v>
      </c>
      <c r="F398" s="14">
        <f>F399*H398/100</f>
        <v>17087.04</v>
      </c>
      <c r="G398" s="14">
        <f>G399*H398/100</f>
        <v>8543.52</v>
      </c>
      <c r="H398" s="853">
        <f>I398*J398</f>
        <v>284784</v>
      </c>
      <c r="I398" s="434">
        <v>20</v>
      </c>
      <c r="J398" s="357">
        <f>J379+J379*2%</f>
        <v>14239.2</v>
      </c>
      <c r="K398" s="348"/>
      <c r="L398" s="28"/>
      <c r="M398" s="28"/>
      <c r="N398" s="348"/>
    </row>
    <row r="399" spans="1:15" s="340" customFormat="1" ht="26" customHeight="1" x14ac:dyDescent="0.15">
      <c r="A399" s="3031"/>
      <c r="B399" s="2551"/>
      <c r="C399" s="12" t="s">
        <v>22</v>
      </c>
      <c r="D399" s="13"/>
      <c r="E399" s="16">
        <v>91</v>
      </c>
      <c r="F399" s="16">
        <v>6</v>
      </c>
      <c r="G399" s="16">
        <v>3</v>
      </c>
      <c r="H399" s="396">
        <f>SUM(E399:G399)</f>
        <v>100</v>
      </c>
      <c r="I399" s="435"/>
      <c r="J399" s="362"/>
      <c r="K399" s="365">
        <v>98</v>
      </c>
      <c r="L399" s="2933">
        <v>2</v>
      </c>
      <c r="M399" s="2933"/>
      <c r="N399" s="348">
        <v>25</v>
      </c>
    </row>
    <row r="400" spans="1:15" s="340" customFormat="1" ht="26" hidden="1" customHeight="1" x14ac:dyDescent="0.15">
      <c r="A400" s="729"/>
      <c r="B400" s="2551" t="s">
        <v>492</v>
      </c>
      <c r="C400" s="12" t="s">
        <v>21</v>
      </c>
      <c r="D400" s="14">
        <f>I400*J400*100/K401</f>
        <v>0</v>
      </c>
      <c r="E400" s="14">
        <f>E401*H400/100</f>
        <v>0</v>
      </c>
      <c r="F400" s="14">
        <f>F401*H400/100</f>
        <v>0</v>
      </c>
      <c r="G400" s="14">
        <f>G401*H400/100</f>
        <v>0</v>
      </c>
      <c r="H400" s="853">
        <f>J400*I400</f>
        <v>0</v>
      </c>
      <c r="I400" s="434"/>
      <c r="J400" s="357">
        <f>J378+J378*2%</f>
        <v>0</v>
      </c>
      <c r="K400" s="348"/>
      <c r="L400" s="28"/>
      <c r="M400" s="28"/>
      <c r="N400" s="348"/>
    </row>
    <row r="401" spans="1:16" s="340" customFormat="1" ht="26" hidden="1" customHeight="1" x14ac:dyDescent="0.15">
      <c r="A401" s="2046"/>
      <c r="B401" s="2566"/>
      <c r="C401" s="30" t="s">
        <v>22</v>
      </c>
      <c r="D401" s="2047"/>
      <c r="E401" s="2048">
        <v>91</v>
      </c>
      <c r="F401" s="2048">
        <v>6</v>
      </c>
      <c r="G401" s="2048">
        <v>3</v>
      </c>
      <c r="H401" s="2049">
        <v>100</v>
      </c>
      <c r="I401" s="2050"/>
      <c r="J401" s="2051"/>
      <c r="K401" s="2052">
        <v>98</v>
      </c>
      <c r="L401" s="3187">
        <v>2</v>
      </c>
      <c r="M401" s="3187"/>
      <c r="N401" s="2053"/>
    </row>
    <row r="402" spans="1:16" s="340" customFormat="1" ht="26" customHeight="1" x14ac:dyDescent="0.15">
      <c r="A402" s="3032" t="s">
        <v>1249</v>
      </c>
      <c r="B402" s="3032"/>
      <c r="C402" s="31" t="s">
        <v>21</v>
      </c>
      <c r="D402" s="842">
        <f>D396+D398+D400</f>
        <v>409280.20408163266</v>
      </c>
      <c r="E402" s="842">
        <f t="shared" ref="E402:I402" si="25">E396+E398+E400</f>
        <v>370811.61599999998</v>
      </c>
      <c r="F402" s="842">
        <f t="shared" si="25"/>
        <v>19413.252</v>
      </c>
      <c r="G402" s="842">
        <f t="shared" si="25"/>
        <v>10869.732</v>
      </c>
      <c r="H402" s="842">
        <f t="shared" si="25"/>
        <v>401094.6</v>
      </c>
      <c r="I402" s="34">
        <f t="shared" si="25"/>
        <v>29</v>
      </c>
      <c r="J402" s="842">
        <f>H402/I402</f>
        <v>13830.848275862068</v>
      </c>
      <c r="K402" s="368"/>
      <c r="L402" s="826"/>
      <c r="M402" s="826"/>
      <c r="N402" s="367"/>
    </row>
    <row r="403" spans="1:16" s="340" customFormat="1" ht="26" customHeight="1" x14ac:dyDescent="0.15">
      <c r="A403" s="3032"/>
      <c r="B403" s="3032"/>
      <c r="C403" s="31" t="s">
        <v>22</v>
      </c>
      <c r="D403" s="32"/>
      <c r="E403" s="975">
        <f>+E402/H402*100</f>
        <v>92.449914808127559</v>
      </c>
      <c r="F403" s="975">
        <f>+F402/H402*100</f>
        <v>4.8400681534979535</v>
      </c>
      <c r="G403" s="975">
        <f>+G402/H402*100</f>
        <v>2.7100170383744882</v>
      </c>
      <c r="H403" s="397">
        <v>100</v>
      </c>
      <c r="I403" s="436"/>
      <c r="J403" s="358"/>
      <c r="K403" s="976">
        <f>+H402/D402*100</f>
        <v>97.999999999999986</v>
      </c>
      <c r="L403" s="3033">
        <f>100-K403</f>
        <v>2.0000000000000142</v>
      </c>
      <c r="M403" s="3033"/>
      <c r="N403" s="367"/>
    </row>
    <row r="404" spans="1:16" s="340" customFormat="1" ht="26" customHeight="1" x14ac:dyDescent="0.15">
      <c r="A404" s="3034" t="s">
        <v>1250</v>
      </c>
      <c r="B404" s="3034"/>
      <c r="C404" s="989" t="s">
        <v>21</v>
      </c>
      <c r="D404" s="978">
        <f>D402+D394</f>
        <v>874410.61224489799</v>
      </c>
      <c r="E404" s="978">
        <f t="shared" ref="E404:I404" si="26">E402+E394</f>
        <v>785614.91400000011</v>
      </c>
      <c r="F404" s="978">
        <f t="shared" si="26"/>
        <v>37646.364000000001</v>
      </c>
      <c r="G404" s="978">
        <f t="shared" si="26"/>
        <v>33661.122000000003</v>
      </c>
      <c r="H404" s="978">
        <f t="shared" si="26"/>
        <v>856922.4</v>
      </c>
      <c r="I404" s="979">
        <f t="shared" si="26"/>
        <v>58</v>
      </c>
      <c r="J404" s="978">
        <f>H404/I404</f>
        <v>14774.524137931036</v>
      </c>
      <c r="K404" s="980"/>
      <c r="L404" s="981"/>
      <c r="M404" s="981"/>
      <c r="N404" s="982"/>
    </row>
    <row r="405" spans="1:16" s="340" customFormat="1" ht="26" customHeight="1" x14ac:dyDescent="0.15">
      <c r="A405" s="3034"/>
      <c r="B405" s="3034"/>
      <c r="C405" s="977" t="s">
        <v>22</v>
      </c>
      <c r="D405" s="983"/>
      <c r="E405" s="984">
        <f>+E404/H404*100</f>
        <v>91.67865304956436</v>
      </c>
      <c r="F405" s="984">
        <f>+F404/H404*100</f>
        <v>4.3932057325144029</v>
      </c>
      <c r="G405" s="984">
        <f>+G404/H404*100</f>
        <v>3.9281412179212492</v>
      </c>
      <c r="H405" s="985">
        <v>100</v>
      </c>
      <c r="I405" s="986"/>
      <c r="J405" s="987"/>
      <c r="K405" s="988">
        <f>+H404/D404*100</f>
        <v>98</v>
      </c>
      <c r="L405" s="3035">
        <f>100-K405</f>
        <v>2</v>
      </c>
      <c r="M405" s="3035"/>
      <c r="N405" s="982"/>
    </row>
    <row r="406" spans="1:16" s="340" customFormat="1" ht="26" customHeight="1" x14ac:dyDescent="0.15">
      <c r="A406" s="3200" t="s">
        <v>597</v>
      </c>
      <c r="B406" s="3200"/>
      <c r="C406" s="3200"/>
      <c r="D406" s="3200"/>
      <c r="E406" s="3200"/>
      <c r="F406" s="3200"/>
      <c r="G406" s="3200"/>
      <c r="H406" s="3200"/>
      <c r="I406" s="3200"/>
      <c r="J406" s="3200"/>
      <c r="K406" s="3200"/>
      <c r="L406" s="3200"/>
      <c r="M406" s="3200"/>
      <c r="N406" s="3200"/>
    </row>
    <row r="407" spans="1:16" s="340" customFormat="1" ht="26" customHeight="1" x14ac:dyDescent="0.15">
      <c r="A407" s="2909" t="s">
        <v>778</v>
      </c>
      <c r="B407" s="2909"/>
      <c r="C407" s="2909"/>
      <c r="D407" s="2909"/>
      <c r="E407" s="2909"/>
      <c r="F407" s="2909"/>
      <c r="G407" s="2909"/>
      <c r="H407" s="2909"/>
      <c r="I407" s="2909"/>
      <c r="J407" s="2909"/>
      <c r="K407" s="2909"/>
      <c r="L407" s="2909"/>
      <c r="M407" s="2909"/>
      <c r="N407" s="2909"/>
    </row>
    <row r="408" spans="1:16" s="340" customFormat="1" ht="26" customHeight="1" x14ac:dyDescent="0.15">
      <c r="A408" s="2663" t="s">
        <v>766</v>
      </c>
      <c r="B408" s="2663"/>
      <c r="C408" s="2663"/>
      <c r="D408" s="2663"/>
      <c r="E408" s="2663"/>
      <c r="F408" s="2663"/>
      <c r="G408" s="2663"/>
      <c r="H408" s="2663"/>
      <c r="I408" s="2663"/>
      <c r="J408" s="2663"/>
      <c r="K408" s="2663"/>
      <c r="L408" s="2663"/>
      <c r="M408" s="2663"/>
      <c r="N408" s="2663"/>
      <c r="P408" s="340" t="s">
        <v>776</v>
      </c>
    </row>
    <row r="409" spans="1:16" s="340" customFormat="1" ht="26" customHeight="1" x14ac:dyDescent="0.15">
      <c r="A409" s="2663" t="s">
        <v>767</v>
      </c>
      <c r="B409" s="2663"/>
      <c r="C409" s="2663"/>
      <c r="D409" s="2663"/>
      <c r="E409" s="2663"/>
      <c r="F409" s="2663"/>
      <c r="G409" s="2663"/>
      <c r="H409" s="2663"/>
      <c r="I409" s="2663"/>
      <c r="J409" s="2663"/>
      <c r="K409" s="2663"/>
      <c r="L409" s="2663"/>
      <c r="M409" s="2663"/>
      <c r="N409" s="2663"/>
    </row>
    <row r="410" spans="1:16" s="340" customFormat="1" ht="35" customHeight="1" x14ac:dyDescent="0.15">
      <c r="A410" s="3198" t="s">
        <v>747</v>
      </c>
      <c r="B410" s="3198"/>
      <c r="C410" s="3198"/>
      <c r="D410" s="3198"/>
      <c r="E410" s="3198"/>
      <c r="F410" s="3198"/>
      <c r="G410" s="3198"/>
      <c r="H410" s="3198"/>
      <c r="I410" s="3198"/>
      <c r="J410" s="3198"/>
      <c r="K410" s="3198"/>
      <c r="L410" s="3198"/>
      <c r="M410" s="3198"/>
      <c r="N410" s="3198"/>
    </row>
    <row r="411" spans="1:16" s="1" customFormat="1" ht="23" customHeight="1" x14ac:dyDescent="0.2">
      <c r="A411" s="3199" t="s">
        <v>707</v>
      </c>
      <c r="B411" s="3199"/>
      <c r="C411" s="3199"/>
      <c r="D411" s="3199"/>
      <c r="E411" s="3199"/>
      <c r="F411" s="3199"/>
      <c r="G411" s="3199"/>
      <c r="H411" s="3199"/>
      <c r="I411" s="3199"/>
      <c r="J411" s="3199"/>
      <c r="K411" s="3199"/>
      <c r="L411" s="3199"/>
      <c r="M411" s="3199"/>
      <c r="N411" s="3199"/>
      <c r="O411" s="942"/>
    </row>
    <row r="412" spans="1:16" s="1" customFormat="1" ht="24.75" customHeight="1" x14ac:dyDescent="0.2">
      <c r="A412" s="2475" t="s">
        <v>57</v>
      </c>
      <c r="B412" s="2475"/>
      <c r="C412" s="2475"/>
      <c r="D412" s="2475"/>
      <c r="E412" s="2475"/>
      <c r="F412" s="2475"/>
      <c r="G412" s="2475"/>
      <c r="H412" s="2475"/>
      <c r="I412" s="2475"/>
      <c r="J412" s="2475"/>
      <c r="K412" s="2475"/>
      <c r="L412" s="2475"/>
      <c r="M412" s="2475"/>
      <c r="N412" s="2475"/>
    </row>
    <row r="413" spans="1:16" s="1" customFormat="1" ht="24.75" customHeight="1" x14ac:dyDescent="0.2">
      <c r="A413" s="1" t="s">
        <v>712</v>
      </c>
      <c r="D413" s="43"/>
      <c r="E413" s="43"/>
      <c r="G413" s="43"/>
      <c r="K413" s="78"/>
      <c r="N413" s="1063"/>
    </row>
    <row r="414" spans="1:16" s="1" customFormat="1" ht="24.75" customHeight="1" x14ac:dyDescent="0.2">
      <c r="A414" s="3173" t="s">
        <v>717</v>
      </c>
      <c r="B414" s="3173"/>
      <c r="C414" s="3173"/>
      <c r="D414" s="3173"/>
      <c r="E414" s="3173"/>
      <c r="F414" s="3173"/>
      <c r="G414" s="3173"/>
      <c r="H414" s="3173"/>
      <c r="I414" s="3173"/>
      <c r="J414" s="3173"/>
      <c r="K414" s="3173"/>
      <c r="L414" s="3173"/>
      <c r="M414" s="3173"/>
      <c r="N414" s="3173"/>
    </row>
    <row r="415" spans="1:16" s="1" customFormat="1" ht="43" customHeight="1" x14ac:dyDescent="0.2">
      <c r="A415" s="2663" t="s">
        <v>713</v>
      </c>
      <c r="B415" s="2663"/>
      <c r="C415" s="2663"/>
      <c r="D415" s="2663"/>
      <c r="E415" s="2663"/>
      <c r="F415" s="2663"/>
      <c r="G415" s="2663"/>
      <c r="H415" s="2663"/>
      <c r="I415" s="2663"/>
      <c r="J415" s="2663"/>
      <c r="K415" s="2663"/>
      <c r="L415" s="2663"/>
      <c r="M415" s="2663"/>
      <c r="N415" s="2663"/>
    </row>
    <row r="416" spans="1:16" s="1" customFormat="1" ht="56" customHeight="1" x14ac:dyDescent="0.2">
      <c r="A416" s="3203" t="s">
        <v>721</v>
      </c>
      <c r="B416" s="3203"/>
      <c r="C416" s="3203"/>
      <c r="D416" s="3203"/>
      <c r="E416" s="3203"/>
      <c r="F416" s="3203"/>
      <c r="G416" s="3203"/>
      <c r="H416" s="3203"/>
      <c r="I416" s="3203"/>
      <c r="J416" s="3203"/>
      <c r="K416" s="3203"/>
      <c r="L416" s="3203"/>
      <c r="M416" s="3203"/>
      <c r="N416" s="1063"/>
    </row>
    <row r="417" spans="1:14" s="1" customFormat="1" ht="24.75" hidden="1" customHeight="1" x14ac:dyDescent="0.2">
      <c r="A417" s="84" t="s">
        <v>714</v>
      </c>
      <c r="B417" s="84"/>
      <c r="C417" s="84"/>
      <c r="D417" s="1075"/>
      <c r="E417" s="1075"/>
      <c r="F417" s="84"/>
      <c r="G417" s="1075"/>
      <c r="H417" s="84"/>
      <c r="I417" s="84"/>
      <c r="J417" s="84"/>
      <c r="K417" s="394"/>
      <c r="L417" s="84"/>
      <c r="M417" s="84"/>
      <c r="N417" s="1063"/>
    </row>
    <row r="418" spans="1:14" s="1" customFormat="1" ht="24.75" hidden="1" customHeight="1" x14ac:dyDescent="0.2">
      <c r="A418" s="1076" t="s">
        <v>715</v>
      </c>
      <c r="B418" s="84"/>
      <c r="C418" s="84"/>
      <c r="D418" s="1075"/>
      <c r="E418" s="1075"/>
      <c r="F418" s="84"/>
      <c r="G418" s="1075"/>
      <c r="H418" s="84"/>
      <c r="I418" s="84"/>
      <c r="J418" s="84"/>
      <c r="K418" s="394"/>
      <c r="L418" s="84"/>
      <c r="M418" s="84"/>
      <c r="N418" s="1063"/>
    </row>
    <row r="419" spans="1:14" s="1" customFormat="1" ht="42" hidden="1" customHeight="1" x14ac:dyDescent="0.2">
      <c r="A419" s="3204" t="s">
        <v>716</v>
      </c>
      <c r="B419" s="3204"/>
      <c r="C419" s="3204"/>
      <c r="D419" s="3204"/>
      <c r="E419" s="3204"/>
      <c r="F419" s="3204"/>
      <c r="G419" s="3204"/>
      <c r="H419" s="3204"/>
      <c r="I419" s="3204"/>
      <c r="J419" s="3204"/>
      <c r="K419" s="3204"/>
      <c r="L419" s="3204"/>
      <c r="M419" s="3204"/>
      <c r="N419" s="3204"/>
    </row>
    <row r="420" spans="1:14" s="1" customFormat="1" ht="23" customHeight="1" x14ac:dyDescent="0.2">
      <c r="A420" s="2475" t="s">
        <v>414</v>
      </c>
      <c r="B420" s="2475"/>
      <c r="C420" s="2475"/>
      <c r="D420" s="2475"/>
      <c r="E420" s="2475"/>
      <c r="F420" s="2475"/>
      <c r="G420" s="2475"/>
      <c r="H420" s="2475"/>
      <c r="I420" s="2475"/>
      <c r="J420" s="2475"/>
      <c r="K420" s="2475"/>
      <c r="L420" s="2475"/>
      <c r="M420" s="2475"/>
      <c r="N420" s="2475"/>
    </row>
    <row r="421" spans="1:14" s="1" customFormat="1" ht="23" customHeight="1" x14ac:dyDescent="0.2">
      <c r="A421" s="2663" t="s">
        <v>755</v>
      </c>
      <c r="B421" s="2663"/>
      <c r="C421" s="2663"/>
      <c r="D421" s="2663"/>
      <c r="E421" s="2663"/>
      <c r="F421" s="2663"/>
      <c r="G421" s="2663"/>
      <c r="H421" s="2663"/>
      <c r="I421" s="2663"/>
      <c r="J421" s="2663"/>
      <c r="K421" s="2663"/>
      <c r="L421" s="2663"/>
      <c r="M421" s="2663"/>
      <c r="N421" s="2663"/>
    </row>
    <row r="422" spans="1:14" s="1" customFormat="1" ht="23" customHeight="1" x14ac:dyDescent="0.2">
      <c r="A422" s="2663"/>
      <c r="B422" s="2663"/>
      <c r="C422" s="2663"/>
      <c r="D422" s="2663"/>
      <c r="E422" s="2663"/>
      <c r="F422" s="2663"/>
      <c r="G422" s="2663"/>
      <c r="H422" s="2663"/>
      <c r="I422" s="2663"/>
      <c r="J422" s="2663"/>
      <c r="K422" s="2663"/>
      <c r="L422" s="2663"/>
      <c r="M422" s="2663"/>
      <c r="N422" s="2663"/>
    </row>
    <row r="423" spans="1:14" s="1" customFormat="1" ht="23" customHeight="1" x14ac:dyDescent="0.2">
      <c r="A423" s="3201" t="s">
        <v>764</v>
      </c>
      <c r="B423" s="3202"/>
      <c r="C423" s="3202"/>
      <c r="D423" s="3202"/>
      <c r="E423" s="3202"/>
      <c r="F423" s="3202"/>
      <c r="G423" s="3202"/>
      <c r="H423" s="3202"/>
      <c r="I423" s="3202"/>
      <c r="J423" s="3202"/>
      <c r="K423" s="3202"/>
      <c r="L423" s="3202"/>
      <c r="M423" s="3202"/>
      <c r="N423" s="3202"/>
    </row>
    <row r="424" spans="1:14" s="1" customFormat="1" ht="38" customHeight="1" x14ac:dyDescent="0.2">
      <c r="A424" s="2663" t="s">
        <v>765</v>
      </c>
      <c r="B424" s="2663"/>
      <c r="C424" s="2663"/>
      <c r="D424" s="2663"/>
      <c r="E424" s="2663"/>
      <c r="F424" s="2663"/>
      <c r="G424" s="2663"/>
      <c r="H424" s="2663"/>
      <c r="I424" s="2663"/>
      <c r="J424" s="2663"/>
      <c r="K424" s="2663"/>
      <c r="L424" s="2663"/>
      <c r="M424" s="2663"/>
      <c r="N424" s="2663"/>
    </row>
    <row r="425" spans="1:14" s="1" customFormat="1" ht="23" customHeight="1" x14ac:dyDescent="0.2">
      <c r="A425" s="3205" t="s">
        <v>756</v>
      </c>
      <c r="B425" s="3206"/>
      <c r="C425" s="3206"/>
      <c r="D425" s="3206"/>
      <c r="E425" s="3206"/>
      <c r="F425" s="3206"/>
      <c r="G425" s="3206"/>
      <c r="H425" s="3206"/>
      <c r="I425" s="3206"/>
      <c r="J425" s="3206"/>
      <c r="K425" s="3206"/>
      <c r="L425" s="3206"/>
      <c r="M425" s="3206"/>
      <c r="N425" s="5"/>
    </row>
    <row r="426" spans="1:14" s="84" customFormat="1" ht="25" customHeight="1" x14ac:dyDescent="0.2">
      <c r="A426" s="42" t="s">
        <v>60</v>
      </c>
      <c r="B426" s="85"/>
      <c r="C426" s="85"/>
      <c r="D426" s="85"/>
      <c r="E426" s="85"/>
      <c r="F426" s="85"/>
      <c r="G426" s="85"/>
      <c r="H426" s="399"/>
      <c r="I426" s="450"/>
      <c r="J426" s="85"/>
      <c r="K426" s="85"/>
      <c r="L426" s="85"/>
      <c r="M426" s="85"/>
      <c r="N426" s="86"/>
    </row>
    <row r="427" spans="1:14" s="1" customFormat="1" ht="21" customHeight="1" x14ac:dyDescent="0.2">
      <c r="A427" s="79" t="s">
        <v>643</v>
      </c>
      <c r="B427" s="85"/>
      <c r="C427" s="85"/>
      <c r="D427" s="85"/>
      <c r="E427" s="85"/>
      <c r="F427" s="85"/>
      <c r="G427" s="85"/>
      <c r="H427" s="399"/>
      <c r="I427" s="450"/>
      <c r="J427" s="85"/>
      <c r="K427" s="85"/>
      <c r="L427" s="85"/>
      <c r="M427" s="85"/>
      <c r="N427" s="86"/>
    </row>
    <row r="428" spans="1:14" s="1" customFormat="1" ht="36" customHeight="1" x14ac:dyDescent="0.2">
      <c r="A428" s="2663" t="s">
        <v>762</v>
      </c>
      <c r="B428" s="2663"/>
      <c r="C428" s="2663"/>
      <c r="D428" s="2663"/>
      <c r="E428" s="2663"/>
      <c r="F428" s="2663"/>
      <c r="G428" s="2663"/>
      <c r="H428" s="2663"/>
      <c r="I428" s="2663"/>
      <c r="J428" s="2663"/>
      <c r="K428" s="2663"/>
      <c r="L428" s="2663"/>
      <c r="M428" s="2663"/>
      <c r="N428" s="2663"/>
    </row>
    <row r="429" spans="1:14" s="1" customFormat="1" ht="21" customHeight="1" x14ac:dyDescent="0.2">
      <c r="A429" s="2829" t="s">
        <v>761</v>
      </c>
      <c r="B429" s="2829"/>
      <c r="C429" s="2829"/>
      <c r="D429" s="2829"/>
      <c r="E429" s="2829"/>
      <c r="F429" s="2829"/>
      <c r="G429" s="2829"/>
      <c r="H429" s="2829"/>
      <c r="I429" s="2829"/>
      <c r="J429" s="2829"/>
      <c r="K429" s="2829"/>
      <c r="L429" s="2829"/>
      <c r="M429" s="2829"/>
      <c r="N429" s="2829"/>
    </row>
    <row r="430" spans="1:14" s="1" customFormat="1" ht="40" customHeight="1" x14ac:dyDescent="0.2">
      <c r="A430" s="2663" t="s">
        <v>668</v>
      </c>
      <c r="B430" s="2725"/>
      <c r="C430" s="2725"/>
      <c r="D430" s="2725"/>
      <c r="E430" s="2725"/>
      <c r="F430" s="2725"/>
      <c r="G430" s="2725"/>
      <c r="H430" s="2725"/>
      <c r="I430" s="2725"/>
      <c r="J430" s="2725"/>
      <c r="K430" s="2725"/>
      <c r="L430" s="2725"/>
      <c r="M430" s="2725"/>
      <c r="N430" s="2725"/>
    </row>
    <row r="431" spans="1:14" s="84" customFormat="1" ht="21" customHeight="1" x14ac:dyDescent="0.2">
      <c r="A431" s="42" t="s">
        <v>64</v>
      </c>
      <c r="H431" s="394"/>
      <c r="I431" s="451"/>
      <c r="J431" s="355"/>
      <c r="K431" s="355"/>
      <c r="N431" s="350"/>
    </row>
    <row r="432" spans="1:14" s="84" customFormat="1" ht="26" customHeight="1" x14ac:dyDescent="0.2">
      <c r="A432" s="79" t="s">
        <v>65</v>
      </c>
      <c r="H432" s="394"/>
      <c r="I432" s="451"/>
      <c r="J432" s="355"/>
      <c r="K432" s="355"/>
      <c r="N432" s="350"/>
    </row>
    <row r="433" spans="1:14" s="84" customFormat="1" ht="26" customHeight="1" x14ac:dyDescent="0.2">
      <c r="A433" s="79" t="s">
        <v>646</v>
      </c>
      <c r="H433" s="394"/>
      <c r="I433" s="451"/>
      <c r="J433" s="355"/>
      <c r="K433" s="355"/>
      <c r="N433" s="350"/>
    </row>
    <row r="434" spans="1:14" s="1" customFormat="1" ht="24.75" customHeight="1" x14ac:dyDescent="0.2">
      <c r="A434" s="79" t="s">
        <v>757</v>
      </c>
      <c r="H434" s="78"/>
      <c r="I434" s="447"/>
      <c r="J434" s="71"/>
      <c r="K434" s="71"/>
      <c r="N434" s="209"/>
    </row>
    <row r="435" spans="1:14" s="1" customFormat="1" ht="24.75" customHeight="1" x14ac:dyDescent="0.2">
      <c r="A435" s="335" t="s">
        <v>571</v>
      </c>
      <c r="H435" s="78"/>
      <c r="I435" s="447"/>
      <c r="J435" s="71"/>
      <c r="K435" s="71"/>
      <c r="N435" s="209"/>
    </row>
    <row r="436" spans="1:14" s="1" customFormat="1" ht="24.75" customHeight="1" x14ac:dyDescent="0.2">
      <c r="A436" s="79" t="s">
        <v>572</v>
      </c>
      <c r="H436" s="78"/>
      <c r="I436" s="447"/>
      <c r="J436" s="71"/>
      <c r="K436" s="71"/>
      <c r="N436" s="209"/>
    </row>
    <row r="437" spans="1:14" s="1" customFormat="1" ht="24.75" customHeight="1" x14ac:dyDescent="0.2">
      <c r="A437" s="79" t="s">
        <v>777</v>
      </c>
      <c r="H437" s="78"/>
      <c r="I437" s="447"/>
      <c r="J437" s="71"/>
      <c r="K437" s="71"/>
      <c r="N437" s="209"/>
    </row>
    <row r="438" spans="1:14" s="1" customFormat="1" ht="24.75" customHeight="1" x14ac:dyDescent="0.2">
      <c r="A438" s="2829" t="s">
        <v>758</v>
      </c>
      <c r="B438" s="2829"/>
      <c r="C438" s="2829"/>
      <c r="D438" s="2829"/>
      <c r="E438" s="2829"/>
      <c r="F438" s="2829"/>
      <c r="G438" s="2829"/>
      <c r="H438" s="2829"/>
      <c r="I438" s="2829"/>
      <c r="J438" s="2829"/>
      <c r="K438" s="2829"/>
      <c r="L438" s="2829"/>
      <c r="M438" s="2829"/>
      <c r="N438" s="2829"/>
    </row>
    <row r="439" spans="1:14" s="84" customFormat="1" ht="23" customHeight="1" x14ac:dyDescent="0.2">
      <c r="A439" s="2475" t="s">
        <v>708</v>
      </c>
      <c r="B439" s="2475"/>
      <c r="C439" s="2475"/>
      <c r="D439" s="2475"/>
      <c r="E439" s="2475"/>
      <c r="F439" s="2475"/>
      <c r="G439" s="2475"/>
      <c r="H439" s="2475"/>
      <c r="I439" s="2475"/>
      <c r="J439" s="2475"/>
      <c r="K439" s="2475"/>
      <c r="L439" s="2475"/>
      <c r="M439" s="2475"/>
      <c r="N439" s="2475"/>
    </row>
    <row r="440" spans="1:14" s="84" customFormat="1" ht="24.75" customHeight="1" x14ac:dyDescent="0.2">
      <c r="A440" s="957" t="s">
        <v>577</v>
      </c>
      <c r="B440" s="5"/>
      <c r="C440" s="5"/>
      <c r="D440" s="5"/>
      <c r="E440" s="5"/>
      <c r="F440" s="5"/>
      <c r="G440" s="5"/>
      <c r="H440" s="5"/>
      <c r="I440" s="5"/>
      <c r="J440" s="5"/>
      <c r="K440" s="5"/>
      <c r="L440" s="5"/>
      <c r="M440" s="5"/>
      <c r="N440" s="5"/>
    </row>
    <row r="441" spans="1:14" s="84" customFormat="1" ht="40" customHeight="1" x14ac:dyDescent="0.2">
      <c r="A441" s="2725" t="s">
        <v>670</v>
      </c>
      <c r="B441" s="2725"/>
      <c r="C441" s="2725"/>
      <c r="D441" s="2725"/>
      <c r="E441" s="2725"/>
      <c r="F441" s="2725"/>
      <c r="G441" s="2725"/>
      <c r="H441" s="2725"/>
      <c r="I441" s="2725"/>
      <c r="J441" s="2725"/>
      <c r="K441" s="2725"/>
      <c r="L441" s="2725"/>
      <c r="M441" s="2725"/>
      <c r="N441" s="2725"/>
    </row>
    <row r="442" spans="1:14" s="84" customFormat="1" ht="24.75" customHeight="1" x14ac:dyDescent="0.2">
      <c r="A442" s="3173" t="s">
        <v>759</v>
      </c>
      <c r="B442" s="3173"/>
      <c r="C442" s="3173"/>
      <c r="D442" s="3173"/>
      <c r="E442" s="3173"/>
      <c r="F442" s="3173"/>
      <c r="G442" s="3173"/>
      <c r="H442" s="3173"/>
      <c r="I442" s="3173"/>
      <c r="J442" s="3173"/>
      <c r="K442" s="3173"/>
      <c r="L442" s="3173"/>
      <c r="M442" s="3173"/>
      <c r="N442" s="3173"/>
    </row>
    <row r="443" spans="1:14" s="84" customFormat="1" ht="38" customHeight="1" x14ac:dyDescent="0.2">
      <c r="A443" s="2663" t="s">
        <v>667</v>
      </c>
      <c r="B443" s="2663"/>
      <c r="C443" s="2663"/>
      <c r="D443" s="2663"/>
      <c r="E443" s="2663"/>
      <c r="F443" s="2663"/>
      <c r="G443" s="2663"/>
      <c r="H443" s="2663"/>
      <c r="I443" s="2663"/>
      <c r="J443" s="2663"/>
      <c r="K443" s="2663"/>
      <c r="L443" s="2663"/>
      <c r="M443" s="2663"/>
      <c r="N443" s="2663"/>
    </row>
    <row r="444" spans="1:14" s="84" customFormat="1" ht="38" customHeight="1" x14ac:dyDescent="0.2">
      <c r="A444" s="2663" t="s">
        <v>760</v>
      </c>
      <c r="B444" s="2663"/>
      <c r="C444" s="2663"/>
      <c r="D444" s="2663"/>
      <c r="E444" s="2663"/>
      <c r="F444" s="2663"/>
      <c r="G444" s="2663"/>
      <c r="H444" s="2663"/>
      <c r="I444" s="2663"/>
      <c r="J444" s="2663"/>
      <c r="K444" s="2663"/>
      <c r="L444" s="2663"/>
      <c r="M444" s="2663"/>
      <c r="N444" s="2663"/>
    </row>
    <row r="445" spans="1:14" s="84" customFormat="1" ht="38" customHeight="1" x14ac:dyDescent="0.2">
      <c r="A445" s="2725" t="s">
        <v>671</v>
      </c>
      <c r="B445" s="2725"/>
      <c r="C445" s="2725"/>
      <c r="D445" s="2725"/>
      <c r="E445" s="2725"/>
      <c r="F445" s="2725"/>
      <c r="G445" s="2725"/>
      <c r="H445" s="2725"/>
      <c r="I445" s="2725"/>
      <c r="J445" s="2725"/>
      <c r="K445" s="2725"/>
      <c r="L445" s="2725"/>
      <c r="M445" s="2725"/>
      <c r="N445" s="2725"/>
    </row>
    <row r="446" spans="1:14" s="84" customFormat="1" ht="24.75" customHeight="1" x14ac:dyDescent="0.2">
      <c r="A446" s="1" t="s">
        <v>69</v>
      </c>
      <c r="B446" s="1"/>
      <c r="C446" s="1"/>
      <c r="D446" s="1"/>
      <c r="E446" s="43"/>
      <c r="F446" s="43"/>
      <c r="G446" s="1"/>
      <c r="H446" s="78"/>
      <c r="I446" s="447"/>
      <c r="J446" s="71"/>
      <c r="K446" s="71"/>
      <c r="L446" s="1"/>
      <c r="M446" s="1"/>
      <c r="N446" s="209"/>
    </row>
    <row r="447" spans="1:14" s="84" customFormat="1" ht="22.5" customHeight="1" x14ac:dyDescent="0.2">
      <c r="A447" s="88" t="s">
        <v>494</v>
      </c>
      <c r="H447" s="394"/>
      <c r="I447" s="451"/>
      <c r="J447" s="355"/>
      <c r="K447" s="355"/>
      <c r="N447" s="350"/>
    </row>
    <row r="448" spans="1:14" s="1" customFormat="1" ht="16" x14ac:dyDescent="0.2">
      <c r="A448" s="1029" t="s">
        <v>655</v>
      </c>
      <c r="C448" s="42"/>
      <c r="E448" s="43"/>
      <c r="F448" s="43"/>
      <c r="H448" s="78"/>
      <c r="I448" s="447"/>
      <c r="J448" s="2682" t="s">
        <v>763</v>
      </c>
      <c r="K448" s="2682"/>
      <c r="L448" s="2682"/>
      <c r="M448" s="2682"/>
      <c r="N448" s="2682"/>
    </row>
    <row r="449" spans="1:14" s="84" customFormat="1" ht="24" customHeight="1" x14ac:dyDescent="0.15">
      <c r="A449" s="1031" t="s">
        <v>656</v>
      </c>
      <c r="B449" s="1030"/>
      <c r="C449" s="1031"/>
      <c r="E449" s="339"/>
      <c r="F449" s="339"/>
      <c r="H449" s="339"/>
      <c r="I449" s="339"/>
      <c r="J449" s="2683" t="s">
        <v>72</v>
      </c>
      <c r="K449" s="2683"/>
      <c r="L449" s="2683"/>
      <c r="M449" s="2683"/>
      <c r="N449" s="2683"/>
    </row>
    <row r="450" spans="1:14" x14ac:dyDescent="0.15">
      <c r="A450" s="94" t="s">
        <v>657</v>
      </c>
      <c r="B450" s="1030"/>
      <c r="C450" s="1031"/>
    </row>
    <row r="451" spans="1:14" x14ac:dyDescent="0.15">
      <c r="A451" s="1032" t="s">
        <v>658</v>
      </c>
      <c r="B451" s="1030"/>
      <c r="C451" s="1031"/>
    </row>
    <row r="452" spans="1:14" x14ac:dyDescent="0.15">
      <c r="A452" s="1029" t="s">
        <v>659</v>
      </c>
      <c r="B452" s="1030"/>
      <c r="C452" s="1031"/>
    </row>
    <row r="453" spans="1:14" x14ac:dyDescent="0.2">
      <c r="A453" s="94" t="s">
        <v>660</v>
      </c>
      <c r="B453" s="92"/>
    </row>
    <row r="454" spans="1:14" x14ac:dyDescent="0.2">
      <c r="B454" s="92"/>
    </row>
  </sheetData>
  <mergeCells count="462">
    <mergeCell ref="J147:K147"/>
    <mergeCell ref="J146:K146"/>
    <mergeCell ref="J145:K145"/>
    <mergeCell ref="J144:K144"/>
    <mergeCell ref="J143:K143"/>
    <mergeCell ref="J142:K142"/>
    <mergeCell ref="J130:K130"/>
    <mergeCell ref="J129:K129"/>
    <mergeCell ref="J128:K128"/>
    <mergeCell ref="J127:K127"/>
    <mergeCell ref="J126:K126"/>
    <mergeCell ref="J125:K125"/>
    <mergeCell ref="J124:K124"/>
    <mergeCell ref="J119:K119"/>
    <mergeCell ref="J131:K131"/>
    <mergeCell ref="J141:K141"/>
    <mergeCell ref="J107:K107"/>
    <mergeCell ref="J106:K106"/>
    <mergeCell ref="J108:K108"/>
    <mergeCell ref="J140:K140"/>
    <mergeCell ref="J133:K133"/>
    <mergeCell ref="J132:K132"/>
    <mergeCell ref="J118:K118"/>
    <mergeCell ref="J117:K117"/>
    <mergeCell ref="J116:K116"/>
    <mergeCell ref="J115:K115"/>
    <mergeCell ref="J114:K114"/>
    <mergeCell ref="J111:K111"/>
    <mergeCell ref="J110:K110"/>
    <mergeCell ref="J109:K109"/>
    <mergeCell ref="J160:K160"/>
    <mergeCell ref="J159:K159"/>
    <mergeCell ref="J158:K158"/>
    <mergeCell ref="J157:K157"/>
    <mergeCell ref="J156:K156"/>
    <mergeCell ref="J151:K151"/>
    <mergeCell ref="J150:K150"/>
    <mergeCell ref="J149:K149"/>
    <mergeCell ref="J148:K148"/>
    <mergeCell ref="Q312:Q313"/>
    <mergeCell ref="K260:O260"/>
    <mergeCell ref="K261:O261"/>
    <mergeCell ref="K262:O262"/>
    <mergeCell ref="C263:D263"/>
    <mergeCell ref="C264:D264"/>
    <mergeCell ref="C265:D265"/>
    <mergeCell ref="C214:D214"/>
    <mergeCell ref="C215:D215"/>
    <mergeCell ref="C216:D216"/>
    <mergeCell ref="C217:D217"/>
    <mergeCell ref="K267:O267"/>
    <mergeCell ref="K268:O268"/>
    <mergeCell ref="A226:N226"/>
    <mergeCell ref="C220:D220"/>
    <mergeCell ref="C221:D221"/>
    <mergeCell ref="C222:D222"/>
    <mergeCell ref="C223:D223"/>
    <mergeCell ref="C224:D224"/>
    <mergeCell ref="K222:O222"/>
    <mergeCell ref="K223:O223"/>
    <mergeCell ref="K224:O224"/>
    <mergeCell ref="K244:M244"/>
    <mergeCell ref="K245:M245"/>
    <mergeCell ref="C72:C73"/>
    <mergeCell ref="C74:C75"/>
    <mergeCell ref="A97:N97"/>
    <mergeCell ref="B98:C98"/>
    <mergeCell ref="C90:C91"/>
    <mergeCell ref="A92:C93"/>
    <mergeCell ref="A94:C95"/>
    <mergeCell ref="C106:C107"/>
    <mergeCell ref="C78:C79"/>
    <mergeCell ref="I98:K98"/>
    <mergeCell ref="J104:K105"/>
    <mergeCell ref="B104:B105"/>
    <mergeCell ref="C104:C105"/>
    <mergeCell ref="D104:D105"/>
    <mergeCell ref="B99:C99"/>
    <mergeCell ref="B100:C100"/>
    <mergeCell ref="B101:C101"/>
    <mergeCell ref="E104:H104"/>
    <mergeCell ref="A104:A105"/>
    <mergeCell ref="I101:K101"/>
    <mergeCell ref="I100:K100"/>
    <mergeCell ref="I99:K99"/>
    <mergeCell ref="A102:C102"/>
    <mergeCell ref="J448:N448"/>
    <mergeCell ref="J449:N449"/>
    <mergeCell ref="A409:N409"/>
    <mergeCell ref="A410:N410"/>
    <mergeCell ref="A411:N411"/>
    <mergeCell ref="A412:N412"/>
    <mergeCell ref="A414:N414"/>
    <mergeCell ref="A406:N406"/>
    <mergeCell ref="A407:N407"/>
    <mergeCell ref="A423:N423"/>
    <mergeCell ref="A408:N408"/>
    <mergeCell ref="A415:N415"/>
    <mergeCell ref="A416:M416"/>
    <mergeCell ref="A419:N419"/>
    <mergeCell ref="A420:N420"/>
    <mergeCell ref="A421:N422"/>
    <mergeCell ref="A444:N444"/>
    <mergeCell ref="A445:N445"/>
    <mergeCell ref="A443:N443"/>
    <mergeCell ref="A424:N424"/>
    <mergeCell ref="A425:M425"/>
    <mergeCell ref="A428:N428"/>
    <mergeCell ref="A429:N429"/>
    <mergeCell ref="A430:N430"/>
    <mergeCell ref="A344:Q344"/>
    <mergeCell ref="A345:P345"/>
    <mergeCell ref="A346:M346"/>
    <mergeCell ref="A348:N348"/>
    <mergeCell ref="A339:N339"/>
    <mergeCell ref="A340:N340"/>
    <mergeCell ref="A341:N341"/>
    <mergeCell ref="C266:D266"/>
    <mergeCell ref="C267:D267"/>
    <mergeCell ref="C268:D268"/>
    <mergeCell ref="A271:A272"/>
    <mergeCell ref="B271:B272"/>
    <mergeCell ref="C271:C272"/>
    <mergeCell ref="Q302:Q303"/>
    <mergeCell ref="Q271:Q272"/>
    <mergeCell ref="Q282:Q283"/>
    <mergeCell ref="Q292:Q293"/>
    <mergeCell ref="C312:C313"/>
    <mergeCell ref="E312:E313"/>
    <mergeCell ref="B302:B303"/>
    <mergeCell ref="C302:C303"/>
    <mergeCell ref="E271:E272"/>
    <mergeCell ref="G271:I271"/>
    <mergeCell ref="M271:N271"/>
    <mergeCell ref="C349:D349"/>
    <mergeCell ref="E349:F349"/>
    <mergeCell ref="G349:H349"/>
    <mergeCell ref="K266:O266"/>
    <mergeCell ref="A325:F325"/>
    <mergeCell ref="A337:F337"/>
    <mergeCell ref="F312:F313"/>
    <mergeCell ref="G312:I312"/>
    <mergeCell ref="M312:N312"/>
    <mergeCell ref="A327:A328"/>
    <mergeCell ref="I349:J349"/>
    <mergeCell ref="O349:P349"/>
    <mergeCell ref="D302:D303"/>
    <mergeCell ref="E302:E303"/>
    <mergeCell ref="A292:A293"/>
    <mergeCell ref="B292:B293"/>
    <mergeCell ref="C292:C293"/>
    <mergeCell ref="D292:D293"/>
    <mergeCell ref="E292:E293"/>
    <mergeCell ref="A282:A283"/>
    <mergeCell ref="B282:B283"/>
    <mergeCell ref="C282:C283"/>
    <mergeCell ref="D282:D283"/>
    <mergeCell ref="E282:E283"/>
    <mergeCell ref="A438:N438"/>
    <mergeCell ref="L397:M397"/>
    <mergeCell ref="B398:B399"/>
    <mergeCell ref="L399:M399"/>
    <mergeCell ref="B400:B401"/>
    <mergeCell ref="L401:M401"/>
    <mergeCell ref="A365:N365"/>
    <mergeCell ref="L391:M391"/>
    <mergeCell ref="A392:A393"/>
    <mergeCell ref="A373:A374"/>
    <mergeCell ref="B373:B374"/>
    <mergeCell ref="L374:M374"/>
    <mergeCell ref="A369:A370"/>
    <mergeCell ref="B369:C369"/>
    <mergeCell ref="D369:D370"/>
    <mergeCell ref="E369:G369"/>
    <mergeCell ref="H369:H370"/>
    <mergeCell ref="I369:I370"/>
    <mergeCell ref="L370:M370"/>
    <mergeCell ref="A371:A372"/>
    <mergeCell ref="B371:B372"/>
    <mergeCell ref="L372:M372"/>
    <mergeCell ref="A375:B376"/>
    <mergeCell ref="L376:M376"/>
    <mergeCell ref="A439:N439"/>
    <mergeCell ref="A441:N441"/>
    <mergeCell ref="A442:N442"/>
    <mergeCell ref="I388:I389"/>
    <mergeCell ref="L389:M389"/>
    <mergeCell ref="A390:A391"/>
    <mergeCell ref="B390:B391"/>
    <mergeCell ref="K263:O263"/>
    <mergeCell ref="K264:O264"/>
    <mergeCell ref="K265:O265"/>
    <mergeCell ref="A347:M347"/>
    <mergeCell ref="A366:N366"/>
    <mergeCell ref="A367:N367"/>
    <mergeCell ref="K349:L349"/>
    <mergeCell ref="M349:N349"/>
    <mergeCell ref="A343:Q343"/>
    <mergeCell ref="A358:B358"/>
    <mergeCell ref="A363:N363"/>
    <mergeCell ref="A364:N364"/>
    <mergeCell ref="A349:A350"/>
    <mergeCell ref="B349:B350"/>
    <mergeCell ref="D271:D272"/>
    <mergeCell ref="F271:F272"/>
    <mergeCell ref="C327:C328"/>
    <mergeCell ref="C160:C161"/>
    <mergeCell ref="K214:O214"/>
    <mergeCell ref="K215:O215"/>
    <mergeCell ref="K216:O216"/>
    <mergeCell ref="K217:O217"/>
    <mergeCell ref="K218:O218"/>
    <mergeCell ref="K219:O219"/>
    <mergeCell ref="K220:O220"/>
    <mergeCell ref="K221:O221"/>
    <mergeCell ref="C209:D209"/>
    <mergeCell ref="C210:D210"/>
    <mergeCell ref="C211:D211"/>
    <mergeCell ref="C212:D212"/>
    <mergeCell ref="C213:D213"/>
    <mergeCell ref="K209:M209"/>
    <mergeCell ref="K210:M210"/>
    <mergeCell ref="K212:O212"/>
    <mergeCell ref="N209:O209"/>
    <mergeCell ref="N210:O210"/>
    <mergeCell ref="K213:O213"/>
    <mergeCell ref="C218:D218"/>
    <mergeCell ref="C219:D219"/>
    <mergeCell ref="K211:O211"/>
    <mergeCell ref="J161:K161"/>
    <mergeCell ref="C188:C189"/>
    <mergeCell ref="C142:C143"/>
    <mergeCell ref="C144:C145"/>
    <mergeCell ref="B202:C202"/>
    <mergeCell ref="I202:N202"/>
    <mergeCell ref="A204:N204"/>
    <mergeCell ref="A205:N205"/>
    <mergeCell ref="B198:C199"/>
    <mergeCell ref="D198:D199"/>
    <mergeCell ref="B200:C201"/>
    <mergeCell ref="D200:D201"/>
    <mergeCell ref="C146:C147"/>
    <mergeCell ref="C148:C149"/>
    <mergeCell ref="C150:C151"/>
    <mergeCell ref="C152:C153"/>
    <mergeCell ref="C154:C155"/>
    <mergeCell ref="A156:C157"/>
    <mergeCell ref="C158:C159"/>
    <mergeCell ref="C166:C167"/>
    <mergeCell ref="C168:C169"/>
    <mergeCell ref="A172:C173"/>
    <mergeCell ref="A194:C195"/>
    <mergeCell ref="C182:C183"/>
    <mergeCell ref="C180:C181"/>
    <mergeCell ref="A140:C141"/>
    <mergeCell ref="C126:C127"/>
    <mergeCell ref="C128:C129"/>
    <mergeCell ref="C130:C131"/>
    <mergeCell ref="C132:C133"/>
    <mergeCell ref="C134:C135"/>
    <mergeCell ref="C136:C137"/>
    <mergeCell ref="C138:C139"/>
    <mergeCell ref="C116:C117"/>
    <mergeCell ref="C118:C119"/>
    <mergeCell ref="C120:C121"/>
    <mergeCell ref="C122:C123"/>
    <mergeCell ref="C108:C109"/>
    <mergeCell ref="A124:C125"/>
    <mergeCell ref="C112:C113"/>
    <mergeCell ref="C110:C111"/>
    <mergeCell ref="C114:C115"/>
    <mergeCell ref="A1:N1"/>
    <mergeCell ref="A2:N2"/>
    <mergeCell ref="A3:N3"/>
    <mergeCell ref="A4:N4"/>
    <mergeCell ref="A5:N5"/>
    <mergeCell ref="A6:A7"/>
    <mergeCell ref="B6:B7"/>
    <mergeCell ref="C6:C7"/>
    <mergeCell ref="D6:D7"/>
    <mergeCell ref="E6:E7"/>
    <mergeCell ref="F6:H6"/>
    <mergeCell ref="I6:I7"/>
    <mergeCell ref="J6:J7"/>
    <mergeCell ref="L7:N7"/>
    <mergeCell ref="A33:B38"/>
    <mergeCell ref="A39:B44"/>
    <mergeCell ref="C13:C14"/>
    <mergeCell ref="E50:H50"/>
    <mergeCell ref="I102:K102"/>
    <mergeCell ref="A45:N45"/>
    <mergeCell ref="A46:N46"/>
    <mergeCell ref="A47:N47"/>
    <mergeCell ref="A50:A51"/>
    <mergeCell ref="B50:B51"/>
    <mergeCell ref="C50:C51"/>
    <mergeCell ref="D50:D51"/>
    <mergeCell ref="J50:J51"/>
    <mergeCell ref="C88:C89"/>
    <mergeCell ref="C64:C65"/>
    <mergeCell ref="C66:C67"/>
    <mergeCell ref="C52:C53"/>
    <mergeCell ref="C54:C55"/>
    <mergeCell ref="C56:C57"/>
    <mergeCell ref="C58:C59"/>
    <mergeCell ref="C60:C61"/>
    <mergeCell ref="C62:C63"/>
    <mergeCell ref="C76:C77"/>
    <mergeCell ref="A68:C69"/>
    <mergeCell ref="A80:C81"/>
    <mergeCell ref="C82:C83"/>
    <mergeCell ref="C84:C85"/>
    <mergeCell ref="C86:C87"/>
    <mergeCell ref="C70:C71"/>
    <mergeCell ref="C162:C163"/>
    <mergeCell ref="C164:C165"/>
    <mergeCell ref="C174:C175"/>
    <mergeCell ref="C176:C177"/>
    <mergeCell ref="C178:C179"/>
    <mergeCell ref="C206:D206"/>
    <mergeCell ref="C207:D207"/>
    <mergeCell ref="C208:D208"/>
    <mergeCell ref="K206:O206"/>
    <mergeCell ref="K207:M207"/>
    <mergeCell ref="K208:M208"/>
    <mergeCell ref="N207:O207"/>
    <mergeCell ref="N208:O208"/>
    <mergeCell ref="C184:C185"/>
    <mergeCell ref="C186:C187"/>
    <mergeCell ref="C192:C193"/>
    <mergeCell ref="J173:K173"/>
    <mergeCell ref="J172:K172"/>
    <mergeCell ref="J165:K165"/>
    <mergeCell ref="J164:K164"/>
    <mergeCell ref="J163:K163"/>
    <mergeCell ref="J162:K162"/>
    <mergeCell ref="C190:C191"/>
    <mergeCell ref="C170:C171"/>
    <mergeCell ref="C245:D245"/>
    <mergeCell ref="C246:D246"/>
    <mergeCell ref="C247:D247"/>
    <mergeCell ref="C248:D248"/>
    <mergeCell ref="K239:O239"/>
    <mergeCell ref="K240:O240"/>
    <mergeCell ref="K229:M229"/>
    <mergeCell ref="K230:M230"/>
    <mergeCell ref="K231:M231"/>
    <mergeCell ref="C243:D243"/>
    <mergeCell ref="K246:M246"/>
    <mergeCell ref="K247:M247"/>
    <mergeCell ref="N244:O244"/>
    <mergeCell ref="N245:O245"/>
    <mergeCell ref="N246:O246"/>
    <mergeCell ref="N247:O247"/>
    <mergeCell ref="N229:O229"/>
    <mergeCell ref="N230:O230"/>
    <mergeCell ref="N231:O231"/>
    <mergeCell ref="K248:O248"/>
    <mergeCell ref="C227:D227"/>
    <mergeCell ref="C244:D244"/>
    <mergeCell ref="C228:D228"/>
    <mergeCell ref="C229:D229"/>
    <mergeCell ref="C230:D230"/>
    <mergeCell ref="C231:D231"/>
    <mergeCell ref="C232:D232"/>
    <mergeCell ref="C233:D233"/>
    <mergeCell ref="C234:D234"/>
    <mergeCell ref="C235:D235"/>
    <mergeCell ref="C236:D236"/>
    <mergeCell ref="C237:D237"/>
    <mergeCell ref="C238:D238"/>
    <mergeCell ref="C239:D239"/>
    <mergeCell ref="C240:D240"/>
    <mergeCell ref="A242:N242"/>
    <mergeCell ref="K243:O243"/>
    <mergeCell ref="K227:O227"/>
    <mergeCell ref="K228:M228"/>
    <mergeCell ref="N228:O228"/>
    <mergeCell ref="R271:R272"/>
    <mergeCell ref="A279:F279"/>
    <mergeCell ref="A290:F290"/>
    <mergeCell ref="F282:F283"/>
    <mergeCell ref="G282:I282"/>
    <mergeCell ref="M282:N282"/>
    <mergeCell ref="R282:R283"/>
    <mergeCell ref="K249:O249"/>
    <mergeCell ref="K250:O250"/>
    <mergeCell ref="K251:O251"/>
    <mergeCell ref="A256:N256"/>
    <mergeCell ref="C254:D254"/>
    <mergeCell ref="C255:D255"/>
    <mergeCell ref="K252:O252"/>
    <mergeCell ref="K253:O253"/>
    <mergeCell ref="K254:O254"/>
    <mergeCell ref="K255:O255"/>
    <mergeCell ref="C260:D260"/>
    <mergeCell ref="C261:D261"/>
    <mergeCell ref="C262:D262"/>
    <mergeCell ref="K258:M258"/>
    <mergeCell ref="K259:M259"/>
    <mergeCell ref="N258:O258"/>
    <mergeCell ref="N259:O259"/>
    <mergeCell ref="B312:B313"/>
    <mergeCell ref="D312:D313"/>
    <mergeCell ref="A302:A303"/>
    <mergeCell ref="C257:D257"/>
    <mergeCell ref="K257:O257"/>
    <mergeCell ref="C258:D258"/>
    <mergeCell ref="C259:D259"/>
    <mergeCell ref="C249:D249"/>
    <mergeCell ref="C250:D250"/>
    <mergeCell ref="C251:D251"/>
    <mergeCell ref="C252:D252"/>
    <mergeCell ref="C253:D253"/>
    <mergeCell ref="E388:G388"/>
    <mergeCell ref="H388:H389"/>
    <mergeCell ref="B396:B397"/>
    <mergeCell ref="R292:R293"/>
    <mergeCell ref="A300:F300"/>
    <mergeCell ref="A310:F310"/>
    <mergeCell ref="F302:F303"/>
    <mergeCell ref="G302:I302"/>
    <mergeCell ref="M302:N302"/>
    <mergeCell ref="R302:R303"/>
    <mergeCell ref="R312:R313"/>
    <mergeCell ref="E327:E328"/>
    <mergeCell ref="F327:F328"/>
    <mergeCell ref="G327:I327"/>
    <mergeCell ref="M327:N327"/>
    <mergeCell ref="Q327:Q328"/>
    <mergeCell ref="R327:R328"/>
    <mergeCell ref="D327:D328"/>
    <mergeCell ref="F292:F293"/>
    <mergeCell ref="G292:I292"/>
    <mergeCell ref="M292:N292"/>
    <mergeCell ref="B327:B328"/>
    <mergeCell ref="A311:N311"/>
    <mergeCell ref="A312:A313"/>
    <mergeCell ref="A377:A380"/>
    <mergeCell ref="B377:B378"/>
    <mergeCell ref="L378:M378"/>
    <mergeCell ref="B379:B380"/>
    <mergeCell ref="L380:M380"/>
    <mergeCell ref="A396:A399"/>
    <mergeCell ref="A402:B403"/>
    <mergeCell ref="L403:M403"/>
    <mergeCell ref="A404:B405"/>
    <mergeCell ref="L405:M405"/>
    <mergeCell ref="B381:B382"/>
    <mergeCell ref="L382:M382"/>
    <mergeCell ref="A383:B384"/>
    <mergeCell ref="L384:M384"/>
    <mergeCell ref="A385:B386"/>
    <mergeCell ref="L386:M386"/>
    <mergeCell ref="A394:B395"/>
    <mergeCell ref="L395:M395"/>
    <mergeCell ref="B392:B393"/>
    <mergeCell ref="L393:M393"/>
    <mergeCell ref="A387:N387"/>
    <mergeCell ref="A388:A389"/>
    <mergeCell ref="B388:C388"/>
    <mergeCell ref="D388:D389"/>
  </mergeCells>
  <dataValidations count="1">
    <dataValidation type="list" allowBlank="1" showInputMessage="1" showErrorMessage="1" sqref="F273:F278 F329:F336 F294:F299 F304:F309 F314:F324 F284:F289" xr:uid="{51A603DE-F191-40C3-8F9F-8E8430714798}">
      <formula1>"Có tính tiêu hao, Không tính tiêu hao"</formula1>
    </dataValidation>
  </dataValidations>
  <pageMargins left="0" right="0" top="0.25" bottom="0" header="0.3" footer="0.3"/>
  <pageSetup paperSize="9" orientation="landscape" horizontalDpi="0" verticalDpi="0"/>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F2F8F-E771-F748-96E5-086A3EB78A54}">
  <sheetPr codeName="Sheet11"/>
  <dimension ref="A1:Q243"/>
  <sheetViews>
    <sheetView topLeftCell="A18" zoomScale="69" zoomScaleNormal="100" workbookViewId="0">
      <selection activeCell="J160" sqref="J160"/>
    </sheetView>
  </sheetViews>
  <sheetFormatPr baseColWidth="10" defaultColWidth="8.6640625" defaultRowHeight="14" x14ac:dyDescent="0.2"/>
  <cols>
    <col min="1" max="1" width="6" style="4" customWidth="1"/>
    <col min="2" max="2" width="13" style="4" customWidth="1"/>
    <col min="3" max="3" width="11" style="4" customWidth="1"/>
    <col min="4" max="4" width="13.83203125" style="4" customWidth="1"/>
    <col min="5" max="6" width="11.33203125" style="93" customWidth="1"/>
    <col min="7" max="7" width="11.6640625" style="4" customWidth="1"/>
    <col min="8" max="8" width="11.33203125" style="395" customWidth="1"/>
    <col min="9" max="9" width="10.33203125" style="452" customWidth="1"/>
    <col min="10" max="10" width="8.6640625" style="356" customWidth="1"/>
    <col min="11" max="11" width="8.5" style="356" customWidth="1"/>
    <col min="12" max="12" width="8.5" style="4" customWidth="1"/>
    <col min="13" max="13" width="8" style="4" customWidth="1"/>
    <col min="14" max="14" width="10.1640625" style="272" customWidth="1"/>
    <col min="15" max="15" width="9" style="4" bestFit="1" customWidth="1"/>
    <col min="16" max="16384" width="8.6640625" style="4"/>
  </cols>
  <sheetData>
    <row r="1" spans="1:15" s="1" customFormat="1" ht="21" customHeight="1" x14ac:dyDescent="0.2">
      <c r="A1" s="2995" t="s">
        <v>0</v>
      </c>
      <c r="B1" s="2996"/>
      <c r="C1" s="2996"/>
      <c r="D1" s="2996"/>
      <c r="E1" s="2996"/>
      <c r="F1" s="2996"/>
      <c r="G1" s="2996"/>
      <c r="H1" s="2996"/>
      <c r="I1" s="2996"/>
      <c r="J1" s="2996"/>
      <c r="K1" s="2996"/>
      <c r="L1" s="2996"/>
      <c r="M1" s="2996"/>
      <c r="N1" s="2997"/>
    </row>
    <row r="2" spans="1:15" s="1" customFormat="1" ht="21" customHeight="1" x14ac:dyDescent="0.2">
      <c r="A2" s="2998" t="s">
        <v>1</v>
      </c>
      <c r="B2" s="2532"/>
      <c r="C2" s="2532"/>
      <c r="D2" s="2532"/>
      <c r="E2" s="2532"/>
      <c r="F2" s="2532"/>
      <c r="G2" s="2532"/>
      <c r="H2" s="2532"/>
      <c r="I2" s="2532"/>
      <c r="J2" s="2532"/>
      <c r="K2" s="2532"/>
      <c r="L2" s="2532"/>
      <c r="M2" s="2532"/>
      <c r="N2" s="2999"/>
    </row>
    <row r="3" spans="1:15" s="1" customFormat="1" ht="21" customHeight="1" thickBot="1" x14ac:dyDescent="0.25">
      <c r="A3" s="3000" t="s">
        <v>2</v>
      </c>
      <c r="B3" s="3001"/>
      <c r="C3" s="3001"/>
      <c r="D3" s="3001"/>
      <c r="E3" s="3001"/>
      <c r="F3" s="3001"/>
      <c r="G3" s="3001"/>
      <c r="H3" s="3001"/>
      <c r="I3" s="3001"/>
      <c r="J3" s="3001"/>
      <c r="K3" s="3001"/>
      <c r="L3" s="3001"/>
      <c r="M3" s="3001"/>
      <c r="N3" s="3002"/>
    </row>
    <row r="4" spans="1:15" ht="26" customHeight="1" x14ac:dyDescent="0.2">
      <c r="A4" s="3003" t="s">
        <v>3</v>
      </c>
      <c r="B4" s="3003"/>
      <c r="C4" s="3003"/>
      <c r="D4" s="3003"/>
      <c r="E4" s="3003"/>
      <c r="F4" s="3003"/>
      <c r="G4" s="3003"/>
      <c r="H4" s="3003"/>
      <c r="I4" s="3003"/>
      <c r="J4" s="3003"/>
      <c r="K4" s="3003"/>
      <c r="L4" s="3003"/>
      <c r="M4" s="3003"/>
      <c r="N4" s="3003"/>
    </row>
    <row r="5" spans="1:15" s="1" customFormat="1" ht="21" customHeight="1" x14ac:dyDescent="0.2">
      <c r="A5" s="2475" t="s">
        <v>4</v>
      </c>
      <c r="B5" s="2475"/>
      <c r="C5" s="2475"/>
      <c r="D5" s="2475"/>
      <c r="E5" s="2475"/>
      <c r="F5" s="2475"/>
      <c r="G5" s="2475"/>
      <c r="H5" s="2475"/>
      <c r="I5" s="2475"/>
      <c r="J5" s="2475"/>
      <c r="K5" s="2475"/>
      <c r="L5" s="2475"/>
      <c r="M5" s="2475"/>
      <c r="N5" s="2475"/>
    </row>
    <row r="6" spans="1:15" s="71" customFormat="1" ht="36" customHeight="1" x14ac:dyDescent="0.2">
      <c r="A6" s="2665" t="s">
        <v>34</v>
      </c>
      <c r="B6" s="3263" t="s">
        <v>6</v>
      </c>
      <c r="C6" s="3263" t="s">
        <v>16</v>
      </c>
      <c r="D6" s="3263" t="s">
        <v>17</v>
      </c>
      <c r="E6" s="3263" t="s">
        <v>7</v>
      </c>
      <c r="F6" s="3246" t="s">
        <v>8</v>
      </c>
      <c r="G6" s="3247"/>
      <c r="H6" s="3248"/>
      <c r="I6" s="3264" t="s">
        <v>9</v>
      </c>
      <c r="J6" s="3263" t="s">
        <v>10</v>
      </c>
      <c r="K6" s="8" t="s">
        <v>11</v>
      </c>
      <c r="L6" s="8" t="s">
        <v>12</v>
      </c>
      <c r="M6" s="8" t="s">
        <v>13</v>
      </c>
      <c r="N6" s="8" t="s">
        <v>14</v>
      </c>
      <c r="O6" s="8" t="s">
        <v>15</v>
      </c>
    </row>
    <row r="7" spans="1:15" s="71" customFormat="1" ht="27" customHeight="1" x14ac:dyDescent="0.2">
      <c r="A7" s="3223"/>
      <c r="B7" s="2816"/>
      <c r="C7" s="2816"/>
      <c r="D7" s="2816"/>
      <c r="E7" s="2816"/>
      <c r="F7" s="10" t="s">
        <v>18</v>
      </c>
      <c r="G7" s="10" t="s">
        <v>19</v>
      </c>
      <c r="H7" s="8" t="s">
        <v>20</v>
      </c>
      <c r="I7" s="3265"/>
      <c r="J7" s="2816"/>
      <c r="K7" s="8" t="s">
        <v>21</v>
      </c>
      <c r="L7" s="3246" t="s">
        <v>22</v>
      </c>
      <c r="M7" s="3247"/>
      <c r="N7" s="3248"/>
      <c r="O7" s="8" t="s">
        <v>23</v>
      </c>
    </row>
    <row r="8" spans="1:15" s="1" customFormat="1" ht="23.25" customHeight="1" x14ac:dyDescent="0.2">
      <c r="A8" s="1560" t="s">
        <v>5</v>
      </c>
      <c r="B8" s="1561" t="s">
        <v>115</v>
      </c>
      <c r="C8" s="1562" t="s">
        <v>883</v>
      </c>
      <c r="D8" s="12" t="s">
        <v>21</v>
      </c>
      <c r="E8" s="571">
        <f>J8*K8*100/L9</f>
        <v>0</v>
      </c>
      <c r="F8" s="571">
        <f>F9*$I$8/100</f>
        <v>0</v>
      </c>
      <c r="G8" s="572">
        <f>G9*$I$8/100</f>
        <v>0</v>
      </c>
      <c r="H8" s="572">
        <f>H9*$I$8/100</f>
        <v>0</v>
      </c>
      <c r="I8" s="573">
        <f>J8*K8</f>
        <v>0</v>
      </c>
      <c r="J8" s="574"/>
      <c r="K8" s="575"/>
      <c r="L8" s="348"/>
      <c r="M8" s="28"/>
      <c r="N8" s="28"/>
      <c r="O8" s="1557"/>
    </row>
    <row r="9" spans="1:15" s="1" customFormat="1" ht="23.25" customHeight="1" x14ac:dyDescent="0.2">
      <c r="A9" s="1563" t="s">
        <v>5</v>
      </c>
      <c r="B9" s="1564" t="s">
        <v>115</v>
      </c>
      <c r="C9" s="1565" t="s">
        <v>883</v>
      </c>
      <c r="D9" s="577" t="s">
        <v>22</v>
      </c>
      <c r="E9" s="578"/>
      <c r="F9" s="578">
        <v>89</v>
      </c>
      <c r="G9" s="578">
        <v>6</v>
      </c>
      <c r="H9" s="578">
        <v>5</v>
      </c>
      <c r="I9" s="579">
        <f>SUM(F9:H9)</f>
        <v>100</v>
      </c>
      <c r="J9" s="580"/>
      <c r="K9" s="581"/>
      <c r="L9" s="365">
        <v>97.5</v>
      </c>
      <c r="M9" s="1551">
        <v>2.5</v>
      </c>
      <c r="N9" s="1552"/>
      <c r="O9" s="1557"/>
    </row>
    <row r="10" spans="1:15" s="1" customFormat="1" ht="23.25" customHeight="1" x14ac:dyDescent="0.2">
      <c r="A10" s="1566" t="s">
        <v>5</v>
      </c>
      <c r="B10" s="1567" t="s">
        <v>115</v>
      </c>
      <c r="C10" s="1562" t="s">
        <v>1013</v>
      </c>
      <c r="D10" s="12" t="s">
        <v>21</v>
      </c>
      <c r="E10" s="571">
        <v>0</v>
      </c>
      <c r="F10" s="582">
        <v>0</v>
      </c>
      <c r="G10" s="583">
        <v>0</v>
      </c>
      <c r="H10" s="583">
        <v>0</v>
      </c>
      <c r="I10" s="573">
        <f>SUM(F10:H10)</f>
        <v>0</v>
      </c>
      <c r="J10" s="574"/>
      <c r="K10" s="575" t="e">
        <f>+I10/J10</f>
        <v>#DIV/0!</v>
      </c>
      <c r="L10" s="584"/>
      <c r="M10" s="15"/>
      <c r="N10" s="28"/>
      <c r="O10" s="1557"/>
    </row>
    <row r="11" spans="1:15" s="1" customFormat="1" ht="23.25" customHeight="1" x14ac:dyDescent="0.2">
      <c r="A11" s="1563" t="s">
        <v>5</v>
      </c>
      <c r="B11" s="1568" t="s">
        <v>115</v>
      </c>
      <c r="C11" s="1569" t="s">
        <v>1013</v>
      </c>
      <c r="D11" s="585" t="s">
        <v>22</v>
      </c>
      <c r="E11" s="586"/>
      <c r="F11" s="586" t="e">
        <f>+F10/I10*100</f>
        <v>#DIV/0!</v>
      </c>
      <c r="G11" s="586" t="e">
        <f>+G10/I10*100</f>
        <v>#DIV/0!</v>
      </c>
      <c r="H11" s="586" t="e">
        <f>+H10/I10*100</f>
        <v>#DIV/0!</v>
      </c>
      <c r="I11" s="587" t="e">
        <f>SUM(F11:H11)</f>
        <v>#DIV/0!</v>
      </c>
      <c r="J11" s="588"/>
      <c r="K11" s="589"/>
      <c r="L11" s="590" t="e">
        <f>(I10/E10)*100</f>
        <v>#DIV/0!</v>
      </c>
      <c r="M11" s="1551" t="e">
        <f>100-L11</f>
        <v>#DIV/0!</v>
      </c>
      <c r="N11" s="1552"/>
      <c r="O11" s="1558"/>
    </row>
    <row r="12" spans="1:15" s="1" customFormat="1" ht="23.25" customHeight="1" x14ac:dyDescent="0.2">
      <c r="A12" s="1563" t="s">
        <v>5</v>
      </c>
      <c r="B12" s="1564" t="s">
        <v>115</v>
      </c>
      <c r="C12" s="1570" t="s">
        <v>83</v>
      </c>
      <c r="D12" s="606" t="s">
        <v>21</v>
      </c>
      <c r="E12" s="600">
        <f>E10-E8</f>
        <v>0</v>
      </c>
      <c r="F12" s="600">
        <f t="shared" ref="F12:L13" si="0">F10-F8</f>
        <v>0</v>
      </c>
      <c r="G12" s="600">
        <f t="shared" si="0"/>
        <v>0</v>
      </c>
      <c r="H12" s="600">
        <f t="shared" si="0"/>
        <v>0</v>
      </c>
      <c r="I12" s="600">
        <f t="shared" si="0"/>
        <v>0</v>
      </c>
      <c r="J12" s="600">
        <f t="shared" si="0"/>
        <v>0</v>
      </c>
      <c r="K12" s="600" t="e">
        <f t="shared" si="0"/>
        <v>#DIV/0!</v>
      </c>
      <c r="L12" s="600">
        <f t="shared" si="0"/>
        <v>0</v>
      </c>
      <c r="M12" s="600"/>
      <c r="N12" s="600"/>
      <c r="O12" s="600"/>
    </row>
    <row r="13" spans="1:15" s="1" customFormat="1" ht="23.25" customHeight="1" x14ac:dyDescent="0.2">
      <c r="A13" s="1563" t="s">
        <v>5</v>
      </c>
      <c r="B13" s="1571" t="s">
        <v>115</v>
      </c>
      <c r="C13" s="1572" t="s">
        <v>83</v>
      </c>
      <c r="D13" s="818" t="s">
        <v>22</v>
      </c>
      <c r="E13" s="819"/>
      <c r="F13" s="819" t="e">
        <f>F11-F9</f>
        <v>#DIV/0!</v>
      </c>
      <c r="G13" s="819" t="e">
        <f t="shared" si="0"/>
        <v>#DIV/0!</v>
      </c>
      <c r="H13" s="819" t="e">
        <f t="shared" si="0"/>
        <v>#DIV/0!</v>
      </c>
      <c r="I13" s="819" t="e">
        <f t="shared" si="0"/>
        <v>#DIV/0!</v>
      </c>
      <c r="J13" s="820"/>
      <c r="K13" s="821"/>
      <c r="L13" s="822"/>
      <c r="M13" s="823"/>
      <c r="N13" s="823"/>
      <c r="O13" s="824"/>
    </row>
    <row r="14" spans="1:15" s="1" customFormat="1" ht="22" customHeight="1" x14ac:dyDescent="0.2">
      <c r="A14" s="1560" t="s">
        <v>25</v>
      </c>
      <c r="B14" s="1561" t="s">
        <v>1014</v>
      </c>
      <c r="C14" s="1562" t="s">
        <v>883</v>
      </c>
      <c r="D14" s="17" t="s">
        <v>21</v>
      </c>
      <c r="E14" s="21">
        <f>+K14*J14*100/L15</f>
        <v>90200</v>
      </c>
      <c r="F14" s="771">
        <f>F15*$I$14/100</f>
        <v>80909.399999999994</v>
      </c>
      <c r="G14" s="771">
        <f>G15*$I$14/100</f>
        <v>4397.25</v>
      </c>
      <c r="H14" s="21">
        <f>H15*$I$14/100</f>
        <v>2638.35</v>
      </c>
      <c r="I14" s="836">
        <f>J14*K14</f>
        <v>87945</v>
      </c>
      <c r="J14" s="431">
        <v>7.15</v>
      </c>
      <c r="K14" s="21">
        <v>12300</v>
      </c>
      <c r="L14" s="21"/>
      <c r="M14" s="381"/>
      <c r="N14" s="381"/>
      <c r="O14" s="1554">
        <v>100</v>
      </c>
    </row>
    <row r="15" spans="1:15" s="1" customFormat="1" ht="22" customHeight="1" x14ac:dyDescent="0.2">
      <c r="A15" s="1563" t="s">
        <v>25</v>
      </c>
      <c r="B15" s="1564" t="s">
        <v>1014</v>
      </c>
      <c r="C15" s="1565" t="s">
        <v>883</v>
      </c>
      <c r="D15" s="17" t="s">
        <v>22</v>
      </c>
      <c r="E15" s="23"/>
      <c r="F15" s="775">
        <v>92</v>
      </c>
      <c r="G15" s="776">
        <v>5</v>
      </c>
      <c r="H15" s="379">
        <v>3</v>
      </c>
      <c r="I15" s="379">
        <f>SUM(F15:H15)</f>
        <v>100</v>
      </c>
      <c r="J15" s="430"/>
      <c r="K15" s="380"/>
      <c r="L15" s="365">
        <v>97.5</v>
      </c>
      <c r="M15" s="1549">
        <f>100-L15</f>
        <v>2.5</v>
      </c>
      <c r="N15" s="1549"/>
      <c r="O15" s="1554"/>
    </row>
    <row r="16" spans="1:15" s="1" customFormat="1" ht="22" customHeight="1" x14ac:dyDescent="0.2">
      <c r="A16" s="1563" t="s">
        <v>25</v>
      </c>
      <c r="B16" s="1567" t="s">
        <v>1014</v>
      </c>
      <c r="C16" s="1562" t="s">
        <v>1013</v>
      </c>
      <c r="D16" s="17" t="s">
        <v>21</v>
      </c>
      <c r="E16" s="846">
        <v>92105</v>
      </c>
      <c r="F16" s="21">
        <v>91914</v>
      </c>
      <c r="G16" s="836">
        <v>0</v>
      </c>
      <c r="H16" s="836">
        <v>606</v>
      </c>
      <c r="I16" s="836">
        <f>SUM(F16:H16)</f>
        <v>92520</v>
      </c>
      <c r="J16" s="431">
        <v>7.15</v>
      </c>
      <c r="K16" s="21">
        <v>12940</v>
      </c>
      <c r="L16" s="17"/>
      <c r="M16" s="17"/>
      <c r="N16" s="17"/>
      <c r="O16" s="1554">
        <v>147</v>
      </c>
    </row>
    <row r="17" spans="1:15" s="1" customFormat="1" ht="22" customHeight="1" x14ac:dyDescent="0.2">
      <c r="A17" s="1563" t="s">
        <v>25</v>
      </c>
      <c r="B17" s="1568" t="s">
        <v>1014</v>
      </c>
      <c r="C17" s="1569" t="s">
        <v>1013</v>
      </c>
      <c r="D17" s="17" t="s">
        <v>22</v>
      </c>
      <c r="E17" s="23"/>
      <c r="F17" s="378">
        <f>+F16/$I$16*100</f>
        <v>99.345006485084312</v>
      </c>
      <c r="G17" s="378">
        <f>+G16/$I$16*100</f>
        <v>0</v>
      </c>
      <c r="H17" s="378">
        <f>+H16/$I$16*100</f>
        <v>0.65499351491569391</v>
      </c>
      <c r="I17" s="379">
        <f>SUM(F17:H17)</f>
        <v>100</v>
      </c>
      <c r="J17" s="430"/>
      <c r="K17" s="380"/>
      <c r="L17" s="364">
        <f>I16/E16*100</f>
        <v>100.45057271592204</v>
      </c>
      <c r="M17" s="1550">
        <f>100-L17</f>
        <v>-0.45057271592203563</v>
      </c>
      <c r="N17" s="1550"/>
      <c r="O17" s="1554"/>
    </row>
    <row r="18" spans="1:15" s="1" customFormat="1" ht="22" customHeight="1" x14ac:dyDescent="0.2">
      <c r="A18" s="1563" t="s">
        <v>25</v>
      </c>
      <c r="B18" s="1564" t="s">
        <v>1014</v>
      </c>
      <c r="C18" s="1570" t="s">
        <v>83</v>
      </c>
      <c r="D18" s="606" t="s">
        <v>21</v>
      </c>
      <c r="E18" s="838">
        <f>E16-E14</f>
        <v>1905</v>
      </c>
      <c r="F18" s="837">
        <f t="shared" ref="F18:I19" si="1">F16-F14</f>
        <v>11004.600000000006</v>
      </c>
      <c r="G18" s="837">
        <f t="shared" si="1"/>
        <v>-4397.25</v>
      </c>
      <c r="H18" s="838">
        <f t="shared" si="1"/>
        <v>-2032.35</v>
      </c>
      <c r="I18" s="838">
        <f t="shared" si="1"/>
        <v>4575</v>
      </c>
      <c r="J18" s="622"/>
      <c r="K18" s="622"/>
      <c r="L18" s="603"/>
      <c r="M18" s="604"/>
      <c r="N18" s="604"/>
      <c r="O18" s="623"/>
    </row>
    <row r="19" spans="1:15" s="1" customFormat="1" ht="22" customHeight="1" x14ac:dyDescent="0.2">
      <c r="A19" s="1563" t="s">
        <v>25</v>
      </c>
      <c r="B19" s="1571" t="s">
        <v>1014</v>
      </c>
      <c r="C19" s="1572" t="s">
        <v>83</v>
      </c>
      <c r="D19" s="599" t="s">
        <v>22</v>
      </c>
      <c r="E19" s="622"/>
      <c r="F19" s="600">
        <f>F17-F15</f>
        <v>7.345006485084312</v>
      </c>
      <c r="G19" s="600">
        <f t="shared" si="1"/>
        <v>-5</v>
      </c>
      <c r="H19" s="600">
        <f t="shared" si="1"/>
        <v>-2.3450064850843062</v>
      </c>
      <c r="I19" s="600">
        <f t="shared" si="1"/>
        <v>0</v>
      </c>
      <c r="J19" s="601"/>
      <c r="K19" s="602"/>
      <c r="L19" s="603"/>
      <c r="M19" s="604"/>
      <c r="N19" s="604"/>
      <c r="O19" s="605"/>
    </row>
    <row r="20" spans="1:15" s="1" customFormat="1" ht="22" customHeight="1" x14ac:dyDescent="0.2">
      <c r="A20" s="1563" t="s">
        <v>25</v>
      </c>
      <c r="B20" s="1561" t="s">
        <v>1015</v>
      </c>
      <c r="C20" s="1562" t="s">
        <v>883</v>
      </c>
      <c r="D20" s="12" t="s">
        <v>21</v>
      </c>
      <c r="E20" s="21">
        <f>+K20*J20*100/L21</f>
        <v>23338.461538461539</v>
      </c>
      <c r="F20" s="21">
        <f>F21*$I$20/100</f>
        <v>20934.599999999999</v>
      </c>
      <c r="G20" s="21">
        <f>G21*$I$20/100</f>
        <v>1137.75</v>
      </c>
      <c r="H20" s="21">
        <f>H21*$I$20/100</f>
        <v>682.65</v>
      </c>
      <c r="I20" s="836">
        <f>J20*K20</f>
        <v>22755</v>
      </c>
      <c r="J20" s="431">
        <v>1.85</v>
      </c>
      <c r="K20" s="21">
        <v>12300</v>
      </c>
      <c r="L20" s="21"/>
      <c r="M20" s="381"/>
      <c r="N20" s="381"/>
      <c r="O20" s="1554">
        <v>100</v>
      </c>
    </row>
    <row r="21" spans="1:15" s="1" customFormat="1" ht="22" customHeight="1" x14ac:dyDescent="0.2">
      <c r="A21" s="1566" t="s">
        <v>25</v>
      </c>
      <c r="B21" s="1564" t="s">
        <v>1015</v>
      </c>
      <c r="C21" s="1565" t="s">
        <v>883</v>
      </c>
      <c r="D21" s="12" t="s">
        <v>22</v>
      </c>
      <c r="E21" s="23"/>
      <c r="F21" s="775">
        <v>92</v>
      </c>
      <c r="G21" s="776">
        <v>5</v>
      </c>
      <c r="H21" s="379">
        <v>3</v>
      </c>
      <c r="I21" s="379">
        <f>SUM(F21:H21)</f>
        <v>100</v>
      </c>
      <c r="J21" s="431"/>
      <c r="K21" s="21"/>
      <c r="L21" s="365">
        <v>97.5</v>
      </c>
      <c r="M21" s="1549">
        <f>100-L21</f>
        <v>2.5</v>
      </c>
      <c r="N21" s="1549"/>
      <c r="O21" s="1554"/>
    </row>
    <row r="22" spans="1:15" s="1" customFormat="1" ht="22" customHeight="1" x14ac:dyDescent="0.2">
      <c r="A22" s="1563" t="s">
        <v>25</v>
      </c>
      <c r="B22" s="1567" t="s">
        <v>1015</v>
      </c>
      <c r="C22" s="1562" t="s">
        <v>1013</v>
      </c>
      <c r="D22" s="12" t="s">
        <v>21</v>
      </c>
      <c r="E22" s="845">
        <v>23615</v>
      </c>
      <c r="F22" s="839">
        <v>21199.5</v>
      </c>
      <c r="G22" s="840">
        <v>0</v>
      </c>
      <c r="H22" s="840">
        <v>2161.5</v>
      </c>
      <c r="I22" s="840">
        <f>SUM(F22:H22)</f>
        <v>23361</v>
      </c>
      <c r="J22" s="432">
        <v>1.85</v>
      </c>
      <c r="K22" s="21">
        <v>12628</v>
      </c>
      <c r="L22" s="730"/>
      <c r="M22" s="730"/>
      <c r="N22" s="730"/>
      <c r="O22" s="1554">
        <v>171</v>
      </c>
    </row>
    <row r="23" spans="1:15" s="1" customFormat="1" ht="22" customHeight="1" x14ac:dyDescent="0.2">
      <c r="A23" s="1563" t="s">
        <v>25</v>
      </c>
      <c r="B23" s="1568" t="s">
        <v>1015</v>
      </c>
      <c r="C23" s="1569" t="s">
        <v>1013</v>
      </c>
      <c r="D23" s="12" t="s">
        <v>22</v>
      </c>
      <c r="E23" s="23"/>
      <c r="F23" s="24">
        <f>+F22/$I$22*100</f>
        <v>90.747399512007192</v>
      </c>
      <c r="G23" s="25">
        <f>+G22/I22*100</f>
        <v>0</v>
      </c>
      <c r="H23" s="25">
        <f>+H22/I22*100</f>
        <v>9.2526004879928081</v>
      </c>
      <c r="I23" s="25">
        <f>SUM(F23:H23)</f>
        <v>100</v>
      </c>
      <c r="J23" s="433"/>
      <c r="K23" s="26"/>
      <c r="L23" s="364">
        <f>I22/E22*100</f>
        <v>98.924412449714154</v>
      </c>
      <c r="M23" s="1550">
        <f>100-L23</f>
        <v>1.0755875502858459</v>
      </c>
      <c r="N23" s="1550"/>
      <c r="O23" s="1554"/>
    </row>
    <row r="24" spans="1:15" s="1" customFormat="1" ht="22" customHeight="1" x14ac:dyDescent="0.2">
      <c r="A24" s="1563" t="s">
        <v>25</v>
      </c>
      <c r="B24" s="1564" t="s">
        <v>1015</v>
      </c>
      <c r="C24" s="1570" t="s">
        <v>83</v>
      </c>
      <c r="D24" s="606" t="s">
        <v>21</v>
      </c>
      <c r="E24" s="622">
        <f>E22-E20</f>
        <v>276.53846153846098</v>
      </c>
      <c r="F24" s="841">
        <f t="shared" ref="F24:I25" si="2">F22-F20</f>
        <v>264.90000000000146</v>
      </c>
      <c r="G24" s="841">
        <f t="shared" si="2"/>
        <v>-1137.75</v>
      </c>
      <c r="H24" s="838">
        <f t="shared" si="2"/>
        <v>1478.85</v>
      </c>
      <c r="I24" s="838">
        <f t="shared" si="2"/>
        <v>606</v>
      </c>
      <c r="J24" s="622"/>
      <c r="K24" s="622"/>
      <c r="L24" s="603"/>
      <c r="M24" s="604"/>
      <c r="N24" s="604"/>
      <c r="O24" s="623"/>
    </row>
    <row r="25" spans="1:15" s="1" customFormat="1" ht="22" customHeight="1" x14ac:dyDescent="0.2">
      <c r="A25" s="1563" t="s">
        <v>25</v>
      </c>
      <c r="B25" s="1571" t="s">
        <v>1015</v>
      </c>
      <c r="C25" s="1572" t="s">
        <v>83</v>
      </c>
      <c r="D25" s="599" t="s">
        <v>22</v>
      </c>
      <c r="E25" s="622"/>
      <c r="F25" s="600">
        <f>F23-F21</f>
        <v>-1.2526004879928081</v>
      </c>
      <c r="G25" s="600">
        <f t="shared" si="2"/>
        <v>-5</v>
      </c>
      <c r="H25" s="600">
        <f t="shared" si="2"/>
        <v>6.2526004879928081</v>
      </c>
      <c r="I25" s="600">
        <f t="shared" si="2"/>
        <v>0</v>
      </c>
      <c r="J25" s="601"/>
      <c r="K25" s="602"/>
      <c r="L25" s="603"/>
      <c r="M25" s="604"/>
      <c r="N25" s="604"/>
      <c r="O25" s="605"/>
    </row>
    <row r="26" spans="1:15" s="1" customFormat="1" ht="22" customHeight="1" x14ac:dyDescent="0.2">
      <c r="A26" s="3249" t="s">
        <v>674</v>
      </c>
      <c r="B26" s="3250"/>
      <c r="C26" s="1524" t="s">
        <v>1016</v>
      </c>
      <c r="D26" s="509" t="s">
        <v>21</v>
      </c>
      <c r="E26" s="731">
        <f t="shared" ref="E26:J26" si="3">E14+E20</f>
        <v>113538.46153846153</v>
      </c>
      <c r="F26" s="731">
        <f t="shared" si="3"/>
        <v>101844</v>
      </c>
      <c r="G26" s="731">
        <f t="shared" si="3"/>
        <v>5535</v>
      </c>
      <c r="H26" s="731">
        <f t="shared" si="3"/>
        <v>3321</v>
      </c>
      <c r="I26" s="731">
        <f t="shared" si="3"/>
        <v>110700</v>
      </c>
      <c r="J26" s="510">
        <f t="shared" si="3"/>
        <v>9</v>
      </c>
      <c r="K26" s="731">
        <f>(K14+K20)/2</f>
        <v>12300</v>
      </c>
      <c r="L26" s="515"/>
      <c r="M26" s="516"/>
      <c r="N26" s="516"/>
      <c r="O26" s="1555">
        <v>100</v>
      </c>
    </row>
    <row r="27" spans="1:15" s="1" customFormat="1" ht="22" customHeight="1" x14ac:dyDescent="0.2">
      <c r="A27" s="3251"/>
      <c r="B27" s="3252"/>
      <c r="C27" s="1573" t="s">
        <v>1016</v>
      </c>
      <c r="D27" s="509" t="s">
        <v>22</v>
      </c>
      <c r="E27" s="511"/>
      <c r="F27" s="518">
        <f>F26/$I$26*100</f>
        <v>92</v>
      </c>
      <c r="G27" s="518">
        <f>G26/$I$26*100</f>
        <v>5</v>
      </c>
      <c r="H27" s="518">
        <f>H26/$I$26*100</f>
        <v>3</v>
      </c>
      <c r="I27" s="519">
        <f>SUM(F27:H27)</f>
        <v>100</v>
      </c>
      <c r="J27" s="520"/>
      <c r="K27" s="521"/>
      <c r="L27" s="522">
        <v>97.5</v>
      </c>
      <c r="M27" s="1547">
        <v>2.5</v>
      </c>
      <c r="N27" s="1547"/>
      <c r="O27" s="1555"/>
    </row>
    <row r="28" spans="1:15" s="1" customFormat="1" ht="22" customHeight="1" x14ac:dyDescent="0.2">
      <c r="A28" s="3251"/>
      <c r="B28" s="3253"/>
      <c r="C28" s="1524" t="s">
        <v>1017</v>
      </c>
      <c r="D28" s="509" t="s">
        <v>21</v>
      </c>
      <c r="E28" s="731">
        <f t="shared" ref="E28:J28" si="4">E16+E22</f>
        <v>115720</v>
      </c>
      <c r="F28" s="731">
        <f t="shared" si="4"/>
        <v>113113.5</v>
      </c>
      <c r="G28" s="731">
        <f t="shared" si="4"/>
        <v>0</v>
      </c>
      <c r="H28" s="731">
        <f t="shared" si="4"/>
        <v>2767.5</v>
      </c>
      <c r="I28" s="731">
        <f t="shared" si="4"/>
        <v>115881</v>
      </c>
      <c r="J28" s="510">
        <f t="shared" si="4"/>
        <v>9</v>
      </c>
      <c r="K28" s="514">
        <f>+I28/J28</f>
        <v>12875.666666666666</v>
      </c>
      <c r="L28" s="524"/>
      <c r="M28" s="508"/>
      <c r="N28" s="508"/>
      <c r="O28" s="1555">
        <v>152</v>
      </c>
    </row>
    <row r="29" spans="1:15" s="1" customFormat="1" ht="26.25" customHeight="1" x14ac:dyDescent="0.2">
      <c r="A29" s="3251"/>
      <c r="B29" s="3253"/>
      <c r="C29" s="1573" t="s">
        <v>1017</v>
      </c>
      <c r="D29" s="509" t="s">
        <v>22</v>
      </c>
      <c r="E29" s="511"/>
      <c r="F29" s="518">
        <f>+F28/$I$28*100</f>
        <v>97.611774147616941</v>
      </c>
      <c r="G29" s="518">
        <f>+G28/$I$28*100</f>
        <v>0</v>
      </c>
      <c r="H29" s="518">
        <f>+H28/$I$28*100</f>
        <v>2.3882258523830484</v>
      </c>
      <c r="I29" s="519">
        <f>SUM(F29:H29)</f>
        <v>99.999999999999986</v>
      </c>
      <c r="J29" s="520"/>
      <c r="K29" s="521"/>
      <c r="L29" s="825">
        <f>+I28/E28*100</f>
        <v>100.13912893190459</v>
      </c>
      <c r="M29" s="1547">
        <f>100-L29</f>
        <v>-0.13912893190459386</v>
      </c>
      <c r="N29" s="1547"/>
      <c r="O29" s="1555"/>
    </row>
    <row r="30" spans="1:15" s="1" customFormat="1" ht="26.25" customHeight="1" x14ac:dyDescent="0.2">
      <c r="A30" s="3251"/>
      <c r="B30" s="3253"/>
      <c r="C30" s="1570" t="s">
        <v>83</v>
      </c>
      <c r="D30" s="606" t="s">
        <v>21</v>
      </c>
      <c r="E30" s="838">
        <f>E28-E26</f>
        <v>2181.5384615384683</v>
      </c>
      <c r="F30" s="838">
        <f t="shared" ref="F30:K31" si="5">F28-F26</f>
        <v>11269.5</v>
      </c>
      <c r="G30" s="838">
        <f t="shared" si="5"/>
        <v>-5535</v>
      </c>
      <c r="H30" s="838">
        <f t="shared" si="5"/>
        <v>-553.5</v>
      </c>
      <c r="I30" s="838">
        <f t="shared" si="5"/>
        <v>5181</v>
      </c>
      <c r="J30" s="622">
        <f t="shared" si="5"/>
        <v>0</v>
      </c>
      <c r="K30" s="622">
        <f t="shared" si="5"/>
        <v>575.66666666666606</v>
      </c>
      <c r="L30" s="603"/>
      <c r="M30" s="604"/>
      <c r="N30" s="604"/>
      <c r="O30" s="623"/>
    </row>
    <row r="31" spans="1:15" s="1" customFormat="1" ht="26.25" customHeight="1" x14ac:dyDescent="0.2">
      <c r="A31" s="3251"/>
      <c r="B31" s="3253"/>
      <c r="C31" s="1574" t="s">
        <v>83</v>
      </c>
      <c r="D31" s="599" t="s">
        <v>22</v>
      </c>
      <c r="E31" s="622"/>
      <c r="F31" s="600">
        <f>F29-F27</f>
        <v>5.6117741476169414</v>
      </c>
      <c r="G31" s="600">
        <f t="shared" si="5"/>
        <v>-5</v>
      </c>
      <c r="H31" s="600">
        <f t="shared" si="5"/>
        <v>-0.61177414761695159</v>
      </c>
      <c r="I31" s="600">
        <f t="shared" si="5"/>
        <v>0</v>
      </c>
      <c r="J31" s="601"/>
      <c r="K31" s="602"/>
      <c r="L31" s="603"/>
      <c r="M31" s="604"/>
      <c r="N31" s="604"/>
      <c r="O31" s="605"/>
    </row>
    <row r="32" spans="1:15" s="1" customFormat="1" ht="25" customHeight="1" x14ac:dyDescent="0.2">
      <c r="A32" s="3141" t="s">
        <v>28</v>
      </c>
      <c r="B32" s="3142"/>
      <c r="C32" s="1529" t="s">
        <v>1018</v>
      </c>
      <c r="D32" s="31" t="s">
        <v>21</v>
      </c>
      <c r="E32" s="842">
        <f t="shared" ref="E32:J32" si="6">E8+E26</f>
        <v>113538.46153846153</v>
      </c>
      <c r="F32" s="842">
        <f t="shared" si="6"/>
        <v>101844</v>
      </c>
      <c r="G32" s="842">
        <f t="shared" si="6"/>
        <v>5535</v>
      </c>
      <c r="H32" s="842">
        <f t="shared" si="6"/>
        <v>3321</v>
      </c>
      <c r="I32" s="843">
        <f t="shared" si="6"/>
        <v>110700</v>
      </c>
      <c r="J32" s="437">
        <f t="shared" si="6"/>
        <v>9</v>
      </c>
      <c r="K32" s="359">
        <f>+I32/J32</f>
        <v>12300</v>
      </c>
      <c r="L32" s="368"/>
      <c r="M32" s="826"/>
      <c r="N32" s="826"/>
      <c r="O32" s="1556">
        <f>O26+O9</f>
        <v>100</v>
      </c>
    </row>
    <row r="33" spans="1:15" s="1" customFormat="1" ht="25" customHeight="1" x14ac:dyDescent="0.2">
      <c r="A33" s="3143"/>
      <c r="B33" s="3144"/>
      <c r="C33" s="1575" t="s">
        <v>1018</v>
      </c>
      <c r="D33" s="31" t="s">
        <v>22</v>
      </c>
      <c r="E33" s="32"/>
      <c r="F33" s="33">
        <f>+F32/I32*100</f>
        <v>92</v>
      </c>
      <c r="G33" s="33">
        <f>+G32/I32*100</f>
        <v>5</v>
      </c>
      <c r="H33" s="33">
        <f>+H32/I32*100</f>
        <v>3</v>
      </c>
      <c r="I33" s="397">
        <v>100</v>
      </c>
      <c r="J33" s="436"/>
      <c r="K33" s="358"/>
      <c r="L33" s="366">
        <f>+I32/E32*100</f>
        <v>97.500000000000014</v>
      </c>
      <c r="M33" s="1553">
        <f>100-L33</f>
        <v>2.4999999999999858</v>
      </c>
      <c r="N33" s="1553"/>
      <c r="O33" s="1556"/>
    </row>
    <row r="34" spans="1:15" s="1" customFormat="1" ht="25" customHeight="1" x14ac:dyDescent="0.2">
      <c r="A34" s="3143"/>
      <c r="B34" s="3145"/>
      <c r="C34" s="1529" t="s">
        <v>1019</v>
      </c>
      <c r="D34" s="31" t="s">
        <v>21</v>
      </c>
      <c r="E34" s="842">
        <f t="shared" ref="E34:J34" si="7">E10+E28</f>
        <v>115720</v>
      </c>
      <c r="F34" s="842">
        <f t="shared" si="7"/>
        <v>113113.5</v>
      </c>
      <c r="G34" s="842">
        <f t="shared" si="7"/>
        <v>0</v>
      </c>
      <c r="H34" s="842">
        <f t="shared" si="7"/>
        <v>2767.5</v>
      </c>
      <c r="I34" s="843">
        <f t="shared" si="7"/>
        <v>115881</v>
      </c>
      <c r="J34" s="437">
        <f t="shared" si="7"/>
        <v>9</v>
      </c>
      <c r="K34" s="359">
        <f>I34/J34</f>
        <v>12875.666666666666</v>
      </c>
      <c r="L34" s="367"/>
      <c r="M34" s="35"/>
      <c r="N34" s="35"/>
      <c r="O34" s="1556">
        <f>O10+O28</f>
        <v>152</v>
      </c>
    </row>
    <row r="35" spans="1:15" s="1" customFormat="1" ht="25" customHeight="1" x14ac:dyDescent="0.2">
      <c r="A35" s="3143"/>
      <c r="B35" s="3145"/>
      <c r="C35" s="1575" t="s">
        <v>1020</v>
      </c>
      <c r="D35" s="31" t="s">
        <v>22</v>
      </c>
      <c r="E35" s="32"/>
      <c r="F35" s="33">
        <f>F34/$I$34*100</f>
        <v>97.611774147616941</v>
      </c>
      <c r="G35" s="33">
        <f>G34/$I$34*100</f>
        <v>0</v>
      </c>
      <c r="H35" s="33">
        <f>H34/$I$34*100</f>
        <v>2.3882258523830484</v>
      </c>
      <c r="I35" s="397">
        <f>SUM(F35:H35)</f>
        <v>99.999999999999986</v>
      </c>
      <c r="J35" s="436"/>
      <c r="K35" s="358"/>
      <c r="L35" s="366">
        <f>I34/E34*100</f>
        <v>100.13912893190459</v>
      </c>
      <c r="M35" s="1553">
        <f>100-L35</f>
        <v>-0.13912893190459386</v>
      </c>
      <c r="N35" s="1553"/>
      <c r="O35" s="1556"/>
    </row>
    <row r="36" spans="1:15" s="1" customFormat="1" ht="25" customHeight="1" x14ac:dyDescent="0.2">
      <c r="A36" s="3143"/>
      <c r="B36" s="3145"/>
      <c r="C36" s="1529" t="s">
        <v>83</v>
      </c>
      <c r="D36" s="31" t="s">
        <v>21</v>
      </c>
      <c r="E36" s="844">
        <f>E34-E32</f>
        <v>2181.5384615384683</v>
      </c>
      <c r="F36" s="844">
        <f t="shared" ref="F36:K37" si="8">F34-F32</f>
        <v>11269.5</v>
      </c>
      <c r="G36" s="844">
        <f t="shared" si="8"/>
        <v>-5535</v>
      </c>
      <c r="H36" s="844">
        <f t="shared" si="8"/>
        <v>-553.5</v>
      </c>
      <c r="I36" s="844">
        <f t="shared" si="8"/>
        <v>5181</v>
      </c>
      <c r="J36" s="32">
        <f t="shared" si="8"/>
        <v>0</v>
      </c>
      <c r="K36" s="32">
        <f t="shared" si="8"/>
        <v>575.66666666666606</v>
      </c>
      <c r="L36" s="368"/>
      <c r="M36" s="36"/>
      <c r="N36" s="36"/>
      <c r="O36" s="367"/>
    </row>
    <row r="37" spans="1:15" s="1" customFormat="1" ht="25" customHeight="1" x14ac:dyDescent="0.2">
      <c r="A37" s="3146"/>
      <c r="B37" s="3147"/>
      <c r="C37" s="1575" t="s">
        <v>30</v>
      </c>
      <c r="D37" s="31" t="s">
        <v>22</v>
      </c>
      <c r="E37" s="32"/>
      <c r="F37" s="33">
        <f>F35-F33</f>
        <v>5.6117741476169414</v>
      </c>
      <c r="G37" s="33">
        <f t="shared" si="8"/>
        <v>-5</v>
      </c>
      <c r="H37" s="33">
        <f t="shared" si="8"/>
        <v>-0.61177414761695159</v>
      </c>
      <c r="I37" s="397"/>
      <c r="J37" s="437"/>
      <c r="K37" s="827"/>
      <c r="L37" s="368"/>
      <c r="M37" s="36"/>
      <c r="N37" s="36"/>
      <c r="O37" s="828"/>
    </row>
    <row r="38" spans="1:15" s="1" customFormat="1" ht="25" customHeight="1" x14ac:dyDescent="0.2">
      <c r="A38" s="2941" t="s">
        <v>32</v>
      </c>
      <c r="B38" s="2941"/>
      <c r="C38" s="2941"/>
      <c r="D38" s="2941"/>
      <c r="E38" s="2941"/>
      <c r="F38" s="2941"/>
      <c r="G38" s="2941"/>
      <c r="H38" s="2941"/>
      <c r="I38" s="2941"/>
      <c r="J38" s="2941"/>
      <c r="K38" s="2941"/>
      <c r="L38" s="2941"/>
      <c r="M38" s="2941"/>
      <c r="N38" s="2941"/>
    </row>
    <row r="39" spans="1:15" s="1" customFormat="1" ht="25" customHeight="1" x14ac:dyDescent="0.2">
      <c r="A39" s="2663" t="s">
        <v>425</v>
      </c>
      <c r="B39" s="2663"/>
      <c r="C39" s="2663"/>
      <c r="D39" s="2663"/>
      <c r="E39" s="2663"/>
      <c r="F39" s="2663"/>
      <c r="G39" s="2663"/>
      <c r="H39" s="2663"/>
      <c r="I39" s="2663"/>
      <c r="J39" s="2663"/>
      <c r="K39" s="2663"/>
      <c r="L39" s="2663"/>
      <c r="M39" s="2663"/>
      <c r="N39" s="2663"/>
    </row>
    <row r="40" spans="1:15" s="1" customFormat="1" ht="25" customHeight="1" x14ac:dyDescent="0.2">
      <c r="A40" s="2663" t="s">
        <v>427</v>
      </c>
      <c r="B40" s="2663"/>
      <c r="C40" s="2663"/>
      <c r="D40" s="2663"/>
      <c r="E40" s="2663"/>
      <c r="F40" s="2663"/>
      <c r="G40" s="2663"/>
      <c r="H40" s="2663"/>
      <c r="I40" s="2663"/>
      <c r="J40" s="2663"/>
      <c r="K40" s="2663"/>
      <c r="L40" s="2663"/>
      <c r="M40" s="2663"/>
      <c r="N40" s="2663"/>
    </row>
    <row r="41" spans="1:15" s="1" customFormat="1" ht="26" customHeight="1" x14ac:dyDescent="0.2">
      <c r="A41" s="42" t="s">
        <v>311</v>
      </c>
      <c r="B41" s="41"/>
      <c r="C41" s="41"/>
      <c r="D41" s="41"/>
      <c r="E41" s="41"/>
      <c r="F41" s="41"/>
      <c r="G41" s="41"/>
      <c r="H41" s="399"/>
      <c r="I41" s="439"/>
      <c r="J41" s="41"/>
      <c r="K41" s="41"/>
      <c r="L41" s="41"/>
      <c r="M41" s="41"/>
      <c r="N41" s="41"/>
    </row>
    <row r="42" spans="1:15" s="1" customFormat="1" ht="26" customHeight="1" x14ac:dyDescent="0.2">
      <c r="A42" s="42" t="s">
        <v>312</v>
      </c>
      <c r="B42" s="41"/>
      <c r="C42" s="41"/>
      <c r="D42" s="41"/>
      <c r="E42" s="41"/>
      <c r="F42" s="41"/>
      <c r="G42" s="41"/>
      <c r="H42" s="399"/>
      <c r="I42" s="439"/>
      <c r="J42" s="41"/>
      <c r="K42" s="41"/>
      <c r="L42" s="41"/>
      <c r="M42" s="41"/>
      <c r="N42" s="41"/>
    </row>
    <row r="43" spans="1:15" s="1" customFormat="1" ht="26" customHeight="1" x14ac:dyDescent="0.2">
      <c r="A43" s="2665" t="s">
        <v>34</v>
      </c>
      <c r="B43" s="2665" t="s">
        <v>135</v>
      </c>
      <c r="C43" s="2551" t="s">
        <v>6</v>
      </c>
      <c r="D43" s="2551" t="s">
        <v>105</v>
      </c>
      <c r="E43" s="2551" t="s">
        <v>17</v>
      </c>
      <c r="F43" s="2660" t="s">
        <v>106</v>
      </c>
      <c r="G43" s="2662"/>
      <c r="H43" s="2662"/>
      <c r="I43" s="2661"/>
      <c r="J43" s="1013" t="s">
        <v>107</v>
      </c>
      <c r="K43" s="2566" t="s">
        <v>47</v>
      </c>
      <c r="M43" s="41"/>
      <c r="N43" s="41"/>
    </row>
    <row r="44" spans="1:15" s="1" customFormat="1" ht="31" customHeight="1" x14ac:dyDescent="0.2">
      <c r="A44" s="3223"/>
      <c r="B44" s="3223"/>
      <c r="C44" s="2551"/>
      <c r="D44" s="2551"/>
      <c r="E44" s="2551"/>
      <c r="F44" s="11" t="s">
        <v>18</v>
      </c>
      <c r="G44" s="11" t="s">
        <v>19</v>
      </c>
      <c r="H44" s="11" t="s">
        <v>20</v>
      </c>
      <c r="I44" s="11" t="s">
        <v>108</v>
      </c>
      <c r="J44" s="1013" t="s">
        <v>22</v>
      </c>
      <c r="K44" s="2567"/>
      <c r="M44" s="41"/>
      <c r="N44" s="41"/>
    </row>
    <row r="45" spans="1:15" s="1" customFormat="1" ht="26" customHeight="1" x14ac:dyDescent="0.2">
      <c r="A45" s="1635" t="s">
        <v>5</v>
      </c>
      <c r="B45" s="1593" t="s">
        <v>140</v>
      </c>
      <c r="C45" s="1593" t="s">
        <v>115</v>
      </c>
      <c r="D45" s="1637" t="s">
        <v>109</v>
      </c>
      <c r="E45" s="57" t="s">
        <v>21</v>
      </c>
      <c r="F45" s="738">
        <v>0</v>
      </c>
      <c r="G45" s="738">
        <v>0</v>
      </c>
      <c r="H45" s="738">
        <v>0</v>
      </c>
      <c r="I45" s="214">
        <f t="shared" ref="I45:I62" si="9">SUM(F45:H45)</f>
        <v>0</v>
      </c>
      <c r="J45" s="214"/>
      <c r="K45" s="1014"/>
      <c r="M45" s="41"/>
      <c r="N45"/>
    </row>
    <row r="46" spans="1:15" s="1" customFormat="1" ht="26" customHeight="1" x14ac:dyDescent="0.2">
      <c r="A46" s="1636" t="s">
        <v>5</v>
      </c>
      <c r="B46" s="1568" t="s">
        <v>140</v>
      </c>
      <c r="C46" s="1568" t="s">
        <v>115</v>
      </c>
      <c r="D46" s="1638" t="s">
        <v>109</v>
      </c>
      <c r="E46" s="57" t="s">
        <v>22</v>
      </c>
      <c r="F46" s="739" t="e">
        <f>F45/$I$45*100</f>
        <v>#DIV/0!</v>
      </c>
      <c r="G46" s="739" t="e">
        <f>G45/$I$45*100</f>
        <v>#DIV/0!</v>
      </c>
      <c r="H46" s="739" t="e">
        <f>H45/$I$45*100</f>
        <v>#DIV/0!</v>
      </c>
      <c r="I46" s="216" t="e">
        <f t="shared" si="9"/>
        <v>#DIV/0!</v>
      </c>
      <c r="J46" s="215" t="e">
        <f>I45/$I$73*100</f>
        <v>#DIV/0!</v>
      </c>
      <c r="K46" s="1014"/>
      <c r="M46" s="41"/>
      <c r="N46"/>
    </row>
    <row r="47" spans="1:15" s="1" customFormat="1" ht="26" customHeight="1" x14ac:dyDescent="0.2">
      <c r="A47" s="1636" t="s">
        <v>5</v>
      </c>
      <c r="B47" s="1567" t="s">
        <v>140</v>
      </c>
      <c r="C47" s="1567" t="s">
        <v>115</v>
      </c>
      <c r="D47" s="1637" t="s">
        <v>113</v>
      </c>
      <c r="E47" s="57" t="s">
        <v>21</v>
      </c>
      <c r="F47" s="214">
        <v>0</v>
      </c>
      <c r="G47" s="214">
        <v>0</v>
      </c>
      <c r="H47" s="214">
        <v>0</v>
      </c>
      <c r="I47" s="214">
        <f t="shared" si="9"/>
        <v>0</v>
      </c>
      <c r="J47" s="215"/>
      <c r="K47" s="1014"/>
      <c r="M47" s="41"/>
      <c r="N47"/>
    </row>
    <row r="48" spans="1:15" s="1" customFormat="1" ht="26" customHeight="1" x14ac:dyDescent="0.2">
      <c r="A48" s="1636" t="s">
        <v>5</v>
      </c>
      <c r="B48" s="1568" t="s">
        <v>140</v>
      </c>
      <c r="C48" s="1568" t="s">
        <v>115</v>
      </c>
      <c r="D48" s="1638" t="s">
        <v>113</v>
      </c>
      <c r="E48" s="57" t="s">
        <v>22</v>
      </c>
      <c r="F48" s="216" t="e">
        <f>F47/$I$47*100</f>
        <v>#DIV/0!</v>
      </c>
      <c r="G48" s="216" t="e">
        <f>G47/$I$47*100</f>
        <v>#DIV/0!</v>
      </c>
      <c r="H48" s="216" t="e">
        <f>H47/$I$47*100</f>
        <v>#DIV/0!</v>
      </c>
      <c r="I48" s="216" t="e">
        <f>SUM(F48:H48)</f>
        <v>#DIV/0!</v>
      </c>
      <c r="J48" s="215" t="e">
        <f>I47/$I$73*100</f>
        <v>#DIV/0!</v>
      </c>
      <c r="K48" s="1014"/>
      <c r="M48" s="41"/>
      <c r="N48"/>
    </row>
    <row r="49" spans="1:14" s="1" customFormat="1" ht="26" customHeight="1" x14ac:dyDescent="0.2">
      <c r="A49" s="1636" t="s">
        <v>5</v>
      </c>
      <c r="B49" s="1568" t="s">
        <v>140</v>
      </c>
      <c r="C49" s="1568" t="s">
        <v>115</v>
      </c>
      <c r="D49" s="1637" t="s">
        <v>114</v>
      </c>
      <c r="E49" s="57" t="s">
        <v>21</v>
      </c>
      <c r="F49" s="214">
        <v>0</v>
      </c>
      <c r="G49" s="214">
        <v>0</v>
      </c>
      <c r="H49" s="214">
        <v>0</v>
      </c>
      <c r="I49" s="214">
        <v>0</v>
      </c>
      <c r="J49" s="215"/>
      <c r="K49" s="1014"/>
      <c r="M49" s="41"/>
      <c r="N49"/>
    </row>
    <row r="50" spans="1:14" s="1" customFormat="1" ht="26" customHeight="1" x14ac:dyDescent="0.2">
      <c r="A50" s="1636" t="s">
        <v>5</v>
      </c>
      <c r="B50" s="1584" t="s">
        <v>140</v>
      </c>
      <c r="C50" s="1584" t="s">
        <v>115</v>
      </c>
      <c r="D50" s="1638" t="s">
        <v>114</v>
      </c>
      <c r="E50" s="57" t="s">
        <v>22</v>
      </c>
      <c r="F50" s="216" t="e">
        <f>F49/$I$49*100</f>
        <v>#DIV/0!</v>
      </c>
      <c r="G50" s="216" t="e">
        <f>G49/$I$49*100</f>
        <v>#DIV/0!</v>
      </c>
      <c r="H50" s="216" t="e">
        <f>H49/$I$49*100</f>
        <v>#DIV/0!</v>
      </c>
      <c r="I50" s="214" t="e">
        <f t="shared" si="9"/>
        <v>#DIV/0!</v>
      </c>
      <c r="J50" s="215" t="e">
        <f>I49/$I$73*100</f>
        <v>#DIV/0!</v>
      </c>
      <c r="K50" s="1014"/>
      <c r="M50" s="41"/>
      <c r="N50"/>
    </row>
    <row r="51" spans="1:14" s="1" customFormat="1" ht="26" customHeight="1" x14ac:dyDescent="0.2">
      <c r="A51" s="1633" t="s">
        <v>5</v>
      </c>
      <c r="B51" s="3257" t="s">
        <v>103</v>
      </c>
      <c r="C51" s="3258"/>
      <c r="D51" s="3259"/>
      <c r="E51" s="414" t="s">
        <v>21</v>
      </c>
      <c r="F51" s="415">
        <f>F45+F47+F49</f>
        <v>0</v>
      </c>
      <c r="G51" s="415">
        <f>G45+G47+G49</f>
        <v>0</v>
      </c>
      <c r="H51" s="415">
        <f>H45+H47+H49</f>
        <v>0</v>
      </c>
      <c r="I51" s="415">
        <f>SUM(F51:H51)</f>
        <v>0</v>
      </c>
      <c r="J51" s="917"/>
      <c r="K51" s="1014"/>
      <c r="M51" s="41"/>
      <c r="N51" s="41"/>
    </row>
    <row r="52" spans="1:14" s="1" customFormat="1" ht="26" customHeight="1" x14ac:dyDescent="0.2">
      <c r="A52" s="1633" t="s">
        <v>5</v>
      </c>
      <c r="B52" s="3257"/>
      <c r="C52" s="3258"/>
      <c r="D52" s="3259"/>
      <c r="E52" s="414" t="s">
        <v>22</v>
      </c>
      <c r="F52" s="417" t="e">
        <f>F51/$I$51*100</f>
        <v>#DIV/0!</v>
      </c>
      <c r="G52" s="417" t="e">
        <f>G51/$I$51*100</f>
        <v>#DIV/0!</v>
      </c>
      <c r="H52" s="417" t="e">
        <f>H51/$I$51*100</f>
        <v>#DIV/0!</v>
      </c>
      <c r="I52" s="415" t="e">
        <f>SUM(F52:H52)</f>
        <v>#DIV/0!</v>
      </c>
      <c r="J52" s="917"/>
      <c r="K52" s="1014"/>
      <c r="M52" s="41"/>
      <c r="N52" s="41"/>
    </row>
    <row r="53" spans="1:14" s="1" customFormat="1" ht="26" customHeight="1" x14ac:dyDescent="0.2">
      <c r="A53" s="1633" t="s">
        <v>5</v>
      </c>
      <c r="B53" s="1639" t="s">
        <v>139</v>
      </c>
      <c r="C53" s="1593" t="s">
        <v>115</v>
      </c>
      <c r="D53" s="1640" t="s">
        <v>120</v>
      </c>
      <c r="E53" s="485" t="s">
        <v>21</v>
      </c>
      <c r="F53" s="1626">
        <v>0</v>
      </c>
      <c r="G53" s="738">
        <v>0</v>
      </c>
      <c r="H53" s="738">
        <v>0</v>
      </c>
      <c r="I53" s="1627">
        <v>0</v>
      </c>
      <c r="J53" s="215"/>
      <c r="K53" s="1014"/>
      <c r="M53" s="41"/>
      <c r="N53" s="41"/>
    </row>
    <row r="54" spans="1:14" s="1" customFormat="1" ht="26" customHeight="1" x14ac:dyDescent="0.2">
      <c r="A54" s="1633" t="s">
        <v>5</v>
      </c>
      <c r="B54" s="1641" t="s">
        <v>139</v>
      </c>
      <c r="C54" s="1568" t="s">
        <v>115</v>
      </c>
      <c r="D54" s="1642" t="s">
        <v>120</v>
      </c>
      <c r="E54" s="485" t="s">
        <v>22</v>
      </c>
      <c r="F54" s="215" t="e">
        <f>F53/$I$53*100</f>
        <v>#DIV/0!</v>
      </c>
      <c r="G54" s="215" t="e">
        <f>G53/$I$53*100</f>
        <v>#DIV/0!</v>
      </c>
      <c r="H54" s="215" t="e">
        <f>H53/$I$53*100</f>
        <v>#DIV/0!</v>
      </c>
      <c r="I54" s="214" t="e">
        <f t="shared" si="9"/>
        <v>#DIV/0!</v>
      </c>
      <c r="J54" s="215" t="e">
        <f>I53/$I$73*100</f>
        <v>#DIV/0!</v>
      </c>
      <c r="K54" s="1014"/>
      <c r="M54" s="41"/>
      <c r="N54"/>
    </row>
    <row r="55" spans="1:14" s="1" customFormat="1" ht="26" customHeight="1" x14ac:dyDescent="0.2">
      <c r="A55" s="1633" t="s">
        <v>5</v>
      </c>
      <c r="B55" s="1643" t="s">
        <v>139</v>
      </c>
      <c r="C55" s="1568" t="s">
        <v>115</v>
      </c>
      <c r="D55" s="1640" t="s">
        <v>125</v>
      </c>
      <c r="E55" s="485" t="s">
        <v>21</v>
      </c>
      <c r="F55" s="738">
        <v>0</v>
      </c>
      <c r="G55" s="738">
        <v>0</v>
      </c>
      <c r="H55" s="738">
        <v>0</v>
      </c>
      <c r="I55" s="214">
        <v>0</v>
      </c>
      <c r="J55" s="215"/>
      <c r="K55" s="1014"/>
      <c r="M55" s="41"/>
      <c r="N55"/>
    </row>
    <row r="56" spans="1:14" s="1" customFormat="1" ht="26" customHeight="1" x14ac:dyDescent="0.2">
      <c r="A56" s="1567" t="s">
        <v>5</v>
      </c>
      <c r="B56" s="1585" t="s">
        <v>139</v>
      </c>
      <c r="C56" s="1567" t="s">
        <v>115</v>
      </c>
      <c r="D56" s="1642" t="s">
        <v>125</v>
      </c>
      <c r="E56" s="485" t="s">
        <v>22</v>
      </c>
      <c r="F56" s="216" t="e">
        <f>F55/$I$55*100</f>
        <v>#DIV/0!</v>
      </c>
      <c r="G56" s="216" t="e">
        <f>G55/$I$55*100</f>
        <v>#DIV/0!</v>
      </c>
      <c r="H56" s="216" t="e">
        <f>H55/$I$55*100</f>
        <v>#DIV/0!</v>
      </c>
      <c r="I56" s="214" t="e">
        <f t="shared" si="9"/>
        <v>#DIV/0!</v>
      </c>
      <c r="J56" s="215" t="e">
        <f>I55/$I$73*100</f>
        <v>#DIV/0!</v>
      </c>
      <c r="K56" s="1014"/>
      <c r="M56" s="41"/>
      <c r="N56"/>
    </row>
    <row r="57" spans="1:14" s="1" customFormat="1" ht="26" customHeight="1" x14ac:dyDescent="0.2">
      <c r="A57" s="1633" t="s">
        <v>5</v>
      </c>
      <c r="B57" s="1643" t="s">
        <v>139</v>
      </c>
      <c r="C57" s="1568" t="s">
        <v>115</v>
      </c>
      <c r="D57" s="1640" t="s">
        <v>146</v>
      </c>
      <c r="E57" s="485" t="s">
        <v>21</v>
      </c>
      <c r="F57" s="738">
        <v>0</v>
      </c>
      <c r="G57" s="738">
        <v>0</v>
      </c>
      <c r="H57" s="738">
        <v>0</v>
      </c>
      <c r="I57" s="214">
        <v>0</v>
      </c>
      <c r="J57" s="215"/>
      <c r="K57" s="1014"/>
      <c r="M57" s="41"/>
      <c r="N57"/>
    </row>
    <row r="58" spans="1:14" s="1" customFormat="1" ht="26" customHeight="1" x14ac:dyDescent="0.2">
      <c r="A58" s="1633" t="s">
        <v>5</v>
      </c>
      <c r="B58" s="1643" t="s">
        <v>139</v>
      </c>
      <c r="C58" s="1568" t="s">
        <v>115</v>
      </c>
      <c r="D58" s="1642" t="s">
        <v>146</v>
      </c>
      <c r="E58" s="485" t="s">
        <v>22</v>
      </c>
      <c r="F58" s="216" t="e">
        <f>F57/$I$57*100</f>
        <v>#DIV/0!</v>
      </c>
      <c r="G58" s="216" t="e">
        <f>G57/$I$57*100</f>
        <v>#DIV/0!</v>
      </c>
      <c r="H58" s="216" t="e">
        <f>H57/$I$57*100</f>
        <v>#DIV/0!</v>
      </c>
      <c r="I58" s="214" t="e">
        <f t="shared" si="9"/>
        <v>#DIV/0!</v>
      </c>
      <c r="J58" s="215" t="e">
        <f>I57/$I$73*100</f>
        <v>#DIV/0!</v>
      </c>
      <c r="K58" s="1014"/>
      <c r="M58" s="41"/>
      <c r="N58"/>
    </row>
    <row r="59" spans="1:14" s="1" customFormat="1" ht="26" customHeight="1" x14ac:dyDescent="0.2">
      <c r="A59" s="1633" t="s">
        <v>5</v>
      </c>
      <c r="B59" s="1643" t="s">
        <v>139</v>
      </c>
      <c r="C59" s="1568" t="s">
        <v>115</v>
      </c>
      <c r="D59" s="1640" t="s">
        <v>129</v>
      </c>
      <c r="E59" s="485" t="s">
        <v>21</v>
      </c>
      <c r="F59" s="738">
        <v>0</v>
      </c>
      <c r="G59" s="738">
        <v>0</v>
      </c>
      <c r="H59" s="738">
        <v>0</v>
      </c>
      <c r="I59" s="214">
        <v>0</v>
      </c>
      <c r="J59" s="215"/>
      <c r="K59" s="1014"/>
      <c r="M59" s="41"/>
      <c r="N59"/>
    </row>
    <row r="60" spans="1:14" s="1" customFormat="1" ht="26" customHeight="1" x14ac:dyDescent="0.2">
      <c r="A60" s="1633" t="s">
        <v>5</v>
      </c>
      <c r="B60" s="1644" t="s">
        <v>139</v>
      </c>
      <c r="C60" s="1584" t="s">
        <v>115</v>
      </c>
      <c r="D60" s="1642" t="s">
        <v>129</v>
      </c>
      <c r="E60" s="485" t="s">
        <v>22</v>
      </c>
      <c r="F60" s="216" t="e">
        <f>F59/$I$59*100</f>
        <v>#DIV/0!</v>
      </c>
      <c r="G60" s="216" t="e">
        <f>G59/$I$59*100</f>
        <v>#DIV/0!</v>
      </c>
      <c r="H60" s="216" t="e">
        <f>H59/$I$59*100</f>
        <v>#DIV/0!</v>
      </c>
      <c r="I60" s="214" t="e">
        <f t="shared" si="9"/>
        <v>#DIV/0!</v>
      </c>
      <c r="J60" s="215" t="e">
        <f>I59/$I$73*100</f>
        <v>#DIV/0!</v>
      </c>
      <c r="K60" s="1014"/>
      <c r="M60" s="41"/>
      <c r="N60"/>
    </row>
    <row r="61" spans="1:14" s="1" customFormat="1" ht="26" customHeight="1" x14ac:dyDescent="0.2">
      <c r="A61" s="1633" t="s">
        <v>5</v>
      </c>
      <c r="B61" s="3257" t="s">
        <v>103</v>
      </c>
      <c r="C61" s="3258"/>
      <c r="D61" s="3259"/>
      <c r="E61" s="414" t="s">
        <v>21</v>
      </c>
      <c r="F61" s="415">
        <f>F53+F55+F57+F59</f>
        <v>0</v>
      </c>
      <c r="G61" s="415">
        <f>G53+G55+G57+G59</f>
        <v>0</v>
      </c>
      <c r="H61" s="415">
        <f>H53+H55+H57+H59</f>
        <v>0</v>
      </c>
      <c r="I61" s="415">
        <f t="shared" si="9"/>
        <v>0</v>
      </c>
      <c r="J61" s="917"/>
      <c r="K61" s="1014"/>
      <c r="M61" s="41"/>
      <c r="N61"/>
    </row>
    <row r="62" spans="1:14" s="1" customFormat="1" ht="26" customHeight="1" x14ac:dyDescent="0.2">
      <c r="A62" s="1633" t="s">
        <v>5</v>
      </c>
      <c r="B62" s="3257"/>
      <c r="C62" s="3258"/>
      <c r="D62" s="3259"/>
      <c r="E62" s="414" t="s">
        <v>22</v>
      </c>
      <c r="F62" s="417" t="e">
        <f>F61/$I$61*100</f>
        <v>#DIV/0!</v>
      </c>
      <c r="G62" s="417" t="e">
        <f>G61/$I$61*100</f>
        <v>#DIV/0!</v>
      </c>
      <c r="H62" s="417" t="e">
        <f>H61/$I$61*100</f>
        <v>#DIV/0!</v>
      </c>
      <c r="I62" s="415" t="e">
        <f t="shared" si="9"/>
        <v>#DIV/0!</v>
      </c>
      <c r="J62" s="917"/>
      <c r="K62" s="1014"/>
      <c r="M62" s="41"/>
      <c r="N62"/>
    </row>
    <row r="63" spans="1:14" s="1" customFormat="1" ht="26" customHeight="1" x14ac:dyDescent="0.2">
      <c r="A63" s="1633" t="s">
        <v>5</v>
      </c>
      <c r="B63" s="1639" t="s">
        <v>141</v>
      </c>
      <c r="C63" s="1593" t="s">
        <v>115</v>
      </c>
      <c r="D63" s="1640" t="s">
        <v>125</v>
      </c>
      <c r="E63" s="57" t="s">
        <v>21</v>
      </c>
      <c r="F63" s="738"/>
      <c r="G63" s="738"/>
      <c r="H63" s="738"/>
      <c r="I63" s="214"/>
      <c r="J63" s="215"/>
      <c r="K63" s="1519"/>
      <c r="M63" s="41"/>
      <c r="N63"/>
    </row>
    <row r="64" spans="1:14" s="1" customFormat="1" ht="26" customHeight="1" x14ac:dyDescent="0.2">
      <c r="A64" s="1568" t="s">
        <v>5</v>
      </c>
      <c r="B64" s="1641" t="s">
        <v>141</v>
      </c>
      <c r="C64" s="1568" t="s">
        <v>115</v>
      </c>
      <c r="D64" s="1642" t="s">
        <v>125</v>
      </c>
      <c r="E64" s="57" t="s">
        <v>22</v>
      </c>
      <c r="F64" s="216" t="e">
        <f>F63/$I$63*100</f>
        <v>#DIV/0!</v>
      </c>
      <c r="G64" s="216" t="e">
        <f>G63/$I$63*100</f>
        <v>#DIV/0!</v>
      </c>
      <c r="H64" s="216" t="e">
        <f>H63/$I$63*100</f>
        <v>#DIV/0!</v>
      </c>
      <c r="I64" s="216" t="e">
        <f>SUM(F64:H64)</f>
        <v>#DIV/0!</v>
      </c>
      <c r="J64" s="215" t="e">
        <f>I63/$I$73*100</f>
        <v>#DIV/0!</v>
      </c>
      <c r="K64" s="1519"/>
      <c r="M64" s="41"/>
      <c r="N64"/>
    </row>
    <row r="65" spans="1:14" s="1" customFormat="1" ht="26" customHeight="1" x14ac:dyDescent="0.2">
      <c r="A65" s="1633" t="s">
        <v>5</v>
      </c>
      <c r="B65" s="1641" t="s">
        <v>141</v>
      </c>
      <c r="C65" s="1568" t="s">
        <v>115</v>
      </c>
      <c r="D65" s="1640" t="s">
        <v>313</v>
      </c>
      <c r="E65" s="57" t="s">
        <v>21</v>
      </c>
      <c r="F65" s="738"/>
      <c r="G65" s="738"/>
      <c r="H65" s="738"/>
      <c r="I65" s="214"/>
      <c r="J65" s="215"/>
      <c r="K65" s="1519"/>
      <c r="M65" s="41"/>
      <c r="N65"/>
    </row>
    <row r="66" spans="1:14" s="1" customFormat="1" ht="26" customHeight="1" x14ac:dyDescent="0.2">
      <c r="A66" s="1633" t="s">
        <v>5</v>
      </c>
      <c r="B66" s="1648" t="s">
        <v>141</v>
      </c>
      <c r="C66" s="1567" t="s">
        <v>115</v>
      </c>
      <c r="D66" s="1642" t="s">
        <v>313</v>
      </c>
      <c r="E66" s="57" t="s">
        <v>22</v>
      </c>
      <c r="F66" s="216" t="e">
        <f>F65/$I$65*100</f>
        <v>#DIV/0!</v>
      </c>
      <c r="G66" s="216" t="e">
        <f>G65/$I$65*100</f>
        <v>#DIV/0!</v>
      </c>
      <c r="H66" s="216" t="e">
        <f>H65/$I$65*100</f>
        <v>#DIV/0!</v>
      </c>
      <c r="I66" s="216" t="e">
        <f>I65/$I$65*100</f>
        <v>#DIV/0!</v>
      </c>
      <c r="J66" s="215" t="e">
        <f>I65/$I$73*100</f>
        <v>#DIV/0!</v>
      </c>
      <c r="K66" s="1519"/>
      <c r="M66" s="41"/>
      <c r="N66"/>
    </row>
    <row r="67" spans="1:14" s="1" customFormat="1" ht="26" customHeight="1" x14ac:dyDescent="0.2">
      <c r="A67" s="1633" t="s">
        <v>5</v>
      </c>
      <c r="B67" s="1641" t="s">
        <v>141</v>
      </c>
      <c r="C67" s="1568" t="s">
        <v>115</v>
      </c>
      <c r="D67" s="1640" t="s">
        <v>109</v>
      </c>
      <c r="E67" s="57" t="s">
        <v>21</v>
      </c>
      <c r="F67" s="738"/>
      <c r="G67" s="738"/>
      <c r="H67" s="738"/>
      <c r="I67" s="214"/>
      <c r="J67" s="215"/>
      <c r="K67" s="1519"/>
      <c r="M67" s="41"/>
      <c r="N67"/>
    </row>
    <row r="68" spans="1:14" s="1" customFormat="1" ht="26" customHeight="1" x14ac:dyDescent="0.2">
      <c r="A68" s="1633" t="s">
        <v>5</v>
      </c>
      <c r="B68" s="1641" t="s">
        <v>141</v>
      </c>
      <c r="C68" s="1568" t="s">
        <v>115</v>
      </c>
      <c r="D68" s="1642" t="s">
        <v>109</v>
      </c>
      <c r="E68" s="57" t="s">
        <v>22</v>
      </c>
      <c r="F68" s="216" t="e">
        <f>F67/$I$67*100</f>
        <v>#DIV/0!</v>
      </c>
      <c r="G68" s="216" t="e">
        <f>G67/$I$67*100</f>
        <v>#DIV/0!</v>
      </c>
      <c r="H68" s="216" t="e">
        <f>H67/$I$67*100</f>
        <v>#DIV/0!</v>
      </c>
      <c r="I68" s="216" t="e">
        <f>SUM(F68:H68)</f>
        <v>#DIV/0!</v>
      </c>
      <c r="J68" s="215" t="e">
        <f>I67/$I$73*100</f>
        <v>#DIV/0!</v>
      </c>
      <c r="K68" s="1519"/>
      <c r="M68" s="41"/>
      <c r="N68"/>
    </row>
    <row r="69" spans="1:14" s="1" customFormat="1" ht="26" customHeight="1" x14ac:dyDescent="0.2">
      <c r="A69" s="1633" t="s">
        <v>5</v>
      </c>
      <c r="B69" s="1641" t="s">
        <v>141</v>
      </c>
      <c r="C69" s="1568" t="s">
        <v>115</v>
      </c>
      <c r="D69" s="1640" t="s">
        <v>129</v>
      </c>
      <c r="E69" s="57" t="s">
        <v>21</v>
      </c>
      <c r="F69" s="214"/>
      <c r="G69" s="214"/>
      <c r="H69" s="214"/>
      <c r="I69" s="214"/>
      <c r="J69" s="215"/>
      <c r="K69" s="1519"/>
      <c r="M69" s="41"/>
      <c r="N69"/>
    </row>
    <row r="70" spans="1:14" s="1" customFormat="1" ht="26" customHeight="1" x14ac:dyDescent="0.2">
      <c r="A70" s="1633" t="s">
        <v>5</v>
      </c>
      <c r="B70" s="1653" t="s">
        <v>141</v>
      </c>
      <c r="C70" s="1584" t="s">
        <v>115</v>
      </c>
      <c r="D70" s="1642" t="s">
        <v>129</v>
      </c>
      <c r="E70" s="57" t="s">
        <v>22</v>
      </c>
      <c r="F70" s="216" t="e">
        <f>F69/$I$71*100</f>
        <v>#DIV/0!</v>
      </c>
      <c r="G70" s="216" t="e">
        <f>G69/$I$71*100</f>
        <v>#DIV/0!</v>
      </c>
      <c r="H70" s="216" t="e">
        <f>H69/$I$71*100</f>
        <v>#DIV/0!</v>
      </c>
      <c r="I70" s="216" t="e">
        <f>SUM(F70:H70)</f>
        <v>#DIV/0!</v>
      </c>
      <c r="J70" s="215" t="e">
        <f>I69/$I$73*100</f>
        <v>#DIV/0!</v>
      </c>
      <c r="K70" s="1519"/>
      <c r="M70" s="41"/>
      <c r="N70"/>
    </row>
    <row r="71" spans="1:14" s="1" customFormat="1" ht="26" customHeight="1" x14ac:dyDescent="0.2">
      <c r="A71" s="1633" t="s">
        <v>5</v>
      </c>
      <c r="B71" s="3257" t="s">
        <v>103</v>
      </c>
      <c r="C71" s="3258"/>
      <c r="D71" s="3259"/>
      <c r="E71" s="414" t="s">
        <v>21</v>
      </c>
      <c r="F71" s="415">
        <f>F63+F65+F67+F69</f>
        <v>0</v>
      </c>
      <c r="G71" s="415">
        <f>G63+G65+G67+G69</f>
        <v>0</v>
      </c>
      <c r="H71" s="415">
        <f>H63+H65+H67+H69</f>
        <v>0</v>
      </c>
      <c r="I71" s="415">
        <f>SUM(F71:H71)</f>
        <v>0</v>
      </c>
      <c r="J71" s="917"/>
      <c r="K71" s="1519"/>
      <c r="M71" s="41"/>
      <c r="N71" s="41"/>
    </row>
    <row r="72" spans="1:14" s="1" customFormat="1" ht="26" customHeight="1" x14ac:dyDescent="0.2">
      <c r="A72" s="1633" t="s">
        <v>5</v>
      </c>
      <c r="B72" s="3257"/>
      <c r="C72" s="3258"/>
      <c r="D72" s="3259"/>
      <c r="E72" s="414" t="s">
        <v>22</v>
      </c>
      <c r="F72" s="417" t="e">
        <f>F71/$I$71*100</f>
        <v>#DIV/0!</v>
      </c>
      <c r="G72" s="417" t="e">
        <f>G71/$I$71*100</f>
        <v>#DIV/0!</v>
      </c>
      <c r="H72" s="417" t="e">
        <f>H71/$I$71*100</f>
        <v>#DIV/0!</v>
      </c>
      <c r="I72" s="415" t="e">
        <f>SUM(F72:H72)</f>
        <v>#DIV/0!</v>
      </c>
      <c r="J72" s="917"/>
      <c r="K72" s="1519"/>
      <c r="M72" s="41"/>
      <c r="N72" s="41"/>
    </row>
    <row r="73" spans="1:14" s="1" customFormat="1" ht="26" customHeight="1" x14ac:dyDescent="0.2">
      <c r="A73" s="3268" t="s">
        <v>1026</v>
      </c>
      <c r="B73" s="3269"/>
      <c r="C73" s="3269"/>
      <c r="D73" s="3270"/>
      <c r="E73" s="387" t="s">
        <v>21</v>
      </c>
      <c r="F73" s="388">
        <f>F51+F61+F71</f>
        <v>0</v>
      </c>
      <c r="G73" s="388">
        <f>G51+G61+G71</f>
        <v>0</v>
      </c>
      <c r="H73" s="388">
        <f>H51+H61+H71</f>
        <v>0</v>
      </c>
      <c r="I73" s="388">
        <f>SUM(F73:H73)</f>
        <v>0</v>
      </c>
      <c r="J73" s="389"/>
      <c r="K73" s="1625"/>
      <c r="M73" s="41"/>
      <c r="N73" s="41"/>
    </row>
    <row r="74" spans="1:14" s="1" customFormat="1" ht="26" customHeight="1" x14ac:dyDescent="0.2">
      <c r="A74" s="3271"/>
      <c r="B74" s="3272"/>
      <c r="C74" s="3272"/>
      <c r="D74" s="3273"/>
      <c r="E74" s="387" t="s">
        <v>22</v>
      </c>
      <c r="F74" s="389" t="e">
        <f>F73/$I$73*100</f>
        <v>#DIV/0!</v>
      </c>
      <c r="G74" s="389" t="e">
        <f>G73/$I$73*100</f>
        <v>#DIV/0!</v>
      </c>
      <c r="H74" s="389" t="e">
        <f>H73/$I$73*100</f>
        <v>#DIV/0!</v>
      </c>
      <c r="I74" s="389" t="e">
        <f>SUM(F74:H74)</f>
        <v>#DIV/0!</v>
      </c>
      <c r="J74" s="389" t="e">
        <f>SUM(J46:J70)</f>
        <v>#DIV/0!</v>
      </c>
      <c r="K74" s="1624"/>
      <c r="M74" s="41"/>
      <c r="N74" s="41"/>
    </row>
    <row r="75" spans="1:14" s="1" customFormat="1" ht="26" customHeight="1" x14ac:dyDescent="0.2">
      <c r="A75"/>
      <c r="B75"/>
      <c r="C75"/>
      <c r="D75"/>
      <c r="E75"/>
      <c r="F75"/>
      <c r="G75"/>
      <c r="H75" s="400"/>
      <c r="I75" s="440"/>
      <c r="J75"/>
      <c r="K75" s="41"/>
      <c r="L75" s="41"/>
      <c r="M75" s="41"/>
      <c r="N75" s="41"/>
    </row>
    <row r="76" spans="1:14" s="1" customFormat="1" ht="26" customHeight="1" x14ac:dyDescent="0.2">
      <c r="A76" s="3207" t="s">
        <v>133</v>
      </c>
      <c r="B76" s="3207"/>
      <c r="C76" s="3207"/>
      <c r="D76" s="3207"/>
      <c r="E76" s="3207"/>
      <c r="F76" s="3207"/>
      <c r="G76" s="3207"/>
      <c r="H76" s="3207"/>
      <c r="I76" s="3207"/>
      <c r="J76" s="3207"/>
      <c r="K76" s="41"/>
      <c r="L76" s="41"/>
      <c r="M76" s="41"/>
      <c r="N76" s="41"/>
    </row>
    <row r="77" spans="1:14" s="1" customFormat="1" ht="26" customHeight="1" x14ac:dyDescent="0.2">
      <c r="A77" s="221" t="s">
        <v>39</v>
      </c>
      <c r="B77" s="2551" t="s">
        <v>134</v>
      </c>
      <c r="C77" s="2551"/>
      <c r="D77" s="222" t="s">
        <v>6</v>
      </c>
      <c r="E77" s="222" t="s">
        <v>135</v>
      </c>
      <c r="F77" s="222" t="s">
        <v>43</v>
      </c>
      <c r="G77" s="222" t="s">
        <v>10</v>
      </c>
      <c r="H77" s="391" t="s">
        <v>314</v>
      </c>
      <c r="I77" s="2605" t="s">
        <v>47</v>
      </c>
      <c r="J77" s="2605"/>
      <c r="K77" s="41"/>
      <c r="L77" s="41"/>
      <c r="M77" s="41"/>
      <c r="N77" s="41"/>
    </row>
    <row r="78" spans="1:14" s="1" customFormat="1" ht="26" customHeight="1" x14ac:dyDescent="0.2">
      <c r="A78" s="223">
        <v>1</v>
      </c>
      <c r="B78" s="2599" t="s">
        <v>137</v>
      </c>
      <c r="C78" s="2599"/>
      <c r="D78" s="224" t="s">
        <v>138</v>
      </c>
      <c r="E78" s="224" t="s">
        <v>139</v>
      </c>
      <c r="F78" s="423">
        <f>I61</f>
        <v>0</v>
      </c>
      <c r="G78" s="224" t="e">
        <f>F78/$K$10</f>
        <v>#DIV/0!</v>
      </c>
      <c r="H78" s="214" t="e">
        <f>F78/$F$81*100</f>
        <v>#DIV/0!</v>
      </c>
      <c r="I78" s="2600"/>
      <c r="J78" s="2600"/>
      <c r="K78" s="41"/>
      <c r="L78" s="41"/>
      <c r="M78" s="41"/>
      <c r="N78" s="41"/>
    </row>
    <row r="79" spans="1:14" s="1" customFormat="1" ht="26" customHeight="1" x14ac:dyDescent="0.2">
      <c r="A79" s="223">
        <v>2</v>
      </c>
      <c r="B79" s="2599" t="s">
        <v>137</v>
      </c>
      <c r="C79" s="2599"/>
      <c r="D79" s="224" t="s">
        <v>138</v>
      </c>
      <c r="E79" s="224" t="s">
        <v>140</v>
      </c>
      <c r="F79" s="224">
        <f>I51</f>
        <v>0</v>
      </c>
      <c r="G79" s="224" t="e">
        <f>F79/$K$10</f>
        <v>#DIV/0!</v>
      </c>
      <c r="H79" s="214" t="e">
        <f>F79/$F$81*100</f>
        <v>#DIV/0!</v>
      </c>
      <c r="I79" s="2600"/>
      <c r="J79" s="2600"/>
      <c r="K79" s="41"/>
      <c r="L79" s="41"/>
      <c r="M79" s="41"/>
      <c r="N79" s="41"/>
    </row>
    <row r="80" spans="1:14" s="1" customFormat="1" ht="26" customHeight="1" x14ac:dyDescent="0.2">
      <c r="A80" s="223">
        <v>3</v>
      </c>
      <c r="B80" s="2599" t="s">
        <v>137</v>
      </c>
      <c r="C80" s="2599"/>
      <c r="D80" s="224" t="s">
        <v>138</v>
      </c>
      <c r="E80" s="224" t="s">
        <v>141</v>
      </c>
      <c r="F80" s="224">
        <f>I71</f>
        <v>0</v>
      </c>
      <c r="G80" s="224" t="e">
        <f>F80/$K$10</f>
        <v>#DIV/0!</v>
      </c>
      <c r="H80" s="214" t="e">
        <f>F80/$F$81*100</f>
        <v>#DIV/0!</v>
      </c>
      <c r="I80" s="2600"/>
      <c r="J80" s="2600"/>
      <c r="K80" s="41"/>
      <c r="L80" s="41"/>
      <c r="M80" s="41"/>
      <c r="N80" s="41"/>
    </row>
    <row r="81" spans="1:14" s="1" customFormat="1" ht="26" customHeight="1" x14ac:dyDescent="0.2">
      <c r="A81" s="3260" t="s">
        <v>315</v>
      </c>
      <c r="B81" s="3261"/>
      <c r="C81" s="3262"/>
      <c r="D81" s="225" t="s">
        <v>142</v>
      </c>
      <c r="E81" s="225" t="s">
        <v>142</v>
      </c>
      <c r="F81" s="424">
        <f>SUM(F78:F80)</f>
        <v>0</v>
      </c>
      <c r="G81" s="226" t="e">
        <f>SUM(G78:G80)</f>
        <v>#DIV/0!</v>
      </c>
      <c r="H81" s="227" t="e">
        <f>SUM(H78:H80)</f>
        <v>#DIV/0!</v>
      </c>
      <c r="I81" s="2603"/>
      <c r="J81" s="2603"/>
      <c r="K81" s="41"/>
      <c r="L81" s="41"/>
      <c r="M81" s="41"/>
      <c r="N81" s="41"/>
    </row>
    <row r="82" spans="1:14" s="1" customFormat="1" ht="26" customHeight="1" x14ac:dyDescent="0.2">
      <c r="A82" s="42" t="s">
        <v>439</v>
      </c>
      <c r="B82" s="459"/>
      <c r="C82" s="459"/>
      <c r="D82" s="460"/>
      <c r="E82" s="460"/>
      <c r="F82" s="461"/>
      <c r="G82" s="462"/>
      <c r="H82" s="463"/>
      <c r="I82" s="465"/>
      <c r="J82" s="464"/>
      <c r="K82" s="41"/>
      <c r="L82" s="41"/>
      <c r="M82" s="41"/>
      <c r="N82" s="41"/>
    </row>
    <row r="83" spans="1:14" s="1" customFormat="1" ht="26" customHeight="1" x14ac:dyDescent="0.2">
      <c r="A83" s="2665" t="s">
        <v>34</v>
      </c>
      <c r="B83" s="2665" t="s">
        <v>135</v>
      </c>
      <c r="C83" s="2665" t="s">
        <v>6</v>
      </c>
      <c r="D83" s="2665" t="s">
        <v>105</v>
      </c>
      <c r="E83" s="2665" t="s">
        <v>17</v>
      </c>
      <c r="F83" s="2660" t="s">
        <v>106</v>
      </c>
      <c r="G83" s="2662"/>
      <c r="H83" s="2662"/>
      <c r="I83" s="2661"/>
      <c r="J83" s="1646" t="s">
        <v>107</v>
      </c>
      <c r="K83" s="1548" t="s">
        <v>47</v>
      </c>
      <c r="L83"/>
      <c r="M83" s="41"/>
      <c r="N83" s="41"/>
    </row>
    <row r="84" spans="1:14" s="1" customFormat="1" ht="32" customHeight="1" x14ac:dyDescent="0.2">
      <c r="A84" s="3223"/>
      <c r="B84" s="3223"/>
      <c r="C84" s="3223"/>
      <c r="D84" s="3223"/>
      <c r="E84" s="3223"/>
      <c r="F84" s="11" t="s">
        <v>18</v>
      </c>
      <c r="G84" s="11" t="s">
        <v>19</v>
      </c>
      <c r="H84" s="11" t="s">
        <v>20</v>
      </c>
      <c r="I84" s="11" t="s">
        <v>108</v>
      </c>
      <c r="J84" s="1646" t="s">
        <v>22</v>
      </c>
      <c r="K84" s="1548"/>
      <c r="L84"/>
      <c r="M84" s="41"/>
      <c r="N84" s="41"/>
    </row>
    <row r="85" spans="1:14" s="1" customFormat="1" ht="26" customHeight="1" x14ac:dyDescent="0.2">
      <c r="A85" s="1647" t="s">
        <v>25</v>
      </c>
      <c r="B85" s="1593" t="s">
        <v>329</v>
      </c>
      <c r="C85" s="1593" t="s">
        <v>119</v>
      </c>
      <c r="D85" s="1640" t="s">
        <v>109</v>
      </c>
      <c r="E85" s="57" t="s">
        <v>21</v>
      </c>
      <c r="F85" s="834">
        <v>11471</v>
      </c>
      <c r="G85" s="738"/>
      <c r="H85" s="834">
        <v>1523</v>
      </c>
      <c r="I85" s="831">
        <f t="shared" ref="I85:I90" si="10">SUM(F85:H85)</f>
        <v>12994</v>
      </c>
      <c r="J85" s="829"/>
      <c r="K85" s="1014"/>
      <c r="L85"/>
      <c r="M85" s="41"/>
      <c r="N85" s="41"/>
    </row>
    <row r="86" spans="1:14" s="1" customFormat="1" ht="19" customHeight="1" x14ac:dyDescent="0.2">
      <c r="A86" s="1631" t="s">
        <v>25</v>
      </c>
      <c r="B86" s="1568" t="s">
        <v>329</v>
      </c>
      <c r="C86" s="1568" t="s">
        <v>119</v>
      </c>
      <c r="D86" s="1642" t="s">
        <v>109</v>
      </c>
      <c r="E86" s="57" t="s">
        <v>22</v>
      </c>
      <c r="F86" s="739">
        <f>F85/$I$85*100</f>
        <v>88.279205787286443</v>
      </c>
      <c r="G86" s="739">
        <f>G85/$I$85*100</f>
        <v>0</v>
      </c>
      <c r="H86" s="739">
        <f>H85/$I$85*100</f>
        <v>11.72079421271356</v>
      </c>
      <c r="I86" s="216">
        <f t="shared" si="10"/>
        <v>100</v>
      </c>
      <c r="J86" s="490">
        <f>I85/$I$95*100</f>
        <v>55.617857295724008</v>
      </c>
      <c r="K86" s="1014"/>
      <c r="L86"/>
      <c r="M86" s="41"/>
      <c r="N86" s="41"/>
    </row>
    <row r="87" spans="1:14" s="1" customFormat="1" ht="26" customHeight="1" x14ac:dyDescent="0.2">
      <c r="A87" s="1631" t="s">
        <v>25</v>
      </c>
      <c r="B87" s="1568" t="s">
        <v>329</v>
      </c>
      <c r="C87" s="1568" t="s">
        <v>119</v>
      </c>
      <c r="D87" s="1640" t="s">
        <v>125</v>
      </c>
      <c r="E87" s="57" t="s">
        <v>21</v>
      </c>
      <c r="F87" s="831">
        <v>1056</v>
      </c>
      <c r="G87" s="214">
        <v>0</v>
      </c>
      <c r="H87" s="214">
        <v>51</v>
      </c>
      <c r="I87" s="831">
        <f t="shared" si="10"/>
        <v>1107</v>
      </c>
      <c r="J87" s="490"/>
      <c r="K87" s="1014"/>
      <c r="L87"/>
      <c r="M87" s="41"/>
      <c r="N87" s="41"/>
    </row>
    <row r="88" spans="1:14" s="1" customFormat="1" ht="26" customHeight="1" x14ac:dyDescent="0.2">
      <c r="A88" s="1631" t="s">
        <v>25</v>
      </c>
      <c r="B88" s="1568" t="s">
        <v>329</v>
      </c>
      <c r="C88" s="1568" t="s">
        <v>119</v>
      </c>
      <c r="D88" s="1642" t="s">
        <v>125</v>
      </c>
      <c r="E88" s="57" t="s">
        <v>22</v>
      </c>
      <c r="F88" s="216">
        <f>F87/$I$87*100</f>
        <v>95.392953929539289</v>
      </c>
      <c r="G88" s="216">
        <f>G87/$I$87*100</f>
        <v>0</v>
      </c>
      <c r="H88" s="216">
        <f>H87/$I$87*100</f>
        <v>4.6070460704607044</v>
      </c>
      <c r="I88" s="216">
        <f t="shared" si="10"/>
        <v>100</v>
      </c>
      <c r="J88" s="490">
        <f>I87/$I$95*100</f>
        <v>4.7382613534220779</v>
      </c>
      <c r="K88" s="1014"/>
      <c r="L88"/>
      <c r="M88" s="41"/>
      <c r="N88" s="41"/>
    </row>
    <row r="89" spans="1:14" s="1" customFormat="1" ht="26" customHeight="1" x14ac:dyDescent="0.2">
      <c r="A89" s="1631" t="s">
        <v>25</v>
      </c>
      <c r="B89" s="1567" t="s">
        <v>329</v>
      </c>
      <c r="C89" s="1567" t="s">
        <v>119</v>
      </c>
      <c r="D89" s="1640" t="s">
        <v>322</v>
      </c>
      <c r="E89" s="57" t="s">
        <v>21</v>
      </c>
      <c r="F89" s="831">
        <v>4914</v>
      </c>
      <c r="G89" s="214">
        <v>0</v>
      </c>
      <c r="H89" s="831">
        <v>302</v>
      </c>
      <c r="I89" s="831">
        <f t="shared" si="10"/>
        <v>5216</v>
      </c>
      <c r="J89" s="490"/>
      <c r="K89" s="1014"/>
      <c r="L89"/>
      <c r="M89" s="41"/>
      <c r="N89" s="41"/>
    </row>
    <row r="90" spans="1:14" s="1" customFormat="1" ht="26" customHeight="1" x14ac:dyDescent="0.2">
      <c r="A90" s="1631" t="s">
        <v>25</v>
      </c>
      <c r="B90" s="1568" t="s">
        <v>329</v>
      </c>
      <c r="C90" s="1568" t="s">
        <v>119</v>
      </c>
      <c r="D90" s="1642" t="s">
        <v>322</v>
      </c>
      <c r="E90" s="57" t="s">
        <v>22</v>
      </c>
      <c r="F90" s="216">
        <f>F89/$I$89*100</f>
        <v>94.210122699386503</v>
      </c>
      <c r="G90" s="216">
        <f>G89/$I$89*100</f>
        <v>0</v>
      </c>
      <c r="H90" s="216">
        <f>H89/$I$89*100</f>
        <v>5.7898773006134965</v>
      </c>
      <c r="I90" s="214">
        <f t="shared" si="10"/>
        <v>100</v>
      </c>
      <c r="J90" s="490">
        <f>I89/$I$95*100</f>
        <v>22.325899927235369</v>
      </c>
      <c r="K90" s="1014"/>
      <c r="L90"/>
      <c r="M90" s="41"/>
      <c r="N90" s="41"/>
    </row>
    <row r="91" spans="1:14" s="1" customFormat="1" ht="26" customHeight="1" x14ac:dyDescent="0.2">
      <c r="A91" s="1631" t="s">
        <v>25</v>
      </c>
      <c r="B91" s="1568" t="s">
        <v>329</v>
      </c>
      <c r="C91" s="1568" t="s">
        <v>119</v>
      </c>
      <c r="D91" s="1640" t="s">
        <v>129</v>
      </c>
      <c r="E91" s="57" t="s">
        <v>21</v>
      </c>
      <c r="F91" s="831">
        <v>3759</v>
      </c>
      <c r="G91" s="214">
        <v>0</v>
      </c>
      <c r="H91" s="831">
        <v>287</v>
      </c>
      <c r="I91" s="831">
        <f t="shared" ref="I91:I106" si="11">SUM(F91:H91)</f>
        <v>4046</v>
      </c>
      <c r="J91" s="490"/>
      <c r="K91" s="1014"/>
      <c r="L91"/>
      <c r="M91" s="41"/>
      <c r="N91" s="41"/>
    </row>
    <row r="92" spans="1:14" s="1" customFormat="1" ht="26" customHeight="1" x14ac:dyDescent="0.2">
      <c r="A92" s="1631" t="s">
        <v>25</v>
      </c>
      <c r="B92" s="1568" t="s">
        <v>329</v>
      </c>
      <c r="C92" s="1568" t="s">
        <v>119</v>
      </c>
      <c r="D92" s="1642" t="s">
        <v>129</v>
      </c>
      <c r="E92" s="57" t="s">
        <v>22</v>
      </c>
      <c r="F92" s="216">
        <f>F91/$I$91*100</f>
        <v>92.906574394463675</v>
      </c>
      <c r="G92" s="216">
        <f>G91/$I$91*100</f>
        <v>0</v>
      </c>
      <c r="H92" s="216">
        <f>H91/$I$91*100</f>
        <v>7.0934256055363329</v>
      </c>
      <c r="I92" s="214">
        <f t="shared" si="11"/>
        <v>100.00000000000001</v>
      </c>
      <c r="J92" s="490">
        <f>I91/$I$95*100</f>
        <v>17.317981423618541</v>
      </c>
      <c r="K92" s="1014"/>
      <c r="L92"/>
      <c r="M92" s="41"/>
      <c r="N92" s="41"/>
    </row>
    <row r="93" spans="1:14" s="1" customFormat="1" ht="26" customHeight="1" x14ac:dyDescent="0.2">
      <c r="A93" s="1631" t="s">
        <v>25</v>
      </c>
      <c r="B93" s="1568" t="s">
        <v>329</v>
      </c>
      <c r="C93" s="1568" t="s">
        <v>119</v>
      </c>
      <c r="D93" s="1640" t="s">
        <v>117</v>
      </c>
      <c r="E93" s="57" t="s">
        <v>21</v>
      </c>
      <c r="F93" s="214"/>
      <c r="G93" s="214"/>
      <c r="H93" s="214"/>
      <c r="I93" s="214">
        <f>SUM(F93:H93)</f>
        <v>0</v>
      </c>
      <c r="J93" s="490"/>
      <c r="K93" s="1014"/>
      <c r="L93"/>
      <c r="M93" s="41"/>
      <c r="N93" s="41"/>
    </row>
    <row r="94" spans="1:14" s="1" customFormat="1" ht="26" customHeight="1" x14ac:dyDescent="0.2">
      <c r="A94" s="1631" t="s">
        <v>25</v>
      </c>
      <c r="B94" s="1584" t="s">
        <v>329</v>
      </c>
      <c r="C94" s="1584" t="s">
        <v>119</v>
      </c>
      <c r="D94" s="1642" t="s">
        <v>117</v>
      </c>
      <c r="E94" s="57" t="s">
        <v>22</v>
      </c>
      <c r="F94" s="216" t="e">
        <f>F93/$I$93*100</f>
        <v>#DIV/0!</v>
      </c>
      <c r="G94" s="216" t="e">
        <f>G93/$I$93*100</f>
        <v>#DIV/0!</v>
      </c>
      <c r="H94" s="216" t="e">
        <f>H93/$I$93*100</f>
        <v>#DIV/0!</v>
      </c>
      <c r="I94" s="214" t="e">
        <f>SUM(F94:H94)</f>
        <v>#DIV/0!</v>
      </c>
      <c r="J94" s="490">
        <f>I93/$I$95*100</f>
        <v>0</v>
      </c>
      <c r="K94" s="1014"/>
      <c r="L94"/>
      <c r="M94" s="41"/>
      <c r="N94" s="41"/>
    </row>
    <row r="95" spans="1:14" s="1" customFormat="1" ht="26" customHeight="1" x14ac:dyDescent="0.2">
      <c r="A95" s="1629" t="s">
        <v>25</v>
      </c>
      <c r="B95" s="3234" t="s">
        <v>103</v>
      </c>
      <c r="C95" s="3235"/>
      <c r="D95" s="3236"/>
      <c r="E95" s="414" t="s">
        <v>21</v>
      </c>
      <c r="F95" s="832">
        <f>F85+F87+F89+F91+F93</f>
        <v>21200</v>
      </c>
      <c r="G95" s="415">
        <f>G85+G87+G89+G91+G93</f>
        <v>0</v>
      </c>
      <c r="H95" s="832">
        <f>H85+H87+H89+H91+H93</f>
        <v>2163</v>
      </c>
      <c r="I95" s="832">
        <f>SUM(F95:H95)</f>
        <v>23363</v>
      </c>
      <c r="J95" s="416"/>
      <c r="K95" s="1668"/>
      <c r="L95"/>
      <c r="M95" s="41"/>
      <c r="N95" s="41"/>
    </row>
    <row r="96" spans="1:14" s="1" customFormat="1" ht="26" customHeight="1" x14ac:dyDescent="0.2">
      <c r="A96" s="1566" t="s">
        <v>25</v>
      </c>
      <c r="B96" s="3237"/>
      <c r="C96" s="3238"/>
      <c r="D96" s="3239"/>
      <c r="E96" s="414" t="s">
        <v>22</v>
      </c>
      <c r="F96" s="417">
        <f>F95/$I$95*100</f>
        <v>90.741771176646836</v>
      </c>
      <c r="G96" s="417">
        <f>G95/$I$95*100</f>
        <v>0</v>
      </c>
      <c r="H96" s="417">
        <f>H95/$I$95*100</f>
        <v>9.2582288233531642</v>
      </c>
      <c r="I96" s="415">
        <f t="shared" si="11"/>
        <v>100</v>
      </c>
      <c r="J96" s="416">
        <f>SUM(J85:J95)</f>
        <v>100</v>
      </c>
      <c r="K96" s="1668"/>
      <c r="L96"/>
      <c r="M96" s="41"/>
      <c r="N96" s="41"/>
    </row>
    <row r="97" spans="1:14" s="1" customFormat="1" ht="26" customHeight="1" x14ac:dyDescent="0.2">
      <c r="A97" s="1629" t="s">
        <v>25</v>
      </c>
      <c r="B97" s="1593" t="s">
        <v>329</v>
      </c>
      <c r="C97" s="1593" t="s">
        <v>122</v>
      </c>
      <c r="D97" s="1640" t="s">
        <v>109</v>
      </c>
      <c r="E97" s="190" t="s">
        <v>21</v>
      </c>
      <c r="F97" s="421"/>
      <c r="G97" s="411"/>
      <c r="H97" s="411"/>
      <c r="I97" s="412">
        <f t="shared" si="11"/>
        <v>0</v>
      </c>
      <c r="J97" s="413"/>
      <c r="K97" s="1645"/>
      <c r="L97"/>
      <c r="M97" s="41"/>
      <c r="N97" s="41"/>
    </row>
    <row r="98" spans="1:14" s="1" customFormat="1" ht="26" customHeight="1" x14ac:dyDescent="0.2">
      <c r="A98" s="1629" t="s">
        <v>25</v>
      </c>
      <c r="B98" s="1568" t="s">
        <v>329</v>
      </c>
      <c r="C98" s="1568" t="s">
        <v>122</v>
      </c>
      <c r="D98" s="1642" t="s">
        <v>109</v>
      </c>
      <c r="E98" s="129" t="s">
        <v>22</v>
      </c>
      <c r="F98" s="213" t="e">
        <f>F97/$I$97*100</f>
        <v>#DIV/0!</v>
      </c>
      <c r="G98" s="213" t="e">
        <f>G97/$I$97*100</f>
        <v>#DIV/0!</v>
      </c>
      <c r="H98" s="213" t="e">
        <f>H97/$I$97*100</f>
        <v>#DIV/0!</v>
      </c>
      <c r="I98" s="204" t="e">
        <f t="shared" si="11"/>
        <v>#DIV/0!</v>
      </c>
      <c r="J98" s="208" t="e">
        <f>I97/$I$105*100</f>
        <v>#DIV/0!</v>
      </c>
      <c r="K98" s="1014"/>
      <c r="L98"/>
      <c r="M98" s="41"/>
      <c r="N98" s="41"/>
    </row>
    <row r="99" spans="1:14" s="1" customFormat="1" ht="26" customHeight="1" x14ac:dyDescent="0.2">
      <c r="A99" s="1629" t="s">
        <v>25</v>
      </c>
      <c r="B99" s="1568" t="s">
        <v>329</v>
      </c>
      <c r="C99" s="1568" t="s">
        <v>122</v>
      </c>
      <c r="D99" s="1640" t="s">
        <v>146</v>
      </c>
      <c r="E99" s="129" t="s">
        <v>21</v>
      </c>
      <c r="F99" s="203"/>
      <c r="G99" s="203"/>
      <c r="H99" s="203"/>
      <c r="I99" s="204">
        <f t="shared" si="11"/>
        <v>0</v>
      </c>
      <c r="J99" s="208"/>
      <c r="K99" s="1014"/>
      <c r="L99"/>
      <c r="M99" s="41"/>
      <c r="N99" s="41"/>
    </row>
    <row r="100" spans="1:14" s="1" customFormat="1" ht="26" customHeight="1" x14ac:dyDescent="0.2">
      <c r="A100" s="1629" t="s">
        <v>25</v>
      </c>
      <c r="B100" s="1567" t="s">
        <v>329</v>
      </c>
      <c r="C100" s="1567" t="s">
        <v>122</v>
      </c>
      <c r="D100" s="1642" t="s">
        <v>146</v>
      </c>
      <c r="E100" s="129" t="s">
        <v>22</v>
      </c>
      <c r="F100" s="207" t="e">
        <f>F99/$I$99*100</f>
        <v>#DIV/0!</v>
      </c>
      <c r="G100" s="207" t="e">
        <f>G99/$I$99*100</f>
        <v>#DIV/0!</v>
      </c>
      <c r="H100" s="207" t="e">
        <f>H99/$I$99*100</f>
        <v>#DIV/0!</v>
      </c>
      <c r="I100" s="204" t="e">
        <f t="shared" si="11"/>
        <v>#DIV/0!</v>
      </c>
      <c r="J100" s="208" t="e">
        <f>I99/$I$105*100</f>
        <v>#DIV/0!</v>
      </c>
      <c r="K100" s="1014"/>
      <c r="L100"/>
      <c r="M100" s="41"/>
      <c r="N100" s="41"/>
    </row>
    <row r="101" spans="1:14" s="1" customFormat="1" ht="26" customHeight="1" x14ac:dyDescent="0.2">
      <c r="A101" s="1629" t="s">
        <v>25</v>
      </c>
      <c r="B101" s="1568" t="s">
        <v>329</v>
      </c>
      <c r="C101" s="1568" t="s">
        <v>122</v>
      </c>
      <c r="D101" s="1640" t="s">
        <v>129</v>
      </c>
      <c r="E101" s="129" t="s">
        <v>21</v>
      </c>
      <c r="F101" s="203"/>
      <c r="G101" s="203"/>
      <c r="H101" s="203"/>
      <c r="I101" s="204">
        <f t="shared" si="11"/>
        <v>0</v>
      </c>
      <c r="J101" s="208"/>
      <c r="K101" s="1014"/>
      <c r="L101"/>
      <c r="M101" s="41"/>
      <c r="N101" s="41"/>
    </row>
    <row r="102" spans="1:14" s="1" customFormat="1" ht="26" customHeight="1" x14ac:dyDescent="0.2">
      <c r="A102" s="1629" t="s">
        <v>25</v>
      </c>
      <c r="B102" s="1568" t="s">
        <v>329</v>
      </c>
      <c r="C102" s="1568" t="s">
        <v>122</v>
      </c>
      <c r="D102" s="1642" t="s">
        <v>129</v>
      </c>
      <c r="E102" s="129" t="s">
        <v>22</v>
      </c>
      <c r="F102" s="207" t="e">
        <f>F101/$I$101*100</f>
        <v>#DIV/0!</v>
      </c>
      <c r="G102" s="207" t="e">
        <f>G101/$I$101*100</f>
        <v>#DIV/0!</v>
      </c>
      <c r="H102" s="207" t="e">
        <f>H101/$I$101*100</f>
        <v>#DIV/0!</v>
      </c>
      <c r="I102" s="204" t="e">
        <f t="shared" si="11"/>
        <v>#DIV/0!</v>
      </c>
      <c r="J102" s="208" t="e">
        <f>I101/$I$105*100</f>
        <v>#DIV/0!</v>
      </c>
      <c r="K102" s="1014"/>
      <c r="L102"/>
      <c r="M102" s="41"/>
      <c r="N102" s="41"/>
    </row>
    <row r="103" spans="1:14" s="1" customFormat="1" ht="26" customHeight="1" x14ac:dyDescent="0.2">
      <c r="A103" s="1629" t="s">
        <v>25</v>
      </c>
      <c r="B103" s="1568" t="s">
        <v>329</v>
      </c>
      <c r="C103" s="1568" t="s">
        <v>122</v>
      </c>
      <c r="D103" s="1640" t="s">
        <v>117</v>
      </c>
      <c r="E103" s="129" t="s">
        <v>21</v>
      </c>
      <c r="F103" s="203"/>
      <c r="G103" s="203"/>
      <c r="H103" s="203"/>
      <c r="I103" s="204">
        <f t="shared" si="11"/>
        <v>0</v>
      </c>
      <c r="J103" s="208"/>
      <c r="K103" s="1014"/>
      <c r="L103"/>
      <c r="M103" s="41"/>
      <c r="N103" s="41"/>
    </row>
    <row r="104" spans="1:14" s="1" customFormat="1" ht="26" customHeight="1" x14ac:dyDescent="0.2">
      <c r="A104" s="1629" t="s">
        <v>25</v>
      </c>
      <c r="B104" s="1568" t="s">
        <v>329</v>
      </c>
      <c r="C104" s="1568" t="s">
        <v>122</v>
      </c>
      <c r="D104" s="1642" t="s">
        <v>117</v>
      </c>
      <c r="E104" s="129" t="s">
        <v>22</v>
      </c>
      <c r="F104" s="207" t="e">
        <f>F103/$I$103*100</f>
        <v>#DIV/0!</v>
      </c>
      <c r="G104" s="207" t="e">
        <f>G103/$I$103*100</f>
        <v>#DIV/0!</v>
      </c>
      <c r="H104" s="207" t="e">
        <f>H103/$I$103*100</f>
        <v>#DIV/0!</v>
      </c>
      <c r="I104" s="204" t="e">
        <f t="shared" si="11"/>
        <v>#DIV/0!</v>
      </c>
      <c r="J104" s="208" t="e">
        <f>I103/$I$105*100</f>
        <v>#DIV/0!</v>
      </c>
      <c r="K104" s="1014"/>
      <c r="L104"/>
      <c r="M104" s="41"/>
      <c r="N104" s="41"/>
    </row>
    <row r="105" spans="1:14" s="1" customFormat="1" ht="26" customHeight="1" x14ac:dyDescent="0.2">
      <c r="A105" s="1629" t="s">
        <v>25</v>
      </c>
      <c r="B105" s="3234" t="s">
        <v>103</v>
      </c>
      <c r="C105" s="3235"/>
      <c r="D105" s="3236"/>
      <c r="E105" s="414" t="s">
        <v>21</v>
      </c>
      <c r="F105" s="422">
        <f>F97+F99+F101+F103</f>
        <v>0</v>
      </c>
      <c r="G105" s="422">
        <f>G97+G99+G101+G103</f>
        <v>0</v>
      </c>
      <c r="H105" s="422">
        <f>H97+H99+H101+H103</f>
        <v>0</v>
      </c>
      <c r="I105" s="422">
        <f>SUM(F105:H105)</f>
        <v>0</v>
      </c>
      <c r="J105" s="416"/>
      <c r="K105" s="1668"/>
      <c r="L105"/>
      <c r="M105" s="41"/>
      <c r="N105" s="41"/>
    </row>
    <row r="106" spans="1:14" s="1" customFormat="1" ht="26" customHeight="1" x14ac:dyDescent="0.2">
      <c r="A106" s="1629" t="s">
        <v>25</v>
      </c>
      <c r="B106" s="3237"/>
      <c r="C106" s="3238"/>
      <c r="D106" s="3239"/>
      <c r="E106" s="414" t="s">
        <v>22</v>
      </c>
      <c r="F106" s="417" t="e">
        <f>F105/$I$105*100</f>
        <v>#DIV/0!</v>
      </c>
      <c r="G106" s="417" t="e">
        <f>G105/$I$105*100</f>
        <v>#DIV/0!</v>
      </c>
      <c r="H106" s="417" t="e">
        <f>H105/$I$105*100</f>
        <v>#DIV/0!</v>
      </c>
      <c r="I106" s="415" t="e">
        <f t="shared" si="11"/>
        <v>#DIV/0!</v>
      </c>
      <c r="J106" s="416" t="e">
        <f>SUM(J97:J104)</f>
        <v>#DIV/0!</v>
      </c>
      <c r="K106" s="1668"/>
      <c r="L106"/>
      <c r="M106" s="41"/>
      <c r="N106" s="41"/>
    </row>
    <row r="107" spans="1:14" s="1" customFormat="1" ht="26" customHeight="1" x14ac:dyDescent="0.2">
      <c r="A107" s="1629" t="s">
        <v>25</v>
      </c>
      <c r="B107" s="1568" t="s">
        <v>141</v>
      </c>
      <c r="C107" s="1568" t="s">
        <v>122</v>
      </c>
      <c r="D107" s="1640" t="s">
        <v>109</v>
      </c>
      <c r="E107" s="190" t="s">
        <v>21</v>
      </c>
      <c r="F107" s="421"/>
      <c r="G107" s="411"/>
      <c r="H107" s="411"/>
      <c r="I107" s="412">
        <f t="shared" ref="I107:I112" si="12">SUM(F107:H107)</f>
        <v>0</v>
      </c>
      <c r="J107" s="413"/>
      <c r="K107" s="1014"/>
      <c r="L107"/>
      <c r="M107" s="41"/>
      <c r="N107" s="41"/>
    </row>
    <row r="108" spans="1:14" s="1" customFormat="1" ht="26" customHeight="1" x14ac:dyDescent="0.2">
      <c r="A108" s="1629" t="s">
        <v>25</v>
      </c>
      <c r="B108" s="1568" t="s">
        <v>141</v>
      </c>
      <c r="C108" s="1568" t="s">
        <v>122</v>
      </c>
      <c r="D108" s="1642" t="s">
        <v>109</v>
      </c>
      <c r="E108" s="129" t="s">
        <v>22</v>
      </c>
      <c r="F108" s="213" t="e">
        <f>F107/$I$107*100</f>
        <v>#DIV/0!</v>
      </c>
      <c r="G108" s="213" t="e">
        <f>G107/$I$107*100</f>
        <v>#DIV/0!</v>
      </c>
      <c r="H108" s="213" t="e">
        <f>H107/$I$107*100</f>
        <v>#DIV/0!</v>
      </c>
      <c r="I108" s="204" t="e">
        <f t="shared" si="12"/>
        <v>#DIV/0!</v>
      </c>
      <c r="J108" s="208" t="e">
        <f>I107/$I$113*100</f>
        <v>#DIV/0!</v>
      </c>
      <c r="K108" s="1014"/>
      <c r="L108"/>
      <c r="M108" s="41"/>
      <c r="N108" s="41"/>
    </row>
    <row r="109" spans="1:14" s="1" customFormat="1" ht="26" customHeight="1" x14ac:dyDescent="0.2">
      <c r="A109" s="1629" t="s">
        <v>25</v>
      </c>
      <c r="B109" s="1567" t="s">
        <v>141</v>
      </c>
      <c r="C109" s="1567" t="s">
        <v>122</v>
      </c>
      <c r="D109" s="1640" t="s">
        <v>125</v>
      </c>
      <c r="E109" s="129" t="s">
        <v>21</v>
      </c>
      <c r="F109" s="203"/>
      <c r="G109" s="203"/>
      <c r="H109" s="203"/>
      <c r="I109" s="204">
        <f t="shared" si="12"/>
        <v>0</v>
      </c>
      <c r="J109" s="208"/>
      <c r="K109" s="1014"/>
      <c r="L109"/>
      <c r="M109" s="41"/>
      <c r="N109" s="41"/>
    </row>
    <row r="110" spans="1:14" s="1" customFormat="1" ht="26" customHeight="1" x14ac:dyDescent="0.2">
      <c r="A110" s="1629" t="s">
        <v>25</v>
      </c>
      <c r="B110" s="1568" t="s">
        <v>141</v>
      </c>
      <c r="C110" s="1568" t="s">
        <v>122</v>
      </c>
      <c r="D110" s="1642" t="s">
        <v>125</v>
      </c>
      <c r="E110" s="129" t="s">
        <v>22</v>
      </c>
      <c r="F110" s="207" t="e">
        <f>F109/$I$109*100</f>
        <v>#DIV/0!</v>
      </c>
      <c r="G110" s="207" t="e">
        <f>G109/$I$109*100</f>
        <v>#DIV/0!</v>
      </c>
      <c r="H110" s="207" t="e">
        <f>H109/$I$109*100</f>
        <v>#DIV/0!</v>
      </c>
      <c r="I110" s="204" t="e">
        <f t="shared" si="12"/>
        <v>#DIV/0!</v>
      </c>
      <c r="J110" s="208" t="e">
        <f>I109/$I$113*100</f>
        <v>#DIV/0!</v>
      </c>
      <c r="K110" s="1014"/>
      <c r="L110"/>
      <c r="M110" s="41"/>
      <c r="N110" s="41"/>
    </row>
    <row r="111" spans="1:14" s="1" customFormat="1" ht="26" customHeight="1" x14ac:dyDescent="0.2">
      <c r="A111" s="1629" t="s">
        <v>25</v>
      </c>
      <c r="B111" s="1568" t="s">
        <v>141</v>
      </c>
      <c r="C111" s="1568" t="s">
        <v>122</v>
      </c>
      <c r="D111" s="1640" t="s">
        <v>117</v>
      </c>
      <c r="E111" s="129" t="s">
        <v>21</v>
      </c>
      <c r="F111" s="203"/>
      <c r="G111" s="203"/>
      <c r="H111" s="203"/>
      <c r="I111" s="204">
        <f t="shared" si="12"/>
        <v>0</v>
      </c>
      <c r="J111" s="208"/>
      <c r="K111" s="1014"/>
      <c r="L111"/>
      <c r="M111" s="41"/>
      <c r="N111" s="41"/>
    </row>
    <row r="112" spans="1:14" s="1" customFormat="1" ht="26" customHeight="1" x14ac:dyDescent="0.2">
      <c r="A112" s="1629" t="s">
        <v>25</v>
      </c>
      <c r="B112" s="1568" t="s">
        <v>141</v>
      </c>
      <c r="C112" s="1584" t="s">
        <v>122</v>
      </c>
      <c r="D112" s="1642" t="s">
        <v>117</v>
      </c>
      <c r="E112" s="129" t="s">
        <v>22</v>
      </c>
      <c r="F112" s="207" t="e">
        <f>F111/$I$111*100</f>
        <v>#DIV/0!</v>
      </c>
      <c r="G112" s="207" t="e">
        <f>G111/$I$111*100</f>
        <v>#DIV/0!</v>
      </c>
      <c r="H112" s="207" t="e">
        <f>H111/$I$111*100</f>
        <v>#DIV/0!</v>
      </c>
      <c r="I112" s="204" t="e">
        <f t="shared" si="12"/>
        <v>#DIV/0!</v>
      </c>
      <c r="J112" s="208" t="e">
        <f>I111/$I$113*100</f>
        <v>#DIV/0!</v>
      </c>
      <c r="K112" s="1014"/>
      <c r="L112"/>
      <c r="M112" s="41"/>
      <c r="N112" s="41"/>
    </row>
    <row r="113" spans="1:14" s="1" customFormat="1" ht="26" customHeight="1" x14ac:dyDescent="0.2">
      <c r="A113" s="1629" t="s">
        <v>25</v>
      </c>
      <c r="B113" s="3234" t="s">
        <v>103</v>
      </c>
      <c r="C113" s="3235"/>
      <c r="D113" s="3236"/>
      <c r="E113" s="414" t="s">
        <v>21</v>
      </c>
      <c r="F113" s="422">
        <f>F107+F109++F111</f>
        <v>0</v>
      </c>
      <c r="G113" s="422">
        <f>G107+G109++G111</f>
        <v>0</v>
      </c>
      <c r="H113" s="422">
        <f>H107+H109++H111</f>
        <v>0</v>
      </c>
      <c r="I113" s="422">
        <f t="shared" ref="I113:I118" si="13">SUM(F113:H113)</f>
        <v>0</v>
      </c>
      <c r="J113" s="416"/>
      <c r="K113" s="1668"/>
      <c r="L113"/>
      <c r="M113" s="41"/>
      <c r="N113" s="41"/>
    </row>
    <row r="114" spans="1:14" s="1" customFormat="1" ht="26" customHeight="1" x14ac:dyDescent="0.2">
      <c r="A114" s="1629" t="s">
        <v>25</v>
      </c>
      <c r="B114" s="3237"/>
      <c r="C114" s="3238"/>
      <c r="D114" s="3239"/>
      <c r="E114" s="414" t="s">
        <v>22</v>
      </c>
      <c r="F114" s="417" t="e">
        <f>F113/$I$113*100</f>
        <v>#DIV/0!</v>
      </c>
      <c r="G114" s="417" t="e">
        <f>G113/$I$113*100</f>
        <v>#DIV/0!</v>
      </c>
      <c r="H114" s="417" t="e">
        <f>H113/$I$113*100</f>
        <v>#DIV/0!</v>
      </c>
      <c r="I114" s="415" t="e">
        <f t="shared" si="13"/>
        <v>#DIV/0!</v>
      </c>
      <c r="J114" s="416" t="e">
        <f>SUM(J108:J112)</f>
        <v>#DIV/0!</v>
      </c>
      <c r="K114" s="1668"/>
      <c r="L114"/>
      <c r="M114" s="41"/>
      <c r="N114" s="41"/>
    </row>
    <row r="115" spans="1:14" s="1" customFormat="1" ht="26" customHeight="1" x14ac:dyDescent="0.2">
      <c r="A115" s="1629" t="s">
        <v>25</v>
      </c>
      <c r="B115" s="1643" t="s">
        <v>1028</v>
      </c>
      <c r="C115" s="1643" t="s">
        <v>119</v>
      </c>
      <c r="D115" s="1649" t="s">
        <v>109</v>
      </c>
      <c r="E115" s="190" t="s">
        <v>21</v>
      </c>
      <c r="F115" s="835">
        <v>29660</v>
      </c>
      <c r="G115" s="203">
        <v>0</v>
      </c>
      <c r="H115" s="835">
        <v>195</v>
      </c>
      <c r="I115" s="833">
        <f t="shared" si="13"/>
        <v>29855</v>
      </c>
      <c r="J115" s="205"/>
      <c r="K115" s="1014"/>
      <c r="L115"/>
      <c r="M115" s="41"/>
      <c r="N115" s="41"/>
    </row>
    <row r="116" spans="1:14" s="1" customFormat="1" ht="26" customHeight="1" x14ac:dyDescent="0.2">
      <c r="A116" s="1629" t="s">
        <v>25</v>
      </c>
      <c r="B116" s="1643" t="s">
        <v>1028</v>
      </c>
      <c r="C116" s="1643" t="s">
        <v>119</v>
      </c>
      <c r="D116" s="1638" t="s">
        <v>109</v>
      </c>
      <c r="E116" s="129" t="s">
        <v>22</v>
      </c>
      <c r="F116" s="206">
        <f>F115/$I$115*100</f>
        <v>99.346843074861837</v>
      </c>
      <c r="G116" s="206">
        <f>G115/$I$115*100</f>
        <v>0</v>
      </c>
      <c r="H116" s="206">
        <f>H115/$I$115*100</f>
        <v>0.65315692513816781</v>
      </c>
      <c r="I116" s="207">
        <f t="shared" si="13"/>
        <v>100</v>
      </c>
      <c r="J116" s="208">
        <f>I115/$I$125*100</f>
        <v>32.268175505152854</v>
      </c>
      <c r="K116" s="1014"/>
      <c r="L116"/>
      <c r="M116" s="41"/>
      <c r="N116" s="41"/>
    </row>
    <row r="117" spans="1:14" s="1" customFormat="1" ht="26" customHeight="1" x14ac:dyDescent="0.2">
      <c r="A117" s="1629" t="s">
        <v>25</v>
      </c>
      <c r="B117" s="1643" t="s">
        <v>1028</v>
      </c>
      <c r="C117" s="1643" t="s">
        <v>119</v>
      </c>
      <c r="D117" s="1637" t="s">
        <v>125</v>
      </c>
      <c r="E117" s="129" t="s">
        <v>21</v>
      </c>
      <c r="F117" s="833">
        <v>1166</v>
      </c>
      <c r="G117" s="204">
        <v>0</v>
      </c>
      <c r="H117" s="204"/>
      <c r="I117" s="833">
        <f t="shared" si="13"/>
        <v>1166</v>
      </c>
      <c r="J117" s="208"/>
      <c r="K117" s="1014"/>
      <c r="L117"/>
      <c r="M117" s="41"/>
      <c r="N117" s="41"/>
    </row>
    <row r="118" spans="1:14" s="1" customFormat="1" ht="26" customHeight="1" x14ac:dyDescent="0.2">
      <c r="A118" s="1629" t="s">
        <v>25</v>
      </c>
      <c r="B118" s="1643" t="s">
        <v>1028</v>
      </c>
      <c r="C118" s="1643" t="s">
        <v>119</v>
      </c>
      <c r="D118" s="1638" t="s">
        <v>125</v>
      </c>
      <c r="E118" s="129" t="s">
        <v>22</v>
      </c>
      <c r="F118" s="207">
        <f>F117/$I$117*100</f>
        <v>100</v>
      </c>
      <c r="G118" s="207">
        <f>G117/$I$117*100</f>
        <v>0</v>
      </c>
      <c r="H118" s="207">
        <f>H117/$I$117*100</f>
        <v>0</v>
      </c>
      <c r="I118" s="207">
        <f t="shared" si="13"/>
        <v>100</v>
      </c>
      <c r="J118" s="208">
        <f>I117/$I$125*100</f>
        <v>1.2602476181211935</v>
      </c>
      <c r="K118" s="1014"/>
      <c r="L118"/>
      <c r="M118" s="41"/>
      <c r="N118" s="41"/>
    </row>
    <row r="119" spans="1:14" s="1" customFormat="1" ht="26" customHeight="1" x14ac:dyDescent="0.2">
      <c r="A119" s="1629" t="s">
        <v>25</v>
      </c>
      <c r="B119" s="1652" t="s">
        <v>1028</v>
      </c>
      <c r="C119" s="1652" t="s">
        <v>119</v>
      </c>
      <c r="D119" s="1637" t="s">
        <v>129</v>
      </c>
      <c r="E119" s="129" t="s">
        <v>21</v>
      </c>
      <c r="F119" s="833">
        <v>27426</v>
      </c>
      <c r="G119" s="204">
        <v>0</v>
      </c>
      <c r="H119" s="833">
        <v>168</v>
      </c>
      <c r="I119" s="833">
        <f t="shared" ref="I119:I126" si="14">SUM(F119:H119)</f>
        <v>27594</v>
      </c>
      <c r="J119" s="208"/>
      <c r="K119" s="1014"/>
      <c r="L119"/>
      <c r="M119" s="41"/>
      <c r="N119" s="41"/>
    </row>
    <row r="120" spans="1:14" s="1" customFormat="1" ht="26" customHeight="1" x14ac:dyDescent="0.2">
      <c r="A120" s="1629" t="s">
        <v>25</v>
      </c>
      <c r="B120" s="1643" t="s">
        <v>1028</v>
      </c>
      <c r="C120" s="1643" t="s">
        <v>119</v>
      </c>
      <c r="D120" s="1638" t="s">
        <v>129</v>
      </c>
      <c r="E120" s="141" t="s">
        <v>22</v>
      </c>
      <c r="F120" s="409">
        <f>F119/$I$119*100</f>
        <v>99.391171993911726</v>
      </c>
      <c r="G120" s="409">
        <f>G119/$I$119*100</f>
        <v>0</v>
      </c>
      <c r="H120" s="409">
        <f>H119/$I$119*100</f>
        <v>0.60882800608828003</v>
      </c>
      <c r="I120" s="410">
        <f t="shared" si="14"/>
        <v>100</v>
      </c>
      <c r="J120" s="208">
        <f>I119/$I$125*100</f>
        <v>29.824419189053351</v>
      </c>
      <c r="K120" s="1014"/>
      <c r="L120"/>
      <c r="M120" s="41"/>
      <c r="N120" s="41"/>
    </row>
    <row r="121" spans="1:14" s="1" customFormat="1" ht="26" customHeight="1" x14ac:dyDescent="0.2">
      <c r="A121" s="1629" t="s">
        <v>25</v>
      </c>
      <c r="B121" s="1643" t="s">
        <v>1028</v>
      </c>
      <c r="C121" s="1643" t="s">
        <v>119</v>
      </c>
      <c r="D121" s="1637" t="s">
        <v>322</v>
      </c>
      <c r="E121" s="129" t="s">
        <v>21</v>
      </c>
      <c r="F121" s="833">
        <v>24566</v>
      </c>
      <c r="G121" s="204">
        <v>0</v>
      </c>
      <c r="H121" s="833">
        <v>198</v>
      </c>
      <c r="I121" s="833">
        <f t="shared" si="14"/>
        <v>24764</v>
      </c>
      <c r="J121" s="208"/>
      <c r="K121" s="1014"/>
      <c r="L121"/>
      <c r="M121" s="41"/>
      <c r="N121" s="41"/>
    </row>
    <row r="122" spans="1:14" s="1" customFormat="1" ht="26" customHeight="1" x14ac:dyDescent="0.2">
      <c r="A122" s="1629" t="s">
        <v>25</v>
      </c>
      <c r="B122" s="1643" t="s">
        <v>1028</v>
      </c>
      <c r="C122" s="1643" t="s">
        <v>119</v>
      </c>
      <c r="D122" s="1638" t="s">
        <v>322</v>
      </c>
      <c r="E122" s="141" t="s">
        <v>22</v>
      </c>
      <c r="F122" s="409">
        <f>F121/$I$121*100</f>
        <v>99.200452269423351</v>
      </c>
      <c r="G122" s="409">
        <f>G121/$I$121*100</f>
        <v>0</v>
      </c>
      <c r="H122" s="409">
        <f>H121/$I$121*100</f>
        <v>0.79954773057664352</v>
      </c>
      <c r="I122" s="410">
        <f t="shared" si="14"/>
        <v>100</v>
      </c>
      <c r="J122" s="208">
        <f>I121/$I$125*100</f>
        <v>26.765670681949601</v>
      </c>
      <c r="K122" s="1014"/>
      <c r="L122"/>
      <c r="M122" s="41"/>
      <c r="N122" s="41"/>
    </row>
    <row r="123" spans="1:14" s="1" customFormat="1" ht="26" customHeight="1" x14ac:dyDescent="0.2">
      <c r="A123" s="1629" t="s">
        <v>25</v>
      </c>
      <c r="B123" s="1643" t="s">
        <v>1028</v>
      </c>
      <c r="C123" s="1643" t="s">
        <v>119</v>
      </c>
      <c r="D123" s="1637" t="s">
        <v>117</v>
      </c>
      <c r="E123" s="129" t="s">
        <v>21</v>
      </c>
      <c r="F123" s="833">
        <v>9097.5</v>
      </c>
      <c r="G123" s="204">
        <v>0</v>
      </c>
      <c r="H123" s="833">
        <v>45</v>
      </c>
      <c r="I123" s="833">
        <f t="shared" si="14"/>
        <v>9142.5</v>
      </c>
      <c r="J123" s="208"/>
      <c r="K123" s="1014"/>
      <c r="L123"/>
      <c r="M123" s="41"/>
      <c r="N123" s="41"/>
    </row>
    <row r="124" spans="1:14" s="1" customFormat="1" ht="26" customHeight="1" x14ac:dyDescent="0.2">
      <c r="A124" s="1629" t="s">
        <v>25</v>
      </c>
      <c r="B124" s="1644" t="s">
        <v>1028</v>
      </c>
      <c r="C124" s="1644" t="s">
        <v>119</v>
      </c>
      <c r="D124" s="1638" t="s">
        <v>117</v>
      </c>
      <c r="E124" s="141" t="s">
        <v>22</v>
      </c>
      <c r="F124" s="409">
        <f>F123/$I$123*100</f>
        <v>99.507793273174741</v>
      </c>
      <c r="G124" s="409">
        <f>G123/$I$123*100</f>
        <v>0</v>
      </c>
      <c r="H124" s="409">
        <f>H123/$I$123*100</f>
        <v>0.49220672682526662</v>
      </c>
      <c r="I124" s="410">
        <f t="shared" si="14"/>
        <v>100.00000000000001</v>
      </c>
      <c r="J124" s="208">
        <f>I123/$I$125*100</f>
        <v>9.8814870057229935</v>
      </c>
      <c r="K124" s="1014"/>
      <c r="L124"/>
      <c r="M124" s="41"/>
      <c r="N124" s="41"/>
    </row>
    <row r="125" spans="1:14" s="1" customFormat="1" ht="26" customHeight="1" x14ac:dyDescent="0.2">
      <c r="A125" s="1629" t="s">
        <v>25</v>
      </c>
      <c r="B125" s="3234" t="s">
        <v>103</v>
      </c>
      <c r="C125" s="3235"/>
      <c r="D125" s="3236"/>
      <c r="E125" s="414" t="s">
        <v>21</v>
      </c>
      <c r="F125" s="832">
        <f>F115+F117+F119+F121+F123</f>
        <v>91915.5</v>
      </c>
      <c r="G125" s="415">
        <f>G115+G117+G119+G121+G123</f>
        <v>0</v>
      </c>
      <c r="H125" s="415">
        <f>H115+H117+H119+H121+H123</f>
        <v>606</v>
      </c>
      <c r="I125" s="832">
        <f t="shared" si="14"/>
        <v>92521.5</v>
      </c>
      <c r="J125" s="416"/>
      <c r="K125" s="1668"/>
      <c r="L125"/>
      <c r="M125" s="41"/>
      <c r="N125" s="41"/>
    </row>
    <row r="126" spans="1:14" s="1" customFormat="1" ht="26" customHeight="1" x14ac:dyDescent="0.2">
      <c r="A126" s="1630" t="s">
        <v>25</v>
      </c>
      <c r="B126" s="3237"/>
      <c r="C126" s="3238"/>
      <c r="D126" s="3239"/>
      <c r="E126" s="414" t="s">
        <v>22</v>
      </c>
      <c r="F126" s="417">
        <f>F125/$I$125*100</f>
        <v>99.345017104132552</v>
      </c>
      <c r="G126" s="417">
        <f>G125/$I$125*100</f>
        <v>0</v>
      </c>
      <c r="H126" s="417">
        <f>H125/$I$125*100</f>
        <v>0.65498289586744707</v>
      </c>
      <c r="I126" s="415">
        <f t="shared" si="14"/>
        <v>100</v>
      </c>
      <c r="J126" s="416">
        <f>SUM(J115:J124)</f>
        <v>99.999999999999986</v>
      </c>
      <c r="K126" s="1668"/>
      <c r="L126"/>
      <c r="M126" s="41"/>
      <c r="N126" s="41"/>
    </row>
    <row r="127" spans="1:14" s="1" customFormat="1" ht="26" customHeight="1" x14ac:dyDescent="0.2">
      <c r="A127" s="41"/>
      <c r="B127" s="41"/>
      <c r="C127" s="41"/>
      <c r="D127" s="41"/>
      <c r="E127" s="41"/>
      <c r="F127" s="41"/>
      <c r="G127" s="41"/>
      <c r="H127" s="399"/>
      <c r="I127" s="439"/>
      <c r="J127" s="41"/>
      <c r="K127" s="41"/>
      <c r="L127" s="41"/>
      <c r="M127" s="41"/>
      <c r="N127" s="41"/>
    </row>
    <row r="128" spans="1:14" s="1" customFormat="1" ht="26" customHeight="1" x14ac:dyDescent="0.2">
      <c r="A128" s="3207" t="s">
        <v>133</v>
      </c>
      <c r="B128" s="3207"/>
      <c r="C128" s="3207"/>
      <c r="D128" s="3207"/>
      <c r="E128" s="3207"/>
      <c r="F128" s="3207"/>
      <c r="G128" s="3207"/>
      <c r="H128" s="3207"/>
      <c r="I128" s="3207"/>
      <c r="J128" s="3207"/>
      <c r="K128" s="41"/>
      <c r="L128" s="41"/>
      <c r="M128" s="41"/>
      <c r="N128" s="41"/>
    </row>
    <row r="129" spans="1:15" s="1" customFormat="1" ht="26" customHeight="1" x14ac:dyDescent="0.2">
      <c r="A129" s="221" t="s">
        <v>39</v>
      </c>
      <c r="B129" s="2551" t="s">
        <v>134</v>
      </c>
      <c r="C129" s="2551"/>
      <c r="D129" s="222" t="s">
        <v>6</v>
      </c>
      <c r="E129" s="222" t="s">
        <v>135</v>
      </c>
      <c r="F129" s="222" t="s">
        <v>43</v>
      </c>
      <c r="G129" s="222" t="s">
        <v>10</v>
      </c>
      <c r="H129" s="391" t="s">
        <v>314</v>
      </c>
      <c r="I129" s="2605" t="s">
        <v>47</v>
      </c>
      <c r="J129" s="2605"/>
      <c r="K129" s="41"/>
      <c r="L129" s="41"/>
      <c r="M129" s="41"/>
      <c r="N129" s="41"/>
    </row>
    <row r="130" spans="1:15" s="1" customFormat="1" ht="26" hidden="1" customHeight="1" x14ac:dyDescent="0.2">
      <c r="A130" s="223">
        <v>1</v>
      </c>
      <c r="B130" s="2599" t="s">
        <v>324</v>
      </c>
      <c r="C130" s="2599"/>
      <c r="D130" s="224" t="s">
        <v>325</v>
      </c>
      <c r="E130" s="735" t="s">
        <v>139</v>
      </c>
      <c r="F130" s="224"/>
      <c r="G130" s="224"/>
      <c r="H130" s="214">
        <f>F130/$F$134*100</f>
        <v>0</v>
      </c>
      <c r="I130" s="2600"/>
      <c r="J130" s="2600"/>
      <c r="K130" s="41"/>
      <c r="L130" s="41"/>
      <c r="M130" s="41"/>
      <c r="N130" s="41"/>
    </row>
    <row r="131" spans="1:15" s="1" customFormat="1" ht="26" customHeight="1" x14ac:dyDescent="0.2">
      <c r="A131" s="223">
        <v>1</v>
      </c>
      <c r="B131" s="2599" t="s">
        <v>323</v>
      </c>
      <c r="C131" s="2599"/>
      <c r="D131" s="224" t="s">
        <v>327</v>
      </c>
      <c r="E131" s="224" t="s">
        <v>330</v>
      </c>
      <c r="F131" s="830">
        <f>I125</f>
        <v>92521.5</v>
      </c>
      <c r="G131" s="224">
        <f>F131/$K$16</f>
        <v>7.1500386398763522</v>
      </c>
      <c r="H131" s="214">
        <f>F131/$F$134*100</f>
        <v>79.839409066786331</v>
      </c>
      <c r="I131" s="2600"/>
      <c r="J131" s="2600"/>
      <c r="K131" s="41"/>
      <c r="L131" s="41"/>
      <c r="M131" s="41"/>
      <c r="N131" s="41"/>
    </row>
    <row r="132" spans="1:15" s="1" customFormat="1" ht="26" customHeight="1" x14ac:dyDescent="0.2">
      <c r="A132" s="223">
        <v>2</v>
      </c>
      <c r="B132" s="2599" t="s">
        <v>323</v>
      </c>
      <c r="C132" s="2599"/>
      <c r="D132" s="224" t="s">
        <v>327</v>
      </c>
      <c r="E132" s="224" t="s">
        <v>329</v>
      </c>
      <c r="F132" s="830">
        <f>I95</f>
        <v>23363</v>
      </c>
      <c r="G132" s="224">
        <f>F132/$K$22</f>
        <v>1.8500950269242953</v>
      </c>
      <c r="H132" s="214">
        <f>F132/$F$134*100</f>
        <v>20.160590933213673</v>
      </c>
      <c r="I132" s="2695"/>
      <c r="J132" s="2697"/>
      <c r="K132" s="41"/>
      <c r="L132" s="41"/>
      <c r="M132" s="41"/>
      <c r="N132" s="41"/>
    </row>
    <row r="133" spans="1:15" s="1" customFormat="1" ht="26" hidden="1" customHeight="1" x14ac:dyDescent="0.2">
      <c r="A133" s="223">
        <v>4</v>
      </c>
      <c r="B133" s="2599" t="s">
        <v>323</v>
      </c>
      <c r="C133" s="2599"/>
      <c r="D133" s="224" t="s">
        <v>328</v>
      </c>
      <c r="E133" s="224" t="s">
        <v>141</v>
      </c>
      <c r="F133" s="224">
        <f>I113</f>
        <v>0</v>
      </c>
      <c r="G133" s="224" t="e">
        <f>F133/#REF!</f>
        <v>#REF!</v>
      </c>
      <c r="H133" s="214">
        <f>F133/$F$134*100</f>
        <v>0</v>
      </c>
      <c r="I133" s="2600"/>
      <c r="J133" s="2600"/>
      <c r="K133" s="41"/>
      <c r="L133" s="41"/>
      <c r="M133" s="41"/>
      <c r="N133" s="41"/>
    </row>
    <row r="134" spans="1:15" s="1" customFormat="1" ht="26" customHeight="1" x14ac:dyDescent="0.2">
      <c r="A134" s="3260" t="s">
        <v>326</v>
      </c>
      <c r="B134" s="3261"/>
      <c r="C134" s="3262"/>
      <c r="D134" s="225" t="s">
        <v>142</v>
      </c>
      <c r="E134" s="225" t="s">
        <v>142</v>
      </c>
      <c r="F134" s="424">
        <f>SUM(F130:F133)</f>
        <v>115884.5</v>
      </c>
      <c r="G134" s="226">
        <f>SUM(G131:G132)</f>
        <v>9.0001336668006466</v>
      </c>
      <c r="H134" s="227">
        <f>SUM(H130:H133)</f>
        <v>100</v>
      </c>
      <c r="I134" s="2603"/>
      <c r="J134" s="2603"/>
      <c r="K134" s="41"/>
      <c r="L134" s="41"/>
      <c r="M134" s="41"/>
      <c r="N134" s="41"/>
    </row>
    <row r="135" spans="1:15" s="1" customFormat="1" ht="9" customHeight="1" x14ac:dyDescent="0.2">
      <c r="A135" s="41"/>
      <c r="B135" s="41"/>
      <c r="C135" s="41"/>
      <c r="D135" s="41"/>
      <c r="E135" s="41"/>
      <c r="F135" s="41"/>
      <c r="G135" s="41"/>
      <c r="H135" s="399"/>
      <c r="I135" s="439"/>
      <c r="J135" s="41"/>
      <c r="K135" s="41"/>
      <c r="L135" s="41"/>
      <c r="M135" s="41"/>
      <c r="N135" s="41"/>
    </row>
    <row r="136" spans="1:15" s="1" customFormat="1" ht="26" customHeight="1" x14ac:dyDescent="0.2">
      <c r="A136" s="3266" t="s">
        <v>438</v>
      </c>
      <c r="B136" s="3267"/>
      <c r="C136" s="3267"/>
      <c r="D136" s="3267"/>
      <c r="E136" s="3267"/>
      <c r="F136" s="3267"/>
      <c r="G136" s="3267"/>
      <c r="H136" s="3267"/>
      <c r="I136" s="3267"/>
      <c r="J136" s="3267"/>
      <c r="K136" s="3267"/>
      <c r="L136" s="3267"/>
      <c r="M136" s="3267"/>
      <c r="N136" s="41"/>
    </row>
    <row r="137" spans="1:15" s="1" customFormat="1" ht="36" customHeight="1" x14ac:dyDescent="0.2">
      <c r="A137" s="238" t="s">
        <v>39</v>
      </c>
      <c r="B137" s="1724" t="s">
        <v>34</v>
      </c>
      <c r="C137" s="241" t="s">
        <v>6</v>
      </c>
      <c r="D137" s="1712" t="s">
        <v>148</v>
      </c>
      <c r="E137" s="1689"/>
      <c r="F137" s="239" t="s">
        <v>17</v>
      </c>
      <c r="G137" s="240" t="s">
        <v>149</v>
      </c>
      <c r="H137" s="240" t="s">
        <v>150</v>
      </c>
      <c r="I137" s="241" t="s">
        <v>151</v>
      </c>
      <c r="J137" s="392" t="s">
        <v>1029</v>
      </c>
      <c r="K137" s="242" t="s">
        <v>1030</v>
      </c>
      <c r="L137" s="3254" t="s">
        <v>47</v>
      </c>
      <c r="M137" s="3255"/>
      <c r="N137" s="3255"/>
      <c r="O137" s="3256"/>
    </row>
    <row r="138" spans="1:15" s="1" customFormat="1" ht="26" customHeight="1" x14ac:dyDescent="0.2">
      <c r="A138" s="1530">
        <v>1</v>
      </c>
      <c r="B138" s="1593" t="s">
        <v>5</v>
      </c>
      <c r="C138" s="1593" t="s">
        <v>115</v>
      </c>
      <c r="D138" s="1702" t="s">
        <v>163</v>
      </c>
      <c r="E138" s="1701"/>
      <c r="F138" s="243" t="s">
        <v>164</v>
      </c>
      <c r="G138" s="244">
        <v>18.86</v>
      </c>
      <c r="H138" s="426" t="e">
        <f>I138/N138</f>
        <v>#DIV/0!</v>
      </c>
      <c r="I138" s="425">
        <v>5674528</v>
      </c>
      <c r="J138" s="285" t="e">
        <f>-(H138-G138)*N138</f>
        <v>#DIV/0!</v>
      </c>
      <c r="K138" s="429">
        <v>0</v>
      </c>
      <c r="L138" s="1713" t="s">
        <v>165</v>
      </c>
      <c r="M138" s="1714"/>
      <c r="N138" s="1543">
        <f>F81</f>
        <v>0</v>
      </c>
      <c r="O138" s="1544"/>
    </row>
    <row r="139" spans="1:15" s="1" customFormat="1" ht="26" customHeight="1" x14ac:dyDescent="0.2">
      <c r="A139" s="1530">
        <v>2</v>
      </c>
      <c r="B139" s="1568" t="s">
        <v>5</v>
      </c>
      <c r="C139" s="1568" t="s">
        <v>115</v>
      </c>
      <c r="D139" s="1702" t="s">
        <v>166</v>
      </c>
      <c r="E139" s="1701"/>
      <c r="F139" s="243" t="s">
        <v>164</v>
      </c>
      <c r="G139" s="247">
        <v>0.53800000000000003</v>
      </c>
      <c r="H139" s="247" t="e">
        <f>I139/N139</f>
        <v>#DIV/0!</v>
      </c>
      <c r="I139" s="245">
        <v>38456</v>
      </c>
      <c r="J139" s="401" t="e">
        <f>-(H139-G139)*N139</f>
        <v>#DIV/0!</v>
      </c>
      <c r="K139" s="284">
        <v>0</v>
      </c>
      <c r="L139" s="641" t="s">
        <v>167</v>
      </c>
      <c r="M139" s="1689"/>
      <c r="N139" s="1534">
        <f>F79</f>
        <v>0</v>
      </c>
      <c r="O139" s="1689"/>
    </row>
    <row r="140" spans="1:15" s="1" customFormat="1" ht="26" customHeight="1" x14ac:dyDescent="0.2">
      <c r="A140" s="1530">
        <v>3</v>
      </c>
      <c r="B140" s="1568" t="s">
        <v>5</v>
      </c>
      <c r="C140" s="1568" t="s">
        <v>115</v>
      </c>
      <c r="D140" s="1702" t="s">
        <v>168</v>
      </c>
      <c r="E140" s="1701"/>
      <c r="F140" s="243" t="s">
        <v>169</v>
      </c>
      <c r="G140" s="247">
        <v>0.48599999999999999</v>
      </c>
      <c r="H140" s="247" t="e">
        <f>I140/N140</f>
        <v>#DIV/0!</v>
      </c>
      <c r="I140" s="245">
        <v>93756</v>
      </c>
      <c r="J140" s="401" t="e">
        <f>-(H140-G140)*N140</f>
        <v>#DIV/0!</v>
      </c>
      <c r="K140" s="284">
        <v>0</v>
      </c>
      <c r="L140" s="641" t="s">
        <v>170</v>
      </c>
      <c r="M140" s="1689"/>
      <c r="N140" s="1534">
        <f>F78</f>
        <v>0</v>
      </c>
      <c r="O140" s="1689"/>
    </row>
    <row r="141" spans="1:15" s="1" customFormat="1" ht="26" customHeight="1" x14ac:dyDescent="0.2">
      <c r="A141" s="1530">
        <v>4</v>
      </c>
      <c r="B141" s="1568" t="s">
        <v>5</v>
      </c>
      <c r="C141" s="1568" t="s">
        <v>115</v>
      </c>
      <c r="D141" s="1702" t="s">
        <v>171</v>
      </c>
      <c r="E141" s="1701"/>
      <c r="F141" s="243" t="s">
        <v>164</v>
      </c>
      <c r="G141" s="248">
        <v>0.38300000000000001</v>
      </c>
      <c r="H141" s="247" t="e">
        <f>I141/N141</f>
        <v>#DIV/0!</v>
      </c>
      <c r="I141" s="245">
        <v>14308</v>
      </c>
      <c r="J141" s="401" t="e">
        <f>-(H141-G141)*N141</f>
        <v>#DIV/0!</v>
      </c>
      <c r="K141" s="284"/>
      <c r="L141" s="1532" t="s">
        <v>172</v>
      </c>
      <c r="M141" s="1690"/>
      <c r="N141" s="1707">
        <f>F80</f>
        <v>0</v>
      </c>
      <c r="O141" s="1689"/>
    </row>
    <row r="142" spans="1:15" s="1" customFormat="1" ht="26" customHeight="1" x14ac:dyDescent="0.2">
      <c r="A142" s="1530">
        <v>5</v>
      </c>
      <c r="B142" s="1568" t="s">
        <v>5</v>
      </c>
      <c r="C142" s="1568" t="s">
        <v>115</v>
      </c>
      <c r="D142" s="1702" t="s">
        <v>173</v>
      </c>
      <c r="E142" s="1701"/>
      <c r="F142" s="243" t="s">
        <v>164</v>
      </c>
      <c r="G142" s="247">
        <v>0.624</v>
      </c>
      <c r="H142" s="247" t="e">
        <f>+I142/N139</f>
        <v>#DIV/0!</v>
      </c>
      <c r="I142" s="245">
        <v>44700</v>
      </c>
      <c r="J142" s="401"/>
      <c r="K142" s="244" t="e">
        <f>--(H142-G142)*N139</f>
        <v>#DIV/0!</v>
      </c>
      <c r="L142" s="321" t="s">
        <v>174</v>
      </c>
      <c r="M142" s="321"/>
      <c r="N142" s="1715">
        <f>N138+M10</f>
        <v>0</v>
      </c>
      <c r="O142" s="1716"/>
    </row>
    <row r="143" spans="1:15" s="1" customFormat="1" ht="26" customHeight="1" x14ac:dyDescent="0.2">
      <c r="A143" s="1530">
        <v>6</v>
      </c>
      <c r="B143" s="1568" t="s">
        <v>5</v>
      </c>
      <c r="C143" s="1568" t="s">
        <v>115</v>
      </c>
      <c r="D143" s="1702" t="s">
        <v>175</v>
      </c>
      <c r="E143" s="1701"/>
      <c r="F143" s="243" t="s">
        <v>164</v>
      </c>
      <c r="G143" s="247">
        <v>0.57199999999999995</v>
      </c>
      <c r="H143" s="247" t="e">
        <f>+I143/N140</f>
        <v>#DIV/0!</v>
      </c>
      <c r="I143" s="245">
        <v>111112</v>
      </c>
      <c r="J143" s="401"/>
      <c r="K143" s="244" t="e">
        <f>--(H143-G143)*N140</f>
        <v>#DIV/0!</v>
      </c>
      <c r="L143" s="3254"/>
      <c r="M143" s="3255"/>
      <c r="N143" s="3255"/>
      <c r="O143" s="3256"/>
    </row>
    <row r="144" spans="1:15" s="1" customFormat="1" ht="26" customHeight="1" x14ac:dyDescent="0.2">
      <c r="A144" s="1530">
        <v>7</v>
      </c>
      <c r="B144" s="1568" t="s">
        <v>5</v>
      </c>
      <c r="C144" s="1568" t="s">
        <v>115</v>
      </c>
      <c r="D144" s="1702" t="s">
        <v>130</v>
      </c>
      <c r="E144" s="1701"/>
      <c r="F144" s="243" t="s">
        <v>164</v>
      </c>
      <c r="G144" s="247">
        <v>0.43</v>
      </c>
      <c r="H144" s="247" t="e">
        <f>+I144/N141</f>
        <v>#DIV/0!</v>
      </c>
      <c r="I144" s="245">
        <v>17450</v>
      </c>
      <c r="J144" s="402"/>
      <c r="K144" s="244" t="e">
        <f>--(H144-G144)*N141</f>
        <v>#DIV/0!</v>
      </c>
      <c r="L144" s="3254"/>
      <c r="M144" s="3255"/>
      <c r="N144" s="3255"/>
      <c r="O144" s="3256"/>
    </row>
    <row r="145" spans="1:16" s="1" customFormat="1" ht="26" customHeight="1" x14ac:dyDescent="0.2">
      <c r="A145" s="1530">
        <v>8</v>
      </c>
      <c r="B145" s="1568" t="s">
        <v>5</v>
      </c>
      <c r="C145" s="1568" t="s">
        <v>115</v>
      </c>
      <c r="D145" s="1702" t="s">
        <v>176</v>
      </c>
      <c r="E145" s="1701"/>
      <c r="F145" s="243" t="s">
        <v>169</v>
      </c>
      <c r="G145" s="247">
        <v>0.69699999999999995</v>
      </c>
      <c r="H145" s="247" t="e">
        <f>+I145/$N$142</f>
        <v>#DIV/0!</v>
      </c>
      <c r="I145" s="245">
        <v>211386</v>
      </c>
      <c r="J145" s="401" t="e">
        <f>-(H145-G145)*$N$142</f>
        <v>#DIV/0!</v>
      </c>
      <c r="K145" s="428">
        <v>0</v>
      </c>
      <c r="L145" s="3254"/>
      <c r="M145" s="3255"/>
      <c r="N145" s="3255"/>
      <c r="O145" s="3256"/>
    </row>
    <row r="146" spans="1:16" s="1" customFormat="1" ht="26" customHeight="1" x14ac:dyDescent="0.2">
      <c r="A146" s="1530">
        <v>9</v>
      </c>
      <c r="B146" s="1567" t="s">
        <v>5</v>
      </c>
      <c r="C146" s="1567" t="s">
        <v>115</v>
      </c>
      <c r="D146" s="1702" t="s">
        <v>177</v>
      </c>
      <c r="E146" s="1701"/>
      <c r="F146" s="243" t="s">
        <v>164</v>
      </c>
      <c r="G146" s="250">
        <v>3.7100000000000001E-2</v>
      </c>
      <c r="H146" s="250" t="e">
        <f t="shared" ref="H146:H151" si="15">+I146/$N$138</f>
        <v>#DIV/0!</v>
      </c>
      <c r="I146" s="245">
        <v>11230</v>
      </c>
      <c r="J146" s="401" t="e">
        <f>-(H146-G146)*$N$142</f>
        <v>#DIV/0!</v>
      </c>
      <c r="K146" s="246">
        <v>0</v>
      </c>
      <c r="L146" s="3254"/>
      <c r="M146" s="3255"/>
      <c r="N146" s="3255"/>
      <c r="O146" s="3256"/>
    </row>
    <row r="147" spans="1:16" s="1" customFormat="1" ht="26" customHeight="1" x14ac:dyDescent="0.2">
      <c r="A147" s="1530">
        <v>10</v>
      </c>
      <c r="B147" s="1568" t="s">
        <v>5</v>
      </c>
      <c r="C147" s="1568" t="s">
        <v>115</v>
      </c>
      <c r="D147" s="1702" t="s">
        <v>178</v>
      </c>
      <c r="E147" s="1701"/>
      <c r="F147" s="243" t="s">
        <v>164</v>
      </c>
      <c r="G147" s="251">
        <v>8.3000000000000001E-3</v>
      </c>
      <c r="H147" s="251" t="e">
        <f t="shared" si="15"/>
        <v>#DIV/0!</v>
      </c>
      <c r="I147" s="245">
        <v>2150</v>
      </c>
      <c r="J147" s="401" t="e">
        <f>-(H147-G147)*$N$138</f>
        <v>#DIV/0!</v>
      </c>
      <c r="K147" s="246" t="e">
        <f t="shared" ref="K147:K157" si="16">--(H147-G147)*N144</f>
        <v>#DIV/0!</v>
      </c>
      <c r="L147" s="3254"/>
      <c r="M147" s="3255"/>
      <c r="N147" s="3255"/>
      <c r="O147" s="3256"/>
    </row>
    <row r="148" spans="1:16" s="1" customFormat="1" ht="26" customHeight="1" x14ac:dyDescent="0.2">
      <c r="A148" s="1530">
        <v>11</v>
      </c>
      <c r="B148" s="1568" t="s">
        <v>5</v>
      </c>
      <c r="C148" s="1568" t="s">
        <v>115</v>
      </c>
      <c r="D148" s="1702" t="s">
        <v>179</v>
      </c>
      <c r="E148" s="1701"/>
      <c r="F148" s="243" t="s">
        <v>164</v>
      </c>
      <c r="G148" s="250">
        <v>4.6100000000000002E-2</v>
      </c>
      <c r="H148" s="247" t="e">
        <f t="shared" si="15"/>
        <v>#DIV/0!</v>
      </c>
      <c r="I148" s="245">
        <v>7650</v>
      </c>
      <c r="J148" s="401" t="e">
        <f>-(H148-G148)*$N$138</f>
        <v>#DIV/0!</v>
      </c>
      <c r="K148" s="246" t="e">
        <f t="shared" si="16"/>
        <v>#DIV/0!</v>
      </c>
      <c r="L148" s="3254"/>
      <c r="M148" s="3255"/>
      <c r="N148" s="3255"/>
      <c r="O148" s="3256"/>
    </row>
    <row r="149" spans="1:16" s="1" customFormat="1" ht="26" customHeight="1" x14ac:dyDescent="0.2">
      <c r="A149" s="1530">
        <v>12</v>
      </c>
      <c r="B149" s="1568" t="s">
        <v>5</v>
      </c>
      <c r="C149" s="1568" t="s">
        <v>115</v>
      </c>
      <c r="D149" s="1702" t="s">
        <v>180</v>
      </c>
      <c r="E149" s="1701"/>
      <c r="F149" s="243" t="s">
        <v>164</v>
      </c>
      <c r="G149" s="250">
        <v>3.0999999999999999E-3</v>
      </c>
      <c r="H149" s="247" t="e">
        <f t="shared" si="15"/>
        <v>#DIV/0!</v>
      </c>
      <c r="I149" s="245">
        <f>AA149</f>
        <v>0</v>
      </c>
      <c r="J149" s="393" t="s">
        <v>142</v>
      </c>
      <c r="K149" s="246" t="e">
        <f t="shared" si="16"/>
        <v>#DIV/0!</v>
      </c>
      <c r="L149" s="3254"/>
      <c r="M149" s="3255"/>
      <c r="N149" s="3255"/>
      <c r="O149" s="3256"/>
    </row>
    <row r="150" spans="1:16" s="1" customFormat="1" ht="26" customHeight="1" x14ac:dyDescent="0.2">
      <c r="A150" s="1530">
        <v>13</v>
      </c>
      <c r="B150" s="1568" t="s">
        <v>5</v>
      </c>
      <c r="C150" s="1568" t="s">
        <v>115</v>
      </c>
      <c r="D150" s="1702" t="s">
        <v>181</v>
      </c>
      <c r="E150" s="1701"/>
      <c r="F150" s="243" t="s">
        <v>164</v>
      </c>
      <c r="G150" s="250">
        <v>3.0999999999999999E-3</v>
      </c>
      <c r="H150" s="247" t="e">
        <f t="shared" si="15"/>
        <v>#DIV/0!</v>
      </c>
      <c r="I150" s="245">
        <f>AA150</f>
        <v>0</v>
      </c>
      <c r="J150" s="393" t="s">
        <v>142</v>
      </c>
      <c r="K150" s="246" t="e">
        <f t="shared" si="16"/>
        <v>#DIV/0!</v>
      </c>
      <c r="L150" s="3254"/>
      <c r="M150" s="3255"/>
      <c r="N150" s="3255"/>
      <c r="O150" s="3256"/>
    </row>
    <row r="151" spans="1:16" s="1" customFormat="1" ht="26" customHeight="1" x14ac:dyDescent="0.2">
      <c r="A151" s="1530">
        <v>14</v>
      </c>
      <c r="B151" s="1568" t="s">
        <v>5</v>
      </c>
      <c r="C151" s="1568" t="s">
        <v>115</v>
      </c>
      <c r="D151" s="1702" t="s">
        <v>182</v>
      </c>
      <c r="E151" s="1701"/>
      <c r="F151" s="252" t="s">
        <v>164</v>
      </c>
      <c r="G151" s="253">
        <v>1.635</v>
      </c>
      <c r="H151" s="247" t="e">
        <f t="shared" si="15"/>
        <v>#DIV/0!</v>
      </c>
      <c r="I151" s="245">
        <v>461952</v>
      </c>
      <c r="J151" s="401" t="e">
        <f>-(H151-G151)*$N$138</f>
        <v>#DIV/0!</v>
      </c>
      <c r="K151" s="246" t="e">
        <f t="shared" si="16"/>
        <v>#DIV/0!</v>
      </c>
      <c r="L151" s="3254"/>
      <c r="M151" s="3255"/>
      <c r="N151" s="3255"/>
      <c r="O151" s="3256"/>
    </row>
    <row r="152" spans="1:16" s="1" customFormat="1" ht="26" customHeight="1" x14ac:dyDescent="0.2">
      <c r="A152" s="1530">
        <v>15</v>
      </c>
      <c r="B152" s="1568" t="s">
        <v>5</v>
      </c>
      <c r="C152" s="1568" t="s">
        <v>115</v>
      </c>
      <c r="D152" s="1702" t="s">
        <v>183</v>
      </c>
      <c r="E152" s="1701"/>
      <c r="F152" s="243" t="s">
        <v>164</v>
      </c>
      <c r="G152" s="251">
        <v>6.45E-3</v>
      </c>
      <c r="H152" s="251" t="e">
        <f>+I152/$N$142</f>
        <v>#DIV/0!</v>
      </c>
      <c r="I152" s="245">
        <v>1960</v>
      </c>
      <c r="J152" s="401" t="e">
        <f>-(H152-G152)*$N$142</f>
        <v>#DIV/0!</v>
      </c>
      <c r="K152" s="246" t="e">
        <f t="shared" si="16"/>
        <v>#DIV/0!</v>
      </c>
      <c r="L152" s="3254"/>
      <c r="M152" s="3255"/>
      <c r="N152" s="3255"/>
      <c r="O152" s="3256"/>
    </row>
    <row r="153" spans="1:16" s="1" customFormat="1" ht="26" customHeight="1" x14ac:dyDescent="0.2">
      <c r="A153" s="1530">
        <v>16</v>
      </c>
      <c r="B153" s="1568" t="s">
        <v>5</v>
      </c>
      <c r="C153" s="1568" t="s">
        <v>115</v>
      </c>
      <c r="D153" s="1702" t="s">
        <v>184</v>
      </c>
      <c r="E153" s="1701"/>
      <c r="F153" s="243" t="s">
        <v>169</v>
      </c>
      <c r="G153" s="251">
        <v>4.7480000000000001E-2</v>
      </c>
      <c r="H153" s="251" t="e">
        <f>+I153/$N$138</f>
        <v>#DIV/0!</v>
      </c>
      <c r="I153" s="245">
        <v>12800</v>
      </c>
      <c r="J153" s="401" t="e">
        <f>-(H153-G153)*$N$138</f>
        <v>#DIV/0!</v>
      </c>
      <c r="K153" s="246" t="e">
        <f t="shared" si="16"/>
        <v>#DIV/0!</v>
      </c>
      <c r="L153" s="3254"/>
      <c r="M153" s="3255"/>
      <c r="N153" s="3255"/>
      <c r="O153" s="3256"/>
    </row>
    <row r="154" spans="1:16" s="1" customFormat="1" ht="31" customHeight="1" x14ac:dyDescent="0.2">
      <c r="A154" s="1531">
        <v>17</v>
      </c>
      <c r="B154" s="1568" t="s">
        <v>5</v>
      </c>
      <c r="C154" s="1568" t="s">
        <v>115</v>
      </c>
      <c r="D154" s="1702" t="s">
        <v>185</v>
      </c>
      <c r="E154" s="1701"/>
      <c r="F154" s="254" t="s">
        <v>169</v>
      </c>
      <c r="G154" s="255">
        <v>0</v>
      </c>
      <c r="H154" s="427" t="s">
        <v>142</v>
      </c>
      <c r="I154" s="257">
        <v>3420</v>
      </c>
      <c r="J154" s="393" t="s">
        <v>142</v>
      </c>
      <c r="K154" s="246"/>
      <c r="L154" s="3292" t="s">
        <v>186</v>
      </c>
      <c r="M154" s="3293"/>
      <c r="N154" s="3293"/>
      <c r="O154" s="3294"/>
    </row>
    <row r="155" spans="1:16" s="1" customFormat="1" ht="26" customHeight="1" x14ac:dyDescent="0.2">
      <c r="A155" s="1533">
        <v>18</v>
      </c>
      <c r="B155" s="1568" t="s">
        <v>5</v>
      </c>
      <c r="C155" s="1568" t="s">
        <v>115</v>
      </c>
      <c r="D155" s="1702" t="s">
        <v>187</v>
      </c>
      <c r="E155" s="1701"/>
      <c r="F155" s="51" t="s">
        <v>169</v>
      </c>
      <c r="G155" s="258"/>
      <c r="H155" s="247" t="e">
        <f>+I155/$N$138</f>
        <v>#DIV/0!</v>
      </c>
      <c r="I155" s="260">
        <f>AA155</f>
        <v>0</v>
      </c>
      <c r="J155" s="70" t="e">
        <f>-(H155-G155)*$P$208</f>
        <v>#DIV/0!</v>
      </c>
      <c r="K155" s="246" t="e">
        <f t="shared" si="16"/>
        <v>#DIV/0!</v>
      </c>
      <c r="L155" s="3254"/>
      <c r="M155" s="3255"/>
      <c r="N155" s="3255"/>
      <c r="O155" s="3256"/>
    </row>
    <row r="156" spans="1:16" s="1" customFormat="1" ht="26" customHeight="1" x14ac:dyDescent="0.2">
      <c r="A156" s="1533">
        <v>19</v>
      </c>
      <c r="B156" s="1568" t="s">
        <v>5</v>
      </c>
      <c r="C156" s="1568" t="s">
        <v>115</v>
      </c>
      <c r="D156" s="1702" t="s">
        <v>188</v>
      </c>
      <c r="E156" s="1701"/>
      <c r="F156" s="51" t="s">
        <v>164</v>
      </c>
      <c r="G156" s="258">
        <v>3.4499999999999999E-3</v>
      </c>
      <c r="H156" s="251" t="e">
        <f>+I156/$N$138</f>
        <v>#DIV/0!</v>
      </c>
      <c r="I156" s="260">
        <v>990</v>
      </c>
      <c r="J156" s="70" t="e">
        <f>-(H156-G156)*$P$208</f>
        <v>#DIV/0!</v>
      </c>
      <c r="K156" s="246" t="e">
        <f t="shared" si="16"/>
        <v>#DIV/0!</v>
      </c>
      <c r="L156" s="3254"/>
      <c r="M156" s="3255"/>
      <c r="N156" s="3255"/>
      <c r="O156" s="3256"/>
    </row>
    <row r="157" spans="1:16" s="1" customFormat="1" ht="26" customHeight="1" x14ac:dyDescent="0.2">
      <c r="A157" s="1533">
        <v>20</v>
      </c>
      <c r="B157" s="1584" t="s">
        <v>5</v>
      </c>
      <c r="C157" s="1584" t="s">
        <v>115</v>
      </c>
      <c r="D157" s="1702" t="s">
        <v>189</v>
      </c>
      <c r="E157" s="1701"/>
      <c r="F157" s="51" t="s">
        <v>190</v>
      </c>
      <c r="G157" s="258"/>
      <c r="H157" s="247" t="e">
        <f>+I157/$N$138</f>
        <v>#DIV/0!</v>
      </c>
      <c r="I157" s="260">
        <f>AA157</f>
        <v>0</v>
      </c>
      <c r="J157" s="70" t="e">
        <f>-(H157-G157)*$P$208</f>
        <v>#DIV/0!</v>
      </c>
      <c r="K157" s="246" t="e">
        <f t="shared" si="16"/>
        <v>#DIV/0!</v>
      </c>
      <c r="L157" s="3254"/>
      <c r="M157" s="3255"/>
      <c r="N157" s="3255"/>
      <c r="O157" s="3256"/>
    </row>
    <row r="158" spans="1:16" customFormat="1" ht="26" customHeight="1" x14ac:dyDescent="0.2"/>
    <row r="159" spans="1:16" s="1" customFormat="1" ht="30" customHeight="1" x14ac:dyDescent="0.2">
      <c r="A159" s="1537" t="s">
        <v>39</v>
      </c>
      <c r="B159" s="1724" t="s">
        <v>34</v>
      </c>
      <c r="C159" s="241" t="s">
        <v>6</v>
      </c>
      <c r="D159" s="1700" t="s">
        <v>191</v>
      </c>
      <c r="E159" s="1701"/>
      <c r="F159" s="1695" t="s">
        <v>17</v>
      </c>
      <c r="G159" s="241" t="s">
        <v>192</v>
      </c>
      <c r="H159" s="241" t="s">
        <v>193</v>
      </c>
      <c r="I159" s="241" t="s">
        <v>151</v>
      </c>
      <c r="J159" s="392" t="s">
        <v>1029</v>
      </c>
      <c r="K159" s="242" t="s">
        <v>1030</v>
      </c>
      <c r="L159" s="3295" t="s">
        <v>47</v>
      </c>
      <c r="M159" s="3296"/>
      <c r="N159" s="3296"/>
      <c r="O159" s="3297"/>
    </row>
    <row r="160" spans="1:16" s="1" customFormat="1" ht="26" customHeight="1" x14ac:dyDescent="0.2">
      <c r="A160" s="1691">
        <v>1</v>
      </c>
      <c r="B160" s="1593" t="s">
        <v>25</v>
      </c>
      <c r="C160" s="1593" t="s">
        <v>119</v>
      </c>
      <c r="D160" s="1702" t="s">
        <v>389</v>
      </c>
      <c r="E160" s="1701"/>
      <c r="F160" s="1696" t="s">
        <v>49</v>
      </c>
      <c r="G160" s="283">
        <v>21.26</v>
      </c>
      <c r="H160" s="277">
        <f>I160/N160</f>
        <v>21.084754475361244</v>
      </c>
      <c r="I160" s="274">
        <v>2443396.23</v>
      </c>
      <c r="J160" s="453">
        <f>-(H160-G160)*N160</f>
        <v>20308.240000000111</v>
      </c>
      <c r="K160" s="441"/>
      <c r="L160" s="1709" t="s">
        <v>165</v>
      </c>
      <c r="M160" s="1710"/>
      <c r="N160" s="1538">
        <f>F134</f>
        <v>115884.5</v>
      </c>
      <c r="O160" s="1706"/>
      <c r="P160" s="529"/>
    </row>
    <row r="161" spans="1:16" s="1" customFormat="1" ht="26" customHeight="1" x14ac:dyDescent="0.2">
      <c r="A161" s="1692">
        <v>2</v>
      </c>
      <c r="B161" s="1568" t="s">
        <v>25</v>
      </c>
      <c r="C161" s="1568" t="s">
        <v>119</v>
      </c>
      <c r="D161" s="1703" t="s">
        <v>200</v>
      </c>
      <c r="E161" s="1701"/>
      <c r="F161" s="1697" t="s">
        <v>49</v>
      </c>
      <c r="G161" s="247">
        <v>0.39</v>
      </c>
      <c r="H161" s="277">
        <f>I161/N161</f>
        <v>0.38260368959465824</v>
      </c>
      <c r="I161" s="274">
        <v>8938.77</v>
      </c>
      <c r="J161" s="736">
        <f>-(H161-G161)*N161</f>
        <v>172.79999999999995</v>
      </c>
      <c r="K161" s="352"/>
      <c r="L161" s="1061" t="s">
        <v>428</v>
      </c>
      <c r="M161" s="1711"/>
      <c r="N161" s="1539">
        <f>F132</f>
        <v>23363</v>
      </c>
      <c r="O161" s="1540"/>
      <c r="P161" s="526"/>
    </row>
    <row r="162" spans="1:16" s="1" customFormat="1" ht="26" customHeight="1" x14ac:dyDescent="0.2">
      <c r="A162" s="1693">
        <v>3</v>
      </c>
      <c r="B162" s="1568" t="s">
        <v>25</v>
      </c>
      <c r="C162" s="1568" t="s">
        <v>119</v>
      </c>
      <c r="D162" s="1703" t="s">
        <v>489</v>
      </c>
      <c r="E162" s="1701"/>
      <c r="F162" s="1698" t="s">
        <v>49</v>
      </c>
      <c r="G162" s="256">
        <v>0.28000000000000003</v>
      </c>
      <c r="H162" s="278">
        <f>I162/N162</f>
        <v>0.27402279470177204</v>
      </c>
      <c r="I162" s="279">
        <v>25353</v>
      </c>
      <c r="J162" s="403">
        <f>-(H162-G162)*N162</f>
        <v>553.02000000000032</v>
      </c>
      <c r="K162" s="267"/>
      <c r="L162" s="1061" t="s">
        <v>429</v>
      </c>
      <c r="M162" s="1711"/>
      <c r="N162" s="1541">
        <f>F131</f>
        <v>92521.5</v>
      </c>
      <c r="O162" s="1542"/>
      <c r="P162" s="526"/>
    </row>
    <row r="163" spans="1:16" s="1" customFormat="1" ht="26" customHeight="1" x14ac:dyDescent="0.2">
      <c r="A163" s="1694">
        <v>4</v>
      </c>
      <c r="B163" s="1568" t="s">
        <v>25</v>
      </c>
      <c r="C163" s="1568" t="s">
        <v>119</v>
      </c>
      <c r="D163" s="1702" t="s">
        <v>204</v>
      </c>
      <c r="E163" s="1701"/>
      <c r="F163" s="1545" t="s">
        <v>49</v>
      </c>
      <c r="G163" s="280">
        <v>0.39</v>
      </c>
      <c r="H163" s="281">
        <f>I163/N161</f>
        <v>0.4364315370457561</v>
      </c>
      <c r="I163" s="282">
        <v>10196.35</v>
      </c>
      <c r="J163" s="404"/>
      <c r="K163" s="271">
        <f>--(H163-G163)*N161</f>
        <v>1084.7799999999995</v>
      </c>
      <c r="L163" s="1717"/>
      <c r="M163" s="1718"/>
      <c r="N163" s="1719"/>
      <c r="O163" s="1720"/>
    </row>
    <row r="164" spans="1:16" s="1" customFormat="1" ht="26" customHeight="1" x14ac:dyDescent="0.2">
      <c r="A164" s="1536">
        <v>5</v>
      </c>
      <c r="B164" s="1568" t="s">
        <v>25</v>
      </c>
      <c r="C164" s="1568" t="s">
        <v>119</v>
      </c>
      <c r="D164" s="1703" t="s">
        <v>490</v>
      </c>
      <c r="E164" s="1701"/>
      <c r="F164" s="1699" t="s">
        <v>49</v>
      </c>
      <c r="G164" s="259">
        <v>0.11700000000000001</v>
      </c>
      <c r="H164" s="268">
        <f>I164/N162</f>
        <v>0.12714731170592783</v>
      </c>
      <c r="I164" s="269">
        <v>11763.86</v>
      </c>
      <c r="J164" s="70"/>
      <c r="K164" s="271">
        <f>--(H164-G164)*N162</f>
        <v>938.84450000000106</v>
      </c>
      <c r="L164" s="3298" t="s">
        <v>357</v>
      </c>
      <c r="M164" s="3299"/>
      <c r="N164" s="3299"/>
      <c r="O164" s="3300"/>
    </row>
    <row r="165" spans="1:16" s="1" customFormat="1" ht="26" customHeight="1" x14ac:dyDescent="0.2">
      <c r="A165" s="1536">
        <v>6</v>
      </c>
      <c r="B165" s="1568" t="s">
        <v>25</v>
      </c>
      <c r="C165" s="1568" t="s">
        <v>119</v>
      </c>
      <c r="D165" s="1703" t="s">
        <v>733</v>
      </c>
      <c r="E165" s="1701"/>
      <c r="F165" s="1699" t="s">
        <v>49</v>
      </c>
      <c r="G165" s="259">
        <v>9.2999999999999999E-2</v>
      </c>
      <c r="H165" s="268">
        <f>I165/N162</f>
        <v>0.11208800116729624</v>
      </c>
      <c r="I165" s="269">
        <v>10370.549999999999</v>
      </c>
      <c r="J165" s="70"/>
      <c r="K165" s="271">
        <f>--(H165-G165)*N162</f>
        <v>1766.0504999999991</v>
      </c>
      <c r="L165" s="3298"/>
      <c r="M165" s="3299"/>
      <c r="N165" s="3299"/>
      <c r="O165" s="3300"/>
    </row>
    <row r="166" spans="1:16" s="1" customFormat="1" ht="26" customHeight="1" x14ac:dyDescent="0.2">
      <c r="A166" s="1536">
        <v>7</v>
      </c>
      <c r="B166" s="1567" t="s">
        <v>25</v>
      </c>
      <c r="C166" s="1567" t="s">
        <v>119</v>
      </c>
      <c r="D166" s="1703" t="s">
        <v>176</v>
      </c>
      <c r="E166" s="1701"/>
      <c r="F166" s="1699" t="s">
        <v>195</v>
      </c>
      <c r="G166" s="262">
        <v>0.66900000000000004</v>
      </c>
      <c r="H166" s="803">
        <f>I166/N160</f>
        <v>0.6688038521113695</v>
      </c>
      <c r="I166" s="269">
        <v>77504</v>
      </c>
      <c r="J166" s="737">
        <f>-(H166-G166)*N160</f>
        <v>22.73050000000557</v>
      </c>
      <c r="K166" s="443"/>
      <c r="L166" s="3298"/>
      <c r="M166" s="3299"/>
      <c r="N166" s="3299"/>
      <c r="O166" s="3300"/>
    </row>
    <row r="167" spans="1:16" s="1" customFormat="1" ht="26" customHeight="1" x14ac:dyDescent="0.2">
      <c r="A167" s="1536">
        <v>8</v>
      </c>
      <c r="B167" s="1568" t="s">
        <v>25</v>
      </c>
      <c r="C167" s="1568" t="s">
        <v>119</v>
      </c>
      <c r="D167" s="1703" t="s">
        <v>177</v>
      </c>
      <c r="E167" s="1701"/>
      <c r="F167" s="1699" t="s">
        <v>49</v>
      </c>
      <c r="G167" s="262">
        <v>0.02</v>
      </c>
      <c r="H167" s="530">
        <f>I167/N160</f>
        <v>1.9933640823406065E-2</v>
      </c>
      <c r="I167" s="269">
        <v>2310</v>
      </c>
      <c r="J167" s="737">
        <f>-(H167-G167)*N160</f>
        <v>7.6899999999999604</v>
      </c>
      <c r="K167" s="443">
        <v>0</v>
      </c>
      <c r="L167" s="3298"/>
      <c r="M167" s="3299"/>
      <c r="N167" s="3299"/>
      <c r="O167" s="3300"/>
    </row>
    <row r="168" spans="1:16" s="1" customFormat="1" ht="26" customHeight="1" x14ac:dyDescent="0.2">
      <c r="A168" s="1536">
        <v>9</v>
      </c>
      <c r="B168" s="1568" t="s">
        <v>25</v>
      </c>
      <c r="C168" s="1568" t="s">
        <v>119</v>
      </c>
      <c r="D168" s="1703" t="s">
        <v>188</v>
      </c>
      <c r="E168" s="1701"/>
      <c r="F168" s="1699" t="s">
        <v>49</v>
      </c>
      <c r="G168" s="262">
        <v>3.5000000000000001E-3</v>
      </c>
      <c r="H168" s="530"/>
      <c r="I168" s="855"/>
      <c r="J168" s="737"/>
      <c r="K168" s="443"/>
      <c r="L168" s="3298"/>
      <c r="M168" s="3299"/>
      <c r="N168" s="3299"/>
      <c r="O168" s="3300"/>
    </row>
    <row r="169" spans="1:16" s="1" customFormat="1" ht="26" customHeight="1" x14ac:dyDescent="0.2">
      <c r="A169" s="1536">
        <v>10</v>
      </c>
      <c r="B169" s="1568" t="s">
        <v>25</v>
      </c>
      <c r="C169" s="1568" t="s">
        <v>119</v>
      </c>
      <c r="D169" s="1703" t="s">
        <v>178</v>
      </c>
      <c r="E169" s="1701"/>
      <c r="F169" s="1699" t="s">
        <v>49</v>
      </c>
      <c r="G169" s="262">
        <v>1.9599999999999999E-2</v>
      </c>
      <c r="H169" s="270">
        <f>I169/N160</f>
        <v>1.1261212672963166E-2</v>
      </c>
      <c r="I169" s="269">
        <v>1305</v>
      </c>
      <c r="J169" s="531">
        <f>-(H169-G169)*N160</f>
        <v>966.33619999999996</v>
      </c>
      <c r="K169" s="443">
        <v>0</v>
      </c>
      <c r="L169" s="3298"/>
      <c r="M169" s="3299"/>
      <c r="N169" s="3299"/>
      <c r="O169" s="3300"/>
    </row>
    <row r="170" spans="1:16" s="1" customFormat="1" ht="26" customHeight="1" x14ac:dyDescent="0.2">
      <c r="A170" s="1536">
        <v>11</v>
      </c>
      <c r="B170" s="1568" t="s">
        <v>25</v>
      </c>
      <c r="C170" s="1568" t="s">
        <v>119</v>
      </c>
      <c r="D170" s="1703" t="s">
        <v>179</v>
      </c>
      <c r="E170" s="1704"/>
      <c r="F170" s="1699" t="s">
        <v>49</v>
      </c>
      <c r="G170" s="262">
        <v>2.7E-2</v>
      </c>
      <c r="H170" s="270">
        <f>I170/N160</f>
        <v>1.89844198318153E-2</v>
      </c>
      <c r="I170" s="269">
        <v>2200</v>
      </c>
      <c r="J170" s="70">
        <f>-(H170-G170)*N160</f>
        <v>928.88149999999985</v>
      </c>
      <c r="K170" s="443"/>
      <c r="L170" s="3298"/>
      <c r="M170" s="3299"/>
      <c r="N170" s="3299"/>
      <c r="O170" s="3300"/>
    </row>
    <row r="171" spans="1:16" s="1" customFormat="1" ht="26" customHeight="1" x14ac:dyDescent="0.2">
      <c r="A171" s="1536">
        <v>12</v>
      </c>
      <c r="B171" s="1568" t="s">
        <v>25</v>
      </c>
      <c r="C171" s="1568" t="s">
        <v>119</v>
      </c>
      <c r="D171" s="1703" t="s">
        <v>206</v>
      </c>
      <c r="E171" s="1704"/>
      <c r="F171" s="1699" t="s">
        <v>49</v>
      </c>
      <c r="G171" s="262">
        <v>2.0999999999999999E-3</v>
      </c>
      <c r="H171" s="268"/>
      <c r="I171" s="261"/>
      <c r="J171" s="70"/>
      <c r="K171" s="443"/>
      <c r="L171" s="3298"/>
      <c r="M171" s="3299"/>
      <c r="N171" s="3299"/>
      <c r="O171" s="3300"/>
    </row>
    <row r="172" spans="1:16" s="1" customFormat="1" ht="26" customHeight="1" x14ac:dyDescent="0.2">
      <c r="A172" s="1536">
        <v>13</v>
      </c>
      <c r="B172" s="1568" t="s">
        <v>25</v>
      </c>
      <c r="C172" s="1568" t="s">
        <v>119</v>
      </c>
      <c r="D172" s="1703" t="s">
        <v>197</v>
      </c>
      <c r="E172" s="1701"/>
      <c r="F172" s="1699" t="s">
        <v>49</v>
      </c>
      <c r="G172" s="259">
        <v>1.82</v>
      </c>
      <c r="H172" s="268">
        <f>I172/N160</f>
        <v>1.7768359012637582</v>
      </c>
      <c r="I172" s="269">
        <v>205907.74</v>
      </c>
      <c r="J172" s="531">
        <f>-(H172-G172)*N160</f>
        <v>5002.0500000000166</v>
      </c>
      <c r="K172" s="443">
        <v>0</v>
      </c>
      <c r="L172" s="3298"/>
      <c r="M172" s="3299"/>
      <c r="N172" s="3299"/>
      <c r="O172" s="3300"/>
    </row>
    <row r="173" spans="1:16" s="1" customFormat="1" ht="26" customHeight="1" x14ac:dyDescent="0.2">
      <c r="A173" s="1536">
        <v>14</v>
      </c>
      <c r="B173" s="1568" t="s">
        <v>25</v>
      </c>
      <c r="C173" s="1568" t="s">
        <v>119</v>
      </c>
      <c r="D173" s="1703" t="s">
        <v>198</v>
      </c>
      <c r="E173" s="1701"/>
      <c r="F173" s="1699" t="s">
        <v>49</v>
      </c>
      <c r="G173" s="262">
        <v>7.6E-3</v>
      </c>
      <c r="H173" s="270">
        <f>I173/N160</f>
        <v>7.5937679327261198E-3</v>
      </c>
      <c r="I173" s="269">
        <v>880</v>
      </c>
      <c r="J173" s="70">
        <f>-(H173-G173)*N160</f>
        <v>0.72219999999996487</v>
      </c>
      <c r="K173" s="443">
        <v>0</v>
      </c>
      <c r="L173" s="3298"/>
      <c r="M173" s="3299"/>
      <c r="N173" s="3299"/>
      <c r="O173" s="3300"/>
    </row>
    <row r="174" spans="1:16" s="1" customFormat="1" ht="26" customHeight="1" x14ac:dyDescent="0.2">
      <c r="A174" s="1536">
        <v>15</v>
      </c>
      <c r="B174" s="1568" t="s">
        <v>25</v>
      </c>
      <c r="C174" s="1568" t="s">
        <v>119</v>
      </c>
      <c r="D174" s="1703" t="s">
        <v>199</v>
      </c>
      <c r="E174" s="1701"/>
      <c r="F174" s="1699" t="s">
        <v>195</v>
      </c>
      <c r="G174" s="262">
        <v>4.2000000000000003E-2</v>
      </c>
      <c r="H174" s="528">
        <f>I174/N160</f>
        <v>4.1852016447411003E-2</v>
      </c>
      <c r="I174" s="269">
        <v>4850</v>
      </c>
      <c r="J174" s="532">
        <f>-(H174-G174)*N160</f>
        <v>17.148999999999937</v>
      </c>
      <c r="K174" s="443">
        <v>0</v>
      </c>
      <c r="L174" s="3298"/>
      <c r="M174" s="3299"/>
      <c r="N174" s="3299"/>
      <c r="O174" s="3300"/>
    </row>
    <row r="175" spans="1:16" s="1" customFormat="1" ht="26" customHeight="1" x14ac:dyDescent="0.2">
      <c r="A175" s="1536">
        <v>16</v>
      </c>
      <c r="B175" s="1584" t="s">
        <v>25</v>
      </c>
      <c r="C175" s="1584" t="s">
        <v>119</v>
      </c>
      <c r="D175" s="1703" t="s">
        <v>185</v>
      </c>
      <c r="E175" s="1701"/>
      <c r="F175" s="1699" t="s">
        <v>195</v>
      </c>
      <c r="G175" s="262">
        <v>1.04E-2</v>
      </c>
      <c r="H175" s="268"/>
      <c r="I175" s="269">
        <v>1080</v>
      </c>
      <c r="J175" s="70"/>
      <c r="K175" s="443"/>
      <c r="L175" s="3298" t="s">
        <v>430</v>
      </c>
      <c r="M175" s="3299"/>
      <c r="N175" s="3299"/>
      <c r="O175" s="3300"/>
    </row>
    <row r="176" spans="1:16" s="1" customFormat="1" ht="26" customHeight="1" x14ac:dyDescent="0.2">
      <c r="A176" s="1708" t="s">
        <v>207</v>
      </c>
      <c r="C176" s="1662"/>
      <c r="D176" s="1662"/>
      <c r="E176" s="1662"/>
      <c r="F176" s="1662"/>
      <c r="G176" s="1662"/>
      <c r="H176" s="1662"/>
      <c r="I176" s="1662"/>
      <c r="J176" s="1662"/>
      <c r="K176" s="1662"/>
      <c r="L176" s="1662"/>
      <c r="M176" s="1662"/>
      <c r="N176" s="1662"/>
      <c r="O176" s="41"/>
    </row>
    <row r="177" spans="1:17" s="1" customFormat="1" ht="32" customHeight="1" x14ac:dyDescent="0.2">
      <c r="A177" s="241" t="s">
        <v>39</v>
      </c>
      <c r="B177" s="1724" t="s">
        <v>34</v>
      </c>
      <c r="C177" s="241" t="s">
        <v>6</v>
      </c>
      <c r="D177" s="1722" t="s">
        <v>191</v>
      </c>
      <c r="E177" s="1721"/>
      <c r="F177" s="241" t="s">
        <v>17</v>
      </c>
      <c r="G177" s="241" t="s">
        <v>192</v>
      </c>
      <c r="H177" s="241" t="s">
        <v>193</v>
      </c>
      <c r="I177" s="241" t="s">
        <v>151</v>
      </c>
      <c r="J177" s="392" t="s">
        <v>1029</v>
      </c>
      <c r="K177" s="242" t="s">
        <v>1030</v>
      </c>
      <c r="L177" s="3240" t="s">
        <v>47</v>
      </c>
      <c r="M177" s="3241"/>
      <c r="N177" s="3241"/>
      <c r="O177" s="3242"/>
      <c r="P177" s="41"/>
    </row>
    <row r="178" spans="1:17" s="1" customFormat="1" ht="26" customHeight="1" x14ac:dyDescent="0.2">
      <c r="A178" s="1692">
        <v>1</v>
      </c>
      <c r="B178" s="1593" t="s">
        <v>25</v>
      </c>
      <c r="C178" s="1593" t="s">
        <v>122</v>
      </c>
      <c r="D178" s="1723" t="s">
        <v>194</v>
      </c>
      <c r="E178" s="1721"/>
      <c r="F178" s="243" t="s">
        <v>49</v>
      </c>
      <c r="G178" s="283">
        <v>21.65</v>
      </c>
      <c r="H178" s="284" t="e">
        <f>I178/N178</f>
        <v>#DIV/0!</v>
      </c>
      <c r="I178" s="285"/>
      <c r="J178" s="533" t="e">
        <f>--(H178-G178)*N178</f>
        <v>#DIV/0!</v>
      </c>
      <c r="K178" s="352" t="e">
        <f>(H178-G178)*#REF!</f>
        <v>#DIV/0!</v>
      </c>
      <c r="L178" s="3289" t="s">
        <v>165</v>
      </c>
      <c r="M178" s="3290"/>
      <c r="N178" s="3290"/>
      <c r="O178" s="3291"/>
      <c r="P178" s="527" t="s">
        <v>362</v>
      </c>
      <c r="Q178" s="526" t="e">
        <f>N178+M16+#REF!</f>
        <v>#REF!</v>
      </c>
    </row>
    <row r="179" spans="1:17" s="1" customFormat="1" ht="26" customHeight="1" x14ac:dyDescent="0.2">
      <c r="A179" s="1692">
        <v>2</v>
      </c>
      <c r="B179" s="1568" t="s">
        <v>25</v>
      </c>
      <c r="C179" s="1568" t="s">
        <v>122</v>
      </c>
      <c r="D179" s="1723" t="s">
        <v>200</v>
      </c>
      <c r="E179" s="1721"/>
      <c r="F179" s="243" t="s">
        <v>49</v>
      </c>
      <c r="G179" s="247">
        <v>0.436</v>
      </c>
      <c r="H179" s="286" t="e">
        <f>I179/N179</f>
        <v>#DIV/0!</v>
      </c>
      <c r="I179" s="285"/>
      <c r="J179" s="533" t="e">
        <f>-(H179-G179)*N179</f>
        <v>#DIV/0!</v>
      </c>
      <c r="K179" s="352"/>
      <c r="L179" s="3289" t="s">
        <v>203</v>
      </c>
      <c r="M179" s="3290"/>
      <c r="N179" s="3290"/>
      <c r="O179" s="3291"/>
      <c r="P179" s="41"/>
    </row>
    <row r="180" spans="1:17" s="1" customFormat="1" ht="26" customHeight="1" x14ac:dyDescent="0.2">
      <c r="A180" s="1693">
        <v>3</v>
      </c>
      <c r="B180" s="1568" t="s">
        <v>25</v>
      </c>
      <c r="C180" s="1568" t="s">
        <v>122</v>
      </c>
      <c r="D180" s="1723" t="s">
        <v>208</v>
      </c>
      <c r="E180" s="1721"/>
      <c r="F180" s="254" t="s">
        <v>49</v>
      </c>
      <c r="G180" s="256">
        <v>0.38900000000000001</v>
      </c>
      <c r="H180" s="287" t="e">
        <f>I180/N180</f>
        <v>#DIV/0!</v>
      </c>
      <c r="I180" s="266"/>
      <c r="J180" s="534" t="e">
        <f>-(H180-G180)*N180</f>
        <v>#DIV/0!</v>
      </c>
      <c r="K180" s="267"/>
      <c r="L180" s="3289" t="s">
        <v>209</v>
      </c>
      <c r="M180" s="3290"/>
      <c r="N180" s="3290">
        <f>F133</f>
        <v>0</v>
      </c>
      <c r="O180" s="3291"/>
      <c r="P180" s="41"/>
    </row>
    <row r="181" spans="1:17" s="1" customFormat="1" ht="26" customHeight="1" x14ac:dyDescent="0.2">
      <c r="A181" s="1536">
        <v>4</v>
      </c>
      <c r="B181" s="1568" t="s">
        <v>25</v>
      </c>
      <c r="C181" s="1568" t="s">
        <v>122</v>
      </c>
      <c r="D181" s="1723" t="s">
        <v>364</v>
      </c>
      <c r="E181" s="1721"/>
      <c r="F181" s="51" t="s">
        <v>49</v>
      </c>
      <c r="G181" s="259">
        <v>0.38900000000000001</v>
      </c>
      <c r="H181" s="268"/>
      <c r="I181" s="269"/>
      <c r="J181" s="531"/>
      <c r="K181" s="443"/>
      <c r="L181" s="3289" t="s">
        <v>363</v>
      </c>
      <c r="M181" s="3290"/>
      <c r="N181" s="3290"/>
      <c r="O181" s="3291"/>
      <c r="P181" s="41"/>
    </row>
    <row r="182" spans="1:17" s="1" customFormat="1" ht="26" customHeight="1" x14ac:dyDescent="0.2">
      <c r="A182" s="1536">
        <v>5</v>
      </c>
      <c r="B182" s="1568" t="s">
        <v>25</v>
      </c>
      <c r="C182" s="1568" t="s">
        <v>122</v>
      </c>
      <c r="D182" s="1723" t="s">
        <v>210</v>
      </c>
      <c r="E182" s="1721"/>
      <c r="F182" s="51" t="s">
        <v>49</v>
      </c>
      <c r="G182" s="259">
        <v>0.31900000000000001</v>
      </c>
      <c r="H182" s="268" t="e">
        <f>I182/N180</f>
        <v>#DIV/0!</v>
      </c>
      <c r="I182" s="269"/>
      <c r="J182" s="70"/>
      <c r="K182" s="442" t="e">
        <f>-(G182-H182)*N180</f>
        <v>#DIV/0!</v>
      </c>
      <c r="L182" s="3289"/>
      <c r="M182" s="3290"/>
      <c r="N182" s="3290"/>
      <c r="O182" s="3291"/>
      <c r="P182" s="41"/>
    </row>
    <row r="183" spans="1:17" s="1" customFormat="1" ht="26" customHeight="1" x14ac:dyDescent="0.2">
      <c r="A183" s="1536">
        <v>6</v>
      </c>
      <c r="B183" s="1567" t="s">
        <v>25</v>
      </c>
      <c r="C183" s="1567" t="s">
        <v>122</v>
      </c>
      <c r="D183" s="1723" t="s">
        <v>176</v>
      </c>
      <c r="E183" s="1721"/>
      <c r="F183" s="51" t="s">
        <v>195</v>
      </c>
      <c r="G183" s="262">
        <v>0.69699999999999995</v>
      </c>
      <c r="H183" s="528" t="e">
        <f>I183/N178</f>
        <v>#DIV/0!</v>
      </c>
      <c r="I183" s="269"/>
      <c r="J183" s="70"/>
      <c r="K183" s="443"/>
      <c r="L183" s="3289"/>
      <c r="M183" s="3290"/>
      <c r="N183" s="3290"/>
      <c r="O183" s="3291"/>
      <c r="P183" s="41"/>
    </row>
    <row r="184" spans="1:17" s="1" customFormat="1" ht="26" customHeight="1" x14ac:dyDescent="0.2">
      <c r="A184" s="1536">
        <v>7</v>
      </c>
      <c r="B184" s="1568" t="s">
        <v>25</v>
      </c>
      <c r="C184" s="1568" t="s">
        <v>122</v>
      </c>
      <c r="D184" s="1723" t="s">
        <v>177</v>
      </c>
      <c r="E184" s="1721"/>
      <c r="F184" s="51" t="s">
        <v>49</v>
      </c>
      <c r="G184" s="262">
        <v>2.5000000000000001E-2</v>
      </c>
      <c r="H184" s="270" t="e">
        <f>I184/Q178</f>
        <v>#REF!</v>
      </c>
      <c r="I184" s="269"/>
      <c r="J184" s="70" t="e">
        <f>-(H184-G184)*Q178</f>
        <v>#REF!</v>
      </c>
      <c r="K184" s="443"/>
      <c r="L184" s="3289"/>
      <c r="M184" s="3290"/>
      <c r="N184" s="3290"/>
      <c r="O184" s="3291"/>
      <c r="P184" s="41"/>
    </row>
    <row r="185" spans="1:17" s="1" customFormat="1" ht="26" customHeight="1" x14ac:dyDescent="0.2">
      <c r="A185" s="1536">
        <v>8</v>
      </c>
      <c r="B185" s="1568" t="s">
        <v>25</v>
      </c>
      <c r="C185" s="1568" t="s">
        <v>122</v>
      </c>
      <c r="D185" s="1723" t="s">
        <v>178</v>
      </c>
      <c r="E185" s="1721"/>
      <c r="F185" s="51" t="s">
        <v>49</v>
      </c>
      <c r="G185" s="262">
        <v>1.14E-2</v>
      </c>
      <c r="H185" s="270" t="e">
        <f>I185/N178</f>
        <v>#DIV/0!</v>
      </c>
      <c r="I185" s="269"/>
      <c r="J185" s="70" t="e">
        <f>-(H185-G185)*N178</f>
        <v>#DIV/0!</v>
      </c>
      <c r="K185" s="443"/>
      <c r="L185" s="3289"/>
      <c r="M185" s="3290"/>
      <c r="N185" s="3290"/>
      <c r="O185" s="3291"/>
      <c r="P185" s="41"/>
    </row>
    <row r="186" spans="1:17" s="1" customFormat="1" ht="26" customHeight="1" x14ac:dyDescent="0.2">
      <c r="A186" s="1536">
        <v>9</v>
      </c>
      <c r="B186" s="1568" t="s">
        <v>25</v>
      </c>
      <c r="C186" s="1568" t="s">
        <v>122</v>
      </c>
      <c r="D186" s="1723" t="s">
        <v>179</v>
      </c>
      <c r="E186" s="1721"/>
      <c r="F186" s="51" t="s">
        <v>49</v>
      </c>
      <c r="G186" s="259">
        <v>2.9000000000000001E-2</v>
      </c>
      <c r="H186" s="270" t="e">
        <f>I186/N178</f>
        <v>#DIV/0!</v>
      </c>
      <c r="I186" s="269"/>
      <c r="J186" s="70"/>
      <c r="K186" s="443" t="e">
        <f>(H186-G186)*N178</f>
        <v>#DIV/0!</v>
      </c>
      <c r="L186" s="3289"/>
      <c r="M186" s="3290"/>
      <c r="N186" s="3290"/>
      <c r="O186" s="3291"/>
      <c r="P186" s="41"/>
    </row>
    <row r="187" spans="1:17" s="1" customFormat="1" ht="26" customHeight="1" x14ac:dyDescent="0.2">
      <c r="A187" s="1536">
        <v>10</v>
      </c>
      <c r="B187" s="1568" t="s">
        <v>25</v>
      </c>
      <c r="C187" s="1568" t="s">
        <v>122</v>
      </c>
      <c r="D187" s="1723" t="s">
        <v>206</v>
      </c>
      <c r="E187" s="1721"/>
      <c r="F187" s="51" t="s">
        <v>49</v>
      </c>
      <c r="G187" s="262">
        <v>0</v>
      </c>
      <c r="H187" s="268"/>
      <c r="I187" s="269"/>
      <c r="J187" s="70"/>
      <c r="K187" s="443"/>
      <c r="L187" s="3289"/>
      <c r="M187" s="3290"/>
      <c r="N187" s="3290"/>
      <c r="O187" s="3291"/>
      <c r="P187" s="41"/>
    </row>
    <row r="188" spans="1:17" s="1" customFormat="1" ht="26" customHeight="1" x14ac:dyDescent="0.2">
      <c r="A188" s="1536">
        <v>11</v>
      </c>
      <c r="B188" s="1568" t="s">
        <v>25</v>
      </c>
      <c r="C188" s="1568" t="s">
        <v>122</v>
      </c>
      <c r="D188" s="1723" t="s">
        <v>197</v>
      </c>
      <c r="E188" s="1721"/>
      <c r="F188" s="51" t="s">
        <v>49</v>
      </c>
      <c r="G188" s="56">
        <v>1.9</v>
      </c>
      <c r="H188" s="528" t="e">
        <f>I188/Q178</f>
        <v>#REF!</v>
      </c>
      <c r="I188" s="269"/>
      <c r="J188" s="531" t="e">
        <f>-(H188-G188)*Q178</f>
        <v>#REF!</v>
      </c>
      <c r="K188" s="443"/>
      <c r="L188" s="3289"/>
      <c r="M188" s="3290"/>
      <c r="N188" s="3290"/>
      <c r="O188" s="3291"/>
      <c r="P188" s="41"/>
    </row>
    <row r="189" spans="1:17" s="1" customFormat="1" ht="26" customHeight="1" x14ac:dyDescent="0.2">
      <c r="A189" s="1536">
        <v>12</v>
      </c>
      <c r="B189" s="1568" t="s">
        <v>25</v>
      </c>
      <c r="C189" s="1568" t="s">
        <v>122</v>
      </c>
      <c r="D189" s="1722" t="s">
        <v>198</v>
      </c>
      <c r="E189" s="1721"/>
      <c r="F189" s="51" t="s">
        <v>49</v>
      </c>
      <c r="G189" s="262">
        <v>5.4999999999999997E-3</v>
      </c>
      <c r="H189" s="270" t="e">
        <f>I189/Q178</f>
        <v>#REF!</v>
      </c>
      <c r="I189" s="269"/>
      <c r="J189" s="70" t="e">
        <f>-(H189-G189)*$N$178</f>
        <v>#REF!</v>
      </c>
      <c r="K189" s="443"/>
      <c r="L189" s="3289"/>
      <c r="M189" s="3290"/>
      <c r="N189" s="3290"/>
      <c r="O189" s="3291"/>
      <c r="P189" s="41"/>
    </row>
    <row r="190" spans="1:17" s="1" customFormat="1" ht="26" customHeight="1" x14ac:dyDescent="0.2">
      <c r="A190" s="1536">
        <v>13</v>
      </c>
      <c r="B190" s="1584" t="s">
        <v>25</v>
      </c>
      <c r="C190" s="1584" t="s">
        <v>122</v>
      </c>
      <c r="D190" s="1723" t="s">
        <v>185</v>
      </c>
      <c r="E190" s="1721"/>
      <c r="F190" s="51" t="s">
        <v>195</v>
      </c>
      <c r="G190" s="262">
        <v>0</v>
      </c>
      <c r="H190" s="268"/>
      <c r="I190" s="269"/>
      <c r="J190" s="70"/>
      <c r="K190" s="443">
        <f>(H190-G190)*$O$240</f>
        <v>0</v>
      </c>
      <c r="L190" s="3289" t="s">
        <v>386</v>
      </c>
      <c r="M190" s="3290"/>
      <c r="N190" s="3290"/>
      <c r="O190" s="3291"/>
      <c r="P190" s="41"/>
    </row>
    <row r="191" spans="1:17" s="1" customFormat="1" ht="26" customHeight="1" x14ac:dyDescent="0.2">
      <c r="A191" s="1708" t="s">
        <v>211</v>
      </c>
      <c r="C191" s="1662"/>
      <c r="D191" s="1662"/>
      <c r="E191" s="1662"/>
      <c r="F191" s="1662"/>
      <c r="G191" s="1662"/>
      <c r="H191" s="1662"/>
      <c r="I191" s="1662"/>
      <c r="J191" s="1662"/>
      <c r="K191" s="1662"/>
      <c r="L191" s="1662"/>
      <c r="M191" s="1662"/>
      <c r="N191" s="1662"/>
      <c r="O191" s="41"/>
    </row>
    <row r="192" spans="1:17" s="1" customFormat="1" ht="30" customHeight="1" x14ac:dyDescent="0.2">
      <c r="A192" s="241" t="s">
        <v>39</v>
      </c>
      <c r="B192" s="1724" t="s">
        <v>34</v>
      </c>
      <c r="C192" s="241" t="s">
        <v>6</v>
      </c>
      <c r="D192" s="1722" t="s">
        <v>191</v>
      </c>
      <c r="E192" s="1721"/>
      <c r="F192" s="241" t="s">
        <v>17</v>
      </c>
      <c r="G192" s="241" t="s">
        <v>192</v>
      </c>
      <c r="H192" s="241" t="s">
        <v>193</v>
      </c>
      <c r="I192" s="241" t="s">
        <v>151</v>
      </c>
      <c r="J192" s="392" t="s">
        <v>1029</v>
      </c>
      <c r="K192" s="242" t="s">
        <v>1030</v>
      </c>
      <c r="L192" s="3240" t="s">
        <v>47</v>
      </c>
      <c r="M192" s="3241"/>
      <c r="N192" s="3241"/>
      <c r="O192" s="3242"/>
      <c r="P192" s="41"/>
    </row>
    <row r="193" spans="1:17" s="1" customFormat="1" ht="26" customHeight="1" x14ac:dyDescent="0.2">
      <c r="A193" s="1693">
        <v>1</v>
      </c>
      <c r="B193" s="1593" t="s">
        <v>25</v>
      </c>
      <c r="C193" s="1593" t="s">
        <v>116</v>
      </c>
      <c r="D193" s="1723" t="s">
        <v>194</v>
      </c>
      <c r="E193" s="1721"/>
      <c r="F193" s="254" t="s">
        <v>49</v>
      </c>
      <c r="G193" s="265">
        <v>21.12</v>
      </c>
      <c r="H193" s="535" t="e">
        <f>I193/$N$193</f>
        <v>#DIV/0!</v>
      </c>
      <c r="I193" s="266"/>
      <c r="J193" s="534" t="e">
        <f>-(H193-G193)*$N$193</f>
        <v>#DIV/0!</v>
      </c>
      <c r="K193" s="444" t="s">
        <v>142</v>
      </c>
      <c r="L193" s="3243" t="s">
        <v>165</v>
      </c>
      <c r="M193" s="3244"/>
      <c r="N193" s="3244"/>
      <c r="O193" s="3245"/>
      <c r="P193" s="527" t="s">
        <v>362</v>
      </c>
      <c r="Q193" s="526" t="e">
        <f>N193+#REF!</f>
        <v>#REF!</v>
      </c>
    </row>
    <row r="194" spans="1:17" s="1" customFormat="1" ht="26" customHeight="1" x14ac:dyDescent="0.2">
      <c r="A194" s="1536">
        <v>2</v>
      </c>
      <c r="B194" s="1568" t="s">
        <v>25</v>
      </c>
      <c r="C194" s="1568" t="s">
        <v>116</v>
      </c>
      <c r="D194" s="1723" t="s">
        <v>212</v>
      </c>
      <c r="E194" s="1721"/>
      <c r="F194" s="51" t="s">
        <v>49</v>
      </c>
      <c r="G194" s="259">
        <v>0.50900000000000001</v>
      </c>
      <c r="H194" s="287" t="e">
        <f>I194/$N$193</f>
        <v>#DIV/0!</v>
      </c>
      <c r="I194" s="269"/>
      <c r="J194" s="534"/>
      <c r="K194" s="445" t="e">
        <f>-(G194-H194)*$N$193</f>
        <v>#DIV/0!</v>
      </c>
      <c r="L194" s="3243" t="s">
        <v>365</v>
      </c>
      <c r="M194" s="3244"/>
      <c r="N194" s="3244"/>
      <c r="O194" s="3245"/>
      <c r="P194" s="41"/>
    </row>
    <row r="195" spans="1:17" s="1" customFormat="1" ht="26" customHeight="1" x14ac:dyDescent="0.2">
      <c r="A195" s="1536">
        <v>3</v>
      </c>
      <c r="B195" s="1568" t="s">
        <v>25</v>
      </c>
      <c r="C195" s="1568" t="s">
        <v>116</v>
      </c>
      <c r="D195" s="1723" t="s">
        <v>173</v>
      </c>
      <c r="E195" s="1721"/>
      <c r="F195" s="51" t="s">
        <v>49</v>
      </c>
      <c r="G195" s="259">
        <v>0.59299999999999997</v>
      </c>
      <c r="H195" s="287" t="e">
        <f>I195/$N$193</f>
        <v>#DIV/0!</v>
      </c>
      <c r="I195" s="269"/>
      <c r="J195" s="534"/>
      <c r="K195" s="445" t="e">
        <f>-(G195-H195)*$N$193</f>
        <v>#DIV/0!</v>
      </c>
      <c r="L195" s="3243"/>
      <c r="M195" s="3244"/>
      <c r="N195" s="3244"/>
      <c r="O195" s="3245"/>
      <c r="P195" s="41"/>
    </row>
    <row r="196" spans="1:17" s="1" customFormat="1" ht="26" customHeight="1" x14ac:dyDescent="0.2">
      <c r="A196" s="1536">
        <v>4</v>
      </c>
      <c r="B196" s="1568" t="s">
        <v>25</v>
      </c>
      <c r="C196" s="1568" t="s">
        <v>116</v>
      </c>
      <c r="D196" s="1723" t="s">
        <v>176</v>
      </c>
      <c r="E196" s="1721"/>
      <c r="F196" s="51" t="s">
        <v>195</v>
      </c>
      <c r="G196" s="262">
        <v>0.78400000000000003</v>
      </c>
      <c r="H196" s="536" t="e">
        <f>I196/$N$193</f>
        <v>#DIV/0!</v>
      </c>
      <c r="I196" s="269"/>
      <c r="J196" s="534" t="e">
        <f>-(H196-G196)*$N$193</f>
        <v>#DIV/0!</v>
      </c>
      <c r="K196" s="445"/>
      <c r="L196" s="3243"/>
      <c r="M196" s="3244"/>
      <c r="N196" s="3244"/>
      <c r="O196" s="3245"/>
      <c r="P196" s="41"/>
    </row>
    <row r="197" spans="1:17" s="1" customFormat="1" ht="26" customHeight="1" x14ac:dyDescent="0.2">
      <c r="A197" s="1536">
        <v>5</v>
      </c>
      <c r="B197" s="1567" t="s">
        <v>25</v>
      </c>
      <c r="C197" s="1567" t="s">
        <v>116</v>
      </c>
      <c r="D197" s="1723" t="s">
        <v>177</v>
      </c>
      <c r="E197" s="1721"/>
      <c r="F197" s="51" t="s">
        <v>49</v>
      </c>
      <c r="G197" s="259">
        <v>2.8000000000000001E-2</v>
      </c>
      <c r="H197" s="535" t="e">
        <f>I197/$N$193</f>
        <v>#DIV/0!</v>
      </c>
      <c r="I197" s="269"/>
      <c r="J197" s="534" t="e">
        <f>-(H197-G197)*$N$193</f>
        <v>#DIV/0!</v>
      </c>
      <c r="K197" s="445"/>
      <c r="L197" s="3243"/>
      <c r="M197" s="3244"/>
      <c r="N197" s="3244"/>
      <c r="O197" s="3245"/>
      <c r="P197" s="41"/>
    </row>
    <row r="198" spans="1:17" s="1" customFormat="1" ht="26" customHeight="1" x14ac:dyDescent="0.2">
      <c r="A198" s="1536">
        <v>6</v>
      </c>
      <c r="B198" s="1568" t="s">
        <v>25</v>
      </c>
      <c r="C198" s="1568" t="s">
        <v>116</v>
      </c>
      <c r="D198" s="1723" t="s">
        <v>178</v>
      </c>
      <c r="E198" s="1721"/>
      <c r="F198" s="51" t="s">
        <v>49</v>
      </c>
      <c r="G198" s="262">
        <v>1.2999999999999999E-2</v>
      </c>
      <c r="H198" s="536" t="e">
        <f>I198/$Q$193</f>
        <v>#REF!</v>
      </c>
      <c r="I198" s="269"/>
      <c r="J198" s="534" t="e">
        <f>-(H198-G198)*$Q$193</f>
        <v>#REF!</v>
      </c>
      <c r="K198" s="445"/>
      <c r="L198" s="3243"/>
      <c r="M198" s="3244"/>
      <c r="N198" s="3244"/>
      <c r="O198" s="3245"/>
      <c r="P198" s="41"/>
    </row>
    <row r="199" spans="1:17" s="1" customFormat="1" ht="26" customHeight="1" x14ac:dyDescent="0.2">
      <c r="A199" s="1536">
        <v>7</v>
      </c>
      <c r="B199" s="1568" t="s">
        <v>25</v>
      </c>
      <c r="C199" s="1568" t="s">
        <v>116</v>
      </c>
      <c r="D199" s="1723" t="s">
        <v>179</v>
      </c>
      <c r="E199" s="1721"/>
      <c r="F199" s="51" t="s">
        <v>49</v>
      </c>
      <c r="G199" s="259">
        <v>2.5999999999999999E-2</v>
      </c>
      <c r="H199" s="287" t="e">
        <f>I199/$N$193</f>
        <v>#DIV/0!</v>
      </c>
      <c r="I199" s="269"/>
      <c r="J199" s="534"/>
      <c r="K199" s="445" t="e">
        <f>-(G199-H199)*$N$193</f>
        <v>#DIV/0!</v>
      </c>
      <c r="L199" s="3243"/>
      <c r="M199" s="3244"/>
      <c r="N199" s="3244"/>
      <c r="O199" s="3245"/>
      <c r="P199" s="41"/>
    </row>
    <row r="200" spans="1:17" s="1" customFormat="1" ht="26" customHeight="1" x14ac:dyDescent="0.2">
      <c r="A200" s="1536">
        <v>8</v>
      </c>
      <c r="B200" s="1568" t="s">
        <v>25</v>
      </c>
      <c r="C200" s="1568" t="s">
        <v>116</v>
      </c>
      <c r="D200" s="1723" t="s">
        <v>197</v>
      </c>
      <c r="E200" s="1721"/>
      <c r="F200" s="51" t="s">
        <v>49</v>
      </c>
      <c r="G200" s="56">
        <v>1.82</v>
      </c>
      <c r="H200" s="287" t="e">
        <f>I200/$N$193</f>
        <v>#DIV/0!</v>
      </c>
      <c r="I200" s="269"/>
      <c r="J200" s="534" t="e">
        <f>-(H200-G200)*$N$193</f>
        <v>#DIV/0!</v>
      </c>
      <c r="K200" s="445"/>
      <c r="L200" s="3243"/>
      <c r="M200" s="3244"/>
      <c r="N200" s="3244"/>
      <c r="O200" s="3245"/>
      <c r="P200" s="41"/>
    </row>
    <row r="201" spans="1:17" s="1" customFormat="1" ht="26" customHeight="1" x14ac:dyDescent="0.2">
      <c r="A201" s="1536">
        <v>9</v>
      </c>
      <c r="B201" s="1568" t="s">
        <v>25</v>
      </c>
      <c r="C201" s="1568" t="s">
        <v>116</v>
      </c>
      <c r="D201" s="1723" t="s">
        <v>198</v>
      </c>
      <c r="E201" s="1721"/>
      <c r="F201" s="51" t="s">
        <v>49</v>
      </c>
      <c r="G201" s="262">
        <v>1.0200000000000001E-2</v>
      </c>
      <c r="H201" s="287" t="e">
        <f>I201/$Q$193</f>
        <v>#REF!</v>
      </c>
      <c r="I201" s="269"/>
      <c r="J201" s="534" t="e">
        <f>-(H201-G201)*$Q$193</f>
        <v>#REF!</v>
      </c>
      <c r="K201" s="445" t="s">
        <v>142</v>
      </c>
      <c r="L201" s="3243"/>
      <c r="M201" s="3244"/>
      <c r="N201" s="3244"/>
      <c r="O201" s="3245"/>
      <c r="P201" s="41"/>
    </row>
    <row r="202" spans="1:17" s="1" customFormat="1" ht="26" customHeight="1" x14ac:dyDescent="0.2">
      <c r="A202" s="1536">
        <v>10</v>
      </c>
      <c r="B202" s="1568" t="s">
        <v>25</v>
      </c>
      <c r="C202" s="1568" t="s">
        <v>116</v>
      </c>
      <c r="D202" s="1723" t="s">
        <v>199</v>
      </c>
      <c r="E202" s="1721"/>
      <c r="F202" s="51" t="s">
        <v>195</v>
      </c>
      <c r="G202" s="262">
        <v>6.5000000000000002E-2</v>
      </c>
      <c r="H202" s="536" t="e">
        <f>I202/$Q$193</f>
        <v>#REF!</v>
      </c>
      <c r="I202" s="269"/>
      <c r="J202" s="534" t="e">
        <f>-(H202-G202)*$Q$193</f>
        <v>#REF!</v>
      </c>
      <c r="K202" s="445" t="s">
        <v>142</v>
      </c>
      <c r="L202" s="3243"/>
      <c r="M202" s="3244"/>
      <c r="N202" s="3244"/>
      <c r="O202" s="3245"/>
      <c r="P202" s="41"/>
    </row>
    <row r="203" spans="1:17" s="1" customFormat="1" ht="26" customHeight="1" x14ac:dyDescent="0.2">
      <c r="A203" s="1536">
        <v>11</v>
      </c>
      <c r="B203" s="1584" t="s">
        <v>25</v>
      </c>
      <c r="C203" s="1584" t="s">
        <v>116</v>
      </c>
      <c r="D203" s="1723" t="s">
        <v>185</v>
      </c>
      <c r="E203" s="1721"/>
      <c r="F203" s="51" t="s">
        <v>195</v>
      </c>
      <c r="G203" s="262">
        <v>0</v>
      </c>
      <c r="H203" s="261"/>
      <c r="I203" s="269"/>
      <c r="J203" s="70"/>
      <c r="K203" s="445" t="s">
        <v>142</v>
      </c>
      <c r="L203" s="3243" t="s">
        <v>387</v>
      </c>
      <c r="M203" s="3244"/>
      <c r="N203" s="3244"/>
      <c r="O203" s="3245"/>
      <c r="P203" s="41"/>
    </row>
    <row r="204" spans="1:17" s="1" customFormat="1" ht="28" customHeight="1" x14ac:dyDescent="0.2">
      <c r="A204" s="42" t="s">
        <v>388</v>
      </c>
      <c r="H204" s="78"/>
      <c r="I204" s="447"/>
      <c r="J204" s="71"/>
      <c r="K204" s="71"/>
      <c r="N204" s="209"/>
    </row>
    <row r="205" spans="1:17" s="1" customFormat="1" ht="27" customHeight="1" x14ac:dyDescent="0.2">
      <c r="A205" s="42" t="s">
        <v>440</v>
      </c>
      <c r="H205" s="78"/>
      <c r="I205" s="447"/>
      <c r="J205" s="71"/>
      <c r="K205" s="71"/>
      <c r="N205" s="209"/>
    </row>
    <row r="206" spans="1:17" s="1" customFormat="1" ht="48" customHeight="1" x14ac:dyDescent="0.2">
      <c r="A206" s="3224" t="s">
        <v>39</v>
      </c>
      <c r="B206" s="3224" t="s">
        <v>34</v>
      </c>
      <c r="C206" s="3224" t="s">
        <v>6</v>
      </c>
      <c r="D206" s="3224" t="s">
        <v>40</v>
      </c>
      <c r="E206" s="3224" t="s">
        <v>1034</v>
      </c>
      <c r="F206" s="3226" t="s">
        <v>41</v>
      </c>
      <c r="G206" s="3227"/>
      <c r="H206" s="3228"/>
      <c r="I206" s="50" t="s">
        <v>42</v>
      </c>
      <c r="J206" s="1732" t="s">
        <v>43</v>
      </c>
      <c r="K206" s="406" t="s">
        <v>44</v>
      </c>
      <c r="L206" s="3226" t="s">
        <v>535</v>
      </c>
      <c r="M206" s="3228"/>
      <c r="N206" s="1731" t="s">
        <v>45</v>
      </c>
      <c r="O206" s="1732" t="s">
        <v>46</v>
      </c>
      <c r="P206" s="3229" t="s">
        <v>531</v>
      </c>
      <c r="Q206" s="3229" t="s">
        <v>47</v>
      </c>
    </row>
    <row r="207" spans="1:17" s="1" customFormat="1" ht="36" customHeight="1" x14ac:dyDescent="0.2">
      <c r="A207" s="3225"/>
      <c r="B207" s="3225"/>
      <c r="C207" s="3225" t="s">
        <v>6</v>
      </c>
      <c r="D207" s="3225"/>
      <c r="E207" s="3225"/>
      <c r="F207" s="50" t="s">
        <v>48</v>
      </c>
      <c r="G207" s="69" t="s">
        <v>527</v>
      </c>
      <c r="H207" s="69" t="s">
        <v>528</v>
      </c>
      <c r="I207" s="50" t="s">
        <v>164</v>
      </c>
      <c r="J207" s="50" t="s">
        <v>530</v>
      </c>
      <c r="K207" s="537" t="s">
        <v>529</v>
      </c>
      <c r="L207" s="50" t="s">
        <v>164</v>
      </c>
      <c r="M207" s="69" t="s">
        <v>532</v>
      </c>
      <c r="N207" s="406" t="s">
        <v>529</v>
      </c>
      <c r="O207" s="1732" t="s">
        <v>164</v>
      </c>
      <c r="P207" s="3230"/>
      <c r="Q207" s="3230"/>
    </row>
    <row r="208" spans="1:17" s="1" customFormat="1" ht="36" customHeight="1" x14ac:dyDescent="0.2">
      <c r="A208" s="1733">
        <v>1</v>
      </c>
      <c r="B208" s="296" t="s">
        <v>25</v>
      </c>
      <c r="C208" s="296" t="s">
        <v>119</v>
      </c>
      <c r="D208" s="1734" t="s">
        <v>432</v>
      </c>
      <c r="E208" s="723" t="s">
        <v>1036</v>
      </c>
      <c r="F208" s="53">
        <v>7590</v>
      </c>
      <c r="G208" s="54" t="s">
        <v>52</v>
      </c>
      <c r="H208" s="54" t="s">
        <v>53</v>
      </c>
      <c r="I208" s="55">
        <v>50225</v>
      </c>
      <c r="J208" s="733">
        <v>22108</v>
      </c>
      <c r="K208" s="70">
        <f>I208/J208</f>
        <v>2.2718020626017732</v>
      </c>
      <c r="L208" s="271">
        <v>2370</v>
      </c>
      <c r="M208" s="361" t="s">
        <v>434</v>
      </c>
      <c r="N208" s="261">
        <f>(I208+L208)/J208</f>
        <v>2.3790030758096616</v>
      </c>
      <c r="O208" s="63">
        <v>355</v>
      </c>
      <c r="P208" s="56">
        <f>(I208+L208+O208)/J208</f>
        <v>2.3950606115433328</v>
      </c>
      <c r="Q208" s="57"/>
    </row>
    <row r="209" spans="1:17" s="1" customFormat="1" ht="36" customHeight="1" x14ac:dyDescent="0.2">
      <c r="A209" s="1733">
        <v>2</v>
      </c>
      <c r="B209" s="296" t="s">
        <v>25</v>
      </c>
      <c r="C209" s="296" t="s">
        <v>119</v>
      </c>
      <c r="D209" s="1734" t="s">
        <v>431</v>
      </c>
      <c r="E209" s="723" t="s">
        <v>1036</v>
      </c>
      <c r="F209" s="66">
        <v>7481</v>
      </c>
      <c r="G209" s="53" t="s">
        <v>403</v>
      </c>
      <c r="H209" s="53" t="s">
        <v>433</v>
      </c>
      <c r="I209" s="55">
        <v>195578</v>
      </c>
      <c r="J209" s="847">
        <v>93773</v>
      </c>
      <c r="K209" s="70">
        <f>I209/J209</f>
        <v>2.0856536529704712</v>
      </c>
      <c r="L209" s="271">
        <v>18736</v>
      </c>
      <c r="M209" s="361" t="s">
        <v>56</v>
      </c>
      <c r="N209" s="261">
        <f>(I209+L209)/J209</f>
        <v>2.2854553016326662</v>
      </c>
      <c r="O209" s="62">
        <v>0</v>
      </c>
      <c r="P209" s="56">
        <f>(I209+L209+O209)/J209</f>
        <v>2.2854553016326662</v>
      </c>
      <c r="Q209" s="57"/>
    </row>
    <row r="210" spans="1:17" s="1" customFormat="1" ht="23" customHeight="1" x14ac:dyDescent="0.2">
      <c r="A210" s="3231" t="s">
        <v>50</v>
      </c>
      <c r="B210" s="3232"/>
      <c r="C210" s="3232"/>
      <c r="D210" s="3232"/>
      <c r="E210" s="3232"/>
      <c r="F210" s="3232"/>
      <c r="G210" s="3232"/>
      <c r="H210" s="3233"/>
      <c r="I210" s="58">
        <f>SUM(I208:I209)</f>
        <v>245803</v>
      </c>
      <c r="J210" s="60">
        <f>SUM(J208:J209)</f>
        <v>115881</v>
      </c>
      <c r="K210" s="407">
        <f>I210/J210</f>
        <v>2.1211674044925397</v>
      </c>
      <c r="L210" s="726">
        <f>SUM(L208:L209)</f>
        <v>21106</v>
      </c>
      <c r="M210" s="360">
        <f>L210/(L210+I210)*100</f>
        <v>7.9075640012138972</v>
      </c>
      <c r="N210" s="360">
        <f>(I210+L210)/J210</f>
        <v>2.3033025258670534</v>
      </c>
      <c r="O210" s="65">
        <f>SUM(O208:O209)</f>
        <v>355</v>
      </c>
      <c r="P210" s="59">
        <f>(I210+L210+O210)/J210</f>
        <v>2.306366013410309</v>
      </c>
      <c r="Q210" s="264"/>
    </row>
    <row r="211" spans="1:17" s="1" customFormat="1" ht="24" customHeight="1" x14ac:dyDescent="0.2">
      <c r="A211" s="3274" t="s">
        <v>488</v>
      </c>
      <c r="B211" s="3274"/>
      <c r="C211" s="3274"/>
      <c r="D211" s="3274"/>
      <c r="E211" s="3274"/>
      <c r="F211" s="3274"/>
      <c r="G211" s="3274"/>
      <c r="H211" s="3274"/>
      <c r="I211" s="3274"/>
      <c r="J211" s="3274"/>
      <c r="K211" s="3274"/>
      <c r="L211" s="3274"/>
      <c r="M211" s="3274"/>
      <c r="N211" s="3274"/>
    </row>
    <row r="212" spans="1:17" s="1" customFormat="1" ht="32" customHeight="1" x14ac:dyDescent="0.2">
      <c r="A212" s="3287" t="s">
        <v>39</v>
      </c>
      <c r="B212" s="3285" t="s">
        <v>467</v>
      </c>
      <c r="C212" s="3277" t="s">
        <v>262</v>
      </c>
      <c r="D212" s="3278"/>
      <c r="E212" s="3275" t="s">
        <v>477</v>
      </c>
      <c r="F212" s="3276"/>
      <c r="G212" s="3018" t="s">
        <v>263</v>
      </c>
      <c r="H212" s="3020"/>
      <c r="I212" s="3279" t="s">
        <v>468</v>
      </c>
      <c r="J212" s="3280"/>
      <c r="K212" s="3281" t="s">
        <v>264</v>
      </c>
      <c r="L212" s="3282"/>
      <c r="M212" s="3283" t="s">
        <v>478</v>
      </c>
      <c r="N212" s="3284"/>
    </row>
    <row r="213" spans="1:17" s="1" customFormat="1" ht="20" customHeight="1" x14ac:dyDescent="0.2">
      <c r="A213" s="3288"/>
      <c r="B213" s="3286"/>
      <c r="C213" s="812" t="s">
        <v>5</v>
      </c>
      <c r="D213" s="812" t="s">
        <v>25</v>
      </c>
      <c r="E213" s="804" t="s">
        <v>5</v>
      </c>
      <c r="F213" s="804" t="s">
        <v>25</v>
      </c>
      <c r="G213" s="804" t="s">
        <v>5</v>
      </c>
      <c r="H213" s="804" t="s">
        <v>25</v>
      </c>
      <c r="I213" s="804" t="s">
        <v>5</v>
      </c>
      <c r="J213" s="804" t="s">
        <v>25</v>
      </c>
      <c r="K213" s="804" t="s">
        <v>5</v>
      </c>
      <c r="L213" s="804" t="s">
        <v>25</v>
      </c>
      <c r="M213" s="808" t="s">
        <v>5</v>
      </c>
      <c r="N213" s="808" t="s">
        <v>25</v>
      </c>
    </row>
    <row r="214" spans="1:17" s="1" customFormat="1" ht="20" customHeight="1" x14ac:dyDescent="0.2">
      <c r="A214" s="51">
        <v>1</v>
      </c>
      <c r="B214" s="810" t="s">
        <v>469</v>
      </c>
      <c r="C214" s="811"/>
      <c r="D214" s="811">
        <v>3</v>
      </c>
      <c r="E214" s="805"/>
      <c r="F214" s="805">
        <v>3</v>
      </c>
      <c r="G214" s="805"/>
      <c r="H214" s="805"/>
      <c r="I214" s="806"/>
      <c r="J214" s="806"/>
      <c r="K214" s="806"/>
      <c r="L214" s="805"/>
      <c r="M214" s="809">
        <f t="shared" ref="M214:N220" si="17">(E214+(G214-I214-K214))</f>
        <v>0</v>
      </c>
      <c r="N214" s="809">
        <f t="shared" si="17"/>
        <v>3</v>
      </c>
    </row>
    <row r="215" spans="1:17" s="1" customFormat="1" ht="20" customHeight="1" x14ac:dyDescent="0.2">
      <c r="A215" s="51">
        <v>2</v>
      </c>
      <c r="B215" s="810" t="s">
        <v>470</v>
      </c>
      <c r="C215" s="811"/>
      <c r="D215" s="811">
        <v>5</v>
      </c>
      <c r="E215" s="805"/>
      <c r="F215" s="805">
        <v>6</v>
      </c>
      <c r="G215" s="805"/>
      <c r="H215" s="805"/>
      <c r="I215" s="806"/>
      <c r="J215" s="806"/>
      <c r="K215" s="806"/>
      <c r="L215" s="805"/>
      <c r="M215" s="809">
        <f t="shared" si="17"/>
        <v>0</v>
      </c>
      <c r="N215" s="809">
        <f t="shared" si="17"/>
        <v>6</v>
      </c>
    </row>
    <row r="216" spans="1:17" s="1" customFormat="1" ht="20" customHeight="1" x14ac:dyDescent="0.2">
      <c r="A216" s="51">
        <v>3</v>
      </c>
      <c r="B216" s="810" t="s">
        <v>471</v>
      </c>
      <c r="C216" s="811"/>
      <c r="D216" s="811">
        <v>30</v>
      </c>
      <c r="E216" s="805"/>
      <c r="F216" s="805">
        <v>28</v>
      </c>
      <c r="G216" s="805"/>
      <c r="H216" s="805"/>
      <c r="I216" s="806"/>
      <c r="J216" s="806"/>
      <c r="K216" s="806"/>
      <c r="L216" s="805"/>
      <c r="M216" s="809">
        <f t="shared" si="17"/>
        <v>0</v>
      </c>
      <c r="N216" s="809">
        <f t="shared" si="17"/>
        <v>28</v>
      </c>
    </row>
    <row r="217" spans="1:17" s="1" customFormat="1" ht="20" customHeight="1" x14ac:dyDescent="0.2">
      <c r="A217" s="51">
        <v>4</v>
      </c>
      <c r="B217" s="810" t="s">
        <v>472</v>
      </c>
      <c r="C217" s="811"/>
      <c r="D217" s="811">
        <v>19</v>
      </c>
      <c r="E217" s="805"/>
      <c r="F217" s="805">
        <v>16</v>
      </c>
      <c r="G217" s="805"/>
      <c r="H217" s="805"/>
      <c r="I217" s="806"/>
      <c r="J217" s="806"/>
      <c r="K217" s="806"/>
      <c r="L217" s="805"/>
      <c r="M217" s="809">
        <f t="shared" si="17"/>
        <v>0</v>
      </c>
      <c r="N217" s="809">
        <f t="shared" si="17"/>
        <v>16</v>
      </c>
    </row>
    <row r="218" spans="1:17" s="1" customFormat="1" ht="20" customHeight="1" x14ac:dyDescent="0.2">
      <c r="A218" s="51">
        <v>5</v>
      </c>
      <c r="B218" s="810" t="s">
        <v>473</v>
      </c>
      <c r="C218" s="811"/>
      <c r="D218" s="811">
        <v>33</v>
      </c>
      <c r="E218" s="805"/>
      <c r="F218" s="805">
        <v>35</v>
      </c>
      <c r="G218" s="805"/>
      <c r="H218" s="805"/>
      <c r="I218" s="806"/>
      <c r="J218" s="806"/>
      <c r="K218" s="806"/>
      <c r="L218" s="805"/>
      <c r="M218" s="809">
        <f t="shared" si="17"/>
        <v>0</v>
      </c>
      <c r="N218" s="809">
        <f t="shared" si="17"/>
        <v>35</v>
      </c>
    </row>
    <row r="219" spans="1:17" s="1" customFormat="1" ht="20" customHeight="1" x14ac:dyDescent="0.2">
      <c r="A219" s="51">
        <v>6</v>
      </c>
      <c r="B219" s="810" t="s">
        <v>474</v>
      </c>
      <c r="C219" s="811"/>
      <c r="D219" s="811">
        <v>6</v>
      </c>
      <c r="E219" s="805"/>
      <c r="F219" s="805">
        <v>6</v>
      </c>
      <c r="G219" s="805"/>
      <c r="H219" s="805"/>
      <c r="I219" s="806"/>
      <c r="J219" s="806"/>
      <c r="K219" s="806"/>
      <c r="L219" s="805"/>
      <c r="M219" s="809">
        <f t="shared" si="17"/>
        <v>0</v>
      </c>
      <c r="N219" s="809">
        <f t="shared" si="17"/>
        <v>6</v>
      </c>
    </row>
    <row r="220" spans="1:17" s="1" customFormat="1" ht="20" customHeight="1" x14ac:dyDescent="0.2">
      <c r="A220" s="51">
        <v>7</v>
      </c>
      <c r="B220" s="810" t="s">
        <v>475</v>
      </c>
      <c r="C220" s="811"/>
      <c r="D220" s="811">
        <v>2</v>
      </c>
      <c r="E220" s="805"/>
      <c r="F220" s="805">
        <v>2</v>
      </c>
      <c r="G220" s="805"/>
      <c r="H220" s="805"/>
      <c r="I220" s="806"/>
      <c r="J220" s="806"/>
      <c r="K220" s="806"/>
      <c r="L220" s="805"/>
      <c r="M220" s="809">
        <f t="shared" si="17"/>
        <v>0</v>
      </c>
      <c r="N220" s="809">
        <f t="shared" si="17"/>
        <v>2</v>
      </c>
    </row>
    <row r="221" spans="1:17" s="1" customFormat="1" ht="20" customHeight="1" x14ac:dyDescent="0.2">
      <c r="A221" s="3018" t="s">
        <v>476</v>
      </c>
      <c r="B221" s="3020"/>
      <c r="C221" s="813">
        <f>SUM(C214:C220)</f>
        <v>0</v>
      </c>
      <c r="D221" s="813">
        <f t="shared" ref="D221:N221" si="18">SUM(D214:D220)</f>
        <v>98</v>
      </c>
      <c r="E221" s="807">
        <f t="shared" si="18"/>
        <v>0</v>
      </c>
      <c r="F221" s="807">
        <f t="shared" si="18"/>
        <v>96</v>
      </c>
      <c r="G221" s="807">
        <f t="shared" si="18"/>
        <v>0</v>
      </c>
      <c r="H221" s="807">
        <f t="shared" si="18"/>
        <v>0</v>
      </c>
      <c r="I221" s="807">
        <f t="shared" si="18"/>
        <v>0</v>
      </c>
      <c r="J221" s="807">
        <f t="shared" si="18"/>
        <v>0</v>
      </c>
      <c r="K221" s="807">
        <f t="shared" si="18"/>
        <v>0</v>
      </c>
      <c r="L221" s="807">
        <f t="shared" si="18"/>
        <v>0</v>
      </c>
      <c r="M221" s="814">
        <f t="shared" si="18"/>
        <v>0</v>
      </c>
      <c r="N221" s="814">
        <f t="shared" si="18"/>
        <v>96</v>
      </c>
    </row>
    <row r="222" spans="1:17" s="1" customFormat="1" ht="24.75" customHeight="1" x14ac:dyDescent="0.2">
      <c r="A222" s="76" t="s">
        <v>437</v>
      </c>
      <c r="B222" s="77"/>
      <c r="C222" s="77"/>
      <c r="D222" s="77"/>
      <c r="E222" s="77"/>
      <c r="F222" s="77"/>
      <c r="G222" s="77"/>
      <c r="H222" s="408"/>
      <c r="I222" s="448"/>
      <c r="J222" s="354"/>
      <c r="K222" s="354"/>
      <c r="L222" s="77"/>
      <c r="M222" s="77"/>
      <c r="N222" s="349"/>
      <c r="O222" s="75"/>
    </row>
    <row r="223" spans="1:17" s="1" customFormat="1" ht="21" customHeight="1" x14ac:dyDescent="0.2">
      <c r="A223" s="42" t="s">
        <v>464</v>
      </c>
      <c r="B223" s="42"/>
      <c r="E223" s="43"/>
      <c r="F223" s="43"/>
      <c r="H223" s="78"/>
      <c r="I223" s="447"/>
      <c r="J223" s="71"/>
      <c r="K223" s="71"/>
      <c r="N223" s="209"/>
    </row>
    <row r="224" spans="1:17" s="84" customFormat="1" ht="24.75" customHeight="1" x14ac:dyDescent="0.2">
      <c r="A224" s="1" t="s">
        <v>58</v>
      </c>
      <c r="B224" s="82"/>
      <c r="C224" s="82"/>
      <c r="D224" s="82"/>
      <c r="E224" s="82"/>
      <c r="F224" s="82"/>
      <c r="G224" s="82"/>
      <c r="H224" s="83"/>
      <c r="I224" s="449"/>
      <c r="J224" s="363"/>
      <c r="K224" s="363"/>
      <c r="L224" s="82"/>
      <c r="M224"/>
      <c r="N224" s="209"/>
    </row>
    <row r="225" spans="1:14" s="84" customFormat="1" ht="24.75" customHeight="1" x14ac:dyDescent="0.2">
      <c r="A225" s="2663" t="s">
        <v>485</v>
      </c>
      <c r="B225" s="2663"/>
      <c r="C225" s="2663"/>
      <c r="D225" s="2663"/>
      <c r="E225" s="2663"/>
      <c r="F225" s="2663"/>
      <c r="G225" s="2663"/>
      <c r="H225" s="2663"/>
      <c r="I225" s="2663"/>
      <c r="J225" s="2663"/>
      <c r="K225" s="2663"/>
      <c r="L225" s="2663"/>
      <c r="M225" s="2663"/>
      <c r="N225" s="2663"/>
    </row>
    <row r="226" spans="1:14" s="84" customFormat="1" ht="21" customHeight="1" x14ac:dyDescent="0.2">
      <c r="A226" s="3205" t="s">
        <v>463</v>
      </c>
      <c r="B226" s="3205"/>
      <c r="C226" s="3205"/>
      <c r="D226" s="3205"/>
      <c r="E226" s="3205"/>
      <c r="F226" s="3205"/>
      <c r="G226" s="3205"/>
      <c r="H226" s="3205"/>
      <c r="I226" s="3205"/>
      <c r="J226" s="3205"/>
      <c r="K226" s="3205"/>
      <c r="L226" s="3205"/>
      <c r="M226" s="3205"/>
      <c r="N226" s="3205"/>
    </row>
    <row r="227" spans="1:14" s="84" customFormat="1" ht="19" customHeight="1" x14ac:dyDescent="0.2">
      <c r="A227" s="42" t="s">
        <v>441</v>
      </c>
      <c r="B227" s="85"/>
      <c r="C227" s="85"/>
      <c r="D227" s="85"/>
      <c r="E227" s="85"/>
      <c r="F227" s="85"/>
      <c r="G227" s="85"/>
      <c r="H227" s="399"/>
      <c r="I227" s="450"/>
      <c r="J227" s="85"/>
      <c r="K227" s="85"/>
      <c r="L227" s="85"/>
      <c r="M227" s="85"/>
      <c r="N227" s="86"/>
    </row>
    <row r="228" spans="1:14" s="1" customFormat="1" ht="21" customHeight="1" x14ac:dyDescent="0.2">
      <c r="A228" s="79" t="s">
        <v>435</v>
      </c>
      <c r="B228" s="85"/>
      <c r="C228" s="85"/>
      <c r="D228" s="85"/>
      <c r="E228" s="85"/>
      <c r="F228" s="85"/>
      <c r="G228" s="85"/>
      <c r="H228" s="399"/>
      <c r="I228" s="450"/>
      <c r="J228" s="85"/>
      <c r="K228" s="85"/>
      <c r="L228" s="85"/>
      <c r="M228" s="85"/>
      <c r="N228" s="86"/>
    </row>
    <row r="229" spans="1:14" s="84" customFormat="1" ht="21" customHeight="1" x14ac:dyDescent="0.2">
      <c r="A229" s="3205" t="s">
        <v>62</v>
      </c>
      <c r="B229" s="3205"/>
      <c r="C229" s="3205"/>
      <c r="D229" s="3205"/>
      <c r="E229" s="3205"/>
      <c r="F229" s="3205"/>
      <c r="G229" s="3205"/>
      <c r="H229" s="3205"/>
      <c r="I229" s="3205"/>
      <c r="J229" s="3205"/>
      <c r="K229" s="3205"/>
      <c r="L229" s="3205"/>
      <c r="M229" s="3205"/>
      <c r="N229" s="3205"/>
    </row>
    <row r="230" spans="1:14" s="84" customFormat="1" ht="21" customHeight="1" x14ac:dyDescent="0.2">
      <c r="A230" s="3205" t="s">
        <v>465</v>
      </c>
      <c r="B230" s="3205"/>
      <c r="C230" s="3205"/>
      <c r="D230" s="3205"/>
      <c r="E230" s="3205"/>
      <c r="F230" s="3205"/>
      <c r="G230" s="3205"/>
      <c r="H230" s="3205"/>
      <c r="I230" s="3205"/>
      <c r="J230" s="3205"/>
      <c r="K230" s="3205"/>
      <c r="L230" s="3205"/>
      <c r="M230" s="3205"/>
      <c r="N230" s="3205"/>
    </row>
    <row r="231" spans="1:14" s="84" customFormat="1" ht="16" customHeight="1" x14ac:dyDescent="0.2">
      <c r="A231" s="42" t="s">
        <v>442</v>
      </c>
      <c r="H231" s="394"/>
      <c r="I231" s="451"/>
      <c r="J231" s="355"/>
      <c r="K231" s="355"/>
      <c r="N231" s="350"/>
    </row>
    <row r="232" spans="1:14" s="84" customFormat="1" ht="22" customHeight="1" x14ac:dyDescent="0.2">
      <c r="A232" s="79" t="s">
        <v>65</v>
      </c>
      <c r="H232" s="394"/>
      <c r="I232" s="451"/>
      <c r="J232" s="355"/>
      <c r="K232" s="355"/>
      <c r="N232" s="350"/>
    </row>
    <row r="233" spans="1:14" s="84" customFormat="1" ht="22" customHeight="1" x14ac:dyDescent="0.2">
      <c r="A233" s="79" t="s">
        <v>466</v>
      </c>
      <c r="H233" s="394"/>
      <c r="I233" s="451"/>
      <c r="J233" s="355"/>
      <c r="K233" s="355"/>
      <c r="N233" s="350"/>
    </row>
    <row r="234" spans="1:14" s="1" customFormat="1" ht="22" customHeight="1" x14ac:dyDescent="0.2">
      <c r="A234" s="79" t="s">
        <v>436</v>
      </c>
      <c r="H234" s="78"/>
      <c r="I234" s="447"/>
      <c r="J234" s="71"/>
      <c r="K234" s="71"/>
      <c r="N234" s="209"/>
    </row>
    <row r="235" spans="1:14" s="1" customFormat="1" ht="22" customHeight="1" x14ac:dyDescent="0.2">
      <c r="A235" s="79" t="s">
        <v>67</v>
      </c>
      <c r="H235" s="78"/>
      <c r="I235" s="447"/>
      <c r="J235" s="71"/>
      <c r="K235" s="71"/>
      <c r="N235" s="209"/>
    </row>
    <row r="236" spans="1:14" s="84" customFormat="1" ht="22" customHeight="1" x14ac:dyDescent="0.2">
      <c r="A236" s="88" t="s">
        <v>70</v>
      </c>
      <c r="H236" s="394"/>
      <c r="I236" s="451"/>
      <c r="J236" s="355"/>
      <c r="K236" s="355"/>
      <c r="N236" s="350"/>
    </row>
    <row r="237" spans="1:14" s="1" customFormat="1" ht="16" x14ac:dyDescent="0.2">
      <c r="C237" s="42"/>
      <c r="E237" s="43"/>
      <c r="F237" s="43"/>
      <c r="H237" s="78"/>
      <c r="I237" s="447"/>
      <c r="J237" s="2682" t="s">
        <v>71</v>
      </c>
      <c r="K237" s="2682"/>
      <c r="L237" s="2682"/>
      <c r="M237" s="2682"/>
      <c r="N237" s="2682"/>
    </row>
    <row r="238" spans="1:14" s="84" customFormat="1" ht="24" customHeight="1" x14ac:dyDescent="0.2">
      <c r="E238" s="339"/>
      <c r="F238" s="339"/>
      <c r="H238" s="339"/>
      <c r="I238" s="339"/>
      <c r="J238" s="2683" t="s">
        <v>72</v>
      </c>
      <c r="K238" s="2683"/>
      <c r="L238" s="2683"/>
      <c r="M238" s="2683"/>
      <c r="N238" s="2683"/>
    </row>
    <row r="239" spans="1:14" x14ac:dyDescent="0.2">
      <c r="A239" s="91"/>
      <c r="B239" s="92"/>
    </row>
    <row r="240" spans="1:14" x14ac:dyDescent="0.2">
      <c r="A240" s="94"/>
      <c r="B240" s="92"/>
    </row>
    <row r="241" spans="1:2" x14ac:dyDescent="0.2">
      <c r="A241" s="94"/>
      <c r="B241" s="92"/>
    </row>
    <row r="242" spans="1:2" x14ac:dyDescent="0.2">
      <c r="A242" s="94"/>
      <c r="B242" s="92"/>
    </row>
    <row r="243" spans="1:2" x14ac:dyDescent="0.2">
      <c r="A243" s="94"/>
      <c r="B243" s="92"/>
    </row>
  </sheetData>
  <mergeCells count="146">
    <mergeCell ref="L167:O167"/>
    <mergeCell ref="L168:O168"/>
    <mergeCell ref="L169:O169"/>
    <mergeCell ref="L170:O170"/>
    <mergeCell ref="L171:O171"/>
    <mergeCell ref="L172:O172"/>
    <mergeCell ref="L173:O173"/>
    <mergeCell ref="L174:O174"/>
    <mergeCell ref="L175:O175"/>
    <mergeCell ref="L153:O153"/>
    <mergeCell ref="L154:O154"/>
    <mergeCell ref="L155:O155"/>
    <mergeCell ref="L156:O156"/>
    <mergeCell ref="L157:O157"/>
    <mergeCell ref="L159:O159"/>
    <mergeCell ref="L164:O164"/>
    <mergeCell ref="L165:O165"/>
    <mergeCell ref="L166:O166"/>
    <mergeCell ref="L137:O137"/>
    <mergeCell ref="L143:O143"/>
    <mergeCell ref="L144:O144"/>
    <mergeCell ref="L145:O145"/>
    <mergeCell ref="L146:O146"/>
    <mergeCell ref="L147:O147"/>
    <mergeCell ref="L148:O148"/>
    <mergeCell ref="L149:O149"/>
    <mergeCell ref="L150:O150"/>
    <mergeCell ref="L186:O186"/>
    <mergeCell ref="L187:O187"/>
    <mergeCell ref="L188:O188"/>
    <mergeCell ref="L189:O189"/>
    <mergeCell ref="L190:O190"/>
    <mergeCell ref="L199:O199"/>
    <mergeCell ref="L200:O200"/>
    <mergeCell ref="L201:O201"/>
    <mergeCell ref="L202:O202"/>
    <mergeCell ref="L196:O196"/>
    <mergeCell ref="L197:O197"/>
    <mergeCell ref="L198:O198"/>
    <mergeCell ref="L177:O177"/>
    <mergeCell ref="L178:O178"/>
    <mergeCell ref="L179:O179"/>
    <mergeCell ref="L180:O180"/>
    <mergeCell ref="L181:O181"/>
    <mergeCell ref="L182:O182"/>
    <mergeCell ref="L183:O183"/>
    <mergeCell ref="L184:O184"/>
    <mergeCell ref="L185:O185"/>
    <mergeCell ref="J237:N237"/>
    <mergeCell ref="J238:N238"/>
    <mergeCell ref="A230:N230"/>
    <mergeCell ref="A221:B221"/>
    <mergeCell ref="A225:N225"/>
    <mergeCell ref="A211:N211"/>
    <mergeCell ref="E212:F212"/>
    <mergeCell ref="C212:D212"/>
    <mergeCell ref="G212:H212"/>
    <mergeCell ref="I212:J212"/>
    <mergeCell ref="K212:L212"/>
    <mergeCell ref="M212:N212"/>
    <mergeCell ref="B212:B213"/>
    <mergeCell ref="A212:A213"/>
    <mergeCell ref="A226:N226"/>
    <mergeCell ref="A229:N229"/>
    <mergeCell ref="A1:N1"/>
    <mergeCell ref="A2:N2"/>
    <mergeCell ref="A3:N3"/>
    <mergeCell ref="A4:N4"/>
    <mergeCell ref="A5:N5"/>
    <mergeCell ref="D6:D7"/>
    <mergeCell ref="A81:C81"/>
    <mergeCell ref="I6:I7"/>
    <mergeCell ref="A136:M136"/>
    <mergeCell ref="A6:A7"/>
    <mergeCell ref="C83:C84"/>
    <mergeCell ref="A76:J76"/>
    <mergeCell ref="I77:J77"/>
    <mergeCell ref="I78:J78"/>
    <mergeCell ref="I79:J79"/>
    <mergeCell ref="I80:J80"/>
    <mergeCell ref="I81:J81"/>
    <mergeCell ref="B71:D72"/>
    <mergeCell ref="A73:D74"/>
    <mergeCell ref="B6:B7"/>
    <mergeCell ref="C6:C7"/>
    <mergeCell ref="E6:E7"/>
    <mergeCell ref="F6:H6"/>
    <mergeCell ref="J6:J7"/>
    <mergeCell ref="L151:O151"/>
    <mergeCell ref="L152:O152"/>
    <mergeCell ref="B51:D52"/>
    <mergeCell ref="A38:N38"/>
    <mergeCell ref="A39:N39"/>
    <mergeCell ref="A40:N40"/>
    <mergeCell ref="B78:C78"/>
    <mergeCell ref="B79:C79"/>
    <mergeCell ref="B80:C80"/>
    <mergeCell ref="A134:C134"/>
    <mergeCell ref="I134:J134"/>
    <mergeCell ref="A128:J128"/>
    <mergeCell ref="B129:C129"/>
    <mergeCell ref="I129:J129"/>
    <mergeCell ref="B130:C130"/>
    <mergeCell ref="I130:J130"/>
    <mergeCell ref="B131:C131"/>
    <mergeCell ref="I131:J131"/>
    <mergeCell ref="B133:C133"/>
    <mergeCell ref="I133:J133"/>
    <mergeCell ref="I132:J132"/>
    <mergeCell ref="B132:C132"/>
    <mergeCell ref="B77:C77"/>
    <mergeCell ref="B61:D62"/>
    <mergeCell ref="L7:N7"/>
    <mergeCell ref="A26:B31"/>
    <mergeCell ref="A32:B37"/>
    <mergeCell ref="A43:A44"/>
    <mergeCell ref="B43:B44"/>
    <mergeCell ref="C43:C44"/>
    <mergeCell ref="D43:D44"/>
    <mergeCell ref="K43:K44"/>
    <mergeCell ref="E43:E44"/>
    <mergeCell ref="F43:I43"/>
    <mergeCell ref="B83:B84"/>
    <mergeCell ref="C206:C207"/>
    <mergeCell ref="D206:D207"/>
    <mergeCell ref="E206:E207"/>
    <mergeCell ref="F206:H206"/>
    <mergeCell ref="P206:P207"/>
    <mergeCell ref="Q206:Q207"/>
    <mergeCell ref="A210:H210"/>
    <mergeCell ref="L206:M206"/>
    <mergeCell ref="B95:D96"/>
    <mergeCell ref="B113:D114"/>
    <mergeCell ref="B125:D126"/>
    <mergeCell ref="D83:D84"/>
    <mergeCell ref="E83:E84"/>
    <mergeCell ref="F83:I83"/>
    <mergeCell ref="B105:D106"/>
    <mergeCell ref="A83:A84"/>
    <mergeCell ref="L192:O192"/>
    <mergeCell ref="L193:O193"/>
    <mergeCell ref="L194:O194"/>
    <mergeCell ref="L195:O195"/>
    <mergeCell ref="A206:A207"/>
    <mergeCell ref="B206:B207"/>
    <mergeCell ref="L203:O203"/>
  </mergeCells>
  <pageMargins left="0" right="0" top="0.25" bottom="0.25" header="0.3" footer="0.3"/>
  <pageSetup paperSize="9" orientation="landscape" horizontalDpi="0" verticalDpi="0"/>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4303E-CDAC-0049-9DD2-516B3E3AED0A}">
  <sheetPr codeName="Sheet12"/>
  <dimension ref="A1:R140"/>
  <sheetViews>
    <sheetView topLeftCell="A42" zoomScale="73" zoomScaleNormal="190" workbookViewId="0">
      <selection activeCell="N58" sqref="N58"/>
    </sheetView>
  </sheetViews>
  <sheetFormatPr baseColWidth="10" defaultColWidth="8.6640625" defaultRowHeight="14" x14ac:dyDescent="0.2"/>
  <cols>
    <col min="1" max="1" width="6" style="4" customWidth="1"/>
    <col min="2" max="2" width="13" style="4" customWidth="1"/>
    <col min="3" max="3" width="19.33203125" style="4" bestFit="1" customWidth="1"/>
    <col min="4" max="4" width="11.6640625" style="4" customWidth="1"/>
    <col min="5" max="5" width="14.1640625" style="93" customWidth="1"/>
    <col min="6" max="6" width="11.33203125" style="93" customWidth="1"/>
    <col min="7" max="7" width="11.6640625" style="4" customWidth="1"/>
    <col min="8" max="8" width="11.33203125" style="395" customWidth="1"/>
    <col min="9" max="9" width="12.5" style="452" customWidth="1"/>
    <col min="10" max="10" width="8.83203125" style="356" customWidth="1"/>
    <col min="11" max="11" width="9.1640625" style="356" customWidth="1"/>
    <col min="12" max="12" width="7.5" style="4" customWidth="1"/>
    <col min="13" max="13" width="8" style="4" customWidth="1"/>
    <col min="14" max="14" width="10.1640625" style="272" customWidth="1"/>
    <col min="15" max="15" width="9" style="4" bestFit="1" customWidth="1"/>
    <col min="16" max="16384" width="8.6640625" style="4"/>
  </cols>
  <sheetData>
    <row r="1" spans="1:15" s="1" customFormat="1" ht="21" customHeight="1" x14ac:dyDescent="0.2">
      <c r="A1" s="2995" t="s">
        <v>0</v>
      </c>
      <c r="B1" s="2996"/>
      <c r="C1" s="2996"/>
      <c r="D1" s="2996"/>
      <c r="E1" s="2996"/>
      <c r="F1" s="2996"/>
      <c r="G1" s="2996"/>
      <c r="H1" s="2996"/>
      <c r="I1" s="2996"/>
      <c r="J1" s="2996"/>
      <c r="K1" s="2996"/>
      <c r="L1" s="2996"/>
      <c r="M1" s="2996"/>
      <c r="N1" s="2997"/>
    </row>
    <row r="2" spans="1:15" s="1" customFormat="1" ht="21" customHeight="1" x14ac:dyDescent="0.2">
      <c r="A2" s="2998" t="s">
        <v>1</v>
      </c>
      <c r="B2" s="2532"/>
      <c r="C2" s="2532"/>
      <c r="D2" s="2532"/>
      <c r="E2" s="2532"/>
      <c r="F2" s="2532"/>
      <c r="G2" s="2532"/>
      <c r="H2" s="2532"/>
      <c r="I2" s="2532"/>
      <c r="J2" s="2532"/>
      <c r="K2" s="2532"/>
      <c r="L2" s="2532"/>
      <c r="M2" s="2532"/>
      <c r="N2" s="2999"/>
    </row>
    <row r="3" spans="1:15" s="1" customFormat="1" ht="21" customHeight="1" thickBot="1" x14ac:dyDescent="0.25">
      <c r="A3" s="3000" t="s">
        <v>2</v>
      </c>
      <c r="B3" s="3001"/>
      <c r="C3" s="3001"/>
      <c r="D3" s="3001"/>
      <c r="E3" s="3001"/>
      <c r="F3" s="3001"/>
      <c r="G3" s="3001"/>
      <c r="H3" s="3001"/>
      <c r="I3" s="3001"/>
      <c r="J3" s="3001"/>
      <c r="K3" s="3001"/>
      <c r="L3" s="3001"/>
      <c r="M3" s="3001"/>
      <c r="N3" s="3002"/>
    </row>
    <row r="4" spans="1:15" ht="26" customHeight="1" x14ac:dyDescent="0.2">
      <c r="A4" s="3003" t="s">
        <v>3</v>
      </c>
      <c r="B4" s="3003"/>
      <c r="C4" s="3003"/>
      <c r="D4" s="3003"/>
      <c r="E4" s="3003"/>
      <c r="F4" s="3003"/>
      <c r="G4" s="3003"/>
      <c r="H4" s="3003"/>
      <c r="I4" s="3003"/>
      <c r="J4" s="3003"/>
      <c r="K4" s="3003"/>
      <c r="L4" s="3003"/>
      <c r="M4" s="3003"/>
      <c r="N4" s="3003"/>
    </row>
    <row r="5" spans="1:15" s="1" customFormat="1" ht="21" customHeight="1" x14ac:dyDescent="0.2">
      <c r="A5" s="2475" t="s">
        <v>4</v>
      </c>
      <c r="B5" s="2475"/>
      <c r="C5" s="2475"/>
      <c r="D5" s="2475"/>
      <c r="E5" s="2475"/>
      <c r="F5" s="2475"/>
      <c r="G5" s="2475"/>
      <c r="H5" s="2475"/>
      <c r="I5" s="2475"/>
      <c r="J5" s="2475"/>
      <c r="K5" s="2475"/>
      <c r="L5" s="2475"/>
      <c r="M5" s="2475"/>
      <c r="N5" s="2475"/>
    </row>
    <row r="6" spans="1:15" s="71" customFormat="1" ht="36" customHeight="1" x14ac:dyDescent="0.2">
      <c r="A6" s="3314" t="s">
        <v>34</v>
      </c>
      <c r="B6" s="3263" t="s">
        <v>6</v>
      </c>
      <c r="C6" s="3263" t="s">
        <v>16</v>
      </c>
      <c r="D6" s="3263" t="s">
        <v>17</v>
      </c>
      <c r="E6" s="3263" t="s">
        <v>7</v>
      </c>
      <c r="F6" s="3246" t="s">
        <v>8</v>
      </c>
      <c r="G6" s="3247"/>
      <c r="H6" s="3248"/>
      <c r="I6" s="3264" t="s">
        <v>9</v>
      </c>
      <c r="J6" s="3263" t="s">
        <v>10</v>
      </c>
      <c r="K6" s="8" t="s">
        <v>11</v>
      </c>
      <c r="L6" s="8" t="s">
        <v>12</v>
      </c>
      <c r="M6" s="8" t="s">
        <v>13</v>
      </c>
      <c r="N6" s="8" t="s">
        <v>14</v>
      </c>
      <c r="O6" s="8" t="s">
        <v>15</v>
      </c>
    </row>
    <row r="7" spans="1:15" s="71" customFormat="1" ht="27" customHeight="1" x14ac:dyDescent="0.2">
      <c r="A7" s="3314"/>
      <c r="B7" s="2816"/>
      <c r="C7" s="2816"/>
      <c r="D7" s="2816"/>
      <c r="E7" s="2816"/>
      <c r="F7" s="10" t="s">
        <v>18</v>
      </c>
      <c r="G7" s="10" t="s">
        <v>19</v>
      </c>
      <c r="H7" s="8" t="s">
        <v>20</v>
      </c>
      <c r="I7" s="3265"/>
      <c r="J7" s="2816"/>
      <c r="K7" s="8" t="s">
        <v>21</v>
      </c>
      <c r="L7" s="3246" t="s">
        <v>22</v>
      </c>
      <c r="M7" s="3247"/>
      <c r="N7" s="3248"/>
      <c r="O7" s="8" t="s">
        <v>23</v>
      </c>
    </row>
    <row r="8" spans="1:15" s="71" customFormat="1" ht="27" hidden="1" customHeight="1" x14ac:dyDescent="0.2">
      <c r="A8" s="1581"/>
      <c r="B8" s="1546" t="s">
        <v>6</v>
      </c>
      <c r="C8" s="1559" t="s">
        <v>16</v>
      </c>
      <c r="D8" s="8" t="s">
        <v>17</v>
      </c>
      <c r="E8" s="1546" t="s">
        <v>864</v>
      </c>
      <c r="F8" s="10" t="s">
        <v>18</v>
      </c>
      <c r="G8" s="10" t="s">
        <v>19</v>
      </c>
      <c r="H8" s="8" t="s">
        <v>20</v>
      </c>
      <c r="I8" s="1523" t="s">
        <v>9</v>
      </c>
      <c r="J8" s="1546" t="s">
        <v>10</v>
      </c>
      <c r="K8" s="8" t="s">
        <v>11</v>
      </c>
      <c r="L8" s="8" t="s">
        <v>12</v>
      </c>
      <c r="M8" s="8" t="s">
        <v>13</v>
      </c>
      <c r="N8" s="8" t="s">
        <v>14</v>
      </c>
      <c r="O8" s="8" t="s">
        <v>15</v>
      </c>
    </row>
    <row r="9" spans="1:15" s="1" customFormat="1" ht="23.25" customHeight="1" x14ac:dyDescent="0.2">
      <c r="A9" s="1582" t="s">
        <v>5</v>
      </c>
      <c r="B9" s="1561" t="s">
        <v>115</v>
      </c>
      <c r="C9" s="1562" t="s">
        <v>883</v>
      </c>
      <c r="D9" s="12" t="s">
        <v>21</v>
      </c>
      <c r="E9" s="848">
        <v>94338.462</v>
      </c>
      <c r="F9" s="848">
        <v>81862.2</v>
      </c>
      <c r="G9" s="848">
        <v>5518.8</v>
      </c>
      <c r="H9" s="848">
        <v>4599</v>
      </c>
      <c r="I9" s="849">
        <v>91980</v>
      </c>
      <c r="J9" s="574">
        <v>7</v>
      </c>
      <c r="K9" s="771">
        <v>13140</v>
      </c>
      <c r="L9" s="348"/>
      <c r="M9" s="28"/>
      <c r="N9" s="28"/>
      <c r="O9" s="576">
        <v>40</v>
      </c>
    </row>
    <row r="10" spans="1:15" s="1" customFormat="1" ht="23.25" customHeight="1" x14ac:dyDescent="0.2">
      <c r="A10" s="1583" t="s">
        <v>5</v>
      </c>
      <c r="B10" s="1564" t="s">
        <v>115</v>
      </c>
      <c r="C10" s="1565"/>
      <c r="D10" s="577" t="s">
        <v>22</v>
      </c>
      <c r="E10" s="578"/>
      <c r="F10" s="578">
        <v>89</v>
      </c>
      <c r="G10" s="578">
        <v>6</v>
      </c>
      <c r="H10" s="578">
        <v>5</v>
      </c>
      <c r="I10" s="579">
        <f>SUM(F10:H10)</f>
        <v>100</v>
      </c>
      <c r="J10" s="580"/>
      <c r="K10" s="581"/>
      <c r="L10" s="365">
        <v>97.5</v>
      </c>
      <c r="M10" s="739">
        <v>2.5</v>
      </c>
      <c r="N10" s="739"/>
      <c r="O10" s="576"/>
    </row>
    <row r="11" spans="1:15" s="1" customFormat="1" ht="23.25" customHeight="1" x14ac:dyDescent="0.2">
      <c r="A11" s="1582" t="s">
        <v>5</v>
      </c>
      <c r="B11" s="1567" t="s">
        <v>115</v>
      </c>
      <c r="C11" s="1562" t="s">
        <v>1013</v>
      </c>
      <c r="D11" s="12" t="s">
        <v>21</v>
      </c>
      <c r="E11" s="848">
        <v>107045</v>
      </c>
      <c r="F11" s="850">
        <v>91149.119999999995</v>
      </c>
      <c r="G11" s="850">
        <v>5847.84</v>
      </c>
      <c r="H11" s="850">
        <v>5804.64</v>
      </c>
      <c r="I11" s="849">
        <f>SUM(F11:H11)</f>
        <v>102801.59999999999</v>
      </c>
      <c r="J11" s="574">
        <v>6.6</v>
      </c>
      <c r="K11" s="575">
        <f>+I11/J11</f>
        <v>15576</v>
      </c>
      <c r="L11" s="584"/>
      <c r="M11" s="15">
        <v>649.44000000000005</v>
      </c>
      <c r="N11" s="28">
        <v>1362.1</v>
      </c>
      <c r="O11" s="576">
        <v>36</v>
      </c>
    </row>
    <row r="12" spans="1:15" s="1" customFormat="1" ht="23.25" customHeight="1" x14ac:dyDescent="0.2">
      <c r="A12" s="1582" t="s">
        <v>5</v>
      </c>
      <c r="B12" s="1568" t="s">
        <v>115</v>
      </c>
      <c r="C12" s="1569"/>
      <c r="D12" s="585" t="s">
        <v>22</v>
      </c>
      <c r="E12" s="586"/>
      <c r="F12" s="586">
        <f>+F11/I11*100</f>
        <v>88.665079142737085</v>
      </c>
      <c r="G12" s="586">
        <f>+G11/I11*100</f>
        <v>5.6884717747583702</v>
      </c>
      <c r="H12" s="586">
        <f>+H11/I11*100</f>
        <v>5.646449082504553</v>
      </c>
      <c r="I12" s="587">
        <f>SUM(F12:H12)</f>
        <v>100</v>
      </c>
      <c r="J12" s="588"/>
      <c r="K12" s="589"/>
      <c r="L12" s="590">
        <f>(I11/E11)*100</f>
        <v>96.03587276379092</v>
      </c>
      <c r="M12" s="1579">
        <f>100-L12</f>
        <v>3.9641272362090803</v>
      </c>
      <c r="N12" s="1579"/>
      <c r="O12" s="591"/>
    </row>
    <row r="13" spans="1:15" s="1" customFormat="1" ht="23.25" customHeight="1" x14ac:dyDescent="0.2">
      <c r="A13" s="1582" t="s">
        <v>5</v>
      </c>
      <c r="B13" s="1564" t="s">
        <v>115</v>
      </c>
      <c r="C13" s="1570" t="s">
        <v>1021</v>
      </c>
      <c r="D13" s="606" t="s">
        <v>21</v>
      </c>
      <c r="E13" s="709">
        <f>E11-E9</f>
        <v>12706.538</v>
      </c>
      <c r="F13" s="709">
        <f t="shared" ref="F13:L14" si="0">F11-F9</f>
        <v>9286.9199999999983</v>
      </c>
      <c r="G13" s="709">
        <f t="shared" si="0"/>
        <v>329.03999999999996</v>
      </c>
      <c r="H13" s="709">
        <f t="shared" si="0"/>
        <v>1205.6400000000003</v>
      </c>
      <c r="I13" s="709">
        <f t="shared" si="0"/>
        <v>10821.599999999991</v>
      </c>
      <c r="J13" s="600">
        <f t="shared" si="0"/>
        <v>-0.40000000000000036</v>
      </c>
      <c r="K13" s="709"/>
      <c r="L13" s="600">
        <f t="shared" si="0"/>
        <v>0</v>
      </c>
      <c r="M13" s="600"/>
      <c r="N13" s="600"/>
      <c r="O13" s="710"/>
    </row>
    <row r="14" spans="1:15" s="1" customFormat="1" ht="23.25" customHeight="1" x14ac:dyDescent="0.2">
      <c r="A14" s="1582" t="s">
        <v>5</v>
      </c>
      <c r="B14" s="1564" t="s">
        <v>115</v>
      </c>
      <c r="C14" s="1574"/>
      <c r="D14" s="818" t="s">
        <v>22</v>
      </c>
      <c r="E14" s="819"/>
      <c r="F14" s="819">
        <f>F12-F10</f>
        <v>-0.33492085726291521</v>
      </c>
      <c r="G14" s="819">
        <f t="shared" si="0"/>
        <v>-0.31152822524162982</v>
      </c>
      <c r="H14" s="819">
        <f t="shared" si="0"/>
        <v>0.64644908250455302</v>
      </c>
      <c r="I14" s="819">
        <f t="shared" si="0"/>
        <v>0</v>
      </c>
      <c r="J14" s="820"/>
      <c r="K14" s="821"/>
      <c r="L14" s="822"/>
      <c r="M14" s="823"/>
      <c r="N14" s="823"/>
      <c r="O14" s="1587"/>
    </row>
    <row r="15" spans="1:15" s="1" customFormat="1" ht="23.25" customHeight="1" x14ac:dyDescent="0.2">
      <c r="A15" s="1586" t="s">
        <v>25</v>
      </c>
      <c r="B15" s="3305" t="s">
        <v>1024</v>
      </c>
      <c r="C15" s="3306"/>
      <c r="D15" s="3306"/>
      <c r="E15" s="3306"/>
      <c r="F15" s="3306"/>
      <c r="G15" s="3306"/>
      <c r="H15" s="3306"/>
      <c r="I15" s="3306"/>
      <c r="J15" s="3306"/>
      <c r="K15" s="3306"/>
      <c r="L15" s="3306"/>
      <c r="M15" s="3306"/>
      <c r="N15" s="3306"/>
      <c r="O15" s="3307"/>
    </row>
    <row r="16" spans="1:15" s="1" customFormat="1" ht="26.25" customHeight="1" x14ac:dyDescent="0.2">
      <c r="A16" s="1563" t="s">
        <v>25</v>
      </c>
      <c r="B16" s="1564" t="s">
        <v>116</v>
      </c>
      <c r="C16" s="1588" t="s">
        <v>883</v>
      </c>
      <c r="D16" s="592" t="s">
        <v>21</v>
      </c>
      <c r="E16" s="593">
        <f>+K16*J16*100/L17</f>
        <v>71794.871794871797</v>
      </c>
      <c r="F16" s="593">
        <f>F17*$I$16/100</f>
        <v>62300</v>
      </c>
      <c r="G16" s="593">
        <f>G17*$I$16/100</f>
        <v>5600</v>
      </c>
      <c r="H16" s="593">
        <f>H17*$I$16/100</f>
        <v>2100</v>
      </c>
      <c r="I16" s="594">
        <f>J16*K16</f>
        <v>70000</v>
      </c>
      <c r="J16" s="595">
        <v>5</v>
      </c>
      <c r="K16" s="596">
        <v>14000</v>
      </c>
      <c r="L16" s="596"/>
      <c r="M16" s="597"/>
      <c r="N16" s="597"/>
      <c r="O16" s="598"/>
    </row>
    <row r="17" spans="1:15" s="1" customFormat="1" ht="26.25" customHeight="1" x14ac:dyDescent="0.2">
      <c r="A17" s="1563" t="s">
        <v>25</v>
      </c>
      <c r="B17" s="1567" t="s">
        <v>116</v>
      </c>
      <c r="C17" s="1565" t="s">
        <v>883</v>
      </c>
      <c r="D17" s="17" t="s">
        <v>22</v>
      </c>
      <c r="E17" s="23"/>
      <c r="F17" s="378">
        <v>89</v>
      </c>
      <c r="G17" s="379">
        <v>8</v>
      </c>
      <c r="H17" s="379">
        <v>3</v>
      </c>
      <c r="I17" s="379">
        <f>SUM(F17:H17)</f>
        <v>100</v>
      </c>
      <c r="J17" s="430"/>
      <c r="K17" s="380"/>
      <c r="L17" s="365">
        <v>97.5</v>
      </c>
      <c r="M17" s="1549">
        <f>100-L17</f>
        <v>2.5</v>
      </c>
      <c r="N17" s="1549"/>
      <c r="O17" s="22">
        <v>40</v>
      </c>
    </row>
    <row r="18" spans="1:15" s="1" customFormat="1" ht="26.25" customHeight="1" x14ac:dyDescent="0.2">
      <c r="A18" s="1563" t="s">
        <v>25</v>
      </c>
      <c r="B18" s="1568" t="s">
        <v>116</v>
      </c>
      <c r="C18" s="1562" t="s">
        <v>1013</v>
      </c>
      <c r="D18" s="17" t="s">
        <v>21</v>
      </c>
      <c r="E18" s="377">
        <v>70884</v>
      </c>
      <c r="F18" s="374">
        <v>62731.519999999997</v>
      </c>
      <c r="G18" s="375">
        <v>135.68</v>
      </c>
      <c r="H18" s="375">
        <v>8885.76</v>
      </c>
      <c r="I18" s="375">
        <f>SUM(F18:H18)</f>
        <v>71752.959999999992</v>
      </c>
      <c r="J18" s="431">
        <v>5</v>
      </c>
      <c r="K18" s="21">
        <f>+I18/J18</f>
        <v>14350.591999999999</v>
      </c>
      <c r="L18" s="17"/>
      <c r="M18" s="17">
        <v>183.49</v>
      </c>
      <c r="N18" s="17">
        <v>119.68</v>
      </c>
      <c r="O18" s="22">
        <v>52</v>
      </c>
    </row>
    <row r="19" spans="1:15" s="1" customFormat="1" ht="26.25" customHeight="1" x14ac:dyDescent="0.2">
      <c r="A19" s="1563" t="s">
        <v>25</v>
      </c>
      <c r="B19" s="1584" t="s">
        <v>116</v>
      </c>
      <c r="C19" s="1565" t="s">
        <v>1013</v>
      </c>
      <c r="D19" s="17" t="s">
        <v>22</v>
      </c>
      <c r="E19" s="23"/>
      <c r="F19" s="378">
        <f>+F18/$I$18*100</f>
        <v>87.427083147510572</v>
      </c>
      <c r="G19" s="378">
        <f>+G18/$I$18*100</f>
        <v>0.18909324437625991</v>
      </c>
      <c r="H19" s="378">
        <f>+H18/$I$18*100</f>
        <v>12.383823608113172</v>
      </c>
      <c r="I19" s="379">
        <f>SUM(F19:H19)</f>
        <v>100.00000000000001</v>
      </c>
      <c r="J19" s="431"/>
      <c r="K19" s="21"/>
      <c r="L19" s="364">
        <f>I18/E18*100</f>
        <v>101.22589018678403</v>
      </c>
      <c r="M19" s="1578">
        <f>100-L19</f>
        <v>-1.2258901867840279</v>
      </c>
      <c r="N19" s="1578"/>
      <c r="O19" s="22"/>
    </row>
    <row r="20" spans="1:15" s="1" customFormat="1" ht="26.25" customHeight="1" x14ac:dyDescent="0.2">
      <c r="A20" s="1563" t="s">
        <v>25</v>
      </c>
      <c r="B20" s="1564" t="s">
        <v>1022</v>
      </c>
      <c r="C20" s="1562" t="s">
        <v>883</v>
      </c>
      <c r="D20" s="17" t="s">
        <v>21</v>
      </c>
      <c r="E20" s="374">
        <f>+K20*J20*100/L21</f>
        <v>164000</v>
      </c>
      <c r="F20" s="374">
        <f>F21*$I$20/100</f>
        <v>142311</v>
      </c>
      <c r="G20" s="374">
        <f>G21*$I$20/100</f>
        <v>12792</v>
      </c>
      <c r="H20" s="374">
        <f>H21*$I$20/100</f>
        <v>4797</v>
      </c>
      <c r="I20" s="375">
        <f>J20*K20</f>
        <v>159900</v>
      </c>
      <c r="J20" s="431">
        <v>13</v>
      </c>
      <c r="K20" s="21">
        <v>12300</v>
      </c>
      <c r="L20" s="21"/>
      <c r="M20" s="381"/>
      <c r="N20" s="381"/>
      <c r="O20" s="22"/>
    </row>
    <row r="21" spans="1:15" s="1" customFormat="1" ht="26.25" customHeight="1" x14ac:dyDescent="0.2">
      <c r="A21" s="1563" t="s">
        <v>25</v>
      </c>
      <c r="B21" s="1567" t="s">
        <v>1022</v>
      </c>
      <c r="C21" s="1565"/>
      <c r="D21" s="17" t="s">
        <v>22</v>
      </c>
      <c r="E21" s="23"/>
      <c r="F21" s="378">
        <v>89</v>
      </c>
      <c r="G21" s="379">
        <v>8</v>
      </c>
      <c r="H21" s="379">
        <v>3</v>
      </c>
      <c r="I21" s="379">
        <f>SUM(F21:H21)</f>
        <v>100</v>
      </c>
      <c r="J21" s="430"/>
      <c r="K21" s="380"/>
      <c r="L21" s="365">
        <v>97.5</v>
      </c>
      <c r="M21" s="1549">
        <f>100-L21</f>
        <v>2.5</v>
      </c>
      <c r="N21" s="1549"/>
      <c r="O21" s="22">
        <v>100</v>
      </c>
    </row>
    <row r="22" spans="1:15" s="1" customFormat="1" ht="26.25" customHeight="1" x14ac:dyDescent="0.2">
      <c r="A22" s="1563" t="s">
        <v>25</v>
      </c>
      <c r="B22" s="1568" t="s">
        <v>1022</v>
      </c>
      <c r="C22" s="1562" t="s">
        <v>1013</v>
      </c>
      <c r="D22" s="17" t="s">
        <v>21</v>
      </c>
      <c r="E22" s="418">
        <v>164764</v>
      </c>
      <c r="F22" s="374">
        <v>137054.88</v>
      </c>
      <c r="G22" s="375">
        <v>0</v>
      </c>
      <c r="H22" s="375">
        <v>23675.040000000001</v>
      </c>
      <c r="I22" s="375">
        <f>SUM(F22:H22)</f>
        <v>160729.92000000001</v>
      </c>
      <c r="J22" s="431">
        <v>13</v>
      </c>
      <c r="K22" s="21">
        <f>+I22/J22</f>
        <v>12363.84</v>
      </c>
      <c r="L22" s="17"/>
      <c r="M22" s="17">
        <v>464.53</v>
      </c>
      <c r="N22" s="17">
        <v>491.05</v>
      </c>
      <c r="O22" s="27"/>
    </row>
    <row r="23" spans="1:15" s="1" customFormat="1" ht="26.25" customHeight="1" x14ac:dyDescent="0.2">
      <c r="A23" s="1563" t="s">
        <v>25</v>
      </c>
      <c r="B23" s="1584" t="s">
        <v>1022</v>
      </c>
      <c r="C23" s="1565"/>
      <c r="D23" s="17" t="s">
        <v>22</v>
      </c>
      <c r="E23" s="23"/>
      <c r="F23" s="378">
        <f>+F22/$I$22*100</f>
        <v>85.270296905517029</v>
      </c>
      <c r="G23" s="378">
        <f>+G22/$I$22*100</f>
        <v>0</v>
      </c>
      <c r="H23" s="378">
        <f>+H22/$I$22*100</f>
        <v>14.729703094482968</v>
      </c>
      <c r="I23" s="379">
        <f>SUM(F23:H23)</f>
        <v>100</v>
      </c>
      <c r="J23" s="430"/>
      <c r="K23" s="380"/>
      <c r="L23" s="364">
        <f>I22/E22*100</f>
        <v>97.551601077905374</v>
      </c>
      <c r="M23" s="1550">
        <f>100-L23</f>
        <v>2.4483989220946256</v>
      </c>
      <c r="N23" s="1550"/>
      <c r="O23" s="22">
        <v>254.77</v>
      </c>
    </row>
    <row r="24" spans="1:15" s="1" customFormat="1" ht="26.25" customHeight="1" x14ac:dyDescent="0.2">
      <c r="A24" s="1563" t="s">
        <v>25</v>
      </c>
      <c r="B24" s="1564" t="s">
        <v>1023</v>
      </c>
      <c r="C24" s="1562" t="s">
        <v>883</v>
      </c>
      <c r="D24" s="17" t="s">
        <v>21</v>
      </c>
      <c r="E24" s="374">
        <f>+K24*J24*100/L25</f>
        <v>50461.538461538461</v>
      </c>
      <c r="F24" s="374">
        <f>F25*$I$24/100</f>
        <v>43788</v>
      </c>
      <c r="G24" s="374">
        <f>G25*$I$24/100</f>
        <v>3936</v>
      </c>
      <c r="H24" s="374">
        <f>H25*$I$24/100</f>
        <v>1476</v>
      </c>
      <c r="I24" s="375">
        <f>J24*K24</f>
        <v>49200</v>
      </c>
      <c r="J24" s="431">
        <v>4</v>
      </c>
      <c r="K24" s="21">
        <v>12300</v>
      </c>
      <c r="L24" s="21"/>
      <c r="M24" s="381"/>
      <c r="N24" s="381"/>
      <c r="O24" s="22"/>
    </row>
    <row r="25" spans="1:15" s="1" customFormat="1" ht="26.25" customHeight="1" x14ac:dyDescent="0.2">
      <c r="A25" s="1566" t="s">
        <v>25</v>
      </c>
      <c r="B25" s="1567" t="s">
        <v>1023</v>
      </c>
      <c r="C25" s="1565"/>
      <c r="D25" s="17" t="s">
        <v>22</v>
      </c>
      <c r="E25" s="23"/>
      <c r="F25" s="378">
        <v>89</v>
      </c>
      <c r="G25" s="379">
        <v>8</v>
      </c>
      <c r="H25" s="379">
        <v>3</v>
      </c>
      <c r="I25" s="379">
        <f>SUM(F25:H25)</f>
        <v>100</v>
      </c>
      <c r="J25" s="430"/>
      <c r="K25" s="380"/>
      <c r="L25" s="365">
        <v>97.5</v>
      </c>
      <c r="M25" s="1549">
        <f>100-L25</f>
        <v>2.5</v>
      </c>
      <c r="N25" s="1549"/>
      <c r="O25" s="22">
        <v>100</v>
      </c>
    </row>
    <row r="26" spans="1:15" s="1" customFormat="1" ht="26.25" customHeight="1" x14ac:dyDescent="0.2">
      <c r="A26" s="1563" t="s">
        <v>25</v>
      </c>
      <c r="B26" s="1568" t="s">
        <v>1023</v>
      </c>
      <c r="C26" s="1562" t="s">
        <v>1013</v>
      </c>
      <c r="D26" s="17" t="s">
        <v>21</v>
      </c>
      <c r="E26" s="18">
        <v>49066</v>
      </c>
      <c r="F26" s="19">
        <v>45554.400000000001</v>
      </c>
      <c r="G26" s="20">
        <v>0</v>
      </c>
      <c r="H26" s="20">
        <v>1424.16</v>
      </c>
      <c r="I26" s="20">
        <f>SUM(F26:H26)</f>
        <v>46978.560000000005</v>
      </c>
      <c r="J26" s="432">
        <v>4</v>
      </c>
      <c r="K26" s="21">
        <f>+I26/J26</f>
        <v>11744.640000000001</v>
      </c>
      <c r="L26" s="17"/>
      <c r="M26" s="17">
        <v>1927.74</v>
      </c>
      <c r="N26" s="17">
        <v>2258.2399999999998</v>
      </c>
      <c r="O26" s="27"/>
    </row>
    <row r="27" spans="1:15" s="1" customFormat="1" ht="26.25" customHeight="1" x14ac:dyDescent="0.2">
      <c r="A27" s="1563" t="s">
        <v>25</v>
      </c>
      <c r="B27" s="1584" t="s">
        <v>1023</v>
      </c>
      <c r="C27" s="1565"/>
      <c r="D27" s="17" t="s">
        <v>22</v>
      </c>
      <c r="E27" s="23"/>
      <c r="F27" s="24">
        <f>+F26/$I$26*100</f>
        <v>96.968489455615497</v>
      </c>
      <c r="G27" s="24">
        <f>+G26/$I$26*100</f>
        <v>0</v>
      </c>
      <c r="H27" s="24">
        <f>+H26/$I$26*100</f>
        <v>3.0315105443845023</v>
      </c>
      <c r="I27" s="25">
        <f>SUM(F27:H27)</f>
        <v>100</v>
      </c>
      <c r="J27" s="433"/>
      <c r="K27" s="26"/>
      <c r="L27" s="364">
        <f>I26/E26*100</f>
        <v>95.745648718053246</v>
      </c>
      <c r="M27" s="1550">
        <f>100-L27</f>
        <v>4.2543512819467537</v>
      </c>
      <c r="N27" s="1550"/>
      <c r="O27" s="22">
        <v>141</v>
      </c>
    </row>
    <row r="28" spans="1:15" s="1" customFormat="1" ht="26.25" customHeight="1" x14ac:dyDescent="0.2">
      <c r="A28" s="1563" t="s">
        <v>25</v>
      </c>
      <c r="B28" s="1564" t="s">
        <v>119</v>
      </c>
      <c r="C28" s="1562" t="s">
        <v>883</v>
      </c>
      <c r="D28" s="12" t="s">
        <v>21</v>
      </c>
      <c r="E28" s="374">
        <f>+K28*J28*100/L29</f>
        <v>94615.38461538461</v>
      </c>
      <c r="F28" s="374">
        <f>F29*$I$28/100</f>
        <v>84870</v>
      </c>
      <c r="G28" s="374">
        <f>G29*$I$28/100</f>
        <v>4612.5</v>
      </c>
      <c r="H28" s="374">
        <f>H29*$I$28/100</f>
        <v>2767.5</v>
      </c>
      <c r="I28" s="375">
        <f>J28*K28</f>
        <v>92250</v>
      </c>
      <c r="J28" s="431">
        <v>7.5</v>
      </c>
      <c r="K28" s="21">
        <v>12300</v>
      </c>
      <c r="L28" s="21"/>
      <c r="M28" s="381"/>
      <c r="N28" s="381"/>
      <c r="O28" s="22"/>
    </row>
    <row r="29" spans="1:15" s="1" customFormat="1" ht="26.25" customHeight="1" x14ac:dyDescent="0.2">
      <c r="A29" s="1563" t="s">
        <v>25</v>
      </c>
      <c r="B29" s="1567" t="s">
        <v>119</v>
      </c>
      <c r="C29" s="1565"/>
      <c r="D29" s="12" t="s">
        <v>22</v>
      </c>
      <c r="E29" s="23"/>
      <c r="F29" s="374">
        <v>92</v>
      </c>
      <c r="G29" s="375">
        <v>5</v>
      </c>
      <c r="H29" s="375">
        <v>3</v>
      </c>
      <c r="I29" s="375">
        <f>SUM(F29:H29)</f>
        <v>100</v>
      </c>
      <c r="J29" s="431"/>
      <c r="K29" s="21"/>
      <c r="L29" s="376">
        <v>97.5</v>
      </c>
      <c r="M29" s="1580">
        <f>100-L29</f>
        <v>2.5</v>
      </c>
      <c r="N29" s="1580"/>
      <c r="O29" s="22">
        <v>100</v>
      </c>
    </row>
    <row r="30" spans="1:15" s="1" customFormat="1" ht="26.25" customHeight="1" x14ac:dyDescent="0.2">
      <c r="A30" s="1563" t="s">
        <v>25</v>
      </c>
      <c r="B30" s="1568" t="s">
        <v>119</v>
      </c>
      <c r="C30" s="1562" t="s">
        <v>1013</v>
      </c>
      <c r="D30" s="12" t="s">
        <v>21</v>
      </c>
      <c r="E30" s="18">
        <v>99937</v>
      </c>
      <c r="F30" s="19">
        <v>96360</v>
      </c>
      <c r="G30" s="20">
        <v>0</v>
      </c>
      <c r="H30" s="20">
        <v>1123.5</v>
      </c>
      <c r="I30" s="20">
        <f>SUM(F30:H30)</f>
        <v>97483.5</v>
      </c>
      <c r="J30" s="432">
        <v>7.5</v>
      </c>
      <c r="K30" s="21">
        <f>+I30/J30</f>
        <v>12997.8</v>
      </c>
      <c r="L30" s="17"/>
      <c r="M30" s="17">
        <v>2817.13</v>
      </c>
      <c r="N30" s="17">
        <v>2787.19</v>
      </c>
      <c r="O30" s="27"/>
    </row>
    <row r="31" spans="1:15" s="1" customFormat="1" ht="24" customHeight="1" x14ac:dyDescent="0.2">
      <c r="A31" s="1563" t="s">
        <v>25</v>
      </c>
      <c r="B31" s="1584" t="s">
        <v>119</v>
      </c>
      <c r="C31" s="1565"/>
      <c r="D31" s="12" t="s">
        <v>22</v>
      </c>
      <c r="E31" s="23"/>
      <c r="F31" s="24">
        <f>+F30/$I$30*100</f>
        <v>98.847497268768564</v>
      </c>
      <c r="G31" s="25">
        <f>+G30/I30*100</f>
        <v>0</v>
      </c>
      <c r="H31" s="25">
        <f>+H30/I30*100</f>
        <v>1.1525027312314391</v>
      </c>
      <c r="I31" s="25">
        <f>SUM(F31:H31)</f>
        <v>100</v>
      </c>
      <c r="J31" s="433"/>
      <c r="K31" s="26"/>
      <c r="L31" s="364">
        <f>I30/E30*100</f>
        <v>97.544953320591972</v>
      </c>
      <c r="M31" s="1578">
        <f>100-L31</f>
        <v>2.4550466794080279</v>
      </c>
      <c r="N31" s="1578"/>
      <c r="O31" s="22">
        <v>262.8</v>
      </c>
    </row>
    <row r="32" spans="1:15" s="1" customFormat="1" ht="26.25" customHeight="1" x14ac:dyDescent="0.2">
      <c r="A32" s="3249" t="s">
        <v>674</v>
      </c>
      <c r="B32" s="3250"/>
      <c r="C32" s="1524" t="s">
        <v>1016</v>
      </c>
      <c r="D32" s="509" t="s">
        <v>21</v>
      </c>
      <c r="E32" s="510">
        <f t="shared" ref="E32:J32" si="1">E16+E20+E24+E28</f>
        <v>380871.79487179487</v>
      </c>
      <c r="F32" s="510">
        <f t="shared" si="1"/>
        <v>333269</v>
      </c>
      <c r="G32" s="511">
        <f t="shared" si="1"/>
        <v>26940.5</v>
      </c>
      <c r="H32" s="511">
        <f t="shared" si="1"/>
        <v>11140.5</v>
      </c>
      <c r="I32" s="512">
        <f t="shared" si="1"/>
        <v>371350</v>
      </c>
      <c r="J32" s="513">
        <f t="shared" si="1"/>
        <v>29.5</v>
      </c>
      <c r="K32" s="514">
        <f>I32/J32</f>
        <v>12588.135593220339</v>
      </c>
      <c r="L32" s="515"/>
      <c r="M32" s="516"/>
      <c r="N32" s="516"/>
      <c r="O32" s="517"/>
    </row>
    <row r="33" spans="1:16" s="1" customFormat="1" ht="26.25" customHeight="1" x14ac:dyDescent="0.2">
      <c r="A33" s="3251"/>
      <c r="B33" s="3252"/>
      <c r="C33" s="1573" t="s">
        <v>1016</v>
      </c>
      <c r="D33" s="509" t="s">
        <v>22</v>
      </c>
      <c r="E33" s="511"/>
      <c r="F33" s="518">
        <f>F32/$I$32*100</f>
        <v>89.745253803689238</v>
      </c>
      <c r="G33" s="518">
        <f>G32/$I$32*100</f>
        <v>7.2547461963107587</v>
      </c>
      <c r="H33" s="518">
        <f>H32/$I$32*100</f>
        <v>3</v>
      </c>
      <c r="I33" s="519">
        <f>SUM(F33:H33)</f>
        <v>100</v>
      </c>
      <c r="J33" s="520"/>
      <c r="K33" s="521"/>
      <c r="L33" s="522">
        <v>97.5</v>
      </c>
      <c r="M33" s="1547">
        <v>2.5</v>
      </c>
      <c r="N33" s="1547"/>
      <c r="O33" s="523">
        <f>(O17+O21+O25+O29)/4</f>
        <v>85</v>
      </c>
    </row>
    <row r="34" spans="1:16" s="1" customFormat="1" ht="31" customHeight="1" x14ac:dyDescent="0.2">
      <c r="A34" s="3251"/>
      <c r="B34" s="3253"/>
      <c r="C34" s="1524" t="s">
        <v>1017</v>
      </c>
      <c r="D34" s="509" t="s">
        <v>21</v>
      </c>
      <c r="E34" s="510">
        <f t="shared" ref="E34:J34" si="2">E18+E22+E26+E30</f>
        <v>384651</v>
      </c>
      <c r="F34" s="510">
        <f t="shared" si="2"/>
        <v>341700.8</v>
      </c>
      <c r="G34" s="511">
        <f t="shared" si="2"/>
        <v>135.68</v>
      </c>
      <c r="H34" s="511">
        <f t="shared" si="2"/>
        <v>35108.460000000006</v>
      </c>
      <c r="I34" s="512">
        <f t="shared" si="2"/>
        <v>376944.94</v>
      </c>
      <c r="J34" s="513">
        <f t="shared" si="2"/>
        <v>29.5</v>
      </c>
      <c r="K34" s="514">
        <f>+I34/J34</f>
        <v>12777.794576271186</v>
      </c>
      <c r="L34" s="524"/>
      <c r="M34" s="508"/>
      <c r="N34" s="508"/>
      <c r="O34" s="517"/>
    </row>
    <row r="35" spans="1:16" s="1" customFormat="1" ht="26.25" customHeight="1" thickBot="1" x14ac:dyDescent="0.25">
      <c r="A35" s="3251"/>
      <c r="B35" s="3253"/>
      <c r="C35" s="1573" t="s">
        <v>1017</v>
      </c>
      <c r="D35" s="525" t="s">
        <v>22</v>
      </c>
      <c r="E35" s="607"/>
      <c r="F35" s="608">
        <f>+F34/$I$34*100</f>
        <v>90.650056212453734</v>
      </c>
      <c r="G35" s="608">
        <f>+G34/$I$34*100</f>
        <v>3.59946468574429E-2</v>
      </c>
      <c r="H35" s="608">
        <f>+H34/$I$34*100</f>
        <v>9.3139491406888251</v>
      </c>
      <c r="I35" s="609">
        <f>SUM(F35:H35)</f>
        <v>100</v>
      </c>
      <c r="J35" s="610"/>
      <c r="K35" s="611"/>
      <c r="L35" s="612">
        <f>+I34/E34*100</f>
        <v>97.996609913921972</v>
      </c>
      <c r="M35" s="1576">
        <f>100-L35</f>
        <v>2.0033900860780278</v>
      </c>
      <c r="N35" s="1576"/>
      <c r="O35" s="613">
        <f>(O18+O23+O27+O31)/4</f>
        <v>177.64249999999998</v>
      </c>
    </row>
    <row r="36" spans="1:16" s="1" customFormat="1" ht="26.25" customHeight="1" x14ac:dyDescent="0.2">
      <c r="A36" s="3251"/>
      <c r="B36" s="3253"/>
      <c r="C36" s="1570" t="s">
        <v>83</v>
      </c>
      <c r="D36" s="606" t="s">
        <v>21</v>
      </c>
      <c r="E36" s="622">
        <f>E34-E32</f>
        <v>3779.2051282051252</v>
      </c>
      <c r="F36" s="622">
        <f t="shared" ref="F36:K37" si="3">F34-F32</f>
        <v>8431.7999999999884</v>
      </c>
      <c r="G36" s="622">
        <f t="shared" si="3"/>
        <v>-26804.82</v>
      </c>
      <c r="H36" s="622">
        <f t="shared" si="3"/>
        <v>23967.960000000006</v>
      </c>
      <c r="I36" s="622">
        <f t="shared" si="3"/>
        <v>5594.9400000000023</v>
      </c>
      <c r="J36" s="622">
        <f t="shared" si="3"/>
        <v>0</v>
      </c>
      <c r="K36" s="622">
        <f t="shared" si="3"/>
        <v>189.65898305084738</v>
      </c>
      <c r="L36" s="603"/>
      <c r="M36" s="604"/>
      <c r="N36" s="604"/>
      <c r="O36" s="623"/>
    </row>
    <row r="37" spans="1:16" s="1" customFormat="1" ht="26.25" customHeight="1" thickBot="1" x14ac:dyDescent="0.25">
      <c r="A37" s="3251"/>
      <c r="B37" s="3253"/>
      <c r="C37" s="1574" t="s">
        <v>83</v>
      </c>
      <c r="D37" s="599" t="s">
        <v>22</v>
      </c>
      <c r="E37" s="622"/>
      <c r="F37" s="600">
        <f>F35-F33</f>
        <v>0.90480240876449614</v>
      </c>
      <c r="G37" s="600">
        <f t="shared" si="3"/>
        <v>-7.2187515494533159</v>
      </c>
      <c r="H37" s="600">
        <f t="shared" si="3"/>
        <v>6.3139491406888251</v>
      </c>
      <c r="I37" s="600">
        <f t="shared" si="3"/>
        <v>0</v>
      </c>
      <c r="J37" s="601"/>
      <c r="K37" s="602"/>
      <c r="L37" s="603"/>
      <c r="M37" s="604"/>
      <c r="N37" s="604"/>
      <c r="O37" s="605"/>
    </row>
    <row r="38" spans="1:16" s="1" customFormat="1" ht="38" customHeight="1" x14ac:dyDescent="0.2">
      <c r="A38" s="3141" t="s">
        <v>28</v>
      </c>
      <c r="B38" s="3142"/>
      <c r="C38" s="1529" t="s">
        <v>1018</v>
      </c>
      <c r="D38" s="29" t="s">
        <v>21</v>
      </c>
      <c r="E38" s="614">
        <f t="shared" ref="E38:J38" si="4">E9+E32</f>
        <v>475210.25687179487</v>
      </c>
      <c r="F38" s="614">
        <f t="shared" si="4"/>
        <v>415131.2</v>
      </c>
      <c r="G38" s="615">
        <f t="shared" si="4"/>
        <v>32459.3</v>
      </c>
      <c r="H38" s="615">
        <f t="shared" si="4"/>
        <v>15739.5</v>
      </c>
      <c r="I38" s="616">
        <f t="shared" si="4"/>
        <v>463330</v>
      </c>
      <c r="J38" s="617">
        <f t="shared" si="4"/>
        <v>36.5</v>
      </c>
      <c r="K38" s="618">
        <f>+I38/J38</f>
        <v>12693.972602739726</v>
      </c>
      <c r="L38" s="619"/>
      <c r="M38" s="620"/>
      <c r="N38" s="620"/>
      <c r="O38" s="621"/>
    </row>
    <row r="39" spans="1:16" s="1" customFormat="1" ht="38" customHeight="1" x14ac:dyDescent="0.2">
      <c r="A39" s="3143"/>
      <c r="B39" s="3144"/>
      <c r="C39" s="1575" t="s">
        <v>1018</v>
      </c>
      <c r="D39" s="31" t="s">
        <v>22</v>
      </c>
      <c r="E39" s="32"/>
      <c r="F39" s="33">
        <f>+F38/I38*100</f>
        <v>89.597306455442123</v>
      </c>
      <c r="G39" s="33">
        <f>+G38/I38*100</f>
        <v>7.00565471694041</v>
      </c>
      <c r="H39" s="33">
        <f>+H38/I38*100</f>
        <v>3.397038827617465</v>
      </c>
      <c r="I39" s="397">
        <v>100</v>
      </c>
      <c r="J39" s="436"/>
      <c r="K39" s="358"/>
      <c r="L39" s="366">
        <f>+I38/E38*100</f>
        <v>97.499999905305074</v>
      </c>
      <c r="M39" s="1553">
        <f>100-L39</f>
        <v>2.5000000946949257</v>
      </c>
      <c r="N39" s="1553"/>
      <c r="O39" s="346">
        <f>O33+O10</f>
        <v>85</v>
      </c>
    </row>
    <row r="40" spans="1:16" s="1" customFormat="1" ht="38" customHeight="1" x14ac:dyDescent="0.2">
      <c r="A40" s="3143"/>
      <c r="B40" s="3145"/>
      <c r="C40" s="1529" t="s">
        <v>1019</v>
      </c>
      <c r="D40" s="31" t="s">
        <v>21</v>
      </c>
      <c r="E40" s="419">
        <f t="shared" ref="E40:J40" si="5">E11+E34</f>
        <v>491696</v>
      </c>
      <c r="F40" s="419">
        <f t="shared" si="5"/>
        <v>432849.91999999998</v>
      </c>
      <c r="G40" s="34">
        <f t="shared" si="5"/>
        <v>5983.52</v>
      </c>
      <c r="H40" s="34">
        <f t="shared" si="5"/>
        <v>40913.100000000006</v>
      </c>
      <c r="I40" s="420">
        <f t="shared" si="5"/>
        <v>479746.54</v>
      </c>
      <c r="J40" s="437">
        <f t="shared" si="5"/>
        <v>36.1</v>
      </c>
      <c r="K40" s="359">
        <f>I40/J40</f>
        <v>13289.377839335179</v>
      </c>
      <c r="L40" s="367"/>
      <c r="M40" s="35"/>
      <c r="N40" s="35"/>
      <c r="O40" s="346"/>
    </row>
    <row r="41" spans="1:16" s="1" customFormat="1" ht="38" customHeight="1" x14ac:dyDescent="0.2">
      <c r="A41" s="3143"/>
      <c r="B41" s="3145"/>
      <c r="C41" s="1575" t="s">
        <v>1020</v>
      </c>
      <c r="D41" s="31" t="s">
        <v>22</v>
      </c>
      <c r="E41" s="32"/>
      <c r="F41" s="33">
        <f>F40/$I$40*100</f>
        <v>90.224709072419785</v>
      </c>
      <c r="G41" s="33">
        <f>G40/$I$40*100</f>
        <v>1.2472252535682697</v>
      </c>
      <c r="H41" s="33">
        <f>H40/$I$40*100</f>
        <v>8.5280656740119483</v>
      </c>
      <c r="I41" s="397">
        <f>SUM(F41:H41)</f>
        <v>100</v>
      </c>
      <c r="J41" s="436"/>
      <c r="K41" s="358"/>
      <c r="L41" s="366">
        <f>I40/E40*100</f>
        <v>97.569746347336562</v>
      </c>
      <c r="M41" s="1553">
        <f>100-L41</f>
        <v>2.4302536526634384</v>
      </c>
      <c r="N41" s="1553"/>
      <c r="O41" s="346">
        <f>O11+O35</f>
        <v>213.64249999999998</v>
      </c>
    </row>
    <row r="42" spans="1:16" s="1" customFormat="1" ht="38" customHeight="1" x14ac:dyDescent="0.2">
      <c r="A42" s="3143"/>
      <c r="B42" s="3145"/>
      <c r="C42" s="1529" t="s">
        <v>83</v>
      </c>
      <c r="D42" s="31" t="s">
        <v>21</v>
      </c>
      <c r="E42" s="32">
        <f>E40-E38</f>
        <v>16485.743128205126</v>
      </c>
      <c r="F42" s="32">
        <f t="shared" ref="F42:K43" si="6">F40-F38</f>
        <v>17718.719999999972</v>
      </c>
      <c r="G42" s="32">
        <f t="shared" si="6"/>
        <v>-26475.78</v>
      </c>
      <c r="H42" s="32">
        <f t="shared" si="6"/>
        <v>25173.600000000006</v>
      </c>
      <c r="I42" s="32">
        <f t="shared" si="6"/>
        <v>16416.539999999979</v>
      </c>
      <c r="J42" s="32">
        <f t="shared" si="6"/>
        <v>-0.39999999999999858</v>
      </c>
      <c r="K42" s="32">
        <f t="shared" si="6"/>
        <v>595.40523659545215</v>
      </c>
      <c r="L42" s="368"/>
      <c r="M42" s="36"/>
      <c r="N42" s="36"/>
      <c r="O42" s="346"/>
    </row>
    <row r="43" spans="1:16" s="1" customFormat="1" ht="38" customHeight="1" thickBot="1" x14ac:dyDescent="0.25">
      <c r="A43" s="3146"/>
      <c r="B43" s="3147"/>
      <c r="C43" s="1575" t="s">
        <v>30</v>
      </c>
      <c r="D43" s="38" t="s">
        <v>22</v>
      </c>
      <c r="E43" s="39"/>
      <c r="F43" s="40">
        <f>F41-F39</f>
        <v>0.62740261697766186</v>
      </c>
      <c r="G43" s="40">
        <f t="shared" si="6"/>
        <v>-5.7584294633721402</v>
      </c>
      <c r="H43" s="40">
        <f t="shared" si="6"/>
        <v>5.1310268463944837</v>
      </c>
      <c r="I43" s="398"/>
      <c r="J43" s="438"/>
      <c r="K43" s="351"/>
      <c r="L43" s="369"/>
      <c r="M43" s="1577"/>
      <c r="N43" s="1577"/>
      <c r="O43" s="347"/>
    </row>
    <row r="44" spans="1:16" s="1" customFormat="1" ht="26" customHeight="1" x14ac:dyDescent="0.2">
      <c r="A44" s="2941" t="s">
        <v>32</v>
      </c>
      <c r="B44" s="2941"/>
      <c r="C44" s="2941"/>
      <c r="D44" s="2941"/>
      <c r="E44" s="2941"/>
      <c r="F44" s="2941"/>
      <c r="G44" s="2941"/>
      <c r="H44" s="2941"/>
      <c r="I44" s="2941"/>
      <c r="J44" s="2941"/>
      <c r="K44" s="2941"/>
      <c r="L44" s="2941"/>
      <c r="M44" s="2941"/>
      <c r="N44" s="2941"/>
    </row>
    <row r="45" spans="1:16" s="1" customFormat="1" ht="39" customHeight="1" x14ac:dyDescent="0.2">
      <c r="A45" s="2663" t="s">
        <v>483</v>
      </c>
      <c r="B45" s="2663"/>
      <c r="C45" s="2663"/>
      <c r="D45" s="2663"/>
      <c r="E45" s="2663"/>
      <c r="F45" s="2663"/>
      <c r="G45" s="2663"/>
      <c r="H45" s="2663"/>
      <c r="I45" s="2663"/>
      <c r="J45" s="2663"/>
      <c r="K45" s="2663"/>
      <c r="L45" s="2663"/>
      <c r="M45" s="2663"/>
      <c r="N45" s="2663"/>
    </row>
    <row r="46" spans="1:16" s="1" customFormat="1" ht="26" customHeight="1" x14ac:dyDescent="0.2">
      <c r="A46" s="42" t="s">
        <v>400</v>
      </c>
      <c r="B46" s="41"/>
      <c r="C46" s="41"/>
      <c r="D46" s="41"/>
      <c r="E46" s="41"/>
      <c r="F46" s="41"/>
      <c r="G46" s="41"/>
      <c r="H46" s="399"/>
      <c r="I46" s="439"/>
      <c r="J46" s="41"/>
      <c r="K46" s="41"/>
      <c r="L46" s="41"/>
      <c r="M46" s="41"/>
      <c r="N46" s="41"/>
    </row>
    <row r="47" spans="1:16" s="1" customFormat="1" ht="26" customHeight="1" x14ac:dyDescent="0.2">
      <c r="A47" s="2665" t="s">
        <v>34</v>
      </c>
      <c r="B47" s="2665" t="s">
        <v>135</v>
      </c>
      <c r="C47" s="2551" t="s">
        <v>6</v>
      </c>
      <c r="D47" s="2551" t="s">
        <v>105</v>
      </c>
      <c r="E47" s="2551" t="s">
        <v>17</v>
      </c>
      <c r="F47" s="3308" t="s">
        <v>106</v>
      </c>
      <c r="G47" s="2577"/>
      <c r="H47" s="2577"/>
      <c r="I47" s="2578"/>
      <c r="J47" s="390" t="s">
        <v>107</v>
      </c>
      <c r="K47" s="2566" t="s">
        <v>47</v>
      </c>
      <c r="L47"/>
      <c r="M47"/>
      <c r="N47"/>
      <c r="O47"/>
      <c r="P47"/>
    </row>
    <row r="48" spans="1:16" s="1" customFormat="1" ht="31" customHeight="1" x14ac:dyDescent="0.2">
      <c r="A48" s="3223"/>
      <c r="B48" s="3223"/>
      <c r="C48" s="2551"/>
      <c r="D48" s="2551"/>
      <c r="E48" s="2551"/>
      <c r="F48" s="200" t="s">
        <v>18</v>
      </c>
      <c r="G48" s="202" t="s">
        <v>19</v>
      </c>
      <c r="H48" s="202" t="s">
        <v>20</v>
      </c>
      <c r="I48" s="202" t="s">
        <v>108</v>
      </c>
      <c r="J48" s="390" t="s">
        <v>22</v>
      </c>
      <c r="K48" s="2567"/>
      <c r="L48"/>
      <c r="M48"/>
      <c r="N48"/>
      <c r="O48"/>
      <c r="P48"/>
    </row>
    <row r="49" spans="1:18" s="1" customFormat="1" ht="26" customHeight="1" x14ac:dyDescent="0.2">
      <c r="A49" s="1593" t="s">
        <v>5</v>
      </c>
      <c r="B49" s="1593" t="s">
        <v>139</v>
      </c>
      <c r="C49" s="1593" t="s">
        <v>115</v>
      </c>
      <c r="D49" s="1640" t="s">
        <v>120</v>
      </c>
      <c r="E49" s="190" t="s">
        <v>21</v>
      </c>
      <c r="F49" s="851">
        <v>76659.839999999997</v>
      </c>
      <c r="G49" s="851">
        <v>5675.04</v>
      </c>
      <c r="H49" s="851">
        <v>4896</v>
      </c>
      <c r="I49" s="852">
        <f t="shared" ref="I49:I58" si="7">SUM(F49:H49)</f>
        <v>87230.87999999999</v>
      </c>
      <c r="J49" s="413"/>
      <c r="K49" s="1014"/>
      <c r="L49"/>
      <c r="M49"/>
      <c r="N49"/>
      <c r="O49"/>
      <c r="P49"/>
    </row>
    <row r="50" spans="1:18" s="1" customFormat="1" ht="26" customHeight="1" x14ac:dyDescent="0.2">
      <c r="A50" s="1568" t="s">
        <v>5</v>
      </c>
      <c r="B50" s="1568" t="s">
        <v>139</v>
      </c>
      <c r="C50" s="1568" t="s">
        <v>115</v>
      </c>
      <c r="D50" s="1642" t="s">
        <v>120</v>
      </c>
      <c r="E50" s="129" t="s">
        <v>22</v>
      </c>
      <c r="F50" s="213">
        <f>F49/$I$49*100</f>
        <v>87.881539198045459</v>
      </c>
      <c r="G50" s="213">
        <f>G49/$I$49*100</f>
        <v>6.5057695164831548</v>
      </c>
      <c r="H50" s="213">
        <f>H49/$I$49*100</f>
        <v>5.6126912854713842</v>
      </c>
      <c r="I50" s="204">
        <f t="shared" si="7"/>
        <v>100</v>
      </c>
      <c r="J50" s="854">
        <f>I49/$I$57*100</f>
        <v>84.853620955315861</v>
      </c>
      <c r="K50" s="1014"/>
      <c r="L50"/>
      <c r="M50"/>
      <c r="N50"/>
      <c r="O50"/>
      <c r="P50"/>
    </row>
    <row r="51" spans="1:18" s="1" customFormat="1" ht="26" customHeight="1" x14ac:dyDescent="0.2">
      <c r="A51" s="1568" t="s">
        <v>5</v>
      </c>
      <c r="B51" s="1568" t="s">
        <v>139</v>
      </c>
      <c r="C51" s="1568" t="s">
        <v>115</v>
      </c>
      <c r="D51" s="1640" t="s">
        <v>125</v>
      </c>
      <c r="E51" s="129" t="s">
        <v>21</v>
      </c>
      <c r="F51" s="835">
        <v>5196.96</v>
      </c>
      <c r="G51" s="835">
        <v>0</v>
      </c>
      <c r="H51" s="835">
        <v>440.64</v>
      </c>
      <c r="I51" s="833">
        <f t="shared" si="7"/>
        <v>5637.6</v>
      </c>
      <c r="J51" s="854"/>
      <c r="K51" s="1014"/>
      <c r="L51"/>
      <c r="M51"/>
      <c r="N51"/>
      <c r="O51"/>
      <c r="P51"/>
    </row>
    <row r="52" spans="1:18" s="1" customFormat="1" ht="26" customHeight="1" x14ac:dyDescent="0.2">
      <c r="A52" s="1567" t="s">
        <v>5</v>
      </c>
      <c r="B52" s="1567" t="s">
        <v>139</v>
      </c>
      <c r="C52" s="1567" t="s">
        <v>115</v>
      </c>
      <c r="D52" s="1642" t="s">
        <v>125</v>
      </c>
      <c r="E52" s="129" t="s">
        <v>22</v>
      </c>
      <c r="F52" s="207">
        <f>F51/$I$51*100</f>
        <v>92.183908045977006</v>
      </c>
      <c r="G52" s="207">
        <f>G51/$I$51*100</f>
        <v>0</v>
      </c>
      <c r="H52" s="207">
        <f>H51/$I$51*100</f>
        <v>7.8160919540229887</v>
      </c>
      <c r="I52" s="204">
        <f t="shared" si="7"/>
        <v>100</v>
      </c>
      <c r="J52" s="854">
        <f>I51/$I$57*100</f>
        <v>5.4839613391231268</v>
      </c>
      <c r="K52" s="1014"/>
      <c r="L52"/>
      <c r="M52"/>
      <c r="N52"/>
      <c r="O52"/>
      <c r="P52"/>
    </row>
    <row r="53" spans="1:18" s="1" customFormat="1" ht="26" customHeight="1" x14ac:dyDescent="0.2">
      <c r="A53" s="1568" t="s">
        <v>5</v>
      </c>
      <c r="B53" s="1568" t="s">
        <v>139</v>
      </c>
      <c r="C53" s="1568" t="s">
        <v>115</v>
      </c>
      <c r="D53" s="1640" t="s">
        <v>114</v>
      </c>
      <c r="E53" s="129" t="s">
        <v>21</v>
      </c>
      <c r="F53" s="835">
        <v>1958.4</v>
      </c>
      <c r="G53" s="835">
        <v>0</v>
      </c>
      <c r="H53" s="835">
        <v>175.68</v>
      </c>
      <c r="I53" s="833">
        <f t="shared" si="7"/>
        <v>2134.08</v>
      </c>
      <c r="J53" s="854"/>
      <c r="K53" s="1014"/>
      <c r="L53"/>
      <c r="M53"/>
      <c r="N53"/>
      <c r="O53"/>
      <c r="P53"/>
    </row>
    <row r="54" spans="1:18" s="1" customFormat="1" ht="26" customHeight="1" x14ac:dyDescent="0.2">
      <c r="A54" s="1568" t="s">
        <v>5</v>
      </c>
      <c r="B54" s="1568" t="s">
        <v>139</v>
      </c>
      <c r="C54" s="1568" t="s">
        <v>115</v>
      </c>
      <c r="D54" s="1642" t="s">
        <v>114</v>
      </c>
      <c r="E54" s="129" t="s">
        <v>22</v>
      </c>
      <c r="F54" s="207">
        <f>F53/$I$53*100</f>
        <v>91.767881241565462</v>
      </c>
      <c r="G54" s="207">
        <f>G53/$I$53*100</f>
        <v>0</v>
      </c>
      <c r="H54" s="207">
        <f>H53/$I$53*100</f>
        <v>8.2321187584345488</v>
      </c>
      <c r="I54" s="204">
        <f t="shared" si="7"/>
        <v>100.00000000000001</v>
      </c>
      <c r="J54" s="854">
        <f>I53/$I$57*100</f>
        <v>2.0759209973385628</v>
      </c>
      <c r="K54" s="1014"/>
      <c r="L54"/>
      <c r="M54"/>
      <c r="N54"/>
      <c r="O54"/>
      <c r="P54"/>
    </row>
    <row r="55" spans="1:18" s="1" customFormat="1" ht="26" customHeight="1" x14ac:dyDescent="0.2">
      <c r="A55" s="1568" t="s">
        <v>5</v>
      </c>
      <c r="B55" s="1568" t="s">
        <v>139</v>
      </c>
      <c r="C55" s="1568" t="s">
        <v>115</v>
      </c>
      <c r="D55" s="1640" t="s">
        <v>129</v>
      </c>
      <c r="E55" s="129" t="s">
        <v>21</v>
      </c>
      <c r="F55" s="835">
        <v>7333.92</v>
      </c>
      <c r="G55" s="835">
        <v>172.8</v>
      </c>
      <c r="H55" s="835">
        <v>292.32</v>
      </c>
      <c r="I55" s="833">
        <f t="shared" si="7"/>
        <v>7799.04</v>
      </c>
      <c r="J55" s="854"/>
      <c r="K55" s="1014"/>
      <c r="L55"/>
      <c r="M55"/>
      <c r="N55"/>
      <c r="O55"/>
      <c r="P55"/>
    </row>
    <row r="56" spans="1:18" s="1" customFormat="1" ht="26" customHeight="1" x14ac:dyDescent="0.2">
      <c r="A56" s="1584" t="s">
        <v>5</v>
      </c>
      <c r="B56" s="1584" t="s">
        <v>139</v>
      </c>
      <c r="C56" s="1584" t="s">
        <v>115</v>
      </c>
      <c r="D56" s="1642" t="s">
        <v>129</v>
      </c>
      <c r="E56" s="129" t="s">
        <v>22</v>
      </c>
      <c r="F56" s="207">
        <f>F55/$I$55*100</f>
        <v>94.036189069423926</v>
      </c>
      <c r="G56" s="207">
        <f>G55/$I$55*100</f>
        <v>2.2156573116691289</v>
      </c>
      <c r="H56" s="207">
        <f>H55/$I$55*100</f>
        <v>3.7481536189069424</v>
      </c>
      <c r="I56" s="204">
        <f t="shared" si="7"/>
        <v>100</v>
      </c>
      <c r="J56" s="854">
        <f>I55/$I$57*100</f>
        <v>7.586496708222441</v>
      </c>
      <c r="K56" s="1014"/>
      <c r="L56"/>
      <c r="M56"/>
      <c r="N56"/>
      <c r="O56"/>
      <c r="P56"/>
    </row>
    <row r="57" spans="1:18" s="1" customFormat="1" ht="26" customHeight="1" x14ac:dyDescent="0.2">
      <c r="A57" s="3268" t="s">
        <v>1026</v>
      </c>
      <c r="B57" s="3269"/>
      <c r="C57" s="3269"/>
      <c r="D57" s="3270"/>
      <c r="E57" s="414" t="s">
        <v>21</v>
      </c>
      <c r="F57" s="832">
        <f>F49+F51+F53+F55</f>
        <v>91149.119999999995</v>
      </c>
      <c r="G57" s="832">
        <f>G49+G51+G53+G55</f>
        <v>5847.84</v>
      </c>
      <c r="H57" s="832">
        <f>H49+H51+H53+H55</f>
        <v>5804.64</v>
      </c>
      <c r="I57" s="832">
        <f t="shared" si="7"/>
        <v>102801.59999999999</v>
      </c>
      <c r="J57" s="416"/>
      <c r="K57" s="1668"/>
      <c r="L57"/>
      <c r="M57"/>
      <c r="N57"/>
      <c r="O57"/>
      <c r="P57"/>
    </row>
    <row r="58" spans="1:18" s="1" customFormat="1" ht="26" customHeight="1" x14ac:dyDescent="0.2">
      <c r="A58" s="3271"/>
      <c r="B58" s="3272"/>
      <c r="C58" s="3272"/>
      <c r="D58" s="3273"/>
      <c r="E58" s="414" t="s">
        <v>22</v>
      </c>
      <c r="F58" s="718">
        <f>F57/$I$57*100</f>
        <v>88.665079142737085</v>
      </c>
      <c r="G58" s="718">
        <f>G57/$I$57*100</f>
        <v>5.6884717747583702</v>
      </c>
      <c r="H58" s="718">
        <f>H57/$I$57*100</f>
        <v>5.646449082504553</v>
      </c>
      <c r="I58" s="718">
        <f t="shared" si="7"/>
        <v>100</v>
      </c>
      <c r="J58" s="719">
        <f>SUM(J50:J56)</f>
        <v>99.999999999999986</v>
      </c>
      <c r="K58" s="1668"/>
      <c r="L58"/>
      <c r="M58"/>
      <c r="N58"/>
      <c r="O58"/>
      <c r="P58"/>
    </row>
    <row r="59" spans="1:18" s="1" customFormat="1" ht="26" customHeight="1" x14ac:dyDescent="0.2">
      <c r="A59"/>
      <c r="B59"/>
      <c r="C59"/>
      <c r="D59"/>
      <c r="E59"/>
      <c r="F59"/>
      <c r="G59"/>
      <c r="H59" s="400"/>
      <c r="I59" s="440"/>
      <c r="J59"/>
      <c r="K59" s="41"/>
      <c r="L59" s="41"/>
      <c r="M59" s="41"/>
      <c r="N59" s="41"/>
    </row>
    <row r="60" spans="1:18" s="1" customFormat="1" ht="26" customHeight="1" x14ac:dyDescent="0.2">
      <c r="A60" s="3266" t="s">
        <v>401</v>
      </c>
      <c r="B60" s="3267"/>
      <c r="C60" s="3267"/>
      <c r="D60" s="3267"/>
      <c r="E60" s="3267"/>
      <c r="F60" s="3267"/>
      <c r="G60" s="3267"/>
      <c r="H60" s="3267"/>
      <c r="I60" s="3267"/>
      <c r="J60" s="3315"/>
      <c r="K60" s="3315"/>
      <c r="L60" s="3315"/>
      <c r="M60" s="3315"/>
      <c r="N60" s="41"/>
    </row>
    <row r="61" spans="1:18" s="1" customFormat="1" ht="36" customHeight="1" x14ac:dyDescent="0.2">
      <c r="A61" s="238" t="s">
        <v>39</v>
      </c>
      <c r="B61" s="1724" t="s">
        <v>34</v>
      </c>
      <c r="C61" s="241" t="s">
        <v>6</v>
      </c>
      <c r="D61" s="1712" t="s">
        <v>148</v>
      </c>
      <c r="E61" s="1689"/>
      <c r="F61" s="239" t="s">
        <v>17</v>
      </c>
      <c r="G61" s="240" t="s">
        <v>149</v>
      </c>
      <c r="H61" s="240" t="s">
        <v>150</v>
      </c>
      <c r="I61" s="241" t="s">
        <v>151</v>
      </c>
      <c r="J61" s="392" t="s">
        <v>1029</v>
      </c>
      <c r="K61" s="242" t="s">
        <v>1030</v>
      </c>
      <c r="L61" s="3316" t="s">
        <v>47</v>
      </c>
      <c r="M61" s="3052"/>
      <c r="N61" s="3052"/>
      <c r="O61" s="3052"/>
      <c r="P61" s="3053"/>
    </row>
    <row r="62" spans="1:18" s="1" customFormat="1" ht="26" customHeight="1" x14ac:dyDescent="0.2">
      <c r="A62" s="1530">
        <v>1</v>
      </c>
      <c r="B62" s="1593" t="s">
        <v>5</v>
      </c>
      <c r="C62" s="1593" t="s">
        <v>115</v>
      </c>
      <c r="D62" s="1723" t="s">
        <v>163</v>
      </c>
      <c r="E62" s="1721"/>
      <c r="F62" s="243" t="s">
        <v>164</v>
      </c>
      <c r="G62" s="250">
        <v>18.760000000000002</v>
      </c>
      <c r="H62" s="1929">
        <f>I62/N62</f>
        <v>18.761361690868625</v>
      </c>
      <c r="I62" s="1255">
        <v>1928698</v>
      </c>
      <c r="J62" s="285"/>
      <c r="K62" s="1930">
        <f>(H62-G62)*N62</f>
        <v>139.9839999999175</v>
      </c>
      <c r="L62" s="3317" t="s">
        <v>165</v>
      </c>
      <c r="M62" s="3318"/>
      <c r="N62" s="3320">
        <f>I57</f>
        <v>102801.59999999999</v>
      </c>
      <c r="O62" s="3321"/>
      <c r="P62" s="3322"/>
      <c r="R62" s="78"/>
    </row>
    <row r="63" spans="1:18" s="1" customFormat="1" ht="26" customHeight="1" x14ac:dyDescent="0.2">
      <c r="A63" s="1530">
        <v>3</v>
      </c>
      <c r="B63" s="1568" t="s">
        <v>5</v>
      </c>
      <c r="C63" s="1568" t="s">
        <v>115</v>
      </c>
      <c r="D63" s="1723" t="s">
        <v>168</v>
      </c>
      <c r="E63" s="1721"/>
      <c r="F63" s="243" t="s">
        <v>169</v>
      </c>
      <c r="G63" s="247">
        <v>0.48599999999999999</v>
      </c>
      <c r="H63" s="247">
        <f>I63/N62</f>
        <v>0.48598465393534734</v>
      </c>
      <c r="I63" s="245">
        <v>49960</v>
      </c>
      <c r="J63" s="401"/>
      <c r="K63" s="284"/>
      <c r="L63" s="3319" t="s">
        <v>174</v>
      </c>
      <c r="M63" s="2672"/>
      <c r="N63" s="3323">
        <f>N62+M11</f>
        <v>103451.04</v>
      </c>
      <c r="O63" s="3324"/>
      <c r="P63" s="3325"/>
    </row>
    <row r="64" spans="1:18" s="1" customFormat="1" ht="26" customHeight="1" x14ac:dyDescent="0.2">
      <c r="A64" s="1530">
        <v>4</v>
      </c>
      <c r="B64" s="1568" t="s">
        <v>5</v>
      </c>
      <c r="C64" s="1568" t="s">
        <v>115</v>
      </c>
      <c r="D64" s="1723" t="s">
        <v>171</v>
      </c>
      <c r="E64" s="1721"/>
      <c r="F64" s="243" t="s">
        <v>164</v>
      </c>
      <c r="G64" s="248">
        <v>0.38300000000000001</v>
      </c>
      <c r="H64" s="247"/>
      <c r="I64" s="245"/>
      <c r="J64" s="401"/>
      <c r="K64" s="720"/>
      <c r="L64" s="3316"/>
      <c r="M64" s="3052"/>
      <c r="N64" s="3052"/>
      <c r="O64" s="3052"/>
      <c r="P64" s="3053"/>
    </row>
    <row r="65" spans="1:18" s="1" customFormat="1" ht="26" customHeight="1" x14ac:dyDescent="0.2">
      <c r="A65" s="1530">
        <v>5</v>
      </c>
      <c r="B65" s="1568" t="s">
        <v>5</v>
      </c>
      <c r="C65" s="1568" t="s">
        <v>115</v>
      </c>
      <c r="D65" s="1723" t="s">
        <v>173</v>
      </c>
      <c r="E65" s="1721"/>
      <c r="F65" s="243" t="s">
        <v>164</v>
      </c>
      <c r="G65" s="247">
        <v>0.624</v>
      </c>
      <c r="H65" s="247"/>
      <c r="I65" s="245"/>
      <c r="J65" s="401"/>
      <c r="K65" s="721"/>
      <c r="L65" s="3316"/>
      <c r="M65" s="3052"/>
      <c r="N65" s="3052"/>
      <c r="O65" s="3052"/>
      <c r="P65" s="3053"/>
    </row>
    <row r="66" spans="1:18" s="1" customFormat="1" ht="26" customHeight="1" x14ac:dyDescent="0.2">
      <c r="A66" s="1530">
        <v>6</v>
      </c>
      <c r="B66" s="1568" t="s">
        <v>5</v>
      </c>
      <c r="C66" s="1568" t="s">
        <v>115</v>
      </c>
      <c r="D66" s="1723" t="s">
        <v>175</v>
      </c>
      <c r="E66" s="1721"/>
      <c r="F66" s="243" t="s">
        <v>164</v>
      </c>
      <c r="G66" s="250">
        <v>0.57199999999999995</v>
      </c>
      <c r="H66" s="250">
        <f>I66/N62</f>
        <v>0.57199498840484975</v>
      </c>
      <c r="I66" s="817">
        <v>58802</v>
      </c>
      <c r="J66" s="401"/>
      <c r="K66" s="721"/>
      <c r="L66" s="3316"/>
      <c r="M66" s="3052"/>
      <c r="N66" s="3052"/>
      <c r="O66" s="3052"/>
      <c r="P66" s="3053"/>
    </row>
    <row r="67" spans="1:18" s="1" customFormat="1" ht="26" customHeight="1" x14ac:dyDescent="0.2">
      <c r="A67" s="1530">
        <v>7</v>
      </c>
      <c r="B67" s="1568" t="s">
        <v>5</v>
      </c>
      <c r="C67" s="1568" t="s">
        <v>115</v>
      </c>
      <c r="D67" s="1723" t="s">
        <v>130</v>
      </c>
      <c r="E67" s="1721"/>
      <c r="F67" s="243" t="s">
        <v>164</v>
      </c>
      <c r="G67" s="247">
        <v>0.43</v>
      </c>
      <c r="H67" s="247"/>
      <c r="I67" s="245"/>
      <c r="J67" s="402"/>
      <c r="K67" s="721"/>
      <c r="L67" s="3316"/>
      <c r="M67" s="3052"/>
      <c r="N67" s="3052"/>
      <c r="O67" s="3052"/>
      <c r="P67" s="3053"/>
    </row>
    <row r="68" spans="1:18" s="1" customFormat="1" ht="26" customHeight="1" x14ac:dyDescent="0.2">
      <c r="A68" s="1530">
        <v>8</v>
      </c>
      <c r="B68" s="1568" t="s">
        <v>5</v>
      </c>
      <c r="C68" s="1568" t="s">
        <v>115</v>
      </c>
      <c r="D68" s="1723" t="s">
        <v>176</v>
      </c>
      <c r="E68" s="1721"/>
      <c r="F68" s="243" t="s">
        <v>169</v>
      </c>
      <c r="G68" s="250">
        <v>0.69699999999999995</v>
      </c>
      <c r="H68" s="250">
        <f>+I68/$N$62</f>
        <v>0.69697358795972053</v>
      </c>
      <c r="I68" s="245">
        <v>71650</v>
      </c>
      <c r="J68" s="401">
        <f>-(H68-G68)*$N$62</f>
        <v>2.715199999989041</v>
      </c>
      <c r="K68" s="727">
        <v>0</v>
      </c>
      <c r="L68" s="3316"/>
      <c r="M68" s="3052"/>
      <c r="N68" s="3052"/>
      <c r="O68" s="3052"/>
      <c r="P68" s="3053"/>
    </row>
    <row r="69" spans="1:18" s="1" customFormat="1" ht="26" customHeight="1" x14ac:dyDescent="0.2">
      <c r="A69" s="1530">
        <v>9</v>
      </c>
      <c r="B69" s="1568" t="s">
        <v>5</v>
      </c>
      <c r="C69" s="1568" t="s">
        <v>115</v>
      </c>
      <c r="D69" s="1723" t="s">
        <v>451</v>
      </c>
      <c r="E69" s="1721"/>
      <c r="F69" s="243" t="s">
        <v>164</v>
      </c>
      <c r="G69" s="250">
        <v>3.7100000000000001E-2</v>
      </c>
      <c r="H69" s="250">
        <f>+I69/$N$63</f>
        <v>3.7022344096299085E-2</v>
      </c>
      <c r="I69" s="245">
        <v>3830</v>
      </c>
      <c r="J69" s="401">
        <f>-(H69-G69)*$N$62</f>
        <v>7.983151149900042</v>
      </c>
      <c r="K69" s="728">
        <v>0</v>
      </c>
      <c r="L69" s="3316"/>
      <c r="M69" s="3052"/>
      <c r="N69" s="3052"/>
      <c r="O69" s="3052"/>
      <c r="P69" s="3053"/>
    </row>
    <row r="70" spans="1:18" s="1" customFormat="1" ht="26" customHeight="1" x14ac:dyDescent="0.2">
      <c r="A70" s="1530">
        <v>10</v>
      </c>
      <c r="B70" s="1567" t="s">
        <v>5</v>
      </c>
      <c r="C70" s="1567" t="s">
        <v>115</v>
      </c>
      <c r="D70" s="1723" t="s">
        <v>178</v>
      </c>
      <c r="E70" s="1721"/>
      <c r="F70" s="243" t="s">
        <v>164</v>
      </c>
      <c r="G70" s="250">
        <v>8.2000000000000007E-3</v>
      </c>
      <c r="H70" s="251">
        <f>+I70/$N$63</f>
        <v>8.1478156236998688E-3</v>
      </c>
      <c r="I70" s="817">
        <v>842.9</v>
      </c>
      <c r="J70" s="401"/>
      <c r="K70" s="728"/>
      <c r="L70" s="3316"/>
      <c r="M70" s="3052"/>
      <c r="N70" s="3052"/>
      <c r="O70" s="3052"/>
      <c r="P70" s="3053"/>
    </row>
    <row r="71" spans="1:18" s="1" customFormat="1" ht="26" customHeight="1" x14ac:dyDescent="0.2">
      <c r="A71" s="1530">
        <v>11</v>
      </c>
      <c r="B71" s="1568" t="s">
        <v>5</v>
      </c>
      <c r="C71" s="1568" t="s">
        <v>115</v>
      </c>
      <c r="D71" s="1723" t="s">
        <v>179</v>
      </c>
      <c r="E71" s="1721"/>
      <c r="F71" s="243" t="s">
        <v>164</v>
      </c>
      <c r="G71" s="250">
        <v>4.6100000000000002E-2</v>
      </c>
      <c r="H71" s="250">
        <f>+I71/$N$62</f>
        <v>2.918242517626185E-2</v>
      </c>
      <c r="I71" s="245">
        <v>3000</v>
      </c>
      <c r="J71" s="401">
        <f>-(H71-G71)*$N$62</f>
        <v>1739.1537599999999</v>
      </c>
      <c r="K71" s="728">
        <f t="shared" ref="K71:K76" si="8">--(H71-G71)*N68</f>
        <v>0</v>
      </c>
      <c r="L71" s="3316"/>
      <c r="M71" s="3052"/>
      <c r="N71" s="3052"/>
      <c r="O71" s="3052"/>
      <c r="P71" s="3053"/>
    </row>
    <row r="72" spans="1:18" s="1" customFormat="1" ht="26" customHeight="1" x14ac:dyDescent="0.2">
      <c r="A72" s="1530">
        <v>12</v>
      </c>
      <c r="B72" s="1568" t="s">
        <v>5</v>
      </c>
      <c r="C72" s="1568" t="s">
        <v>115</v>
      </c>
      <c r="D72" s="1723" t="s">
        <v>180</v>
      </c>
      <c r="E72" s="1721"/>
      <c r="F72" s="243" t="s">
        <v>164</v>
      </c>
      <c r="G72" s="251">
        <v>3.0999999999999999E-3</v>
      </c>
      <c r="H72" s="247">
        <f>+I72/$N$62</f>
        <v>0</v>
      </c>
      <c r="I72" s="245">
        <f>AA72</f>
        <v>0</v>
      </c>
      <c r="J72" s="393" t="s">
        <v>142</v>
      </c>
      <c r="K72" s="728">
        <f t="shared" si="8"/>
        <v>0</v>
      </c>
      <c r="L72" s="3316"/>
      <c r="M72" s="3052"/>
      <c r="N72" s="3052"/>
      <c r="O72" s="3052"/>
      <c r="P72" s="3053"/>
    </row>
    <row r="73" spans="1:18" s="1" customFormat="1" ht="26" customHeight="1" x14ac:dyDescent="0.2">
      <c r="A73" s="1530">
        <v>13</v>
      </c>
      <c r="B73" s="1568" t="s">
        <v>5</v>
      </c>
      <c r="C73" s="1568" t="s">
        <v>115</v>
      </c>
      <c r="D73" s="1723" t="s">
        <v>181</v>
      </c>
      <c r="E73" s="1721"/>
      <c r="F73" s="243" t="s">
        <v>164</v>
      </c>
      <c r="G73" s="251">
        <v>3.0899999999999999E-3</v>
      </c>
      <c r="H73" s="247">
        <f>+I73/$N$62</f>
        <v>0</v>
      </c>
      <c r="I73" s="245">
        <f>AA73</f>
        <v>0</v>
      </c>
      <c r="J73" s="393" t="s">
        <v>142</v>
      </c>
      <c r="K73" s="728">
        <f t="shared" si="8"/>
        <v>0</v>
      </c>
      <c r="L73" s="3316"/>
      <c r="M73" s="3052"/>
      <c r="N73" s="3052"/>
      <c r="O73" s="3052"/>
      <c r="P73" s="3053"/>
    </row>
    <row r="74" spans="1:18" s="1" customFormat="1" ht="26" customHeight="1" x14ac:dyDescent="0.2">
      <c r="A74" s="1530">
        <v>14</v>
      </c>
      <c r="B74" s="1568" t="s">
        <v>5</v>
      </c>
      <c r="C74" s="1568" t="s">
        <v>115</v>
      </c>
      <c r="D74" s="1723" t="s">
        <v>182</v>
      </c>
      <c r="E74" s="1721"/>
      <c r="F74" s="252" t="s">
        <v>164</v>
      </c>
      <c r="G74" s="253">
        <v>1.6259999999999999</v>
      </c>
      <c r="H74" s="816">
        <f>+I74/$N$62*1000</f>
        <v>1.8297380585516181</v>
      </c>
      <c r="I74" s="247">
        <v>188.1</v>
      </c>
      <c r="J74" s="401"/>
      <c r="K74" s="815">
        <f>(H74-G74)*N62</f>
        <v>20944.598400000032</v>
      </c>
      <c r="L74" s="3326" t="s">
        <v>484</v>
      </c>
      <c r="M74" s="3327"/>
      <c r="N74" s="3327"/>
      <c r="O74" s="3327"/>
      <c r="P74" s="3328"/>
    </row>
    <row r="75" spans="1:18" s="1" customFormat="1" ht="26" customHeight="1" x14ac:dyDescent="0.2">
      <c r="A75" s="1530">
        <v>15</v>
      </c>
      <c r="B75" s="1568" t="s">
        <v>5</v>
      </c>
      <c r="C75" s="1568" t="s">
        <v>115</v>
      </c>
      <c r="D75" s="1723" t="s">
        <v>183</v>
      </c>
      <c r="E75" s="1721"/>
      <c r="F75" s="243" t="s">
        <v>164</v>
      </c>
      <c r="G75" s="251">
        <v>6.4099999999999999E-3</v>
      </c>
      <c r="H75" s="251">
        <f>+I75/$N$63</f>
        <v>6.3691964817366746E-3</v>
      </c>
      <c r="I75" s="817">
        <v>658.9</v>
      </c>
      <c r="J75" s="401"/>
      <c r="K75" s="728"/>
      <c r="L75" s="3326"/>
      <c r="M75" s="3327"/>
      <c r="N75" s="3327"/>
      <c r="O75" s="3327"/>
      <c r="P75" s="3328"/>
    </row>
    <row r="76" spans="1:18" s="1" customFormat="1" ht="26" customHeight="1" x14ac:dyDescent="0.2">
      <c r="A76" s="1530">
        <v>16</v>
      </c>
      <c r="B76" s="1568" t="s">
        <v>5</v>
      </c>
      <c r="C76" s="1568" t="s">
        <v>115</v>
      </c>
      <c r="D76" s="1723" t="s">
        <v>184</v>
      </c>
      <c r="E76" s="1721"/>
      <c r="F76" s="243" t="s">
        <v>169</v>
      </c>
      <c r="G76" s="251">
        <v>4.7239999999999997E-2</v>
      </c>
      <c r="H76" s="251">
        <f>+I76/$N$62</f>
        <v>4.0855395246766589E-2</v>
      </c>
      <c r="I76" s="245">
        <v>4200</v>
      </c>
      <c r="J76" s="401">
        <f>-(H76-G76)*$N$63</f>
        <v>660.49400171093941</v>
      </c>
      <c r="K76" s="728">
        <f t="shared" si="8"/>
        <v>0</v>
      </c>
      <c r="L76" s="3326"/>
      <c r="M76" s="3327"/>
      <c r="N76" s="3327"/>
      <c r="O76" s="3327"/>
      <c r="P76" s="3328"/>
    </row>
    <row r="77" spans="1:18" s="1" customFormat="1" ht="31" customHeight="1" x14ac:dyDescent="0.2">
      <c r="A77" s="1530">
        <v>17</v>
      </c>
      <c r="B77" s="1568" t="s">
        <v>5</v>
      </c>
      <c r="C77" s="1568" t="s">
        <v>115</v>
      </c>
      <c r="D77" s="1723" t="s">
        <v>185</v>
      </c>
      <c r="E77" s="1721"/>
      <c r="F77" s="254" t="s">
        <v>169</v>
      </c>
      <c r="G77" s="255">
        <v>1.1809999999999999E-2</v>
      </c>
      <c r="H77" s="251">
        <f>+I77/$N$63</f>
        <v>1.1019705553467611E-2</v>
      </c>
      <c r="I77" s="257">
        <v>1140</v>
      </c>
      <c r="J77" s="393" t="s">
        <v>142</v>
      </c>
      <c r="K77" s="728"/>
      <c r="L77" s="3326" t="s">
        <v>452</v>
      </c>
      <c r="M77" s="3327"/>
      <c r="N77" s="3327"/>
      <c r="O77" s="3327"/>
      <c r="P77" s="3328"/>
    </row>
    <row r="78" spans="1:18" s="1" customFormat="1" ht="26" customHeight="1" x14ac:dyDescent="0.2">
      <c r="A78" s="1530">
        <v>18</v>
      </c>
      <c r="B78" s="1584" t="s">
        <v>5</v>
      </c>
      <c r="C78" s="1584" t="s">
        <v>115</v>
      </c>
      <c r="D78" s="1723" t="s">
        <v>188</v>
      </c>
      <c r="E78" s="1721"/>
      <c r="F78" s="51" t="s">
        <v>164</v>
      </c>
      <c r="G78" s="258">
        <v>5.1999999999999998E-3</v>
      </c>
      <c r="H78" s="251">
        <f>+I78/$N$62</f>
        <v>4.3773637764392779E-3</v>
      </c>
      <c r="I78" s="260">
        <v>450</v>
      </c>
      <c r="J78" s="70">
        <f>-(H78-G78)*N62</f>
        <v>84.5683199999999</v>
      </c>
      <c r="K78" s="728">
        <f>--(H78-G78)*N76</f>
        <v>0</v>
      </c>
      <c r="L78" s="3316"/>
      <c r="M78" s="3052"/>
      <c r="N78" s="3052"/>
      <c r="O78" s="3052"/>
      <c r="P78" s="3053"/>
    </row>
    <row r="79" spans="1:18" s="1" customFormat="1" ht="28" customHeight="1" x14ac:dyDescent="0.2">
      <c r="A79" s="42" t="s">
        <v>402</v>
      </c>
      <c r="H79" s="78"/>
      <c r="I79" s="447"/>
      <c r="J79" s="71"/>
      <c r="K79" s="71"/>
      <c r="N79" s="209"/>
    </row>
    <row r="80" spans="1:18" s="1" customFormat="1" ht="31" customHeight="1" x14ac:dyDescent="0.2">
      <c r="A80" s="3224" t="s">
        <v>39</v>
      </c>
      <c r="B80" s="3224" t="s">
        <v>34</v>
      </c>
      <c r="C80" s="3309" t="s">
        <v>6</v>
      </c>
      <c r="D80" s="3301" t="s">
        <v>40</v>
      </c>
      <c r="E80" s="3301" t="s">
        <v>1047</v>
      </c>
      <c r="F80" s="3301" t="s">
        <v>1034</v>
      </c>
      <c r="G80" s="1739" t="s">
        <v>41</v>
      </c>
      <c r="H80" s="1740"/>
      <c r="I80" s="1741"/>
      <c r="J80" s="50" t="s">
        <v>42</v>
      </c>
      <c r="K80" s="1732" t="s">
        <v>43</v>
      </c>
      <c r="L80" s="406" t="s">
        <v>44</v>
      </c>
      <c r="M80" s="1739" t="s">
        <v>535</v>
      </c>
      <c r="N80" s="1741"/>
      <c r="O80" s="1731" t="s">
        <v>45</v>
      </c>
      <c r="P80" s="1732" t="s">
        <v>46</v>
      </c>
      <c r="Q80" s="1746" t="s">
        <v>531</v>
      </c>
      <c r="R80" s="1746" t="s">
        <v>47</v>
      </c>
    </row>
    <row r="81" spans="1:18" s="2" customFormat="1" ht="31" customHeight="1" x14ac:dyDescent="0.2">
      <c r="A81" s="3225"/>
      <c r="B81" s="3225"/>
      <c r="C81" s="3310" t="s">
        <v>6</v>
      </c>
      <c r="D81" s="3301"/>
      <c r="E81" s="3301"/>
      <c r="F81" s="3301"/>
      <c r="G81" s="50" t="s">
        <v>48</v>
      </c>
      <c r="H81" s="69" t="s">
        <v>527</v>
      </c>
      <c r="I81" s="69" t="s">
        <v>528</v>
      </c>
      <c r="J81" s="50" t="s">
        <v>164</v>
      </c>
      <c r="K81" s="50" t="s">
        <v>530</v>
      </c>
      <c r="L81" s="537" t="s">
        <v>529</v>
      </c>
      <c r="M81" s="50" t="s">
        <v>164</v>
      </c>
      <c r="N81" s="69" t="s">
        <v>532</v>
      </c>
      <c r="O81" s="406" t="s">
        <v>529</v>
      </c>
      <c r="P81" s="1732" t="s">
        <v>164</v>
      </c>
      <c r="Q81" s="1747"/>
      <c r="R81" s="1747"/>
    </row>
    <row r="82" spans="1:18" s="1" customFormat="1" ht="34" customHeight="1" x14ac:dyDescent="0.2">
      <c r="A82" s="1751">
        <v>1</v>
      </c>
      <c r="B82" s="321"/>
      <c r="C82" s="676"/>
      <c r="D82" s="1756" t="s">
        <v>1049</v>
      </c>
      <c r="E82" s="1660" t="s">
        <v>1048</v>
      </c>
      <c r="F82" s="723" t="s">
        <v>1036</v>
      </c>
      <c r="G82" s="1753">
        <v>7481</v>
      </c>
      <c r="H82" s="869" t="s">
        <v>403</v>
      </c>
      <c r="I82" s="869" t="s">
        <v>399</v>
      </c>
      <c r="J82" s="55">
        <v>39301</v>
      </c>
      <c r="K82" s="723">
        <v>7850</v>
      </c>
      <c r="L82" s="70">
        <f>J82/K82</f>
        <v>5.0064968152866243</v>
      </c>
      <c r="M82" s="725">
        <v>1037</v>
      </c>
      <c r="N82" s="264" t="s">
        <v>404</v>
      </c>
      <c r="O82" s="722">
        <f>(J82+M82)/K82</f>
        <v>5.1385987261146493</v>
      </c>
      <c r="P82" s="723"/>
      <c r="Q82" s="70">
        <f>(J82+M82+P82)/K82</f>
        <v>5.1385987261146493</v>
      </c>
      <c r="R82" s="1226" t="s">
        <v>405</v>
      </c>
    </row>
    <row r="83" spans="1:18" s="1" customFormat="1" ht="34" customHeight="1" x14ac:dyDescent="0.2">
      <c r="A83" s="1752"/>
      <c r="B83" s="321"/>
      <c r="C83" s="676"/>
      <c r="D83" s="1756" t="s">
        <v>1049</v>
      </c>
      <c r="E83" s="1660" t="s">
        <v>1048</v>
      </c>
      <c r="F83" s="723" t="s">
        <v>1035</v>
      </c>
      <c r="G83" s="1754"/>
      <c r="H83" s="1735"/>
      <c r="I83" s="1735"/>
      <c r="J83" s="55">
        <v>25055</v>
      </c>
      <c r="K83" s="1736" t="s">
        <v>406</v>
      </c>
      <c r="L83" s="1737"/>
      <c r="M83" s="1737"/>
      <c r="N83" s="1737"/>
      <c r="O83" s="1737"/>
      <c r="P83" s="1737"/>
      <c r="Q83" s="1738"/>
      <c r="R83" s="1225"/>
    </row>
    <row r="84" spans="1:18" s="1" customFormat="1" ht="38" customHeight="1" x14ac:dyDescent="0.2">
      <c r="A84" s="1751">
        <v>2</v>
      </c>
      <c r="B84" s="321"/>
      <c r="C84" s="676"/>
      <c r="D84" s="1661" t="s">
        <v>1050</v>
      </c>
      <c r="E84" s="1757">
        <v>45661</v>
      </c>
      <c r="F84" s="723" t="s">
        <v>1036</v>
      </c>
      <c r="G84" s="1744">
        <v>7828</v>
      </c>
      <c r="H84" s="870" t="s">
        <v>407</v>
      </c>
      <c r="I84" s="870" t="s">
        <v>408</v>
      </c>
      <c r="J84" s="55">
        <v>296786</v>
      </c>
      <c r="K84" s="724">
        <v>94952</v>
      </c>
      <c r="L84" s="70">
        <f>J84/K84</f>
        <v>3.1256424298592975</v>
      </c>
      <c r="M84" s="271">
        <v>20654</v>
      </c>
      <c r="N84" s="264" t="s">
        <v>409</v>
      </c>
      <c r="O84" s="261">
        <f>(J84+M84)/K84</f>
        <v>3.3431628612351503</v>
      </c>
      <c r="P84" s="51"/>
      <c r="Q84" s="56">
        <f>(J84+M84+P84)/K84</f>
        <v>3.3431628612351503</v>
      </c>
      <c r="R84" s="1226" t="s">
        <v>411</v>
      </c>
    </row>
    <row r="85" spans="1:18" s="1" customFormat="1" ht="48" customHeight="1" x14ac:dyDescent="0.2">
      <c r="A85" s="1752"/>
      <c r="B85" s="321"/>
      <c r="C85" s="676"/>
      <c r="D85" s="1661" t="s">
        <v>1050</v>
      </c>
      <c r="E85" s="1757">
        <v>45661</v>
      </c>
      <c r="F85" s="723" t="s">
        <v>1035</v>
      </c>
      <c r="G85" s="1744"/>
      <c r="H85" s="870"/>
      <c r="I85" s="870"/>
      <c r="J85" s="55">
        <v>39221</v>
      </c>
      <c r="K85" s="1736" t="s">
        <v>406</v>
      </c>
      <c r="L85" s="1737"/>
      <c r="M85" s="1737"/>
      <c r="N85" s="1737"/>
      <c r="O85" s="1737"/>
      <c r="P85" s="1737"/>
      <c r="Q85" s="1738"/>
      <c r="R85" s="1225"/>
    </row>
    <row r="86" spans="1:18" s="1" customFormat="1" ht="34" customHeight="1" x14ac:dyDescent="0.2">
      <c r="A86" s="3311" t="s">
        <v>410</v>
      </c>
      <c r="B86" s="3312"/>
      <c r="C86" s="3312"/>
      <c r="D86" s="3312"/>
      <c r="E86" s="3312"/>
      <c r="F86" s="3312"/>
      <c r="G86" s="3312"/>
      <c r="H86" s="3312"/>
      <c r="I86" s="3313"/>
      <c r="J86" s="58">
        <f>SUM(J82:J85)</f>
        <v>400363</v>
      </c>
      <c r="K86" s="60">
        <f>SUM(K82:K85)</f>
        <v>102802</v>
      </c>
      <c r="L86" s="407">
        <f>J86/K86</f>
        <v>3.8945059434641349</v>
      </c>
      <c r="M86" s="726">
        <f>SUM(M82:M85)</f>
        <v>21691</v>
      </c>
      <c r="N86" s="360">
        <f>M86/(M86+J86)*100</f>
        <v>5.1393897463357767</v>
      </c>
      <c r="O86" s="360">
        <f>(J86+M86)/K86</f>
        <v>4.1055037839730746</v>
      </c>
      <c r="P86" s="60"/>
      <c r="Q86" s="59">
        <f>(J86+M86+P86)/K86</f>
        <v>4.1055037839730746</v>
      </c>
      <c r="R86" s="264"/>
    </row>
    <row r="87" spans="1:18" s="1" customFormat="1" ht="24" customHeight="1" x14ac:dyDescent="0.2">
      <c r="A87" s="3274" t="s">
        <v>479</v>
      </c>
      <c r="B87" s="3274"/>
      <c r="C87" s="3274"/>
      <c r="D87" s="3274"/>
      <c r="E87" s="3274"/>
      <c r="F87" s="3274"/>
      <c r="G87" s="3274"/>
      <c r="H87" s="3274"/>
      <c r="I87" s="3274"/>
      <c r="J87" s="3274"/>
      <c r="K87" s="3274"/>
      <c r="L87" s="3274"/>
      <c r="M87" s="3274"/>
      <c r="N87" s="3274"/>
    </row>
    <row r="88" spans="1:18" s="1" customFormat="1" ht="30" customHeight="1" x14ac:dyDescent="0.2">
      <c r="A88" s="3287" t="s">
        <v>39</v>
      </c>
      <c r="B88" s="3285" t="s">
        <v>467</v>
      </c>
      <c r="C88" s="3277" t="s">
        <v>262</v>
      </c>
      <c r="D88" s="3278"/>
      <c r="E88" s="3275" t="s">
        <v>477</v>
      </c>
      <c r="F88" s="3276"/>
      <c r="G88" s="3018" t="s">
        <v>263</v>
      </c>
      <c r="H88" s="3020"/>
      <c r="I88" s="3279" t="s">
        <v>468</v>
      </c>
      <c r="J88" s="3280"/>
      <c r="K88" s="3281" t="s">
        <v>264</v>
      </c>
      <c r="L88" s="3282"/>
      <c r="M88" s="3283" t="s">
        <v>478</v>
      </c>
      <c r="N88" s="3284"/>
    </row>
    <row r="89" spans="1:18" s="1" customFormat="1" ht="22" customHeight="1" x14ac:dyDescent="0.2">
      <c r="A89" s="3288"/>
      <c r="B89" s="3286"/>
      <c r="C89" s="812" t="s">
        <v>5</v>
      </c>
      <c r="D89" s="812" t="s">
        <v>25</v>
      </c>
      <c r="E89" s="804" t="s">
        <v>5</v>
      </c>
      <c r="F89" s="804" t="s">
        <v>25</v>
      </c>
      <c r="G89" s="804" t="s">
        <v>5</v>
      </c>
      <c r="H89" s="804" t="s">
        <v>25</v>
      </c>
      <c r="I89" s="804" t="s">
        <v>5</v>
      </c>
      <c r="J89" s="804" t="s">
        <v>25</v>
      </c>
      <c r="K89" s="804" t="s">
        <v>5</v>
      </c>
      <c r="L89" s="804" t="s">
        <v>25</v>
      </c>
      <c r="M89" s="808" t="s">
        <v>5</v>
      </c>
      <c r="N89" s="808" t="s">
        <v>25</v>
      </c>
    </row>
    <row r="90" spans="1:18" s="1" customFormat="1" ht="22" customHeight="1" x14ac:dyDescent="0.2">
      <c r="A90" s="51">
        <v>1</v>
      </c>
      <c r="B90" s="810" t="s">
        <v>469</v>
      </c>
      <c r="C90" s="811">
        <v>3</v>
      </c>
      <c r="D90" s="811">
        <v>3</v>
      </c>
      <c r="E90" s="805">
        <v>3</v>
      </c>
      <c r="F90" s="805">
        <v>3</v>
      </c>
      <c r="G90" s="805"/>
      <c r="H90" s="805"/>
      <c r="I90" s="806"/>
      <c r="J90" s="806"/>
      <c r="K90" s="806"/>
      <c r="L90" s="805"/>
      <c r="M90" s="809">
        <f t="shared" ref="M90:N96" si="9">(E90+(G90-I90-K90))</f>
        <v>3</v>
      </c>
      <c r="N90" s="809">
        <f t="shared" si="9"/>
        <v>3</v>
      </c>
    </row>
    <row r="91" spans="1:18" s="1" customFormat="1" ht="22" customHeight="1" x14ac:dyDescent="0.2">
      <c r="A91" s="51">
        <v>2</v>
      </c>
      <c r="B91" s="810" t="s">
        <v>470</v>
      </c>
      <c r="C91" s="811">
        <v>5</v>
      </c>
      <c r="D91" s="811">
        <v>5</v>
      </c>
      <c r="E91" s="805">
        <v>4</v>
      </c>
      <c r="F91" s="805">
        <v>6</v>
      </c>
      <c r="G91" s="805"/>
      <c r="H91" s="805"/>
      <c r="I91" s="806"/>
      <c r="J91" s="806"/>
      <c r="K91" s="806"/>
      <c r="L91" s="805"/>
      <c r="M91" s="809">
        <f t="shared" si="9"/>
        <v>4</v>
      </c>
      <c r="N91" s="809">
        <f t="shared" si="9"/>
        <v>6</v>
      </c>
    </row>
    <row r="92" spans="1:18" s="1" customFormat="1" ht="22" customHeight="1" x14ac:dyDescent="0.2">
      <c r="A92" s="51">
        <v>3</v>
      </c>
      <c r="B92" s="810" t="s">
        <v>471</v>
      </c>
      <c r="C92" s="811">
        <v>30</v>
      </c>
      <c r="D92" s="811">
        <v>30</v>
      </c>
      <c r="E92" s="805">
        <v>21</v>
      </c>
      <c r="F92" s="805">
        <v>28</v>
      </c>
      <c r="G92" s="805">
        <v>5</v>
      </c>
      <c r="H92" s="805"/>
      <c r="I92" s="806"/>
      <c r="J92" s="806"/>
      <c r="K92" s="806">
        <v>2</v>
      </c>
      <c r="L92" s="805"/>
      <c r="M92" s="809">
        <f t="shared" si="9"/>
        <v>24</v>
      </c>
      <c r="N92" s="809">
        <f t="shared" si="9"/>
        <v>28</v>
      </c>
    </row>
    <row r="93" spans="1:18" s="1" customFormat="1" ht="22" customHeight="1" x14ac:dyDescent="0.2">
      <c r="A93" s="51">
        <v>4</v>
      </c>
      <c r="B93" s="810" t="s">
        <v>472</v>
      </c>
      <c r="C93" s="811">
        <v>20</v>
      </c>
      <c r="D93" s="811">
        <v>19</v>
      </c>
      <c r="E93" s="805">
        <v>18</v>
      </c>
      <c r="F93" s="805">
        <v>16</v>
      </c>
      <c r="G93" s="805"/>
      <c r="H93" s="805"/>
      <c r="I93" s="806"/>
      <c r="J93" s="806"/>
      <c r="K93" s="806"/>
      <c r="L93" s="805"/>
      <c r="M93" s="809">
        <f t="shared" si="9"/>
        <v>18</v>
      </c>
      <c r="N93" s="809">
        <f t="shared" si="9"/>
        <v>16</v>
      </c>
    </row>
    <row r="94" spans="1:18" s="1" customFormat="1" ht="22" customHeight="1" x14ac:dyDescent="0.2">
      <c r="A94" s="51">
        <v>5</v>
      </c>
      <c r="B94" s="810" t="s">
        <v>473</v>
      </c>
      <c r="C94" s="811">
        <v>54</v>
      </c>
      <c r="D94" s="811">
        <v>33</v>
      </c>
      <c r="E94" s="805">
        <v>38</v>
      </c>
      <c r="F94" s="805">
        <v>35</v>
      </c>
      <c r="G94" s="805">
        <v>14</v>
      </c>
      <c r="H94" s="805"/>
      <c r="I94" s="806">
        <v>1</v>
      </c>
      <c r="J94" s="806"/>
      <c r="K94" s="806">
        <v>4</v>
      </c>
      <c r="L94" s="805"/>
      <c r="M94" s="809">
        <f t="shared" si="9"/>
        <v>47</v>
      </c>
      <c r="N94" s="809">
        <f t="shared" si="9"/>
        <v>35</v>
      </c>
    </row>
    <row r="95" spans="1:18" s="1" customFormat="1" ht="22" customHeight="1" x14ac:dyDescent="0.2">
      <c r="A95" s="51">
        <v>6</v>
      </c>
      <c r="B95" s="810" t="s">
        <v>474</v>
      </c>
      <c r="C95" s="811">
        <v>6</v>
      </c>
      <c r="D95" s="811">
        <v>6</v>
      </c>
      <c r="E95" s="805">
        <v>6</v>
      </c>
      <c r="F95" s="805">
        <v>6</v>
      </c>
      <c r="G95" s="805"/>
      <c r="H95" s="805"/>
      <c r="I95" s="806"/>
      <c r="J95" s="806"/>
      <c r="K95" s="806"/>
      <c r="L95" s="805"/>
      <c r="M95" s="809">
        <f t="shared" si="9"/>
        <v>6</v>
      </c>
      <c r="N95" s="809">
        <f t="shared" si="9"/>
        <v>6</v>
      </c>
    </row>
    <row r="96" spans="1:18" s="1" customFormat="1" ht="22" customHeight="1" x14ac:dyDescent="0.2">
      <c r="A96" s="51">
        <v>7</v>
      </c>
      <c r="B96" s="810" t="s">
        <v>475</v>
      </c>
      <c r="C96" s="811">
        <v>2</v>
      </c>
      <c r="D96" s="811">
        <v>2</v>
      </c>
      <c r="E96" s="805">
        <v>2</v>
      </c>
      <c r="F96" s="805">
        <v>2</v>
      </c>
      <c r="G96" s="805"/>
      <c r="H96" s="805"/>
      <c r="I96" s="806"/>
      <c r="J96" s="806"/>
      <c r="K96" s="806"/>
      <c r="L96" s="805"/>
      <c r="M96" s="809">
        <f t="shared" si="9"/>
        <v>2</v>
      </c>
      <c r="N96" s="809">
        <f t="shared" si="9"/>
        <v>2</v>
      </c>
    </row>
    <row r="97" spans="1:15" s="1" customFormat="1" ht="22" customHeight="1" x14ac:dyDescent="0.2">
      <c r="A97" s="3018" t="s">
        <v>476</v>
      </c>
      <c r="B97" s="3020"/>
      <c r="C97" s="813">
        <f>SUM(C90:C96)</f>
        <v>120</v>
      </c>
      <c r="D97" s="813">
        <f t="shared" ref="D97:N97" si="10">SUM(D90:D96)</f>
        <v>98</v>
      </c>
      <c r="E97" s="807">
        <f t="shared" si="10"/>
        <v>92</v>
      </c>
      <c r="F97" s="807">
        <f t="shared" si="10"/>
        <v>96</v>
      </c>
      <c r="G97" s="807">
        <f t="shared" si="10"/>
        <v>19</v>
      </c>
      <c r="H97" s="807">
        <f t="shared" si="10"/>
        <v>0</v>
      </c>
      <c r="I97" s="807">
        <f t="shared" si="10"/>
        <v>1</v>
      </c>
      <c r="J97" s="807">
        <f t="shared" si="10"/>
        <v>0</v>
      </c>
      <c r="K97" s="807">
        <f t="shared" si="10"/>
        <v>6</v>
      </c>
      <c r="L97" s="807">
        <f t="shared" si="10"/>
        <v>0</v>
      </c>
      <c r="M97" s="814">
        <f t="shared" si="10"/>
        <v>104</v>
      </c>
      <c r="N97" s="814">
        <f t="shared" si="10"/>
        <v>96</v>
      </c>
    </row>
    <row r="98" spans="1:15" s="1" customFormat="1" ht="24.75" customHeight="1" x14ac:dyDescent="0.2">
      <c r="A98" s="42" t="s">
        <v>480</v>
      </c>
      <c r="B98" s="42"/>
      <c r="E98" s="43"/>
      <c r="F98" s="43"/>
      <c r="H98" s="78"/>
      <c r="I98" s="447"/>
      <c r="J98" s="71"/>
      <c r="K98" s="71"/>
      <c r="N98" s="209"/>
      <c r="O98" s="75"/>
    </row>
    <row r="99" spans="1:15" s="1" customFormat="1" ht="31" customHeight="1" x14ac:dyDescent="0.2">
      <c r="A99" s="3223" t="s">
        <v>34</v>
      </c>
      <c r="B99" s="3174" t="s">
        <v>6</v>
      </c>
      <c r="C99" s="3174"/>
      <c r="D99" s="2602" t="s">
        <v>7</v>
      </c>
      <c r="E99" s="3174" t="s">
        <v>8</v>
      </c>
      <c r="F99" s="3174"/>
      <c r="G99" s="3174"/>
      <c r="H99" s="3302" t="s">
        <v>9</v>
      </c>
      <c r="I99" s="3303" t="s">
        <v>10</v>
      </c>
      <c r="J99" s="8" t="s">
        <v>35</v>
      </c>
      <c r="K99" s="8" t="s">
        <v>12</v>
      </c>
      <c r="L99" s="7" t="s">
        <v>13</v>
      </c>
      <c r="M99" s="7" t="s">
        <v>14</v>
      </c>
      <c r="N99" s="8" t="s">
        <v>15</v>
      </c>
      <c r="O99" s="75"/>
    </row>
    <row r="100" spans="1:15" s="1" customFormat="1" ht="24.75" customHeight="1" x14ac:dyDescent="0.2">
      <c r="A100" s="3304"/>
      <c r="B100" s="7" t="s">
        <v>36</v>
      </c>
      <c r="C100" s="7" t="s">
        <v>17</v>
      </c>
      <c r="D100" s="2602"/>
      <c r="E100" s="9" t="s">
        <v>18</v>
      </c>
      <c r="F100" s="9" t="s">
        <v>19</v>
      </c>
      <c r="G100" s="7" t="s">
        <v>20</v>
      </c>
      <c r="H100" s="3302"/>
      <c r="I100" s="3303"/>
      <c r="J100" s="8" t="s">
        <v>21</v>
      </c>
      <c r="K100" s="8" t="s">
        <v>22</v>
      </c>
      <c r="L100" s="3190" t="s">
        <v>22</v>
      </c>
      <c r="M100" s="3191"/>
      <c r="N100" s="8" t="s">
        <v>23</v>
      </c>
      <c r="O100" s="75"/>
    </row>
    <row r="101" spans="1:15" s="1" customFormat="1" ht="24.75" customHeight="1" x14ac:dyDescent="0.2">
      <c r="A101" s="3223" t="s">
        <v>5</v>
      </c>
      <c r="B101" s="2566" t="s">
        <v>412</v>
      </c>
      <c r="C101" s="12" t="s">
        <v>21</v>
      </c>
      <c r="D101" s="14">
        <f>I101*J101*100/K102</f>
        <v>487415.38461538462</v>
      </c>
      <c r="E101" s="14">
        <f>89*H101/100</f>
        <v>422954.7</v>
      </c>
      <c r="F101" s="14">
        <f>6*H101/100</f>
        <v>28513.8</v>
      </c>
      <c r="G101" s="14">
        <f>5*H101/100</f>
        <v>23761.5</v>
      </c>
      <c r="H101" s="853">
        <f>J101*I101</f>
        <v>475230</v>
      </c>
      <c r="I101" s="434">
        <v>31</v>
      </c>
      <c r="J101" s="357">
        <v>15330</v>
      </c>
      <c r="K101" s="348"/>
      <c r="L101" s="28"/>
      <c r="M101" s="28"/>
      <c r="N101" s="348">
        <v>40</v>
      </c>
      <c r="O101" s="75"/>
    </row>
    <row r="102" spans="1:15" s="1" customFormat="1" ht="24.75" customHeight="1" x14ac:dyDescent="0.2">
      <c r="A102" s="3304"/>
      <c r="B102" s="2567"/>
      <c r="C102" s="12" t="s">
        <v>22</v>
      </c>
      <c r="D102" s="13"/>
      <c r="E102" s="16">
        <v>89</v>
      </c>
      <c r="F102" s="16">
        <v>6</v>
      </c>
      <c r="G102" s="16">
        <v>5</v>
      </c>
      <c r="H102" s="396">
        <v>100</v>
      </c>
      <c r="I102" s="435"/>
      <c r="J102" s="362"/>
      <c r="K102" s="365">
        <v>97.5</v>
      </c>
      <c r="L102" s="2933">
        <v>2.5</v>
      </c>
      <c r="M102" s="2933"/>
      <c r="N102" s="348"/>
      <c r="O102" s="75"/>
    </row>
    <row r="103" spans="1:15" s="1" customFormat="1" ht="24.75" customHeight="1" x14ac:dyDescent="0.2">
      <c r="A103" s="2663" t="s">
        <v>426</v>
      </c>
      <c r="B103" s="2663"/>
      <c r="C103" s="2663"/>
      <c r="D103" s="2663"/>
      <c r="E103" s="2663"/>
      <c r="F103" s="2663"/>
      <c r="G103" s="2663"/>
      <c r="H103" s="2663"/>
      <c r="I103" s="2663"/>
      <c r="J103" s="2663"/>
      <c r="K103" s="2663"/>
      <c r="L103" s="2663"/>
      <c r="M103" s="2663"/>
      <c r="N103" s="2663"/>
      <c r="O103" s="75"/>
    </row>
    <row r="104" spans="1:15" s="1" customFormat="1" ht="24.75" customHeight="1" x14ac:dyDescent="0.2">
      <c r="A104" s="42" t="s">
        <v>481</v>
      </c>
      <c r="B104" s="45"/>
      <c r="C104" s="2"/>
      <c r="D104" s="46"/>
      <c r="E104" s="46"/>
      <c r="F104" s="46"/>
      <c r="G104" s="46"/>
      <c r="H104" s="405"/>
      <c r="I104" s="446"/>
      <c r="J104" s="353"/>
      <c r="K104" s="370"/>
      <c r="L104" s="47"/>
      <c r="M104" s="47"/>
      <c r="N104" s="198"/>
      <c r="O104" s="75"/>
    </row>
    <row r="105" spans="1:15" s="1" customFormat="1" ht="31" customHeight="1" x14ac:dyDescent="0.2">
      <c r="A105" s="3223" t="s">
        <v>34</v>
      </c>
      <c r="B105" s="3174" t="s">
        <v>6</v>
      </c>
      <c r="C105" s="3174"/>
      <c r="D105" s="2602" t="s">
        <v>7</v>
      </c>
      <c r="E105" s="3174" t="s">
        <v>8</v>
      </c>
      <c r="F105" s="3174"/>
      <c r="G105" s="3174"/>
      <c r="H105" s="3302" t="s">
        <v>9</v>
      </c>
      <c r="I105" s="3303" t="s">
        <v>10</v>
      </c>
      <c r="J105" s="8" t="s">
        <v>35</v>
      </c>
      <c r="K105" s="8" t="s">
        <v>12</v>
      </c>
      <c r="L105" s="7" t="s">
        <v>13</v>
      </c>
      <c r="M105" s="7" t="s">
        <v>14</v>
      </c>
      <c r="N105" s="8" t="s">
        <v>15</v>
      </c>
      <c r="O105" s="75"/>
    </row>
    <row r="106" spans="1:15" s="1" customFormat="1" ht="24.75" customHeight="1" x14ac:dyDescent="0.2">
      <c r="A106" s="3304"/>
      <c r="B106" s="7" t="s">
        <v>37</v>
      </c>
      <c r="C106" s="7" t="s">
        <v>17</v>
      </c>
      <c r="D106" s="2602"/>
      <c r="E106" s="9" t="s">
        <v>18</v>
      </c>
      <c r="F106" s="9" t="s">
        <v>19</v>
      </c>
      <c r="G106" s="7" t="s">
        <v>20</v>
      </c>
      <c r="H106" s="3302"/>
      <c r="I106" s="3303"/>
      <c r="J106" s="8" t="s">
        <v>21</v>
      </c>
      <c r="K106" s="8" t="s">
        <v>22</v>
      </c>
      <c r="L106" s="3190" t="s">
        <v>22</v>
      </c>
      <c r="M106" s="3191"/>
      <c r="N106" s="8" t="s">
        <v>23</v>
      </c>
      <c r="O106" s="75"/>
    </row>
    <row r="107" spans="1:15" s="1" customFormat="1" ht="24.75" customHeight="1" x14ac:dyDescent="0.2">
      <c r="A107" s="2665" t="s">
        <v>5</v>
      </c>
      <c r="B107" s="2551" t="s">
        <v>412</v>
      </c>
      <c r="C107" s="12" t="s">
        <v>21</v>
      </c>
      <c r="D107" s="14">
        <f>I107*J107*100/K108</f>
        <v>493469.38775510201</v>
      </c>
      <c r="E107" s="14">
        <f>91*H107/100</f>
        <v>440076</v>
      </c>
      <c r="F107" s="14">
        <f>4*H107/100</f>
        <v>19344</v>
      </c>
      <c r="G107" s="14">
        <f>5*H107/100</f>
        <v>24180</v>
      </c>
      <c r="H107" s="853">
        <f>J107*I107</f>
        <v>483600</v>
      </c>
      <c r="I107" s="434">
        <v>31</v>
      </c>
      <c r="J107" s="357">
        <v>15600</v>
      </c>
      <c r="K107" s="348"/>
      <c r="L107" s="28"/>
      <c r="M107" s="28"/>
      <c r="N107" s="348">
        <v>8</v>
      </c>
      <c r="O107" s="75"/>
    </row>
    <row r="108" spans="1:15" s="1" customFormat="1" ht="24.75" customHeight="1" x14ac:dyDescent="0.2">
      <c r="A108" s="2665"/>
      <c r="B108" s="2551"/>
      <c r="C108" s="12" t="s">
        <v>22</v>
      </c>
      <c r="D108" s="13"/>
      <c r="E108" s="16">
        <v>91</v>
      </c>
      <c r="F108" s="16">
        <v>4</v>
      </c>
      <c r="G108" s="16">
        <v>5</v>
      </c>
      <c r="H108" s="396">
        <v>100</v>
      </c>
      <c r="I108" s="435"/>
      <c r="J108" s="362"/>
      <c r="K108" s="365">
        <v>98</v>
      </c>
      <c r="L108" s="2933">
        <v>2</v>
      </c>
      <c r="M108" s="2933"/>
      <c r="N108" s="348"/>
      <c r="O108" s="75"/>
    </row>
    <row r="109" spans="1:15" s="1" customFormat="1" ht="24.75" customHeight="1" x14ac:dyDescent="0.2">
      <c r="A109" s="76" t="s">
        <v>482</v>
      </c>
      <c r="B109" s="77"/>
      <c r="C109" s="77"/>
      <c r="D109" s="77"/>
      <c r="E109" s="77"/>
      <c r="F109" s="77"/>
      <c r="G109" s="77"/>
      <c r="H109" s="408"/>
      <c r="I109" s="448"/>
      <c r="J109" s="354"/>
      <c r="K109" s="354"/>
      <c r="L109" s="77"/>
      <c r="M109" s="77"/>
      <c r="N109" s="349"/>
      <c r="O109" s="75"/>
    </row>
    <row r="110" spans="1:15" s="1" customFormat="1" ht="24.75" customHeight="1" x14ac:dyDescent="0.2">
      <c r="A110" s="42" t="s">
        <v>57</v>
      </c>
      <c r="B110" s="42"/>
      <c r="E110" s="43"/>
      <c r="F110" s="43"/>
      <c r="H110" s="78"/>
      <c r="I110" s="447"/>
      <c r="J110" s="71"/>
      <c r="K110" s="71"/>
      <c r="N110" s="209"/>
    </row>
    <row r="111" spans="1:15" s="1" customFormat="1" ht="34" customHeight="1" x14ac:dyDescent="0.2">
      <c r="A111" s="2663" t="s">
        <v>483</v>
      </c>
      <c r="B111" s="2663"/>
      <c r="C111" s="2663"/>
      <c r="D111" s="2663"/>
      <c r="E111" s="2663"/>
      <c r="F111" s="2663"/>
      <c r="G111" s="2663"/>
      <c r="H111" s="2663"/>
      <c r="I111" s="2663"/>
      <c r="J111" s="2663"/>
      <c r="K111" s="2663"/>
      <c r="L111" s="2663"/>
      <c r="M111" s="2663"/>
      <c r="N111" s="2663"/>
    </row>
    <row r="112" spans="1:15" s="1" customFormat="1" ht="22" customHeight="1" x14ac:dyDescent="0.2">
      <c r="A112" s="2663" t="s">
        <v>485</v>
      </c>
      <c r="B112" s="2663"/>
      <c r="C112" s="2663"/>
      <c r="D112" s="2663"/>
      <c r="E112" s="2663"/>
      <c r="F112" s="2663"/>
      <c r="G112" s="2663"/>
      <c r="H112" s="2663"/>
      <c r="I112" s="2663"/>
      <c r="J112" s="2663"/>
      <c r="K112" s="2663"/>
      <c r="L112" s="2663"/>
      <c r="M112" s="2663"/>
      <c r="N112" s="2663"/>
    </row>
    <row r="113" spans="1:14" s="1" customFormat="1" ht="36" customHeight="1" x14ac:dyDescent="0.2">
      <c r="A113" s="2663" t="s">
        <v>415</v>
      </c>
      <c r="B113" s="2663"/>
      <c r="C113" s="2663"/>
      <c r="D113" s="2663"/>
      <c r="E113" s="2663"/>
      <c r="F113" s="2663"/>
      <c r="G113" s="2663"/>
      <c r="H113" s="2663"/>
      <c r="I113" s="2663"/>
      <c r="J113" s="2663"/>
      <c r="K113" s="2663"/>
      <c r="L113" s="2663"/>
      <c r="M113" s="2663"/>
      <c r="N113" s="2663"/>
    </row>
    <row r="114" spans="1:14" s="1" customFormat="1" ht="24.75" hidden="1" customHeight="1" x14ac:dyDescent="0.2">
      <c r="A114" s="1" t="s">
        <v>59</v>
      </c>
      <c r="D114" s="43"/>
      <c r="E114" s="43"/>
      <c r="G114" s="43"/>
      <c r="H114" s="78"/>
      <c r="I114" s="447"/>
      <c r="J114" s="71"/>
      <c r="K114" s="71"/>
      <c r="N114" s="209"/>
    </row>
    <row r="115" spans="1:14" s="1" customFormat="1" ht="24.75" hidden="1" customHeight="1" x14ac:dyDescent="0.2">
      <c r="A115" s="2725" t="s">
        <v>416</v>
      </c>
      <c r="B115" s="2725"/>
      <c r="C115" s="2725"/>
      <c r="D115" s="2725"/>
      <c r="E115" s="2725"/>
      <c r="F115" s="2725"/>
      <c r="G115" s="2725"/>
      <c r="H115" s="2725"/>
      <c r="I115" s="2725"/>
      <c r="J115" s="2725"/>
      <c r="K115" s="2725"/>
      <c r="L115" s="2725"/>
      <c r="M115" s="2725"/>
      <c r="N115" s="209"/>
    </row>
    <row r="116" spans="1:14" s="1" customFormat="1" ht="34" hidden="1" customHeight="1" x14ac:dyDescent="0.2">
      <c r="A116" s="2725" t="s">
        <v>417</v>
      </c>
      <c r="B116" s="2725"/>
      <c r="C116" s="2725"/>
      <c r="D116" s="2725"/>
      <c r="E116" s="2725"/>
      <c r="F116" s="2725"/>
      <c r="G116" s="2725"/>
      <c r="H116" s="2725"/>
      <c r="I116" s="2725"/>
      <c r="J116" s="2725"/>
      <c r="K116" s="2725"/>
      <c r="L116" s="2725"/>
      <c r="M116" s="2725"/>
      <c r="N116" s="2725"/>
    </row>
    <row r="117" spans="1:14" s="1" customFormat="1" ht="19" customHeight="1" x14ac:dyDescent="0.2">
      <c r="A117" s="42" t="s">
        <v>414</v>
      </c>
      <c r="C117" s="42"/>
      <c r="E117" s="43"/>
      <c r="F117" s="43"/>
      <c r="H117" s="78"/>
      <c r="I117" s="447"/>
      <c r="J117" s="71"/>
      <c r="K117" s="71"/>
      <c r="N117" s="209"/>
    </row>
    <row r="118" spans="1:14" s="84" customFormat="1" ht="24.75" customHeight="1" x14ac:dyDescent="0.2">
      <c r="A118" s="1" t="s">
        <v>413</v>
      </c>
      <c r="B118" s="82"/>
      <c r="C118" s="82"/>
      <c r="D118" s="82"/>
      <c r="E118" s="82"/>
      <c r="F118" s="82"/>
      <c r="G118" s="82"/>
      <c r="H118" s="83"/>
      <c r="I118" s="449"/>
      <c r="J118" s="363"/>
      <c r="K118" s="363"/>
      <c r="L118" s="82"/>
      <c r="M118"/>
      <c r="N118" s="209"/>
    </row>
    <row r="119" spans="1:14" s="84" customFormat="1" ht="21" customHeight="1" x14ac:dyDescent="0.2">
      <c r="A119" s="42" t="s">
        <v>60</v>
      </c>
      <c r="B119" s="85"/>
      <c r="C119" s="85"/>
      <c r="D119" s="85"/>
      <c r="E119" s="85"/>
      <c r="F119" s="85"/>
      <c r="G119" s="85"/>
      <c r="H119" s="399"/>
      <c r="I119" s="450"/>
      <c r="J119" s="85"/>
      <c r="K119" s="85"/>
      <c r="L119" s="85"/>
      <c r="M119" s="85"/>
      <c r="N119" s="86"/>
    </row>
    <row r="120" spans="1:14" s="1" customFormat="1" ht="21" customHeight="1" x14ac:dyDescent="0.2">
      <c r="A120" s="79" t="s">
        <v>61</v>
      </c>
      <c r="B120" s="85"/>
      <c r="C120" s="85"/>
      <c r="D120" s="85"/>
      <c r="E120" s="85"/>
      <c r="F120" s="85"/>
      <c r="G120" s="85"/>
      <c r="H120" s="399"/>
      <c r="I120" s="450"/>
      <c r="J120" s="85"/>
      <c r="K120" s="85"/>
      <c r="L120" s="85"/>
      <c r="M120" s="85"/>
      <c r="N120" s="86"/>
    </row>
    <row r="121" spans="1:14" s="1" customFormat="1" ht="21" customHeight="1" x14ac:dyDescent="0.2">
      <c r="A121" s="79" t="s">
        <v>422</v>
      </c>
      <c r="B121" s="85"/>
      <c r="C121" s="85"/>
      <c r="D121" s="85"/>
      <c r="E121" s="85"/>
      <c r="F121" s="85"/>
      <c r="G121" s="85"/>
      <c r="H121" s="399"/>
      <c r="I121" s="450"/>
      <c r="J121" s="85"/>
      <c r="K121" s="85"/>
      <c r="L121" s="85"/>
      <c r="M121" s="85"/>
      <c r="N121" s="86"/>
    </row>
    <row r="122" spans="1:14" s="84" customFormat="1" ht="21" customHeight="1" x14ac:dyDescent="0.2">
      <c r="A122" s="3205" t="s">
        <v>63</v>
      </c>
      <c r="B122" s="3205"/>
      <c r="C122" s="3205"/>
      <c r="D122" s="3205"/>
      <c r="E122" s="3205"/>
      <c r="F122" s="3205"/>
      <c r="G122" s="3205"/>
      <c r="H122" s="3205"/>
      <c r="I122" s="3205"/>
      <c r="J122" s="3205"/>
      <c r="K122" s="3205"/>
      <c r="L122" s="3205"/>
      <c r="M122" s="3205"/>
      <c r="N122" s="3205"/>
    </row>
    <row r="123" spans="1:14" s="84" customFormat="1" ht="21" customHeight="1" x14ac:dyDescent="0.2">
      <c r="A123" s="42" t="s">
        <v>64</v>
      </c>
      <c r="H123" s="394"/>
      <c r="I123" s="451"/>
      <c r="J123" s="355"/>
      <c r="K123" s="355"/>
      <c r="N123" s="350"/>
    </row>
    <row r="124" spans="1:14" s="84" customFormat="1" ht="27" customHeight="1" x14ac:dyDescent="0.2">
      <c r="A124" s="79" t="s">
        <v>65</v>
      </c>
      <c r="H124" s="394"/>
      <c r="I124" s="451"/>
      <c r="J124" s="355"/>
      <c r="K124" s="355"/>
      <c r="N124" s="350"/>
    </row>
    <row r="125" spans="1:14" s="84" customFormat="1" ht="27" customHeight="1" x14ac:dyDescent="0.2">
      <c r="A125" s="79" t="s">
        <v>423</v>
      </c>
      <c r="H125" s="394"/>
      <c r="I125" s="451"/>
      <c r="J125" s="355"/>
      <c r="K125" s="355"/>
      <c r="N125" s="350"/>
    </row>
    <row r="126" spans="1:14" s="1" customFormat="1" ht="24.75" customHeight="1" x14ac:dyDescent="0.2">
      <c r="A126" s="79" t="s">
        <v>487</v>
      </c>
      <c r="H126" s="78"/>
      <c r="I126" s="447"/>
      <c r="J126" s="71"/>
      <c r="K126" s="71"/>
      <c r="N126" s="209"/>
    </row>
    <row r="127" spans="1:14" s="1" customFormat="1" ht="24.75" customHeight="1" x14ac:dyDescent="0.2">
      <c r="A127" s="79" t="s">
        <v>424</v>
      </c>
      <c r="H127" s="78"/>
      <c r="I127" s="447"/>
      <c r="J127" s="71"/>
      <c r="K127" s="71"/>
      <c r="N127" s="209"/>
    </row>
    <row r="128" spans="1:14" s="84" customFormat="1" ht="24.75" customHeight="1" x14ac:dyDescent="0.2">
      <c r="A128" s="2475" t="s">
        <v>418</v>
      </c>
      <c r="B128" s="2475"/>
      <c r="C128" s="2475"/>
      <c r="D128" s="2475"/>
      <c r="E128" s="2475"/>
      <c r="F128" s="2475"/>
      <c r="G128" s="2475"/>
      <c r="H128" s="2475"/>
      <c r="I128" s="2475"/>
      <c r="J128" s="2475"/>
      <c r="K128" s="2475"/>
      <c r="L128" s="2475"/>
      <c r="M128" s="2475"/>
      <c r="N128" s="2475"/>
    </row>
    <row r="129" spans="1:14" s="84" customFormat="1" ht="33" customHeight="1" x14ac:dyDescent="0.2">
      <c r="A129" s="2725" t="s">
        <v>419</v>
      </c>
      <c r="B129" s="2725"/>
      <c r="C129" s="2725"/>
      <c r="D129" s="2725"/>
      <c r="E129" s="2725"/>
      <c r="F129" s="2725"/>
      <c r="G129" s="2725"/>
      <c r="H129" s="2725"/>
      <c r="I129" s="2725"/>
      <c r="J129" s="2725"/>
      <c r="K129" s="2725"/>
      <c r="L129" s="2725"/>
      <c r="M129" s="2725"/>
      <c r="N129" s="2725"/>
    </row>
    <row r="130" spans="1:14" s="84" customFormat="1" ht="33" customHeight="1" x14ac:dyDescent="0.2">
      <c r="A130" s="2725" t="s">
        <v>420</v>
      </c>
      <c r="B130" s="2725"/>
      <c r="C130" s="2725"/>
      <c r="D130" s="2725"/>
      <c r="E130" s="2725"/>
      <c r="F130" s="2725"/>
      <c r="G130" s="2725"/>
      <c r="H130" s="2725"/>
      <c r="I130" s="2725"/>
      <c r="J130" s="2725"/>
      <c r="K130" s="2725"/>
      <c r="L130" s="2725"/>
      <c r="M130" s="2725"/>
      <c r="N130" s="2725"/>
    </row>
    <row r="131" spans="1:14" s="84" customFormat="1" ht="33" customHeight="1" x14ac:dyDescent="0.2">
      <c r="A131" s="2725" t="s">
        <v>486</v>
      </c>
      <c r="B131" s="2725"/>
      <c r="C131" s="2725"/>
      <c r="D131" s="2725"/>
      <c r="E131" s="2725"/>
      <c r="F131" s="2725"/>
      <c r="G131" s="2725"/>
      <c r="H131" s="2725"/>
      <c r="I131" s="2725"/>
      <c r="J131" s="2725"/>
      <c r="K131" s="2725"/>
      <c r="L131" s="2725"/>
      <c r="M131" s="2725"/>
      <c r="N131" s="2725"/>
    </row>
    <row r="132" spans="1:14" s="84" customFormat="1" ht="24.75" customHeight="1" x14ac:dyDescent="0.2">
      <c r="A132" s="1" t="s">
        <v>69</v>
      </c>
      <c r="B132" s="1"/>
      <c r="C132" s="1"/>
      <c r="D132" s="1"/>
      <c r="E132" s="43"/>
      <c r="F132" s="43"/>
      <c r="G132" s="1"/>
      <c r="H132" s="78"/>
      <c r="I132" s="447"/>
      <c r="J132" s="71"/>
      <c r="K132" s="71"/>
      <c r="L132" s="1"/>
      <c r="M132" s="1"/>
      <c r="N132" s="209"/>
    </row>
    <row r="133" spans="1:14" s="84" customFormat="1" ht="22.5" customHeight="1" x14ac:dyDescent="0.2">
      <c r="A133" s="88" t="s">
        <v>70</v>
      </c>
      <c r="H133" s="394"/>
      <c r="I133" s="451"/>
      <c r="J133" s="355"/>
      <c r="K133" s="355"/>
      <c r="N133" s="350"/>
    </row>
    <row r="134" spans="1:14" s="1" customFormat="1" ht="16" x14ac:dyDescent="0.2">
      <c r="C134" s="42"/>
      <c r="E134" s="43"/>
      <c r="F134" s="43"/>
      <c r="H134" s="78"/>
      <c r="I134" s="447"/>
      <c r="J134" s="2682" t="s">
        <v>421</v>
      </c>
      <c r="K134" s="2682"/>
      <c r="L134" s="2682"/>
      <c r="M134" s="2682"/>
      <c r="N134" s="2682"/>
    </row>
    <row r="135" spans="1:14" s="84" customFormat="1" ht="24" customHeight="1" x14ac:dyDescent="0.2">
      <c r="E135" s="339"/>
      <c r="F135" s="339"/>
      <c r="H135" s="339"/>
      <c r="I135" s="339"/>
      <c r="J135" s="2683" t="s">
        <v>72</v>
      </c>
      <c r="K135" s="2683"/>
      <c r="L135" s="2683"/>
      <c r="M135" s="2683"/>
      <c r="N135" s="2683"/>
    </row>
    <row r="136" spans="1:14" x14ac:dyDescent="0.2">
      <c r="A136" s="91"/>
      <c r="B136" s="92"/>
    </row>
    <row r="137" spans="1:14" x14ac:dyDescent="0.2">
      <c r="A137" s="94"/>
      <c r="B137" s="92"/>
    </row>
    <row r="138" spans="1:14" x14ac:dyDescent="0.2">
      <c r="A138" s="94"/>
      <c r="B138" s="92"/>
    </row>
    <row r="139" spans="1:14" x14ac:dyDescent="0.2">
      <c r="A139" s="94"/>
      <c r="B139" s="92"/>
    </row>
    <row r="140" spans="1:14" x14ac:dyDescent="0.2">
      <c r="A140" s="94"/>
      <c r="B140" s="92"/>
    </row>
  </sheetData>
  <mergeCells count="98">
    <mergeCell ref="A97:B97"/>
    <mergeCell ref="L77:P77"/>
    <mergeCell ref="L78:P78"/>
    <mergeCell ref="L68:P68"/>
    <mergeCell ref="L69:P69"/>
    <mergeCell ref="L70:P70"/>
    <mergeCell ref="L71:P71"/>
    <mergeCell ref="L72:P72"/>
    <mergeCell ref="L73:P73"/>
    <mergeCell ref="L74:P74"/>
    <mergeCell ref="L75:P75"/>
    <mergeCell ref="L76:P76"/>
    <mergeCell ref="A87:N87"/>
    <mergeCell ref="A88:A89"/>
    <mergeCell ref="B88:B89"/>
    <mergeCell ref="C88:D88"/>
    <mergeCell ref="E88:F88"/>
    <mergeCell ref="G88:H88"/>
    <mergeCell ref="I88:J88"/>
    <mergeCell ref="K88:L88"/>
    <mergeCell ref="M88:N88"/>
    <mergeCell ref="A103:N103"/>
    <mergeCell ref="A99:A100"/>
    <mergeCell ref="B99:C99"/>
    <mergeCell ref="D99:D100"/>
    <mergeCell ref="E99:G99"/>
    <mergeCell ref="H99:H100"/>
    <mergeCell ref="I99:I100"/>
    <mergeCell ref="L100:M100"/>
    <mergeCell ref="B101:B102"/>
    <mergeCell ref="L102:M102"/>
    <mergeCell ref="A101:A102"/>
    <mergeCell ref="A1:N1"/>
    <mergeCell ref="A2:N2"/>
    <mergeCell ref="A3:N3"/>
    <mergeCell ref="A4:N4"/>
    <mergeCell ref="A5:N5"/>
    <mergeCell ref="A45:N45"/>
    <mergeCell ref="A60:M60"/>
    <mergeCell ref="L66:P66"/>
    <mergeCell ref="L67:P67"/>
    <mergeCell ref="J6:J7"/>
    <mergeCell ref="L7:N7"/>
    <mergeCell ref="C47:C48"/>
    <mergeCell ref="L61:P61"/>
    <mergeCell ref="L62:M62"/>
    <mergeCell ref="L63:M63"/>
    <mergeCell ref="N62:P62"/>
    <mergeCell ref="N63:P63"/>
    <mergeCell ref="L64:P64"/>
    <mergeCell ref="L65:P65"/>
    <mergeCell ref="A32:B37"/>
    <mergeCell ref="A38:B43"/>
    <mergeCell ref="I6:I7"/>
    <mergeCell ref="A6:A7"/>
    <mergeCell ref="B6:B7"/>
    <mergeCell ref="C6:C7"/>
    <mergeCell ref="E6:E7"/>
    <mergeCell ref="F6:H6"/>
    <mergeCell ref="D6:D7"/>
    <mergeCell ref="A112:N112"/>
    <mergeCell ref="A131:N131"/>
    <mergeCell ref="B15:O15"/>
    <mergeCell ref="A47:A48"/>
    <mergeCell ref="B47:B48"/>
    <mergeCell ref="A57:D58"/>
    <mergeCell ref="D47:D48"/>
    <mergeCell ref="E47:E48"/>
    <mergeCell ref="F47:I47"/>
    <mergeCell ref="K47:K48"/>
    <mergeCell ref="D80:D81"/>
    <mergeCell ref="A80:A81"/>
    <mergeCell ref="B80:B81"/>
    <mergeCell ref="C80:C81"/>
    <mergeCell ref="A86:I86"/>
    <mergeCell ref="A44:N44"/>
    <mergeCell ref="L108:M108"/>
    <mergeCell ref="L106:M106"/>
    <mergeCell ref="A105:A106"/>
    <mergeCell ref="B105:C105"/>
    <mergeCell ref="D105:D106"/>
    <mergeCell ref="E105:G105"/>
    <mergeCell ref="F80:F81"/>
    <mergeCell ref="E80:E81"/>
    <mergeCell ref="J135:N135"/>
    <mergeCell ref="H105:H106"/>
    <mergeCell ref="I105:I106"/>
    <mergeCell ref="A128:N128"/>
    <mergeCell ref="A115:M115"/>
    <mergeCell ref="A122:N122"/>
    <mergeCell ref="A129:N129"/>
    <mergeCell ref="A130:N130"/>
    <mergeCell ref="J134:N134"/>
    <mergeCell ref="A107:A108"/>
    <mergeCell ref="B107:B108"/>
    <mergeCell ref="A111:N111"/>
    <mergeCell ref="A113:N113"/>
    <mergeCell ref="A116:N116"/>
  </mergeCells>
  <pageMargins left="0" right="0" top="0.25" bottom="0.25" header="0.3" footer="0.3"/>
  <pageSetup paperSize="9" orientation="landscape" horizontalDpi="0" verticalDpi="0"/>
  <drawing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7E4AC-CDA0-3746-AFC5-03D1F2C2A2D1}">
  <sheetPr codeName="Sheet13"/>
  <dimension ref="A1:R264"/>
  <sheetViews>
    <sheetView topLeftCell="A49" zoomScale="60" zoomScaleNormal="120" workbookViewId="0">
      <selection activeCell="R145" sqref="R145"/>
    </sheetView>
  </sheetViews>
  <sheetFormatPr baseColWidth="10" defaultColWidth="8.6640625" defaultRowHeight="14" x14ac:dyDescent="0.2"/>
  <cols>
    <col min="1" max="1" width="5.33203125" style="4" customWidth="1"/>
    <col min="2" max="2" width="13.5" style="4" customWidth="1"/>
    <col min="3" max="3" width="18.33203125" style="4" customWidth="1"/>
    <col min="4" max="4" width="16.5" style="4" bestFit="1" customWidth="1"/>
    <col min="5" max="6" width="11.33203125" style="93" customWidth="1"/>
    <col min="7" max="7" width="11.6640625" style="4" customWidth="1"/>
    <col min="8" max="8" width="11.33203125" style="395" customWidth="1"/>
    <col min="9" max="9" width="8.83203125" style="452" customWidth="1"/>
    <col min="10" max="10" width="9.1640625" style="356" customWidth="1"/>
    <col min="11" max="11" width="7.5" style="356" customWidth="1"/>
    <col min="12" max="12" width="7.5" style="4" customWidth="1"/>
    <col min="13" max="13" width="9.33203125" style="4" customWidth="1"/>
    <col min="14" max="14" width="9.83203125" style="272" customWidth="1"/>
    <col min="15" max="15" width="9" style="4" bestFit="1" customWidth="1"/>
    <col min="16" max="16384" width="8.6640625" style="4"/>
  </cols>
  <sheetData>
    <row r="1" spans="1:15" s="1" customFormat="1" ht="21" customHeight="1" x14ac:dyDescent="0.2">
      <c r="A1" s="2995" t="s">
        <v>0</v>
      </c>
      <c r="B1" s="2996"/>
      <c r="C1" s="2996"/>
      <c r="D1" s="2996"/>
      <c r="E1" s="2996"/>
      <c r="F1" s="2996"/>
      <c r="G1" s="2996"/>
      <c r="H1" s="2996"/>
      <c r="I1" s="2996"/>
      <c r="J1" s="2996"/>
      <c r="K1" s="2996"/>
      <c r="L1" s="2996"/>
      <c r="M1" s="2996"/>
      <c r="N1" s="2997"/>
    </row>
    <row r="2" spans="1:15" s="1" customFormat="1" ht="21" customHeight="1" x14ac:dyDescent="0.2">
      <c r="A2" s="2998" t="s">
        <v>1</v>
      </c>
      <c r="B2" s="2532"/>
      <c r="C2" s="2532"/>
      <c r="D2" s="2532"/>
      <c r="E2" s="2532"/>
      <c r="F2" s="2532"/>
      <c r="G2" s="2532"/>
      <c r="H2" s="2532"/>
      <c r="I2" s="2532"/>
      <c r="J2" s="2532"/>
      <c r="K2" s="2532"/>
      <c r="L2" s="2532"/>
      <c r="M2" s="2532"/>
      <c r="N2" s="2999"/>
    </row>
    <row r="3" spans="1:15" s="1" customFormat="1" ht="21" customHeight="1" thickBot="1" x14ac:dyDescent="0.25">
      <c r="A3" s="3000" t="s">
        <v>2</v>
      </c>
      <c r="B3" s="3001"/>
      <c r="C3" s="3001"/>
      <c r="D3" s="3001"/>
      <c r="E3" s="3001"/>
      <c r="F3" s="3001"/>
      <c r="G3" s="3001"/>
      <c r="H3" s="3001"/>
      <c r="I3" s="3001"/>
      <c r="J3" s="3001"/>
      <c r="K3" s="3001"/>
      <c r="L3" s="3001"/>
      <c r="M3" s="3001"/>
      <c r="N3" s="3002"/>
    </row>
    <row r="4" spans="1:15" ht="25" customHeight="1" x14ac:dyDescent="0.2">
      <c r="A4" s="3126" t="s">
        <v>553</v>
      </c>
      <c r="B4" s="3126"/>
      <c r="C4" s="3126"/>
      <c r="D4" s="3126"/>
      <c r="E4" s="3126"/>
      <c r="F4" s="3126"/>
      <c r="G4" s="3126"/>
      <c r="H4" s="3126"/>
      <c r="I4" s="3126"/>
      <c r="J4" s="3126"/>
      <c r="K4" s="3126"/>
      <c r="L4" s="3126"/>
      <c r="M4" s="3126"/>
      <c r="N4" s="3126"/>
    </row>
    <row r="5" spans="1:15" s="71" customFormat="1" ht="33" customHeight="1" x14ac:dyDescent="0.2">
      <c r="A5" s="3040" t="s">
        <v>34</v>
      </c>
      <c r="B5" s="3263" t="s">
        <v>6</v>
      </c>
      <c r="C5" s="3263" t="s">
        <v>16</v>
      </c>
      <c r="D5" s="3263" t="s">
        <v>17</v>
      </c>
      <c r="E5" s="3263" t="s">
        <v>7</v>
      </c>
      <c r="F5" s="3246" t="s">
        <v>8</v>
      </c>
      <c r="G5" s="3247"/>
      <c r="H5" s="3248"/>
      <c r="I5" s="3264" t="s">
        <v>9</v>
      </c>
      <c r="J5" s="3263" t="s">
        <v>10</v>
      </c>
      <c r="K5" s="8" t="s">
        <v>11</v>
      </c>
      <c r="L5" s="8" t="s">
        <v>12</v>
      </c>
      <c r="M5" s="8" t="s">
        <v>13</v>
      </c>
      <c r="N5" s="8" t="s">
        <v>14</v>
      </c>
      <c r="O5" s="8" t="s">
        <v>15</v>
      </c>
    </row>
    <row r="6" spans="1:15" s="71" customFormat="1" ht="25" customHeight="1" x14ac:dyDescent="0.2">
      <c r="A6" s="3041"/>
      <c r="B6" s="2816"/>
      <c r="C6" s="2816"/>
      <c r="D6" s="2816"/>
      <c r="E6" s="2816"/>
      <c r="F6" s="10" t="s">
        <v>18</v>
      </c>
      <c r="G6" s="10" t="s">
        <v>19</v>
      </c>
      <c r="H6" s="8" t="s">
        <v>20</v>
      </c>
      <c r="I6" s="3265"/>
      <c r="J6" s="2816"/>
      <c r="K6" s="8" t="s">
        <v>21</v>
      </c>
      <c r="L6" s="3246" t="s">
        <v>22</v>
      </c>
      <c r="M6" s="3247"/>
      <c r="N6" s="3248"/>
      <c r="O6" s="8" t="s">
        <v>23</v>
      </c>
    </row>
    <row r="7" spans="1:15" s="71" customFormat="1" ht="25" hidden="1" customHeight="1" x14ac:dyDescent="0.2">
      <c r="A7" s="1581"/>
      <c r="B7" s="1591" t="s">
        <v>6</v>
      </c>
      <c r="C7" s="1559" t="s">
        <v>16</v>
      </c>
      <c r="D7" s="8" t="s">
        <v>17</v>
      </c>
      <c r="E7" s="1546" t="s">
        <v>864</v>
      </c>
      <c r="F7" s="10" t="s">
        <v>18</v>
      </c>
      <c r="G7" s="10" t="s">
        <v>19</v>
      </c>
      <c r="H7" s="8" t="s">
        <v>20</v>
      </c>
      <c r="I7" s="1523" t="s">
        <v>9</v>
      </c>
      <c r="J7" s="1546" t="s">
        <v>10</v>
      </c>
      <c r="K7" s="8" t="s">
        <v>11</v>
      </c>
      <c r="L7" s="8" t="s">
        <v>12</v>
      </c>
      <c r="M7" s="8" t="s">
        <v>13</v>
      </c>
      <c r="N7" s="8" t="s">
        <v>14</v>
      </c>
      <c r="O7" s="8" t="s">
        <v>15</v>
      </c>
    </row>
    <row r="8" spans="1:15" s="1" customFormat="1" ht="23" customHeight="1" x14ac:dyDescent="0.2">
      <c r="A8" s="1592" t="s">
        <v>5</v>
      </c>
      <c r="B8" s="1593" t="s">
        <v>115</v>
      </c>
      <c r="C8" s="1594" t="s">
        <v>883</v>
      </c>
      <c r="D8" s="12" t="s">
        <v>21</v>
      </c>
      <c r="E8" s="848">
        <f>J8*K8*100/L9</f>
        <v>487415.38461538462</v>
      </c>
      <c r="F8" s="848">
        <f>F9*$I$8/100</f>
        <v>422954.7</v>
      </c>
      <c r="G8" s="848">
        <f>G9*$I$8/100</f>
        <v>28513.8</v>
      </c>
      <c r="H8" s="848">
        <f>H9*$I$8/100</f>
        <v>23761.5</v>
      </c>
      <c r="I8" s="849">
        <f>J8*K8</f>
        <v>475230</v>
      </c>
      <c r="J8" s="574">
        <v>31</v>
      </c>
      <c r="K8" s="575">
        <v>15330</v>
      </c>
      <c r="L8" s="348"/>
      <c r="M8" s="28"/>
      <c r="N8" s="28"/>
      <c r="O8" s="576"/>
    </row>
    <row r="9" spans="1:15" s="1" customFormat="1" ht="23" customHeight="1" x14ac:dyDescent="0.2">
      <c r="A9" s="1595" t="s">
        <v>5</v>
      </c>
      <c r="B9" s="1568" t="s">
        <v>115</v>
      </c>
      <c r="C9" s="1596" t="s">
        <v>883</v>
      </c>
      <c r="D9" s="577" t="s">
        <v>22</v>
      </c>
      <c r="E9" s="586"/>
      <c r="F9" s="586">
        <v>89</v>
      </c>
      <c r="G9" s="586">
        <v>6</v>
      </c>
      <c r="H9" s="586">
        <v>5</v>
      </c>
      <c r="I9" s="579">
        <f>SUM(F9:H9)</f>
        <v>100</v>
      </c>
      <c r="J9" s="580"/>
      <c r="K9" s="581"/>
      <c r="L9" s="364">
        <v>97.5</v>
      </c>
      <c r="M9" s="1579">
        <v>2.5</v>
      </c>
      <c r="N9" s="1579"/>
      <c r="O9" s="952">
        <v>40</v>
      </c>
    </row>
    <row r="10" spans="1:15" s="1" customFormat="1" ht="23" customHeight="1" x14ac:dyDescent="0.2">
      <c r="A10" s="1597" t="s">
        <v>5</v>
      </c>
      <c r="B10" s="1567" t="s">
        <v>115</v>
      </c>
      <c r="C10" s="1594" t="s">
        <v>1013</v>
      </c>
      <c r="D10" s="12" t="s">
        <v>21</v>
      </c>
      <c r="E10" s="14">
        <v>496651</v>
      </c>
      <c r="F10" s="895">
        <v>453844.8</v>
      </c>
      <c r="G10" s="895">
        <v>9748.7999999999993</v>
      </c>
      <c r="H10" s="895">
        <v>25582.94</v>
      </c>
      <c r="I10" s="849">
        <f>SUM(F10:H10)</f>
        <v>489176.54</v>
      </c>
      <c r="J10" s="574">
        <v>31</v>
      </c>
      <c r="K10" s="575">
        <f>+I10/J10</f>
        <v>15779.888387096773</v>
      </c>
      <c r="L10" s="584"/>
      <c r="M10" s="28">
        <v>1677.66</v>
      </c>
      <c r="N10" s="28">
        <v>2278.54</v>
      </c>
      <c r="O10" s="952">
        <v>25</v>
      </c>
    </row>
    <row r="11" spans="1:15" s="1" customFormat="1" ht="23" customHeight="1" x14ac:dyDescent="0.2">
      <c r="A11" s="1595" t="s">
        <v>5</v>
      </c>
      <c r="B11" s="1568" t="s">
        <v>115</v>
      </c>
      <c r="C11" s="1598" t="s">
        <v>1013</v>
      </c>
      <c r="D11" s="585" t="s">
        <v>22</v>
      </c>
      <c r="E11" s="586"/>
      <c r="F11" s="586">
        <f>+F10/I10*100</f>
        <v>92.777302852667461</v>
      </c>
      <c r="G11" s="586">
        <f>+G10/I10*100</f>
        <v>1.9929001501175831</v>
      </c>
      <c r="H11" s="586">
        <f>+H10/I10*100</f>
        <v>5.2297969972149518</v>
      </c>
      <c r="I11" s="587">
        <f>SUM(F11:H11)</f>
        <v>99.999999999999986</v>
      </c>
      <c r="J11" s="588"/>
      <c r="K11" s="589"/>
      <c r="L11" s="590">
        <f>(I10/E10)*100</f>
        <v>98.49502769550449</v>
      </c>
      <c r="M11" s="1579">
        <f>100-L11</f>
        <v>1.5049723044955101</v>
      </c>
      <c r="N11" s="1579"/>
      <c r="O11" s="910"/>
    </row>
    <row r="12" spans="1:15" s="1" customFormat="1" ht="23" customHeight="1" x14ac:dyDescent="0.2">
      <c r="A12" s="1595" t="s">
        <v>5</v>
      </c>
      <c r="B12" s="1568" t="s">
        <v>115</v>
      </c>
      <c r="C12" s="1599" t="s">
        <v>83</v>
      </c>
      <c r="D12" s="606" t="s">
        <v>21</v>
      </c>
      <c r="E12" s="709">
        <f t="shared" ref="E12:K12" si="0">E10-E8</f>
        <v>9235.6153846153757</v>
      </c>
      <c r="F12" s="709">
        <f t="shared" si="0"/>
        <v>30890.099999999977</v>
      </c>
      <c r="G12" s="709">
        <f t="shared" si="0"/>
        <v>-18765</v>
      </c>
      <c r="H12" s="709">
        <f t="shared" si="0"/>
        <v>1821.4399999999987</v>
      </c>
      <c r="I12" s="709">
        <f t="shared" si="0"/>
        <v>13946.539999999979</v>
      </c>
      <c r="J12" s="600">
        <f t="shared" si="0"/>
        <v>0</v>
      </c>
      <c r="K12" s="709">
        <f t="shared" si="0"/>
        <v>449.88838709677293</v>
      </c>
      <c r="L12" s="944">
        <f>L11-L9</f>
        <v>0.99502769550448988</v>
      </c>
      <c r="M12" s="1589">
        <f>M11-M9</f>
        <v>-0.99502769550448988</v>
      </c>
      <c r="N12" s="1590"/>
      <c r="O12" s="955">
        <f>O9-O10</f>
        <v>15</v>
      </c>
    </row>
    <row r="13" spans="1:15" s="1" customFormat="1" ht="23" customHeight="1" thickBot="1" x14ac:dyDescent="0.25">
      <c r="A13" s="1595" t="s">
        <v>5</v>
      </c>
      <c r="B13" s="1584" t="s">
        <v>115</v>
      </c>
      <c r="C13" s="1600" t="s">
        <v>83</v>
      </c>
      <c r="D13" s="711" t="s">
        <v>22</v>
      </c>
      <c r="E13" s="712"/>
      <c r="F13" s="712">
        <f>F11-F9</f>
        <v>3.7773028526674608</v>
      </c>
      <c r="G13" s="712">
        <f>G11-G9</f>
        <v>-4.0070998498824171</v>
      </c>
      <c r="H13" s="712">
        <f>H11-H9</f>
        <v>0.22979699721495184</v>
      </c>
      <c r="I13" s="712">
        <f>I11-I9</f>
        <v>0</v>
      </c>
      <c r="J13" s="713"/>
      <c r="K13" s="714"/>
      <c r="L13" s="715"/>
      <c r="M13" s="716"/>
      <c r="N13" s="716"/>
      <c r="O13" s="717"/>
    </row>
    <row r="14" spans="1:15" s="273" customFormat="1" ht="23" customHeight="1" x14ac:dyDescent="0.2">
      <c r="A14" s="1560" t="s">
        <v>25</v>
      </c>
      <c r="B14" s="1564" t="s">
        <v>116</v>
      </c>
      <c r="C14" s="1562" t="s">
        <v>883</v>
      </c>
      <c r="D14" s="592" t="s">
        <v>21</v>
      </c>
      <c r="E14" s="596">
        <f>I14*100/L15</f>
        <v>374571.42857142858</v>
      </c>
      <c r="F14" s="596">
        <f>F15*$I$14/100</f>
        <v>326701.2</v>
      </c>
      <c r="G14" s="596">
        <f>G15*$I$14/100</f>
        <v>29366.400000000001</v>
      </c>
      <c r="H14" s="596">
        <f>H15*$I$14/100</f>
        <v>11012.4</v>
      </c>
      <c r="I14" s="943">
        <f>J14*K14</f>
        <v>367080</v>
      </c>
      <c r="J14" s="595">
        <v>26.6</v>
      </c>
      <c r="K14" s="596">
        <v>13800</v>
      </c>
      <c r="L14" s="596"/>
      <c r="M14" s="597"/>
      <c r="N14" s="597"/>
      <c r="O14" s="597">
        <v>40</v>
      </c>
    </row>
    <row r="15" spans="1:15" s="1" customFormat="1" ht="23" customHeight="1" x14ac:dyDescent="0.2">
      <c r="A15" s="1566" t="s">
        <v>25</v>
      </c>
      <c r="B15" s="1567" t="s">
        <v>116</v>
      </c>
      <c r="C15" s="1565" t="s">
        <v>883</v>
      </c>
      <c r="D15" s="17" t="s">
        <v>22</v>
      </c>
      <c r="E15" s="23"/>
      <c r="F15" s="378">
        <v>89</v>
      </c>
      <c r="G15" s="379">
        <v>8</v>
      </c>
      <c r="H15" s="379">
        <v>3</v>
      </c>
      <c r="I15" s="379">
        <f>SUM(F15:H15)</f>
        <v>100</v>
      </c>
      <c r="J15" s="430"/>
      <c r="K15" s="380"/>
      <c r="L15" s="365">
        <v>98</v>
      </c>
      <c r="M15" s="1550">
        <f>100-L15</f>
        <v>2</v>
      </c>
      <c r="N15" s="1550"/>
      <c r="O15" s="381"/>
    </row>
    <row r="16" spans="1:15" s="1" customFormat="1" ht="23" customHeight="1" x14ac:dyDescent="0.2">
      <c r="A16" s="1563" t="s">
        <v>25</v>
      </c>
      <c r="B16" s="1568" t="s">
        <v>116</v>
      </c>
      <c r="C16" s="1562" t="s">
        <v>1013</v>
      </c>
      <c r="D16" s="17" t="s">
        <v>21</v>
      </c>
      <c r="E16" s="845">
        <v>379238</v>
      </c>
      <c r="F16" s="839">
        <v>334431.99999999994</v>
      </c>
      <c r="G16" s="20">
        <v>184.32</v>
      </c>
      <c r="H16" s="840">
        <v>33278.720000000008</v>
      </c>
      <c r="I16" s="836">
        <f>SUM(F16:H16)</f>
        <v>367895.03999999998</v>
      </c>
      <c r="J16" s="431">
        <v>26.6</v>
      </c>
      <c r="K16" s="21">
        <f>+I16/J16</f>
        <v>13830.640601503757</v>
      </c>
      <c r="L16" s="17"/>
      <c r="M16" s="839">
        <v>1689.6000000000004</v>
      </c>
      <c r="N16" s="839">
        <v>3811.52</v>
      </c>
      <c r="O16" s="381">
        <v>30</v>
      </c>
    </row>
    <row r="17" spans="1:15" s="1" customFormat="1" ht="23" customHeight="1" x14ac:dyDescent="0.2">
      <c r="A17" s="1601" t="s">
        <v>25</v>
      </c>
      <c r="B17" s="1584" t="s">
        <v>116</v>
      </c>
      <c r="C17" s="1565" t="s">
        <v>1013</v>
      </c>
      <c r="D17" s="17" t="s">
        <v>22</v>
      </c>
      <c r="E17" s="23"/>
      <c r="F17" s="378">
        <f>+F16/$I$16*100</f>
        <v>90.904188325017913</v>
      </c>
      <c r="G17" s="378">
        <f>+G16/$I$16*100</f>
        <v>5.0101246268500932E-2</v>
      </c>
      <c r="H17" s="378">
        <f>+H16/$I$16*100</f>
        <v>9.0457104287135834</v>
      </c>
      <c r="I17" s="379">
        <f>SUM(F17:H17)</f>
        <v>100</v>
      </c>
      <c r="J17" s="431"/>
      <c r="K17" s="21"/>
      <c r="L17" s="364">
        <f>I16/E16*100</f>
        <v>97.009012809897726</v>
      </c>
      <c r="M17" s="1550">
        <f>100-L17</f>
        <v>2.990987190102274</v>
      </c>
      <c r="N17" s="1550"/>
      <c r="O17" s="381"/>
    </row>
    <row r="18" spans="1:15" s="1" customFormat="1" ht="23" customHeight="1" x14ac:dyDescent="0.2">
      <c r="A18" s="3249" t="s">
        <v>674</v>
      </c>
      <c r="B18" s="3250"/>
      <c r="C18" s="1524" t="s">
        <v>1016</v>
      </c>
      <c r="D18" s="509" t="s">
        <v>21</v>
      </c>
      <c r="E18" s="731">
        <f t="shared" ref="E18:J18" si="1">E14</f>
        <v>374571.42857142858</v>
      </c>
      <c r="F18" s="731">
        <f t="shared" si="1"/>
        <v>326701.2</v>
      </c>
      <c r="G18" s="731">
        <f t="shared" si="1"/>
        <v>29366.400000000001</v>
      </c>
      <c r="H18" s="731">
        <f t="shared" si="1"/>
        <v>11012.4</v>
      </c>
      <c r="I18" s="731">
        <f t="shared" si="1"/>
        <v>367080</v>
      </c>
      <c r="J18" s="510">
        <f t="shared" si="1"/>
        <v>26.6</v>
      </c>
      <c r="K18" s="514">
        <f>I18/J18</f>
        <v>13800</v>
      </c>
      <c r="L18" s="515"/>
      <c r="M18" s="516"/>
      <c r="N18" s="516"/>
      <c r="O18" s="945"/>
    </row>
    <row r="19" spans="1:15" s="1" customFormat="1" ht="23" customHeight="1" x14ac:dyDescent="0.2">
      <c r="A19" s="3251"/>
      <c r="B19" s="3252"/>
      <c r="C19" s="1573" t="s">
        <v>1016</v>
      </c>
      <c r="D19" s="509" t="s">
        <v>22</v>
      </c>
      <c r="E19" s="511"/>
      <c r="F19" s="518">
        <f>F18/$I$18*100</f>
        <v>89</v>
      </c>
      <c r="G19" s="518">
        <f>G18/$I$18*100</f>
        <v>8</v>
      </c>
      <c r="H19" s="518">
        <f>H18/$I$18*100</f>
        <v>3</v>
      </c>
      <c r="I19" s="519">
        <f>SUM(F19:H19)</f>
        <v>100</v>
      </c>
      <c r="J19" s="520"/>
      <c r="K19" s="521"/>
      <c r="L19" s="522">
        <v>97.5</v>
      </c>
      <c r="M19" s="1547">
        <v>2.5</v>
      </c>
      <c r="N19" s="1547"/>
      <c r="O19" s="946">
        <f>(O14)</f>
        <v>40</v>
      </c>
    </row>
    <row r="20" spans="1:15" s="1" customFormat="1" ht="23" customHeight="1" x14ac:dyDescent="0.2">
      <c r="A20" s="3251"/>
      <c r="B20" s="3253"/>
      <c r="C20" s="1524" t="s">
        <v>1017</v>
      </c>
      <c r="D20" s="509" t="s">
        <v>21</v>
      </c>
      <c r="E20" s="731">
        <f t="shared" ref="E20:J20" si="2">E16</f>
        <v>379238</v>
      </c>
      <c r="F20" s="731">
        <f t="shared" si="2"/>
        <v>334431.99999999994</v>
      </c>
      <c r="G20" s="731">
        <f t="shared" si="2"/>
        <v>184.32</v>
      </c>
      <c r="H20" s="731">
        <f t="shared" si="2"/>
        <v>33278.720000000008</v>
      </c>
      <c r="I20" s="731">
        <f t="shared" si="2"/>
        <v>367895.03999999998</v>
      </c>
      <c r="J20" s="510">
        <f t="shared" si="2"/>
        <v>26.6</v>
      </c>
      <c r="K20" s="514">
        <f>+I20/J20</f>
        <v>13830.640601503757</v>
      </c>
      <c r="L20" s="524"/>
      <c r="M20" s="508"/>
      <c r="N20" s="508"/>
      <c r="O20" s="945"/>
    </row>
    <row r="21" spans="1:15" s="1" customFormat="1" ht="23" customHeight="1" x14ac:dyDescent="0.2">
      <c r="A21" s="3251"/>
      <c r="B21" s="3253"/>
      <c r="C21" s="1573" t="s">
        <v>1017</v>
      </c>
      <c r="D21" s="903" t="s">
        <v>22</v>
      </c>
      <c r="E21" s="607"/>
      <c r="F21" s="608">
        <f>+F20/$I$20*100</f>
        <v>90.904188325017913</v>
      </c>
      <c r="G21" s="608">
        <f>+G20/$I$20*100</f>
        <v>5.0101246268500932E-2</v>
      </c>
      <c r="H21" s="608">
        <f>+H20/$I$20*100</f>
        <v>9.0457104287135834</v>
      </c>
      <c r="I21" s="609">
        <f>SUM(F21:H21)</f>
        <v>100</v>
      </c>
      <c r="J21" s="610"/>
      <c r="K21" s="611"/>
      <c r="L21" s="612">
        <f>+I20/E20*100</f>
        <v>97.009012809897726</v>
      </c>
      <c r="M21" s="1576">
        <f>100-L21</f>
        <v>2.990987190102274</v>
      </c>
      <c r="N21" s="1576"/>
      <c r="O21" s="947">
        <f>(O16)</f>
        <v>30</v>
      </c>
    </row>
    <row r="22" spans="1:15" s="1" customFormat="1" ht="23" customHeight="1" x14ac:dyDescent="0.2">
      <c r="A22" s="3251"/>
      <c r="B22" s="3253"/>
      <c r="C22" s="1570" t="s">
        <v>83</v>
      </c>
      <c r="D22" s="606" t="s">
        <v>21</v>
      </c>
      <c r="E22" s="838">
        <f>E16-E14</f>
        <v>4666.5714285714203</v>
      </c>
      <c r="F22" s="838">
        <f t="shared" ref="F22:K22" si="3">F16-F14</f>
        <v>7730.7999999999302</v>
      </c>
      <c r="G22" s="838">
        <f t="shared" si="3"/>
        <v>-29182.080000000002</v>
      </c>
      <c r="H22" s="838">
        <f t="shared" si="3"/>
        <v>22266.320000000007</v>
      </c>
      <c r="I22" s="838">
        <f t="shared" si="3"/>
        <v>815.03999999997905</v>
      </c>
      <c r="J22" s="838">
        <f t="shared" si="3"/>
        <v>0</v>
      </c>
      <c r="K22" s="838">
        <f t="shared" si="3"/>
        <v>30.640601503757352</v>
      </c>
      <c r="L22" s="622">
        <f>L17-L15</f>
        <v>-0.99098719010227398</v>
      </c>
      <c r="M22" s="1525">
        <f>M17-M15</f>
        <v>0.99098719010227398</v>
      </c>
      <c r="N22" s="1526"/>
      <c r="O22" s="948">
        <f>O14-O16</f>
        <v>10</v>
      </c>
    </row>
    <row r="23" spans="1:15" s="1" customFormat="1" ht="23" customHeight="1" thickBot="1" x14ac:dyDescent="0.25">
      <c r="A23" s="3251"/>
      <c r="B23" s="3253"/>
      <c r="C23" s="1574" t="s">
        <v>83</v>
      </c>
      <c r="D23" s="818" t="s">
        <v>22</v>
      </c>
      <c r="E23" s="911"/>
      <c r="F23" s="819">
        <f>F21-F19</f>
        <v>1.9041883250179126</v>
      </c>
      <c r="G23" s="819">
        <f>G21-G19</f>
        <v>-7.9498987537314987</v>
      </c>
      <c r="H23" s="819">
        <f>H21-H19</f>
        <v>6.0457104287135834</v>
      </c>
      <c r="I23" s="819">
        <f>I21-I19</f>
        <v>0</v>
      </c>
      <c r="J23" s="820"/>
      <c r="K23" s="821"/>
      <c r="L23" s="822"/>
      <c r="M23" s="823"/>
      <c r="N23" s="823"/>
      <c r="O23" s="949"/>
    </row>
    <row r="24" spans="1:15" s="1" customFormat="1" ht="25" customHeight="1" x14ac:dyDescent="0.2">
      <c r="A24" s="3141" t="s">
        <v>28</v>
      </c>
      <c r="B24" s="3142"/>
      <c r="C24" s="1529" t="s">
        <v>1018</v>
      </c>
      <c r="D24" s="29" t="s">
        <v>21</v>
      </c>
      <c r="E24" s="912">
        <f t="shared" ref="E24:J24" si="4">E8+E14</f>
        <v>861986.81318681315</v>
      </c>
      <c r="F24" s="912">
        <f t="shared" si="4"/>
        <v>749655.9</v>
      </c>
      <c r="G24" s="912">
        <f t="shared" si="4"/>
        <v>57880.2</v>
      </c>
      <c r="H24" s="912">
        <f t="shared" si="4"/>
        <v>34773.9</v>
      </c>
      <c r="I24" s="912">
        <f t="shared" si="4"/>
        <v>842310</v>
      </c>
      <c r="J24" s="913">
        <f t="shared" si="4"/>
        <v>57.6</v>
      </c>
      <c r="K24" s="914">
        <f>+I24/J24</f>
        <v>14623.4375</v>
      </c>
      <c r="L24" s="915"/>
      <c r="M24" s="916"/>
      <c r="N24" s="916"/>
      <c r="O24" s="950"/>
    </row>
    <row r="25" spans="1:15" s="1" customFormat="1" ht="25" customHeight="1" x14ac:dyDescent="0.2">
      <c r="A25" s="3143"/>
      <c r="B25" s="3144"/>
      <c r="C25" s="1575" t="s">
        <v>1018</v>
      </c>
      <c r="D25" s="31" t="s">
        <v>22</v>
      </c>
      <c r="E25" s="32"/>
      <c r="F25" s="33">
        <f>+F24/I24*100</f>
        <v>89</v>
      </c>
      <c r="G25" s="33">
        <f>+G24/I24*100</f>
        <v>6.871603091498379</v>
      </c>
      <c r="H25" s="33">
        <f>+H24/I24*100</f>
        <v>4.128396908501621</v>
      </c>
      <c r="I25" s="397">
        <v>100</v>
      </c>
      <c r="J25" s="436"/>
      <c r="K25" s="358"/>
      <c r="L25" s="366">
        <f>+I24/E24*100</f>
        <v>97.717272133889509</v>
      </c>
      <c r="M25" s="1553">
        <f>100-L25</f>
        <v>2.2827278661104913</v>
      </c>
      <c r="N25" s="1553"/>
      <c r="O25" s="951">
        <f>(O14+O9)/2</f>
        <v>40</v>
      </c>
    </row>
    <row r="26" spans="1:15" s="1" customFormat="1" ht="25" customHeight="1" x14ac:dyDescent="0.2">
      <c r="A26" s="3143"/>
      <c r="B26" s="3145"/>
      <c r="C26" s="1529" t="s">
        <v>1019</v>
      </c>
      <c r="D26" s="31" t="s">
        <v>21</v>
      </c>
      <c r="E26" s="842">
        <f t="shared" ref="E26:J26" si="5">E10+E16</f>
        <v>875889</v>
      </c>
      <c r="F26" s="842">
        <f t="shared" si="5"/>
        <v>788276.79999999993</v>
      </c>
      <c r="G26" s="842">
        <f t="shared" si="5"/>
        <v>9933.119999999999</v>
      </c>
      <c r="H26" s="842">
        <f t="shared" si="5"/>
        <v>58861.66</v>
      </c>
      <c r="I26" s="842">
        <f t="shared" si="5"/>
        <v>857071.58</v>
      </c>
      <c r="J26" s="34">
        <f t="shared" si="5"/>
        <v>57.6</v>
      </c>
      <c r="K26" s="359">
        <f>I26/J26</f>
        <v>14879.714930555554</v>
      </c>
      <c r="L26" s="367"/>
      <c r="M26" s="35"/>
      <c r="N26" s="35"/>
      <c r="O26" s="951"/>
    </row>
    <row r="27" spans="1:15" s="1" customFormat="1" ht="25" customHeight="1" x14ac:dyDescent="0.2">
      <c r="A27" s="3143"/>
      <c r="B27" s="3145"/>
      <c r="C27" s="1575" t="s">
        <v>1020</v>
      </c>
      <c r="D27" s="31" t="s">
        <v>22</v>
      </c>
      <c r="E27" s="32"/>
      <c r="F27" s="33">
        <f>F26/$I$26*100</f>
        <v>91.973274857626237</v>
      </c>
      <c r="G27" s="33">
        <f>G26/$I$26*100</f>
        <v>1.1589603752816071</v>
      </c>
      <c r="H27" s="33">
        <f>H26/$I$26*100</f>
        <v>6.8677647670921491</v>
      </c>
      <c r="I27" s="397">
        <f>SUM(F27:H27)</f>
        <v>100</v>
      </c>
      <c r="J27" s="436"/>
      <c r="K27" s="358"/>
      <c r="L27" s="366">
        <f>I26/E26*100</f>
        <v>97.851620467890328</v>
      </c>
      <c r="M27" s="1553">
        <f>100-L27</f>
        <v>2.1483795321096721</v>
      </c>
      <c r="N27" s="1553"/>
      <c r="O27" s="951">
        <f>(O10+O16)/2</f>
        <v>27.5</v>
      </c>
    </row>
    <row r="28" spans="1:15" s="1" customFormat="1" ht="25" customHeight="1" x14ac:dyDescent="0.2">
      <c r="A28" s="3143"/>
      <c r="B28" s="3145"/>
      <c r="C28" s="1529" t="s">
        <v>83</v>
      </c>
      <c r="D28" s="31" t="s">
        <v>21</v>
      </c>
      <c r="E28" s="844">
        <f>E26-E24</f>
        <v>13902.186813186854</v>
      </c>
      <c r="F28" s="844">
        <f t="shared" ref="F28:K28" si="6">F26-F24</f>
        <v>38620.899999999907</v>
      </c>
      <c r="G28" s="844">
        <f t="shared" si="6"/>
        <v>-47947.08</v>
      </c>
      <c r="H28" s="844">
        <f t="shared" si="6"/>
        <v>24087.760000000002</v>
      </c>
      <c r="I28" s="844">
        <f t="shared" si="6"/>
        <v>14761.579999999958</v>
      </c>
      <c r="J28" s="844">
        <f t="shared" si="6"/>
        <v>0</v>
      </c>
      <c r="K28" s="32">
        <f t="shared" si="6"/>
        <v>256.27743055555402</v>
      </c>
      <c r="L28" s="368"/>
      <c r="M28" s="36"/>
      <c r="N28" s="36"/>
      <c r="O28" s="346"/>
    </row>
    <row r="29" spans="1:15" s="1" customFormat="1" ht="25" customHeight="1" thickBot="1" x14ac:dyDescent="0.25">
      <c r="A29" s="3146"/>
      <c r="B29" s="3147"/>
      <c r="C29" s="1575" t="s">
        <v>30</v>
      </c>
      <c r="D29" s="38" t="s">
        <v>22</v>
      </c>
      <c r="E29" s="39"/>
      <c r="F29" s="40">
        <f>F27-F25</f>
        <v>2.9732748576262367</v>
      </c>
      <c r="G29" s="40">
        <f>G27-G25</f>
        <v>-5.7126427162167719</v>
      </c>
      <c r="H29" s="40">
        <f>H27-H25</f>
        <v>2.7393678585905281</v>
      </c>
      <c r="I29" s="398"/>
      <c r="J29" s="438"/>
      <c r="K29" s="351"/>
      <c r="L29" s="369"/>
      <c r="M29" s="1577"/>
      <c r="N29" s="1577"/>
      <c r="O29" s="347"/>
    </row>
    <row r="30" spans="1:15" s="1" customFormat="1" ht="20" customHeight="1" x14ac:dyDescent="0.2">
      <c r="A30" s="2941" t="s">
        <v>32</v>
      </c>
      <c r="B30" s="2941"/>
      <c r="C30" s="2941"/>
      <c r="D30" s="2941"/>
      <c r="E30" s="2941"/>
      <c r="F30" s="2941"/>
      <c r="G30" s="2941"/>
      <c r="H30" s="2941"/>
      <c r="I30" s="2941"/>
      <c r="J30" s="2941"/>
      <c r="K30" s="2941"/>
      <c r="L30" s="2941"/>
      <c r="M30" s="2941"/>
      <c r="N30" s="2941"/>
    </row>
    <row r="31" spans="1:15" s="1" customFormat="1" ht="23" customHeight="1" x14ac:dyDescent="0.2">
      <c r="A31" s="2663" t="s">
        <v>562</v>
      </c>
      <c r="B31" s="2663"/>
      <c r="C31" s="2663"/>
      <c r="D31" s="2663"/>
      <c r="E31" s="2663"/>
      <c r="F31" s="2663"/>
      <c r="G31" s="2663"/>
      <c r="H31" s="2663"/>
      <c r="I31" s="2663"/>
      <c r="J31" s="2663"/>
      <c r="K31" s="2663"/>
      <c r="L31" s="2663"/>
      <c r="M31" s="2663"/>
      <c r="N31" s="2663"/>
    </row>
    <row r="32" spans="1:15" s="1" customFormat="1" ht="23" customHeight="1" x14ac:dyDescent="0.2">
      <c r="A32" s="2663" t="s">
        <v>563</v>
      </c>
      <c r="B32" s="2663"/>
      <c r="C32" s="2663"/>
      <c r="D32" s="2663"/>
      <c r="E32" s="2663"/>
      <c r="F32" s="2663"/>
      <c r="G32" s="2663"/>
      <c r="H32" s="2663"/>
      <c r="I32" s="2663"/>
      <c r="J32" s="2663"/>
      <c r="K32" s="2663"/>
      <c r="L32" s="2663"/>
      <c r="M32" s="2663"/>
      <c r="N32" s="2663"/>
    </row>
    <row r="33" spans="1:16" s="1" customFormat="1" ht="23" customHeight="1" x14ac:dyDescent="0.2">
      <c r="A33" s="42" t="s">
        <v>446</v>
      </c>
      <c r="B33" s="41"/>
      <c r="C33" s="41"/>
      <c r="D33" s="41"/>
      <c r="E33" s="41"/>
      <c r="F33" s="41"/>
      <c r="G33" s="41"/>
      <c r="H33" s="399"/>
      <c r="I33" s="439"/>
      <c r="J33" s="41"/>
      <c r="K33" s="41"/>
      <c r="L33" s="41"/>
      <c r="M33" s="41"/>
      <c r="N33" s="41"/>
    </row>
    <row r="34" spans="1:16" s="1" customFormat="1" ht="23" customHeight="1" x14ac:dyDescent="0.2">
      <c r="A34" s="42" t="s">
        <v>312</v>
      </c>
      <c r="B34" s="41"/>
      <c r="C34" s="41"/>
      <c r="D34" s="41"/>
      <c r="E34" s="41"/>
      <c r="F34" s="41"/>
      <c r="G34" s="41"/>
      <c r="H34" s="399"/>
      <c r="I34" s="439"/>
      <c r="J34" s="41"/>
      <c r="K34" s="41"/>
      <c r="L34" s="41"/>
      <c r="M34" s="41"/>
      <c r="N34" s="41"/>
    </row>
    <row r="35" spans="1:16" s="1" customFormat="1" ht="23" customHeight="1" x14ac:dyDescent="0.2">
      <c r="A35" s="2665" t="s">
        <v>34</v>
      </c>
      <c r="B35" s="2665" t="s">
        <v>135</v>
      </c>
      <c r="C35" s="2551" t="s">
        <v>6</v>
      </c>
      <c r="D35" s="2551" t="s">
        <v>105</v>
      </c>
      <c r="E35" s="2551" t="s">
        <v>17</v>
      </c>
      <c r="F35" s="3308" t="s">
        <v>106</v>
      </c>
      <c r="G35" s="2577"/>
      <c r="H35" s="2577"/>
      <c r="I35" s="2578"/>
      <c r="J35" s="390" t="s">
        <v>107</v>
      </c>
      <c r="K35" s="2551" t="s">
        <v>47</v>
      </c>
      <c r="L35"/>
      <c r="M35"/>
      <c r="N35"/>
      <c r="O35"/>
      <c r="P35"/>
    </row>
    <row r="36" spans="1:16" s="1" customFormat="1" ht="34" customHeight="1" x14ac:dyDescent="0.2">
      <c r="A36" s="3223"/>
      <c r="B36" s="3223"/>
      <c r="C36" s="2566"/>
      <c r="D36" s="2551"/>
      <c r="E36" s="2551"/>
      <c r="F36" s="200" t="s">
        <v>18</v>
      </c>
      <c r="G36" s="202" t="s">
        <v>19</v>
      </c>
      <c r="H36" s="202" t="s">
        <v>20</v>
      </c>
      <c r="I36" s="202" t="s">
        <v>108</v>
      </c>
      <c r="J36" s="390" t="s">
        <v>22</v>
      </c>
      <c r="K36" s="2551"/>
      <c r="L36"/>
      <c r="M36"/>
      <c r="N36"/>
      <c r="O36"/>
      <c r="P36"/>
    </row>
    <row r="37" spans="1:16" s="1" customFormat="1" ht="23" customHeight="1" x14ac:dyDescent="0.2">
      <c r="A37" s="1628" t="s">
        <v>5</v>
      </c>
      <c r="B37" s="1657" t="s">
        <v>139</v>
      </c>
      <c r="C37" s="1632" t="s">
        <v>115</v>
      </c>
      <c r="D37" s="1637" t="s">
        <v>120</v>
      </c>
      <c r="E37" s="57" t="s">
        <v>21</v>
      </c>
      <c r="F37" s="834">
        <v>152226.72</v>
      </c>
      <c r="G37" s="834">
        <v>5929.92</v>
      </c>
      <c r="H37" s="834">
        <v>6896.16</v>
      </c>
      <c r="I37" s="831">
        <f t="shared" ref="I37:I67" si="7">SUM(F37:H37)</f>
        <v>165052.80000000002</v>
      </c>
      <c r="J37" s="214"/>
      <c r="K37" s="1014"/>
      <c r="L37"/>
      <c r="M37"/>
      <c r="N37"/>
      <c r="O37"/>
      <c r="P37"/>
    </row>
    <row r="38" spans="1:16" s="1" customFormat="1" ht="23" customHeight="1" x14ac:dyDescent="0.2">
      <c r="A38" s="1629" t="s">
        <v>5</v>
      </c>
      <c r="B38" s="1650" t="s">
        <v>139</v>
      </c>
      <c r="C38" s="1633" t="s">
        <v>115</v>
      </c>
      <c r="D38" s="1638" t="s">
        <v>120</v>
      </c>
      <c r="E38" s="57" t="s">
        <v>22</v>
      </c>
      <c r="F38" s="739">
        <f>F37/$I$37*100</f>
        <v>92.229104868260322</v>
      </c>
      <c r="G38" s="739">
        <f>G37/$I$37*100</f>
        <v>3.592741231896702</v>
      </c>
      <c r="H38" s="739">
        <f>H37/$I$37*100</f>
        <v>4.1781538998429593</v>
      </c>
      <c r="I38" s="216">
        <f t="shared" si="7"/>
        <v>99.999999999999972</v>
      </c>
      <c r="J38" s="215">
        <f>I37/$I$75*100</f>
        <v>33.740940695778129</v>
      </c>
      <c r="K38" s="1014"/>
      <c r="L38"/>
      <c r="M38"/>
      <c r="N38"/>
      <c r="O38"/>
      <c r="P38"/>
    </row>
    <row r="39" spans="1:16" s="1" customFormat="1" ht="23" customHeight="1" x14ac:dyDescent="0.2">
      <c r="A39" s="1629" t="s">
        <v>5</v>
      </c>
      <c r="B39" s="1650" t="s">
        <v>139</v>
      </c>
      <c r="C39" s="1633" t="s">
        <v>115</v>
      </c>
      <c r="D39" s="1637" t="s">
        <v>146</v>
      </c>
      <c r="E39" s="57" t="s">
        <v>21</v>
      </c>
      <c r="F39" s="214">
        <v>624.96</v>
      </c>
      <c r="G39" s="214"/>
      <c r="H39" s="831">
        <v>79.2</v>
      </c>
      <c r="I39" s="831">
        <f t="shared" si="7"/>
        <v>704.16000000000008</v>
      </c>
      <c r="J39" s="215"/>
      <c r="K39" s="1014"/>
      <c r="L39"/>
      <c r="M39"/>
      <c r="N39"/>
      <c r="O39"/>
      <c r="P39"/>
    </row>
    <row r="40" spans="1:16" s="1" customFormat="1" ht="23" customHeight="1" x14ac:dyDescent="0.2">
      <c r="A40" s="1629" t="s">
        <v>5</v>
      </c>
      <c r="B40" s="1650" t="s">
        <v>139</v>
      </c>
      <c r="C40" s="1633" t="s">
        <v>115</v>
      </c>
      <c r="D40" s="1638" t="s">
        <v>146</v>
      </c>
      <c r="E40" s="57" t="s">
        <v>22</v>
      </c>
      <c r="F40" s="216">
        <f>F39/$I$39*100</f>
        <v>88.752556237218812</v>
      </c>
      <c r="G40" s="216">
        <f>G39/$I$39*100</f>
        <v>0</v>
      </c>
      <c r="H40" s="216">
        <f>H39/$I$39*100</f>
        <v>11.247443762781186</v>
      </c>
      <c r="I40" s="216">
        <f t="shared" si="7"/>
        <v>100</v>
      </c>
      <c r="J40" s="215">
        <f>I39/$I$75*100</f>
        <v>0.14394800209593006</v>
      </c>
      <c r="K40" s="1014"/>
      <c r="L40"/>
      <c r="M40"/>
      <c r="N40"/>
      <c r="O40"/>
      <c r="P40"/>
    </row>
    <row r="41" spans="1:16" s="1" customFormat="1" ht="23" customHeight="1" x14ac:dyDescent="0.2">
      <c r="A41" s="1629" t="s">
        <v>5</v>
      </c>
      <c r="B41" s="1650" t="s">
        <v>139</v>
      </c>
      <c r="C41" s="1633" t="s">
        <v>115</v>
      </c>
      <c r="D41" s="1637" t="s">
        <v>125</v>
      </c>
      <c r="E41" s="57" t="s">
        <v>21</v>
      </c>
      <c r="F41" s="831">
        <v>11684.16</v>
      </c>
      <c r="G41" s="214"/>
      <c r="H41" s="831">
        <v>662.4</v>
      </c>
      <c r="I41" s="831">
        <f t="shared" si="7"/>
        <v>12346.56</v>
      </c>
      <c r="J41" s="215"/>
      <c r="K41" s="1014"/>
      <c r="L41"/>
      <c r="M41"/>
      <c r="N41"/>
      <c r="O41"/>
      <c r="P41"/>
    </row>
    <row r="42" spans="1:16" s="1" customFormat="1" ht="23" customHeight="1" x14ac:dyDescent="0.2">
      <c r="A42" s="1629" t="s">
        <v>5</v>
      </c>
      <c r="B42" s="1650" t="s">
        <v>139</v>
      </c>
      <c r="C42" s="1633" t="s">
        <v>115</v>
      </c>
      <c r="D42" s="1638" t="s">
        <v>125</v>
      </c>
      <c r="E42" s="57" t="s">
        <v>22</v>
      </c>
      <c r="F42" s="216">
        <f>F41/$I$41*100</f>
        <v>94.634942850478183</v>
      </c>
      <c r="G42" s="216">
        <f>G41/$I$41*100</f>
        <v>0</v>
      </c>
      <c r="H42" s="216">
        <f>H41/$I$41*100</f>
        <v>5.3650571495218102</v>
      </c>
      <c r="I42" s="214">
        <f t="shared" si="7"/>
        <v>100</v>
      </c>
      <c r="J42" s="215">
        <f>I41/$I$75*100</f>
        <v>2.5239471778537919</v>
      </c>
      <c r="K42" s="1014"/>
      <c r="L42"/>
      <c r="M42"/>
      <c r="N42"/>
      <c r="O42"/>
      <c r="P42"/>
    </row>
    <row r="43" spans="1:16" s="1" customFormat="1" ht="23" customHeight="1" x14ac:dyDescent="0.2">
      <c r="A43" s="1629" t="s">
        <v>5</v>
      </c>
      <c r="B43" s="1585" t="s">
        <v>139</v>
      </c>
      <c r="C43" s="1567" t="s">
        <v>115</v>
      </c>
      <c r="D43" s="1637" t="s">
        <v>114</v>
      </c>
      <c r="E43" s="57" t="s">
        <v>21</v>
      </c>
      <c r="F43" s="831">
        <v>2750.4</v>
      </c>
      <c r="G43" s="214"/>
      <c r="H43" s="831">
        <v>306.72000000000003</v>
      </c>
      <c r="I43" s="831">
        <f t="shared" si="7"/>
        <v>3057.12</v>
      </c>
      <c r="J43" s="215"/>
      <c r="K43" s="1014"/>
      <c r="L43"/>
      <c r="M43"/>
      <c r="N43"/>
      <c r="O43"/>
      <c r="P43"/>
    </row>
    <row r="44" spans="1:16" s="1" customFormat="1" ht="23" customHeight="1" x14ac:dyDescent="0.2">
      <c r="A44" s="1629" t="s">
        <v>5</v>
      </c>
      <c r="B44" s="1650" t="s">
        <v>139</v>
      </c>
      <c r="C44" s="1633" t="s">
        <v>115</v>
      </c>
      <c r="D44" s="1638" t="s">
        <v>114</v>
      </c>
      <c r="E44" s="57" t="s">
        <v>22</v>
      </c>
      <c r="F44" s="216">
        <f>F43/$I$43*100</f>
        <v>89.967027790861991</v>
      </c>
      <c r="G44" s="216">
        <f>G43/$I$43*100</f>
        <v>0</v>
      </c>
      <c r="H44" s="216">
        <f>H43/$I$43*100</f>
        <v>10.032972209138013</v>
      </c>
      <c r="I44" s="214">
        <f t="shared" si="7"/>
        <v>100</v>
      </c>
      <c r="J44" s="215">
        <f>I43/$I$75*100</f>
        <v>0.62495216451873103</v>
      </c>
      <c r="K44" s="1014"/>
      <c r="L44"/>
      <c r="M44"/>
      <c r="N44"/>
      <c r="O44"/>
      <c r="P44"/>
    </row>
    <row r="45" spans="1:16" s="1" customFormat="1" ht="23" customHeight="1" x14ac:dyDescent="0.2">
      <c r="A45" s="1629" t="s">
        <v>5</v>
      </c>
      <c r="B45" s="1650" t="s">
        <v>139</v>
      </c>
      <c r="C45" s="1633" t="s">
        <v>115</v>
      </c>
      <c r="D45" s="1637" t="s">
        <v>129</v>
      </c>
      <c r="E45" s="57" t="s">
        <v>21</v>
      </c>
      <c r="F45" s="831">
        <v>14446.08</v>
      </c>
      <c r="G45" s="831">
        <v>316.8</v>
      </c>
      <c r="H45" s="831">
        <v>531.36</v>
      </c>
      <c r="I45" s="831">
        <f t="shared" si="7"/>
        <v>15294.24</v>
      </c>
      <c r="J45" s="215"/>
      <c r="K45" s="1014"/>
      <c r="L45"/>
      <c r="M45"/>
      <c r="N45"/>
      <c r="O45"/>
      <c r="P45"/>
    </row>
    <row r="46" spans="1:16" s="1" customFormat="1" ht="23" customHeight="1" x14ac:dyDescent="0.2">
      <c r="A46" s="1629" t="s">
        <v>5</v>
      </c>
      <c r="B46" s="1650" t="s">
        <v>139</v>
      </c>
      <c r="C46" s="1633" t="s">
        <v>115</v>
      </c>
      <c r="D46" s="1638" t="s">
        <v>129</v>
      </c>
      <c r="E46" s="57" t="s">
        <v>22</v>
      </c>
      <c r="F46" s="216">
        <f>F45/$I$45*100</f>
        <v>94.45438282647585</v>
      </c>
      <c r="G46" s="216">
        <f>G45/$I$45*100</f>
        <v>2.07136804444026</v>
      </c>
      <c r="H46" s="216">
        <f>H45/$I$45*100</f>
        <v>3.4742491290838911</v>
      </c>
      <c r="I46" s="214">
        <f t="shared" si="7"/>
        <v>100</v>
      </c>
      <c r="J46" s="215">
        <f>I45/$I$75*100</f>
        <v>3.1265270557482063</v>
      </c>
      <c r="K46" s="1014"/>
      <c r="L46"/>
      <c r="M46"/>
      <c r="N46"/>
      <c r="O46"/>
      <c r="P46"/>
    </row>
    <row r="47" spans="1:16" s="1" customFormat="1" ht="23" customHeight="1" x14ac:dyDescent="0.2">
      <c r="A47" s="1629" t="s">
        <v>5</v>
      </c>
      <c r="B47" s="1650" t="s">
        <v>139</v>
      </c>
      <c r="C47" s="1633" t="s">
        <v>115</v>
      </c>
      <c r="D47" s="1637" t="s">
        <v>112</v>
      </c>
      <c r="E47" s="57" t="s">
        <v>21</v>
      </c>
      <c r="F47" s="831">
        <v>9253.44</v>
      </c>
      <c r="G47" s="831">
        <v>365.76</v>
      </c>
      <c r="H47" s="831">
        <v>217.44</v>
      </c>
      <c r="I47" s="831">
        <f t="shared" si="7"/>
        <v>9836.6400000000012</v>
      </c>
      <c r="J47" s="215"/>
      <c r="K47" s="1014"/>
      <c r="L47"/>
      <c r="M47"/>
      <c r="N47"/>
      <c r="O47"/>
      <c r="P47"/>
    </row>
    <row r="48" spans="1:16" s="1" customFormat="1" ht="23" customHeight="1" x14ac:dyDescent="0.2">
      <c r="A48" s="1629" t="s">
        <v>5</v>
      </c>
      <c r="B48" s="1650" t="s">
        <v>139</v>
      </c>
      <c r="C48" s="1633" t="s">
        <v>115</v>
      </c>
      <c r="D48" s="1638" t="s">
        <v>112</v>
      </c>
      <c r="E48" s="57" t="s">
        <v>22</v>
      </c>
      <c r="F48" s="216">
        <f>F47/$I$47*100</f>
        <v>94.071146245059282</v>
      </c>
      <c r="G48" s="216">
        <f>G47/$I$47*100</f>
        <v>3.7183428487776311</v>
      </c>
      <c r="H48" s="216">
        <f>H47/$I$47*100</f>
        <v>2.2105109061630799</v>
      </c>
      <c r="I48" s="214">
        <f t="shared" si="7"/>
        <v>100</v>
      </c>
      <c r="J48" s="215">
        <f>I47/$I$75*100</f>
        <v>2.0108564464566427</v>
      </c>
      <c r="K48" s="1014"/>
      <c r="L48"/>
      <c r="M48"/>
      <c r="N48"/>
      <c r="O48"/>
      <c r="P48"/>
    </row>
    <row r="49" spans="1:16" s="1" customFormat="1" ht="23" customHeight="1" x14ac:dyDescent="0.2">
      <c r="A49" s="1629" t="s">
        <v>5</v>
      </c>
      <c r="B49" s="1650" t="s">
        <v>139</v>
      </c>
      <c r="C49" s="1633" t="s">
        <v>115</v>
      </c>
      <c r="D49" s="1637" t="s">
        <v>128</v>
      </c>
      <c r="E49" s="57" t="s">
        <v>21</v>
      </c>
      <c r="F49" s="831">
        <v>8828.64</v>
      </c>
      <c r="G49" s="214"/>
      <c r="H49" s="831">
        <v>560.16</v>
      </c>
      <c r="I49" s="831">
        <f t="shared" si="7"/>
        <v>9388.7999999999993</v>
      </c>
      <c r="J49" s="215"/>
      <c r="K49" s="1014"/>
      <c r="L49"/>
      <c r="M49"/>
      <c r="N49"/>
      <c r="O49"/>
      <c r="P49"/>
    </row>
    <row r="50" spans="1:16" s="1" customFormat="1" ht="23" customHeight="1" x14ac:dyDescent="0.2">
      <c r="A50" s="1629" t="s">
        <v>5</v>
      </c>
      <c r="B50" s="1650" t="s">
        <v>139</v>
      </c>
      <c r="C50" s="1633" t="s">
        <v>115</v>
      </c>
      <c r="D50" s="1638" t="s">
        <v>128</v>
      </c>
      <c r="E50" s="57" t="s">
        <v>22</v>
      </c>
      <c r="F50" s="216">
        <f>F49/$I$49*100</f>
        <v>94.033742331288337</v>
      </c>
      <c r="G50" s="216">
        <f>G49/$I$49*100</f>
        <v>0</v>
      </c>
      <c r="H50" s="216">
        <f>H49/$I$49*100</f>
        <v>5.9662576687116564</v>
      </c>
      <c r="I50" s="214">
        <f t="shared" si="7"/>
        <v>100</v>
      </c>
      <c r="J50" s="215">
        <f>I49/$I$75*100</f>
        <v>1.9193066946124004</v>
      </c>
      <c r="K50" s="1014"/>
      <c r="L50"/>
      <c r="M50"/>
      <c r="N50"/>
      <c r="O50"/>
      <c r="P50"/>
    </row>
    <row r="51" spans="1:16" s="1" customFormat="1" ht="23" customHeight="1" x14ac:dyDescent="0.2">
      <c r="A51" s="1629" t="s">
        <v>5</v>
      </c>
      <c r="B51" s="1650" t="s">
        <v>139</v>
      </c>
      <c r="C51" s="1633" t="s">
        <v>115</v>
      </c>
      <c r="D51" s="1637" t="s">
        <v>541</v>
      </c>
      <c r="E51" s="57" t="s">
        <v>21</v>
      </c>
      <c r="F51" s="214">
        <v>22269.599999999999</v>
      </c>
      <c r="G51" s="831">
        <v>518.4</v>
      </c>
      <c r="H51" s="831">
        <v>740.16</v>
      </c>
      <c r="I51" s="831">
        <f t="shared" si="7"/>
        <v>23528.16</v>
      </c>
      <c r="J51" s="215"/>
      <c r="K51" s="1014"/>
      <c r="L51"/>
      <c r="M51"/>
      <c r="N51"/>
      <c r="O51"/>
      <c r="P51"/>
    </row>
    <row r="52" spans="1:16" s="1" customFormat="1" ht="23" customHeight="1" x14ac:dyDescent="0.2">
      <c r="A52" s="1629" t="s">
        <v>5</v>
      </c>
      <c r="B52" s="1651" t="s">
        <v>139</v>
      </c>
      <c r="C52" s="1634" t="s">
        <v>115</v>
      </c>
      <c r="D52" s="1638" t="s">
        <v>541</v>
      </c>
      <c r="E52" s="57" t="s">
        <v>22</v>
      </c>
      <c r="F52" s="216">
        <f>F51/$I$51*100</f>
        <v>94.65083542444458</v>
      </c>
      <c r="G52" s="216">
        <f>G51/$I$51*100</f>
        <v>2.2033172164759165</v>
      </c>
      <c r="H52" s="216">
        <f>H51/$I$51*100</f>
        <v>3.1458473590795033</v>
      </c>
      <c r="I52" s="214">
        <f t="shared" si="7"/>
        <v>99.999999999999986</v>
      </c>
      <c r="J52" s="215">
        <f>I51/$I$75*100</f>
        <v>4.8097472520355842</v>
      </c>
      <c r="K52" s="1014"/>
      <c r="L52"/>
      <c r="M52"/>
      <c r="N52"/>
      <c r="O52"/>
      <c r="P52"/>
    </row>
    <row r="53" spans="1:16" s="1" customFormat="1" ht="34" customHeight="1" x14ac:dyDescent="0.2">
      <c r="A53" s="1629" t="s">
        <v>5</v>
      </c>
      <c r="B53" s="3235" t="s">
        <v>103</v>
      </c>
      <c r="C53" s="3258"/>
      <c r="D53" s="3236"/>
      <c r="E53" s="414" t="s">
        <v>21</v>
      </c>
      <c r="F53" s="832">
        <f>F37+F39+F41+F43+F45+F47+F49+F51</f>
        <v>222083.99999999997</v>
      </c>
      <c r="G53" s="832">
        <f>G37+G39+G41+G43+G45+G47+G49+G51</f>
        <v>7130.88</v>
      </c>
      <c r="H53" s="832">
        <f>H37+H39+H41+H43+H45+H47+H49+H51</f>
        <v>9993.6</v>
      </c>
      <c r="I53" s="832">
        <f t="shared" si="7"/>
        <v>239208.47999999998</v>
      </c>
      <c r="J53" s="917"/>
      <c r="K53" s="1668"/>
      <c r="L53"/>
      <c r="M53"/>
      <c r="N53"/>
      <c r="O53"/>
      <c r="P53"/>
    </row>
    <row r="54" spans="1:16" s="1" customFormat="1" ht="34" customHeight="1" x14ac:dyDescent="0.2">
      <c r="A54" s="1629" t="s">
        <v>5</v>
      </c>
      <c r="B54" s="3238"/>
      <c r="C54" s="3258"/>
      <c r="D54" s="3239"/>
      <c r="E54" s="414" t="s">
        <v>22</v>
      </c>
      <c r="F54" s="417">
        <f>F53/$I$53*100</f>
        <v>92.841190245429416</v>
      </c>
      <c r="G54" s="417">
        <f>G53/$I$53*100</f>
        <v>2.9810314416947095</v>
      </c>
      <c r="H54" s="417">
        <f>H53/$I$53*100</f>
        <v>4.1777783128758648</v>
      </c>
      <c r="I54" s="415">
        <f t="shared" si="7"/>
        <v>99.999999999999986</v>
      </c>
      <c r="J54" s="917"/>
      <c r="K54" s="1668"/>
      <c r="L54"/>
      <c r="M54"/>
      <c r="N54"/>
      <c r="O54"/>
      <c r="P54"/>
    </row>
    <row r="55" spans="1:16" s="1" customFormat="1" ht="33" customHeight="1" x14ac:dyDescent="0.2">
      <c r="A55" s="1629" t="s">
        <v>5</v>
      </c>
      <c r="B55" s="1654" t="s">
        <v>140</v>
      </c>
      <c r="C55" s="1593" t="s">
        <v>115</v>
      </c>
      <c r="D55" s="1637" t="s">
        <v>113</v>
      </c>
      <c r="E55" s="57" t="s">
        <v>21</v>
      </c>
      <c r="F55" s="834">
        <v>164010.23999999999</v>
      </c>
      <c r="G55" s="738"/>
      <c r="H55" s="738"/>
      <c r="I55" s="831">
        <f t="shared" si="7"/>
        <v>164010.23999999999</v>
      </c>
      <c r="J55" s="215"/>
      <c r="K55" s="1014"/>
      <c r="L55"/>
      <c r="M55"/>
      <c r="N55"/>
      <c r="O55"/>
      <c r="P55"/>
    </row>
    <row r="56" spans="1:16" s="1" customFormat="1" ht="33" customHeight="1" x14ac:dyDescent="0.2">
      <c r="A56" s="1566" t="s">
        <v>5</v>
      </c>
      <c r="B56" s="1643" t="s">
        <v>140</v>
      </c>
      <c r="C56" s="1568" t="s">
        <v>115</v>
      </c>
      <c r="D56" s="1638" t="s">
        <v>113</v>
      </c>
      <c r="E56" s="57" t="s">
        <v>22</v>
      </c>
      <c r="F56" s="215">
        <f>F55/$I$55*100</f>
        <v>100</v>
      </c>
      <c r="G56" s="215">
        <f>G55/$I$55*100</f>
        <v>0</v>
      </c>
      <c r="H56" s="215">
        <f>H55/$I$55*100</f>
        <v>0</v>
      </c>
      <c r="I56" s="214">
        <f t="shared" si="7"/>
        <v>100</v>
      </c>
      <c r="J56" s="215">
        <f>I55/$I$75*100</f>
        <v>33.527815228462266</v>
      </c>
      <c r="K56" s="1014"/>
      <c r="L56"/>
      <c r="M56"/>
      <c r="N56"/>
      <c r="O56"/>
      <c r="P56"/>
    </row>
    <row r="57" spans="1:16" s="1" customFormat="1" ht="33" customHeight="1" x14ac:dyDescent="0.2">
      <c r="A57" s="1629" t="s">
        <v>5</v>
      </c>
      <c r="B57" s="1585" t="s">
        <v>140</v>
      </c>
      <c r="C57" s="1567" t="s">
        <v>115</v>
      </c>
      <c r="D57" s="1637" t="s">
        <v>109</v>
      </c>
      <c r="E57" s="57" t="s">
        <v>21</v>
      </c>
      <c r="F57" s="834">
        <v>64971.360000000001</v>
      </c>
      <c r="G57" s="834">
        <v>2617.92</v>
      </c>
      <c r="H57" s="834">
        <v>15330.24</v>
      </c>
      <c r="I57" s="831">
        <f t="shared" si="7"/>
        <v>82919.520000000004</v>
      </c>
      <c r="J57" s="215"/>
      <c r="K57" s="1014"/>
      <c r="L57"/>
      <c r="M57"/>
      <c r="N57"/>
      <c r="O57"/>
      <c r="P57"/>
    </row>
    <row r="58" spans="1:16" s="1" customFormat="1" ht="33" customHeight="1" x14ac:dyDescent="0.2">
      <c r="A58" s="1629" t="s">
        <v>5</v>
      </c>
      <c r="B58" s="1643" t="s">
        <v>140</v>
      </c>
      <c r="C58" s="1568" t="s">
        <v>115</v>
      </c>
      <c r="D58" s="1638" t="s">
        <v>109</v>
      </c>
      <c r="E58" s="57" t="s">
        <v>22</v>
      </c>
      <c r="F58" s="216">
        <f>F57/$I$57*100</f>
        <v>78.354722748033268</v>
      </c>
      <c r="G58" s="216">
        <f>G57/$I$57*100</f>
        <v>3.1571818071305771</v>
      </c>
      <c r="H58" s="216">
        <f>H57/$I$57*100</f>
        <v>18.488095444836148</v>
      </c>
      <c r="I58" s="214">
        <f t="shared" si="7"/>
        <v>100</v>
      </c>
      <c r="J58" s="215">
        <f>I57/$I$75*100</f>
        <v>16.950833956421146</v>
      </c>
      <c r="K58" s="1014"/>
      <c r="L58"/>
      <c r="M58"/>
      <c r="N58"/>
      <c r="O58"/>
      <c r="P58"/>
    </row>
    <row r="59" spans="1:16" s="1" customFormat="1" ht="33" customHeight="1" x14ac:dyDescent="0.2">
      <c r="A59" s="1629" t="s">
        <v>5</v>
      </c>
      <c r="B59" s="1643" t="s">
        <v>140</v>
      </c>
      <c r="C59" s="1568" t="s">
        <v>115</v>
      </c>
      <c r="D59" s="1637" t="s">
        <v>114</v>
      </c>
      <c r="E59" s="57" t="s">
        <v>21</v>
      </c>
      <c r="F59" s="834">
        <v>2779.2</v>
      </c>
      <c r="G59" s="738"/>
      <c r="H59" s="834">
        <v>259.2</v>
      </c>
      <c r="I59" s="831">
        <f t="shared" si="7"/>
        <v>3038.3999999999996</v>
      </c>
      <c r="J59" s="215"/>
      <c r="K59" s="1014"/>
      <c r="L59"/>
      <c r="M59"/>
      <c r="N59"/>
      <c r="O59"/>
      <c r="P59"/>
    </row>
    <row r="60" spans="1:16" s="1" customFormat="1" ht="33" customHeight="1" x14ac:dyDescent="0.2">
      <c r="A60" s="1629" t="s">
        <v>5</v>
      </c>
      <c r="B60" s="1644" t="s">
        <v>140</v>
      </c>
      <c r="C60" s="1584" t="s">
        <v>115</v>
      </c>
      <c r="D60" s="1638" t="s">
        <v>114</v>
      </c>
      <c r="E60" s="57" t="s">
        <v>22</v>
      </c>
      <c r="F60" s="216">
        <f>F59/$I$59*100</f>
        <v>91.469194312796205</v>
      </c>
      <c r="G60" s="216">
        <f>G59/$I$59*100</f>
        <v>0</v>
      </c>
      <c r="H60" s="216">
        <f>H59/$I$59*100</f>
        <v>8.5308056872037916</v>
      </c>
      <c r="I60" s="214">
        <f t="shared" si="7"/>
        <v>100</v>
      </c>
      <c r="J60" s="215">
        <f>I59/$I$75*100</f>
        <v>0.62112532601720316</v>
      </c>
      <c r="K60" s="1014"/>
      <c r="L60"/>
      <c r="M60"/>
      <c r="N60"/>
      <c r="O60"/>
      <c r="P60"/>
    </row>
    <row r="61" spans="1:16" s="1" customFormat="1" ht="29" customHeight="1" x14ac:dyDescent="0.2">
      <c r="A61" s="1629" t="s">
        <v>5</v>
      </c>
      <c r="D61" s="924" t="s">
        <v>129</v>
      </c>
      <c r="E61" s="57" t="s">
        <v>21</v>
      </c>
      <c r="F61" s="738"/>
      <c r="G61" s="738"/>
      <c r="H61" s="738"/>
      <c r="I61" s="214">
        <f t="shared" si="7"/>
        <v>0</v>
      </c>
      <c r="J61" s="215"/>
      <c r="K61" s="1014"/>
      <c r="L61"/>
      <c r="M61"/>
      <c r="N61"/>
      <c r="O61"/>
      <c r="P61"/>
    </row>
    <row r="62" spans="1:16" s="1" customFormat="1" ht="29" customHeight="1" x14ac:dyDescent="0.2">
      <c r="A62" s="1629" t="s">
        <v>5</v>
      </c>
      <c r="D62" s="924"/>
      <c r="E62" s="57" t="s">
        <v>22</v>
      </c>
      <c r="F62" s="216" t="e">
        <f>F61/$I$61*100</f>
        <v>#DIV/0!</v>
      </c>
      <c r="G62" s="216" t="e">
        <f>G61/$I$61*100</f>
        <v>#DIV/0!</v>
      </c>
      <c r="H62" s="216" t="e">
        <f>H61/$I$61*100</f>
        <v>#DIV/0!</v>
      </c>
      <c r="I62" s="214" t="e">
        <f t="shared" si="7"/>
        <v>#DIV/0!</v>
      </c>
      <c r="J62" s="215">
        <f>I61/$I$75*100</f>
        <v>0</v>
      </c>
      <c r="K62" s="1014"/>
      <c r="L62"/>
      <c r="M62"/>
      <c r="N62"/>
      <c r="O62"/>
      <c r="P62"/>
    </row>
    <row r="63" spans="1:16" s="1" customFormat="1" ht="36" customHeight="1" x14ac:dyDescent="0.2">
      <c r="A63" s="1629" t="s">
        <v>5</v>
      </c>
      <c r="B63" s="3235" t="s">
        <v>103</v>
      </c>
      <c r="C63" s="3235"/>
      <c r="D63" s="3236"/>
      <c r="E63" s="414" t="s">
        <v>21</v>
      </c>
      <c r="F63" s="832">
        <f>F55+F57+F59+F61</f>
        <v>231760.8</v>
      </c>
      <c r="G63" s="832">
        <f>G55+G57+G59+G61</f>
        <v>2617.92</v>
      </c>
      <c r="H63" s="832">
        <f>H55+H57+H59+H61</f>
        <v>15589.44</v>
      </c>
      <c r="I63" s="832">
        <f t="shared" si="7"/>
        <v>249968.16</v>
      </c>
      <c r="J63" s="917"/>
      <c r="K63" s="1668"/>
      <c r="L63"/>
      <c r="M63"/>
      <c r="N63"/>
      <c r="O63"/>
      <c r="P63"/>
    </row>
    <row r="64" spans="1:16" s="1" customFormat="1" ht="36" customHeight="1" x14ac:dyDescent="0.2">
      <c r="A64" s="1629" t="s">
        <v>5</v>
      </c>
      <c r="B64" s="3238"/>
      <c r="C64" s="3238"/>
      <c r="D64" s="3239"/>
      <c r="E64" s="414" t="s">
        <v>22</v>
      </c>
      <c r="F64" s="417">
        <f>F63/$I$63*100</f>
        <v>92.716128326103615</v>
      </c>
      <c r="G64" s="417">
        <f>G63/$I$63*100</f>
        <v>1.0473013843043051</v>
      </c>
      <c r="H64" s="417">
        <f>H63/$I$63*100</f>
        <v>6.2365702895920823</v>
      </c>
      <c r="I64" s="415">
        <f t="shared" si="7"/>
        <v>100</v>
      </c>
      <c r="J64" s="917"/>
      <c r="K64" s="1668"/>
      <c r="L64"/>
      <c r="M64"/>
      <c r="N64"/>
      <c r="O64"/>
      <c r="P64"/>
    </row>
    <row r="65" spans="1:16" s="1" customFormat="1" ht="29" customHeight="1" x14ac:dyDescent="0.2">
      <c r="A65" s="1629" t="s">
        <v>5</v>
      </c>
      <c r="B65" s="1654" t="s">
        <v>141</v>
      </c>
      <c r="C65" s="1593" t="s">
        <v>115</v>
      </c>
      <c r="D65" s="1640" t="s">
        <v>125</v>
      </c>
      <c r="E65" s="190" t="s">
        <v>21</v>
      </c>
      <c r="F65" s="411"/>
      <c r="G65" s="411"/>
      <c r="H65" s="411"/>
      <c r="I65" s="923">
        <f t="shared" si="7"/>
        <v>0</v>
      </c>
      <c r="J65" s="413"/>
      <c r="K65" s="1014"/>
      <c r="L65"/>
      <c r="M65"/>
      <c r="N65"/>
      <c r="O65"/>
      <c r="P65"/>
    </row>
    <row r="66" spans="1:16" s="1" customFormat="1" ht="29" customHeight="1" x14ac:dyDescent="0.2">
      <c r="A66" s="1629" t="s">
        <v>5</v>
      </c>
      <c r="B66" s="1643" t="s">
        <v>141</v>
      </c>
      <c r="C66" s="1568" t="s">
        <v>115</v>
      </c>
      <c r="D66" s="1642" t="s">
        <v>125</v>
      </c>
      <c r="E66" s="129" t="s">
        <v>22</v>
      </c>
      <c r="F66" s="207" t="e">
        <f>F65/$I$65*100</f>
        <v>#DIV/0!</v>
      </c>
      <c r="G66" s="207" t="e">
        <f>G65/$I$65*100</f>
        <v>#DIV/0!</v>
      </c>
      <c r="H66" s="207" t="e">
        <f>H65/$I$65*100</f>
        <v>#DIV/0!</v>
      </c>
      <c r="I66" s="207" t="e">
        <f t="shared" si="7"/>
        <v>#DIV/0!</v>
      </c>
      <c r="J66" s="208">
        <f>I65/$I$75*100</f>
        <v>0</v>
      </c>
      <c r="K66" s="1014"/>
      <c r="L66"/>
      <c r="M66"/>
      <c r="N66"/>
      <c r="O66"/>
      <c r="P66"/>
    </row>
    <row r="67" spans="1:16" s="1" customFormat="1" ht="29" customHeight="1" x14ac:dyDescent="0.2">
      <c r="A67" s="1629" t="s">
        <v>5</v>
      </c>
      <c r="B67" s="1643" t="s">
        <v>141</v>
      </c>
      <c r="C67" s="1568" t="s">
        <v>115</v>
      </c>
      <c r="D67" s="1640" t="s">
        <v>313</v>
      </c>
      <c r="E67" s="129" t="s">
        <v>21</v>
      </c>
      <c r="F67" s="203"/>
      <c r="G67" s="203"/>
      <c r="H67" s="203"/>
      <c r="I67" s="204">
        <f t="shared" si="7"/>
        <v>0</v>
      </c>
      <c r="J67" s="208"/>
      <c r="K67" s="1014"/>
      <c r="L67"/>
      <c r="M67"/>
      <c r="N67"/>
      <c r="O67"/>
      <c r="P67"/>
    </row>
    <row r="68" spans="1:16" s="1" customFormat="1" ht="29" customHeight="1" x14ac:dyDescent="0.2">
      <c r="A68" s="1629" t="s">
        <v>5</v>
      </c>
      <c r="B68" s="1585" t="s">
        <v>141</v>
      </c>
      <c r="C68" s="1567" t="s">
        <v>115</v>
      </c>
      <c r="D68" s="1642" t="s">
        <v>313</v>
      </c>
      <c r="E68" s="129" t="s">
        <v>22</v>
      </c>
      <c r="F68" s="207" t="e">
        <f>F67/$I$67*100</f>
        <v>#DIV/0!</v>
      </c>
      <c r="G68" s="207" t="e">
        <f>G67/$I$67*100</f>
        <v>#DIV/0!</v>
      </c>
      <c r="H68" s="207" t="e">
        <f>H67/$I$67*100</f>
        <v>#DIV/0!</v>
      </c>
      <c r="I68" s="207" t="e">
        <f>I67/$I$67*100</f>
        <v>#DIV/0!</v>
      </c>
      <c r="J68" s="208">
        <f>I67/$I$75*100</f>
        <v>0</v>
      </c>
      <c r="K68" s="1014"/>
      <c r="L68"/>
      <c r="M68"/>
      <c r="N68"/>
      <c r="O68"/>
      <c r="P68"/>
    </row>
    <row r="69" spans="1:16" s="1" customFormat="1" ht="29" customHeight="1" x14ac:dyDescent="0.2">
      <c r="A69" s="1629" t="s">
        <v>5</v>
      </c>
      <c r="B69" s="1643" t="s">
        <v>141</v>
      </c>
      <c r="C69" s="1568" t="s">
        <v>115</v>
      </c>
      <c r="D69" s="1640" t="s">
        <v>109</v>
      </c>
      <c r="E69" s="129" t="s">
        <v>21</v>
      </c>
      <c r="F69" s="203"/>
      <c r="G69" s="203"/>
      <c r="H69" s="203"/>
      <c r="I69" s="204">
        <f t="shared" ref="I69:I76" si="8">SUM(F69:H69)</f>
        <v>0</v>
      </c>
      <c r="J69" s="208"/>
      <c r="K69" s="1014"/>
      <c r="L69"/>
      <c r="M69"/>
      <c r="N69"/>
      <c r="O69"/>
      <c r="P69"/>
    </row>
    <row r="70" spans="1:16" s="1" customFormat="1" ht="29" customHeight="1" x14ac:dyDescent="0.2">
      <c r="A70" s="1629" t="s">
        <v>5</v>
      </c>
      <c r="B70" s="1643" t="s">
        <v>141</v>
      </c>
      <c r="C70" s="1568" t="s">
        <v>115</v>
      </c>
      <c r="D70" s="1642" t="s">
        <v>109</v>
      </c>
      <c r="E70" s="129" t="s">
        <v>22</v>
      </c>
      <c r="F70" s="207" t="e">
        <f>F69/$I$69*100</f>
        <v>#DIV/0!</v>
      </c>
      <c r="G70" s="207" t="e">
        <f>G69/$I$69*100</f>
        <v>#DIV/0!</v>
      </c>
      <c r="H70" s="207" t="e">
        <f>H69/$I$69*100</f>
        <v>#DIV/0!</v>
      </c>
      <c r="I70" s="207" t="e">
        <f t="shared" si="8"/>
        <v>#DIV/0!</v>
      </c>
      <c r="J70" s="208">
        <f>I69/$I$75*100</f>
        <v>0</v>
      </c>
      <c r="K70" s="1014"/>
      <c r="L70"/>
      <c r="M70"/>
      <c r="N70"/>
      <c r="O70"/>
      <c r="P70"/>
    </row>
    <row r="71" spans="1:16" s="1" customFormat="1" ht="29" customHeight="1" x14ac:dyDescent="0.2">
      <c r="A71" s="1629" t="s">
        <v>5</v>
      </c>
      <c r="B71" s="1643" t="s">
        <v>141</v>
      </c>
      <c r="C71" s="1568" t="s">
        <v>115</v>
      </c>
      <c r="D71" s="1640" t="s">
        <v>129</v>
      </c>
      <c r="E71" s="57" t="s">
        <v>21</v>
      </c>
      <c r="F71" s="214"/>
      <c r="G71" s="214"/>
      <c r="H71" s="214"/>
      <c r="I71" s="214">
        <f t="shared" si="8"/>
        <v>0</v>
      </c>
      <c r="J71" s="208"/>
      <c r="K71" s="1014"/>
      <c r="L71"/>
      <c r="M71"/>
      <c r="N71"/>
      <c r="O71"/>
      <c r="P71"/>
    </row>
    <row r="72" spans="1:16" s="1" customFormat="1" ht="29" customHeight="1" x14ac:dyDescent="0.2">
      <c r="A72" s="1629" t="s">
        <v>5</v>
      </c>
      <c r="B72" s="1644" t="s">
        <v>141</v>
      </c>
      <c r="C72" s="1584" t="s">
        <v>115</v>
      </c>
      <c r="D72" s="1642" t="s">
        <v>129</v>
      </c>
      <c r="E72" s="57" t="s">
        <v>22</v>
      </c>
      <c r="F72" s="216" t="e">
        <f>F71/$I$73*100</f>
        <v>#DIV/0!</v>
      </c>
      <c r="G72" s="216" t="e">
        <f>G71/$I$73*100</f>
        <v>#DIV/0!</v>
      </c>
      <c r="H72" s="216" t="e">
        <f>H71/$I$73*100</f>
        <v>#DIV/0!</v>
      </c>
      <c r="I72" s="216" t="e">
        <f t="shared" si="8"/>
        <v>#DIV/0!</v>
      </c>
      <c r="J72" s="208">
        <f>I71/$I$75*100</f>
        <v>0</v>
      </c>
      <c r="K72" s="1014"/>
      <c r="L72"/>
      <c r="M72"/>
      <c r="N72"/>
      <c r="O72"/>
      <c r="P72"/>
    </row>
    <row r="73" spans="1:16" s="1" customFormat="1" ht="29" customHeight="1" x14ac:dyDescent="0.2">
      <c r="A73" s="1629" t="s">
        <v>5</v>
      </c>
      <c r="B73" s="3235" t="s">
        <v>103</v>
      </c>
      <c r="C73" s="3235"/>
      <c r="D73" s="3236"/>
      <c r="E73" s="414" t="s">
        <v>21</v>
      </c>
      <c r="F73" s="415">
        <f>F65+F67+F69+F71</f>
        <v>0</v>
      </c>
      <c r="G73" s="415">
        <f>G65+G67+G69+G71</f>
        <v>0</v>
      </c>
      <c r="H73" s="415">
        <f>H65+H67+H69+H71</f>
        <v>0</v>
      </c>
      <c r="I73" s="415">
        <f t="shared" si="8"/>
        <v>0</v>
      </c>
      <c r="J73" s="416"/>
      <c r="K73" s="1668"/>
      <c r="L73"/>
      <c r="M73"/>
      <c r="N73"/>
      <c r="O73"/>
      <c r="P73"/>
    </row>
    <row r="74" spans="1:16" s="1" customFormat="1" ht="29" customHeight="1" x14ac:dyDescent="0.2">
      <c r="A74" s="1630" t="s">
        <v>5</v>
      </c>
      <c r="B74" s="3238"/>
      <c r="C74" s="3238"/>
      <c r="D74" s="3239"/>
      <c r="E74" s="414" t="s">
        <v>22</v>
      </c>
      <c r="F74" s="417" t="e">
        <f>F73/$I$73*100</f>
        <v>#DIV/0!</v>
      </c>
      <c r="G74" s="417" t="e">
        <f>G73/$I$73*100</f>
        <v>#DIV/0!</v>
      </c>
      <c r="H74" s="417" t="e">
        <f>H73/$I$73*100</f>
        <v>#DIV/0!</v>
      </c>
      <c r="I74" s="415" t="e">
        <f t="shared" si="8"/>
        <v>#DIV/0!</v>
      </c>
      <c r="J74" s="416"/>
      <c r="K74" s="1668"/>
      <c r="L74"/>
      <c r="M74"/>
      <c r="N74"/>
      <c r="O74"/>
      <c r="P74"/>
    </row>
    <row r="75" spans="1:16" s="1" customFormat="1" ht="37" customHeight="1" x14ac:dyDescent="0.2">
      <c r="A75" s="3364" t="s">
        <v>103</v>
      </c>
      <c r="B75" s="3365"/>
      <c r="C75" s="3365"/>
      <c r="D75" s="3366"/>
      <c r="E75" s="387" t="s">
        <v>21</v>
      </c>
      <c r="F75" s="896">
        <f>F53+F63+F73</f>
        <v>453844.79999999993</v>
      </c>
      <c r="G75" s="896">
        <f>G53+G63+G73</f>
        <v>9748.7999999999993</v>
      </c>
      <c r="H75" s="896">
        <f>H53+H63+H73</f>
        <v>25583.040000000001</v>
      </c>
      <c r="I75" s="896">
        <f t="shared" si="8"/>
        <v>489176.6399999999</v>
      </c>
      <c r="J75" s="867"/>
      <c r="K75" s="1625"/>
      <c r="L75"/>
      <c r="M75"/>
      <c r="N75"/>
      <c r="O75"/>
      <c r="P75"/>
    </row>
    <row r="76" spans="1:16" s="1" customFormat="1" ht="37" customHeight="1" x14ac:dyDescent="0.2">
      <c r="A76" s="3367"/>
      <c r="B76" s="3368"/>
      <c r="C76" s="3368"/>
      <c r="D76" s="3369"/>
      <c r="E76" s="387" t="s">
        <v>22</v>
      </c>
      <c r="F76" s="389">
        <f>F75/$I$75*100</f>
        <v>92.777283886654942</v>
      </c>
      <c r="G76" s="389">
        <f>G75/$I$75*100</f>
        <v>1.9928997427187038</v>
      </c>
      <c r="H76" s="389">
        <f>H75/$I$75*100</f>
        <v>5.2298163706263665</v>
      </c>
      <c r="I76" s="389">
        <f t="shared" si="8"/>
        <v>100.00000000000001</v>
      </c>
      <c r="J76" s="867">
        <f>SUM(J38:J72)</f>
        <v>100.00000000000004</v>
      </c>
      <c r="K76" s="1624"/>
      <c r="L76"/>
      <c r="M76"/>
      <c r="N76"/>
      <c r="O76"/>
      <c r="P76"/>
    </row>
    <row r="77" spans="1:16" s="1" customFormat="1" ht="14" customHeight="1" x14ac:dyDescent="0.2">
      <c r="A77" s="918"/>
      <c r="B77" s="919"/>
      <c r="C77" s="920"/>
      <c r="D77" s="921"/>
      <c r="E77" s="921"/>
      <c r="F77" s="921"/>
      <c r="G77" s="921"/>
      <c r="H77" s="921"/>
      <c r="I77" s="922"/>
      <c r="J77" s="922"/>
      <c r="K77" s="922"/>
      <c r="L77" s="922"/>
      <c r="M77" s="922"/>
      <c r="N77" s="922"/>
    </row>
    <row r="78" spans="1:16" s="1" customFormat="1" ht="29" customHeight="1" x14ac:dyDescent="0.2">
      <c r="A78" s="3385" t="s">
        <v>506</v>
      </c>
      <c r="B78" s="3207"/>
      <c r="C78" s="3207"/>
      <c r="D78" s="3207"/>
      <c r="E78" s="3207"/>
      <c r="F78" s="3207"/>
      <c r="G78" s="3207"/>
      <c r="H78" s="3207"/>
      <c r="I78" s="3207"/>
      <c r="J78" s="3207"/>
      <c r="K78" s="3207"/>
      <c r="L78" s="3207"/>
      <c r="M78" s="3207"/>
      <c r="N78" s="3207"/>
    </row>
    <row r="79" spans="1:16" s="1" customFormat="1" ht="35" customHeight="1" x14ac:dyDescent="0.2">
      <c r="A79" s="221" t="s">
        <v>39</v>
      </c>
      <c r="B79" s="2551" t="s">
        <v>134</v>
      </c>
      <c r="C79" s="2551"/>
      <c r="D79" s="222" t="s">
        <v>6</v>
      </c>
      <c r="E79" s="222" t="s">
        <v>135</v>
      </c>
      <c r="F79" s="222" t="s">
        <v>43</v>
      </c>
      <c r="G79" s="222" t="s">
        <v>10</v>
      </c>
      <c r="H79" s="391" t="s">
        <v>314</v>
      </c>
      <c r="I79" s="2605" t="s">
        <v>47</v>
      </c>
      <c r="J79" s="2605"/>
      <c r="K79" s="2605"/>
      <c r="L79" s="2605"/>
      <c r="M79" s="2605"/>
      <c r="N79" s="2605"/>
    </row>
    <row r="80" spans="1:16" s="1" customFormat="1" ht="35" customHeight="1" x14ac:dyDescent="0.2">
      <c r="A80" s="223">
        <v>1</v>
      </c>
      <c r="B80" s="2599" t="s">
        <v>137</v>
      </c>
      <c r="C80" s="2599"/>
      <c r="D80" s="224" t="s">
        <v>138</v>
      </c>
      <c r="E80" s="735" t="s">
        <v>139</v>
      </c>
      <c r="F80" s="830">
        <f>I53</f>
        <v>239208.47999999998</v>
      </c>
      <c r="G80" s="224">
        <f>F80/$K$10</f>
        <v>15.159073000516337</v>
      </c>
      <c r="H80" s="214">
        <f>F80/$F$83*100</f>
        <v>48.900225489099391</v>
      </c>
      <c r="I80" s="2600"/>
      <c r="J80" s="2600"/>
      <c r="K80" s="2600"/>
      <c r="L80" s="2600"/>
      <c r="M80" s="2600"/>
      <c r="N80" s="2600"/>
    </row>
    <row r="81" spans="1:17" s="1" customFormat="1" ht="35" customHeight="1" x14ac:dyDescent="0.2">
      <c r="A81" s="223">
        <v>2</v>
      </c>
      <c r="B81" s="2599" t="s">
        <v>137</v>
      </c>
      <c r="C81" s="2599"/>
      <c r="D81" s="224" t="s">
        <v>138</v>
      </c>
      <c r="E81" s="224" t="s">
        <v>140</v>
      </c>
      <c r="F81" s="830">
        <f>I63</f>
        <v>249968.16</v>
      </c>
      <c r="G81" s="224">
        <f>F81/$K$10</f>
        <v>15.840933336664103</v>
      </c>
      <c r="H81" s="214">
        <f>F81/$F$83*100</f>
        <v>51.099774510900595</v>
      </c>
      <c r="I81" s="2600"/>
      <c r="J81" s="2600"/>
      <c r="K81" s="2600"/>
      <c r="L81" s="2600"/>
      <c r="M81" s="2600"/>
      <c r="N81" s="2600"/>
    </row>
    <row r="82" spans="1:17" s="1" customFormat="1" ht="35" customHeight="1" x14ac:dyDescent="0.2">
      <c r="A82" s="223">
        <v>3</v>
      </c>
      <c r="B82" s="2599" t="s">
        <v>137</v>
      </c>
      <c r="C82" s="2599"/>
      <c r="D82" s="224" t="s">
        <v>138</v>
      </c>
      <c r="E82" s="224" t="s">
        <v>141</v>
      </c>
      <c r="F82" s="830">
        <f>I73</f>
        <v>0</v>
      </c>
      <c r="G82" s="224">
        <f>F82/$K$10</f>
        <v>0</v>
      </c>
      <c r="H82" s="214">
        <f>F82/$F$83*100</f>
        <v>0</v>
      </c>
      <c r="I82" s="2600"/>
      <c r="J82" s="2600"/>
      <c r="K82" s="2600"/>
      <c r="L82" s="2600"/>
      <c r="M82" s="2600"/>
      <c r="N82" s="2600"/>
    </row>
    <row r="83" spans="1:17" s="1" customFormat="1" ht="35" customHeight="1" x14ac:dyDescent="0.2">
      <c r="A83" s="3260" t="s">
        <v>496</v>
      </c>
      <c r="B83" s="3261"/>
      <c r="C83" s="3262"/>
      <c r="D83" s="225" t="s">
        <v>142</v>
      </c>
      <c r="E83" s="225" t="s">
        <v>142</v>
      </c>
      <c r="F83" s="860">
        <f>SUM(F80:F82)</f>
        <v>489176.64</v>
      </c>
      <c r="G83" s="226">
        <f>SUM(G80:G82)</f>
        <v>31.000006337180437</v>
      </c>
      <c r="H83" s="227">
        <f>SUM(H80:H82)</f>
        <v>99.999999999999986</v>
      </c>
      <c r="I83" s="2603"/>
      <c r="J83" s="2603"/>
      <c r="K83" s="2603"/>
      <c r="L83" s="2603"/>
      <c r="M83" s="2603"/>
      <c r="N83" s="2603"/>
    </row>
    <row r="84" spans="1:17" s="1" customFormat="1" ht="9" customHeight="1" x14ac:dyDescent="0.2">
      <c r="A84" s="459"/>
      <c r="B84" s="459"/>
      <c r="C84" s="459"/>
      <c r="D84" s="460"/>
      <c r="E84" s="460"/>
      <c r="F84" s="461"/>
      <c r="G84" s="462"/>
      <c r="H84" s="463"/>
      <c r="I84" s="464"/>
      <c r="J84" s="464"/>
      <c r="K84" s="41"/>
      <c r="L84" s="41"/>
      <c r="M84" s="41"/>
      <c r="N84" s="41"/>
    </row>
    <row r="85" spans="1:17" s="1" customFormat="1" ht="9" customHeight="1" x14ac:dyDescent="0.2">
      <c r="A85" s="459"/>
      <c r="B85" s="459"/>
      <c r="C85" s="459"/>
      <c r="D85" s="460"/>
      <c r="E85" s="460"/>
      <c r="F85" s="461"/>
      <c r="G85" s="462"/>
      <c r="H85" s="463"/>
      <c r="I85" s="464"/>
      <c r="J85" s="464"/>
      <c r="K85" s="41"/>
      <c r="L85" s="41"/>
      <c r="M85" s="41"/>
      <c r="N85" s="41"/>
    </row>
    <row r="86" spans="1:17" s="1" customFormat="1" ht="25" customHeight="1" x14ac:dyDescent="0.2">
      <c r="A86" s="42" t="s">
        <v>497</v>
      </c>
      <c r="B86" s="459"/>
      <c r="C86" s="459"/>
      <c r="D86" s="460"/>
      <c r="E86" s="460"/>
      <c r="F86" s="461"/>
      <c r="G86" s="462"/>
      <c r="H86" s="463"/>
      <c r="I86" s="465"/>
      <c r="J86" s="464"/>
      <c r="K86" s="41"/>
      <c r="L86" s="41"/>
      <c r="M86" s="41"/>
      <c r="N86" s="41"/>
    </row>
    <row r="87" spans="1:17" s="1" customFormat="1" ht="23" customHeight="1" x14ac:dyDescent="0.2">
      <c r="A87" s="2665" t="s">
        <v>34</v>
      </c>
      <c r="B87" s="2665" t="s">
        <v>135</v>
      </c>
      <c r="C87" s="2551" t="s">
        <v>6</v>
      </c>
      <c r="D87" s="2551" t="s">
        <v>105</v>
      </c>
      <c r="E87" s="2551" t="s">
        <v>17</v>
      </c>
      <c r="F87" s="3308" t="s">
        <v>106</v>
      </c>
      <c r="G87" s="2577"/>
      <c r="H87" s="2577"/>
      <c r="I87" s="2578"/>
      <c r="J87" s="390" t="s">
        <v>107</v>
      </c>
      <c r="K87" s="2551" t="s">
        <v>47</v>
      </c>
      <c r="M87"/>
      <c r="N87"/>
      <c r="O87"/>
      <c r="P87"/>
      <c r="Q87"/>
    </row>
    <row r="88" spans="1:17" s="1" customFormat="1" ht="34" customHeight="1" x14ac:dyDescent="0.2">
      <c r="A88" s="3223"/>
      <c r="B88" s="3223"/>
      <c r="C88" s="2566"/>
      <c r="D88" s="2551"/>
      <c r="E88" s="2551"/>
      <c r="F88" s="200" t="s">
        <v>18</v>
      </c>
      <c r="G88" s="202" t="s">
        <v>19</v>
      </c>
      <c r="H88" s="202" t="s">
        <v>20</v>
      </c>
      <c r="I88" s="202" t="s">
        <v>108</v>
      </c>
      <c r="J88" s="390" t="s">
        <v>22</v>
      </c>
      <c r="K88" s="2551"/>
      <c r="M88"/>
      <c r="N88"/>
      <c r="O88"/>
      <c r="P88"/>
      <c r="Q88"/>
    </row>
    <row r="89" spans="1:17" s="1" customFormat="1" ht="23" customHeight="1" x14ac:dyDescent="0.2">
      <c r="A89" s="1632" t="s">
        <v>25</v>
      </c>
      <c r="B89" s="1632" t="s">
        <v>140</v>
      </c>
      <c r="C89" s="1632" t="s">
        <v>116</v>
      </c>
      <c r="D89" s="1640" t="s">
        <v>109</v>
      </c>
      <c r="E89" s="190" t="s">
        <v>21</v>
      </c>
      <c r="F89" s="835">
        <v>214442.23999999999</v>
      </c>
      <c r="G89" s="203">
        <v>184.32</v>
      </c>
      <c r="H89" s="835">
        <v>22239</v>
      </c>
      <c r="I89" s="833">
        <f t="shared" ref="I89:I104" si="9">SUM(F89:H89)</f>
        <v>236865.56</v>
      </c>
      <c r="J89" s="205"/>
      <c r="K89" s="1014" t="s">
        <v>320</v>
      </c>
      <c r="M89"/>
      <c r="N89"/>
      <c r="O89"/>
      <c r="P89"/>
      <c r="Q89"/>
    </row>
    <row r="90" spans="1:17" s="1" customFormat="1" ht="23" customHeight="1" x14ac:dyDescent="0.2">
      <c r="A90" s="1633" t="s">
        <v>25</v>
      </c>
      <c r="B90" s="1633" t="s">
        <v>140</v>
      </c>
      <c r="C90" s="1633" t="s">
        <v>116</v>
      </c>
      <c r="D90" s="1642" t="s">
        <v>109</v>
      </c>
      <c r="E90" s="129" t="s">
        <v>22</v>
      </c>
      <c r="F90" s="206">
        <f>F89/$I$89*100</f>
        <v>90.533313496482975</v>
      </c>
      <c r="G90" s="206">
        <f>G89/$I$89*100</f>
        <v>7.7816293765965799E-2</v>
      </c>
      <c r="H90" s="206">
        <f>H89/$I$89*100</f>
        <v>9.388870209751051</v>
      </c>
      <c r="I90" s="207">
        <f t="shared" si="9"/>
        <v>99.999999999999986</v>
      </c>
      <c r="J90" s="208">
        <f>I89/$I$103*100</f>
        <v>64.383941739961955</v>
      </c>
      <c r="K90" s="1014"/>
      <c r="M90"/>
      <c r="N90"/>
      <c r="O90"/>
      <c r="P90"/>
      <c r="Q90"/>
    </row>
    <row r="91" spans="1:17" s="1" customFormat="1" ht="23" customHeight="1" x14ac:dyDescent="0.2">
      <c r="A91" s="1633" t="s">
        <v>25</v>
      </c>
      <c r="B91" s="1633" t="s">
        <v>140</v>
      </c>
      <c r="C91" s="1633" t="s">
        <v>116</v>
      </c>
      <c r="D91" s="1640" t="s">
        <v>125</v>
      </c>
      <c r="E91" s="129" t="s">
        <v>21</v>
      </c>
      <c r="F91" s="833">
        <v>12367.36</v>
      </c>
      <c r="G91" s="204">
        <v>0</v>
      </c>
      <c r="H91" s="833">
        <v>2378.2399999999998</v>
      </c>
      <c r="I91" s="833">
        <f t="shared" si="9"/>
        <v>14745.6</v>
      </c>
      <c r="J91" s="208"/>
      <c r="K91" s="1014"/>
      <c r="M91"/>
      <c r="N91"/>
      <c r="O91"/>
      <c r="P91"/>
      <c r="Q91"/>
    </row>
    <row r="92" spans="1:17" s="1" customFormat="1" ht="23" customHeight="1" x14ac:dyDescent="0.2">
      <c r="A92" s="1633" t="s">
        <v>25</v>
      </c>
      <c r="B92" s="1633" t="s">
        <v>140</v>
      </c>
      <c r="C92" s="1633" t="s">
        <v>116</v>
      </c>
      <c r="D92" s="1642" t="s">
        <v>125</v>
      </c>
      <c r="E92" s="129" t="s">
        <v>22</v>
      </c>
      <c r="F92" s="207">
        <f>F91/$I$91*100</f>
        <v>83.871527777777771</v>
      </c>
      <c r="G92" s="207">
        <f>G91/$I$91*100</f>
        <v>0</v>
      </c>
      <c r="H92" s="207">
        <f>H91/$I$91*100</f>
        <v>16.128472222222221</v>
      </c>
      <c r="I92" s="207">
        <f t="shared" si="9"/>
        <v>100</v>
      </c>
      <c r="J92" s="208">
        <f>I91/$I$103*100</f>
        <v>4.0080957793981664</v>
      </c>
      <c r="K92" s="1014"/>
      <c r="M92"/>
      <c r="N92"/>
      <c r="O92"/>
      <c r="P92"/>
      <c r="Q92"/>
    </row>
    <row r="93" spans="1:17" s="1" customFormat="1" ht="23" customHeight="1" x14ac:dyDescent="0.2">
      <c r="A93" s="1633" t="s">
        <v>25</v>
      </c>
      <c r="B93" s="1633" t="s">
        <v>140</v>
      </c>
      <c r="C93" s="1633" t="s">
        <v>116</v>
      </c>
      <c r="D93" s="1640" t="s">
        <v>129</v>
      </c>
      <c r="E93" s="129" t="s">
        <v>21</v>
      </c>
      <c r="F93" s="833">
        <v>8145.92</v>
      </c>
      <c r="G93" s="204">
        <v>0</v>
      </c>
      <c r="H93" s="833">
        <v>586.24</v>
      </c>
      <c r="I93" s="833">
        <f t="shared" si="9"/>
        <v>8732.16</v>
      </c>
      <c r="J93" s="208"/>
      <c r="K93" s="1014"/>
      <c r="M93"/>
      <c r="N93"/>
      <c r="O93"/>
      <c r="P93"/>
      <c r="Q93"/>
    </row>
    <row r="94" spans="1:17" s="1" customFormat="1" ht="23" customHeight="1" x14ac:dyDescent="0.2">
      <c r="A94" s="1567" t="s">
        <v>25</v>
      </c>
      <c r="B94" s="1567" t="s">
        <v>140</v>
      </c>
      <c r="C94" s="1567" t="s">
        <v>116</v>
      </c>
      <c r="D94" s="1642" t="s">
        <v>129</v>
      </c>
      <c r="E94" s="141" t="s">
        <v>22</v>
      </c>
      <c r="F94" s="409">
        <f>F93/$I$93*100</f>
        <v>93.286426267956614</v>
      </c>
      <c r="G94" s="409">
        <f>G93/$I$93*100</f>
        <v>0</v>
      </c>
      <c r="H94" s="409">
        <f>H93/$I$93*100</f>
        <v>6.7135737320433888</v>
      </c>
      <c r="I94" s="409">
        <f t="shared" si="9"/>
        <v>100</v>
      </c>
      <c r="J94" s="208">
        <f>I93/$I$103*100</f>
        <v>2.3735442193623517</v>
      </c>
      <c r="K94" s="1014"/>
      <c r="M94"/>
      <c r="N94"/>
      <c r="O94"/>
      <c r="P94"/>
      <c r="Q94"/>
    </row>
    <row r="95" spans="1:17" s="1" customFormat="1" ht="23" customHeight="1" x14ac:dyDescent="0.2">
      <c r="A95" s="1633" t="s">
        <v>25</v>
      </c>
      <c r="B95" s="1633" t="s">
        <v>140</v>
      </c>
      <c r="C95" s="1633" t="s">
        <v>116</v>
      </c>
      <c r="D95" s="1640" t="s">
        <v>113</v>
      </c>
      <c r="E95" s="129" t="s">
        <v>21</v>
      </c>
      <c r="F95" s="833">
        <v>36629.760000000002</v>
      </c>
      <c r="G95" s="204">
        <v>0</v>
      </c>
      <c r="H95" s="833">
        <v>3620</v>
      </c>
      <c r="I95" s="833">
        <f t="shared" si="9"/>
        <v>40249.760000000002</v>
      </c>
      <c r="J95" s="956"/>
      <c r="K95" s="1014"/>
      <c r="M95"/>
      <c r="N95"/>
      <c r="O95"/>
      <c r="P95"/>
      <c r="Q95"/>
    </row>
    <row r="96" spans="1:17" s="1" customFormat="1" ht="23" customHeight="1" x14ac:dyDescent="0.2">
      <c r="A96" s="1633" t="s">
        <v>25</v>
      </c>
      <c r="B96" s="1633" t="s">
        <v>140</v>
      </c>
      <c r="C96" s="1633" t="s">
        <v>116</v>
      </c>
      <c r="D96" s="1642" t="s">
        <v>113</v>
      </c>
      <c r="E96" s="129" t="s">
        <v>22</v>
      </c>
      <c r="F96" s="207">
        <f>F95/$I$95*100</f>
        <v>91.006157552243792</v>
      </c>
      <c r="G96" s="207">
        <f>G95/$I$95*100</f>
        <v>0</v>
      </c>
      <c r="H96" s="207">
        <f>H95/$I$95*100</f>
        <v>8.9938424477562098</v>
      </c>
      <c r="I96" s="207">
        <f t="shared" si="9"/>
        <v>100</v>
      </c>
      <c r="J96" s="208">
        <f>I95/$I$103*100</f>
        <v>10.940544513467689</v>
      </c>
      <c r="K96" s="1014"/>
      <c r="M96"/>
      <c r="N96"/>
      <c r="O96"/>
      <c r="P96"/>
      <c r="Q96"/>
    </row>
    <row r="97" spans="1:17" s="1" customFormat="1" ht="23" customHeight="1" x14ac:dyDescent="0.2">
      <c r="A97" s="1633" t="s">
        <v>25</v>
      </c>
      <c r="B97" s="1633" t="s">
        <v>140</v>
      </c>
      <c r="C97" s="1633" t="s">
        <v>116</v>
      </c>
      <c r="D97" s="1640" t="s">
        <v>117</v>
      </c>
      <c r="E97" s="129" t="s">
        <v>21</v>
      </c>
      <c r="F97" s="833">
        <v>3749.12</v>
      </c>
      <c r="G97" s="204">
        <v>0</v>
      </c>
      <c r="H97" s="833">
        <v>398.64</v>
      </c>
      <c r="I97" s="833">
        <f t="shared" si="9"/>
        <v>4147.76</v>
      </c>
      <c r="J97" s="208"/>
      <c r="K97" s="1014"/>
      <c r="M97"/>
      <c r="N97"/>
      <c r="O97"/>
      <c r="P97"/>
      <c r="Q97"/>
    </row>
    <row r="98" spans="1:17" s="1" customFormat="1" ht="23" customHeight="1" x14ac:dyDescent="0.2">
      <c r="A98" s="1633" t="s">
        <v>25</v>
      </c>
      <c r="B98" s="1633" t="s">
        <v>140</v>
      </c>
      <c r="C98" s="1633" t="s">
        <v>116</v>
      </c>
      <c r="D98" s="1642" t="s">
        <v>117</v>
      </c>
      <c r="E98" s="141" t="s">
        <v>22</v>
      </c>
      <c r="F98" s="409">
        <f>F97/$I$97*100</f>
        <v>90.389029259166392</v>
      </c>
      <c r="G98" s="409">
        <f>G97/$I$97*100</f>
        <v>0</v>
      </c>
      <c r="H98" s="409">
        <f>H97/$I$97*100</f>
        <v>9.610970740833606</v>
      </c>
      <c r="I98" s="409">
        <f t="shared" si="9"/>
        <v>100</v>
      </c>
      <c r="J98" s="208">
        <f>I97/$I$103*100</f>
        <v>1.1274291551348565</v>
      </c>
      <c r="K98" s="1014"/>
      <c r="M98"/>
      <c r="N98"/>
      <c r="O98"/>
      <c r="P98"/>
      <c r="Q98"/>
    </row>
    <row r="99" spans="1:17" s="1" customFormat="1" ht="23" customHeight="1" x14ac:dyDescent="0.2">
      <c r="A99" s="1633" t="s">
        <v>25</v>
      </c>
      <c r="B99" s="1633" t="s">
        <v>140</v>
      </c>
      <c r="C99" s="1633" t="s">
        <v>116</v>
      </c>
      <c r="D99" s="1640" t="s">
        <v>112</v>
      </c>
      <c r="E99" s="129" t="s">
        <v>21</v>
      </c>
      <c r="F99" s="833">
        <v>9719.0400000000009</v>
      </c>
      <c r="G99" s="204">
        <v>0</v>
      </c>
      <c r="H99" s="833">
        <v>880</v>
      </c>
      <c r="I99" s="833">
        <f t="shared" si="9"/>
        <v>10599.04</v>
      </c>
      <c r="J99" s="208"/>
      <c r="K99" s="1014"/>
      <c r="M99"/>
      <c r="N99"/>
      <c r="O99"/>
      <c r="P99"/>
      <c r="Q99"/>
    </row>
    <row r="100" spans="1:17" s="1" customFormat="1" ht="23" customHeight="1" x14ac:dyDescent="0.2">
      <c r="A100" s="1633" t="s">
        <v>25</v>
      </c>
      <c r="B100" s="1633" t="s">
        <v>140</v>
      </c>
      <c r="C100" s="1633" t="s">
        <v>116</v>
      </c>
      <c r="D100" s="1642" t="s">
        <v>112</v>
      </c>
      <c r="E100" s="141" t="s">
        <v>22</v>
      </c>
      <c r="F100" s="409">
        <f>F99/$I$99*100</f>
        <v>91.697361270454678</v>
      </c>
      <c r="G100" s="409">
        <f>G99/$I$99*100</f>
        <v>0</v>
      </c>
      <c r="H100" s="409">
        <f>H99/$I$99*100</f>
        <v>8.3026387295453166</v>
      </c>
      <c r="I100" s="410">
        <f t="shared" si="9"/>
        <v>100</v>
      </c>
      <c r="J100" s="208">
        <f>I99/$I$103*100</f>
        <v>2.8809928039328572</v>
      </c>
      <c r="K100" s="1014"/>
      <c r="M100"/>
      <c r="N100"/>
      <c r="O100"/>
      <c r="P100"/>
      <c r="Q100"/>
    </row>
    <row r="101" spans="1:17" s="1" customFormat="1" ht="23" customHeight="1" x14ac:dyDescent="0.2">
      <c r="A101" s="1633" t="s">
        <v>25</v>
      </c>
      <c r="B101" s="1633" t="s">
        <v>140</v>
      </c>
      <c r="C101" s="1633" t="s">
        <v>116</v>
      </c>
      <c r="D101" s="1640" t="s">
        <v>541</v>
      </c>
      <c r="E101" s="129" t="s">
        <v>21</v>
      </c>
      <c r="F101" s="833">
        <v>49378.559999999998</v>
      </c>
      <c r="G101" s="204">
        <v>0</v>
      </c>
      <c r="H101" s="833">
        <v>3176.96</v>
      </c>
      <c r="I101" s="833">
        <f t="shared" si="9"/>
        <v>52555.519999999997</v>
      </c>
      <c r="J101" s="208"/>
      <c r="K101" s="1014"/>
      <c r="M101"/>
      <c r="N101"/>
      <c r="O101"/>
      <c r="P101"/>
      <c r="Q101"/>
    </row>
    <row r="102" spans="1:17" s="1" customFormat="1" ht="23" customHeight="1" x14ac:dyDescent="0.2">
      <c r="A102" s="1634" t="s">
        <v>25</v>
      </c>
      <c r="B102" s="1634" t="s">
        <v>140</v>
      </c>
      <c r="C102" s="1634" t="s">
        <v>116</v>
      </c>
      <c r="D102" s="1642" t="s">
        <v>541</v>
      </c>
      <c r="E102" s="141" t="s">
        <v>22</v>
      </c>
      <c r="F102" s="409">
        <f>F101/$I$101*100</f>
        <v>93.955040307849686</v>
      </c>
      <c r="G102" s="409">
        <f>G101/$I$101*100</f>
        <v>0</v>
      </c>
      <c r="H102" s="409">
        <f>H101/$I$101*100</f>
        <v>6.0449596921503206</v>
      </c>
      <c r="I102" s="410">
        <f t="shared" si="9"/>
        <v>100</v>
      </c>
      <c r="J102" s="208">
        <f>I101/$I$103*100</f>
        <v>14.285451788742126</v>
      </c>
      <c r="K102" s="1014"/>
      <c r="M102"/>
      <c r="N102"/>
      <c r="O102"/>
      <c r="P102"/>
      <c r="Q102"/>
    </row>
    <row r="103" spans="1:17" s="1" customFormat="1" ht="31" customHeight="1" x14ac:dyDescent="0.2">
      <c r="A103" s="3258" t="s">
        <v>103</v>
      </c>
      <c r="B103" s="3258"/>
      <c r="C103" s="3258"/>
      <c r="D103" s="3259"/>
      <c r="E103" s="414" t="s">
        <v>21</v>
      </c>
      <c r="F103" s="832">
        <f>F89+F91+F93+F95+F97+F99+F101</f>
        <v>334431.99999999994</v>
      </c>
      <c r="G103" s="832">
        <f>G89+G91+G93+G95+G97+G99+G101</f>
        <v>184.32</v>
      </c>
      <c r="H103" s="832">
        <f>H89+H91+H93+H95+H97+H99+H101</f>
        <v>33279.08</v>
      </c>
      <c r="I103" s="832">
        <f t="shared" si="9"/>
        <v>367895.39999999997</v>
      </c>
      <c r="J103" s="416"/>
      <c r="K103" s="1668"/>
      <c r="M103"/>
      <c r="N103"/>
      <c r="O103"/>
      <c r="P103"/>
      <c r="Q103"/>
    </row>
    <row r="104" spans="1:17" s="1" customFormat="1" ht="31" customHeight="1" x14ac:dyDescent="0.2">
      <c r="A104" s="3238"/>
      <c r="B104" s="3238"/>
      <c r="C104" s="3238"/>
      <c r="D104" s="3239"/>
      <c r="E104" s="414" t="s">
        <v>22</v>
      </c>
      <c r="F104" s="417">
        <f>F103/$I$103*100</f>
        <v>90.904099371723589</v>
      </c>
      <c r="G104" s="417">
        <f>G103/$I$103*100</f>
        <v>5.010119724247708E-2</v>
      </c>
      <c r="H104" s="417">
        <f>H103/$I$103*100</f>
        <v>9.0457994310339309</v>
      </c>
      <c r="I104" s="415">
        <f t="shared" si="9"/>
        <v>100</v>
      </c>
      <c r="J104" s="416">
        <f>SUM(J89:J103)</f>
        <v>100</v>
      </c>
      <c r="K104" s="1668"/>
      <c r="M104"/>
      <c r="N104"/>
      <c r="O104"/>
      <c r="P104"/>
      <c r="Q104"/>
    </row>
    <row r="105" spans="1:17" s="1" customFormat="1" ht="12" customHeight="1" x14ac:dyDescent="0.2">
      <c r="A105" s="41"/>
      <c r="B105" s="41"/>
      <c r="C105" s="41"/>
      <c r="D105" s="41"/>
      <c r="E105" s="41"/>
      <c r="F105" s="41"/>
      <c r="G105" s="41"/>
      <c r="H105" s="399"/>
      <c r="I105" s="439"/>
      <c r="J105" s="41"/>
      <c r="K105" s="41"/>
      <c r="L105" s="41"/>
      <c r="M105" s="41"/>
      <c r="N105" s="41"/>
    </row>
    <row r="106" spans="1:17" s="1" customFormat="1" ht="26" customHeight="1" x14ac:dyDescent="0.2">
      <c r="A106" s="3383" t="s">
        <v>505</v>
      </c>
      <c r="B106" s="3384"/>
      <c r="C106" s="3384"/>
      <c r="D106" s="3384"/>
      <c r="E106" s="3384"/>
      <c r="F106" s="3384"/>
      <c r="G106" s="3384"/>
      <c r="H106" s="3384"/>
      <c r="I106" s="3384"/>
      <c r="J106" s="3384"/>
      <c r="K106" s="3384"/>
      <c r="L106" s="3384"/>
      <c r="M106" s="3384"/>
      <c r="N106" s="3384"/>
    </row>
    <row r="107" spans="1:17" s="1" customFormat="1" ht="26" customHeight="1" x14ac:dyDescent="0.2">
      <c r="A107" s="221" t="s">
        <v>39</v>
      </c>
      <c r="B107" s="2551" t="s">
        <v>134</v>
      </c>
      <c r="C107" s="2551"/>
      <c r="D107" s="222" t="s">
        <v>6</v>
      </c>
      <c r="E107" s="222" t="s">
        <v>135</v>
      </c>
      <c r="F107" s="222" t="s">
        <v>43</v>
      </c>
      <c r="G107" s="222" t="s">
        <v>10</v>
      </c>
      <c r="H107" s="391" t="s">
        <v>314</v>
      </c>
      <c r="I107" s="2605" t="s">
        <v>47</v>
      </c>
      <c r="J107" s="2605"/>
      <c r="K107" s="2605"/>
      <c r="L107" s="2605"/>
      <c r="M107" s="2605"/>
      <c r="N107" s="2605"/>
    </row>
    <row r="108" spans="1:17" s="1" customFormat="1" ht="26" customHeight="1" x14ac:dyDescent="0.2">
      <c r="A108" s="223">
        <v>1</v>
      </c>
      <c r="B108" s="2599" t="s">
        <v>324</v>
      </c>
      <c r="C108" s="2599"/>
      <c r="D108" s="224" t="s">
        <v>325</v>
      </c>
      <c r="E108" s="224" t="s">
        <v>140</v>
      </c>
      <c r="F108" s="830">
        <f>I103</f>
        <v>367895.39999999997</v>
      </c>
      <c r="G108" s="224">
        <f>F108/$K$16</f>
        <v>26.6000260291631</v>
      </c>
      <c r="H108" s="214">
        <f>F108/$F$109*100</f>
        <v>100</v>
      </c>
      <c r="I108" s="2600"/>
      <c r="J108" s="2600"/>
      <c r="K108" s="2600"/>
      <c r="L108" s="2600"/>
      <c r="M108" s="2600"/>
      <c r="N108" s="2600"/>
    </row>
    <row r="109" spans="1:17" s="1" customFormat="1" ht="30" customHeight="1" x14ac:dyDescent="0.2">
      <c r="A109" s="3377" t="s">
        <v>498</v>
      </c>
      <c r="B109" s="3377"/>
      <c r="C109" s="3377"/>
      <c r="D109" s="225" t="s">
        <v>142</v>
      </c>
      <c r="E109" s="225" t="s">
        <v>142</v>
      </c>
      <c r="F109" s="860">
        <f>SUM(F108:F108)</f>
        <v>367895.39999999997</v>
      </c>
      <c r="G109" s="226">
        <f>SUM(G108:G108)</f>
        <v>26.6000260291631</v>
      </c>
      <c r="H109" s="227">
        <f>SUM(H108:H108)</f>
        <v>100</v>
      </c>
      <c r="I109" s="2603"/>
      <c r="J109" s="2603"/>
      <c r="K109" s="2603"/>
      <c r="L109" s="2603"/>
      <c r="M109" s="2603"/>
      <c r="N109" s="2603"/>
    </row>
    <row r="110" spans="1:17" s="1" customFormat="1" ht="28" customHeight="1" x14ac:dyDescent="0.2">
      <c r="A110" s="3161" t="s">
        <v>499</v>
      </c>
      <c r="B110" s="3161"/>
      <c r="C110" s="3161"/>
      <c r="D110" s="3161"/>
      <c r="E110" s="3161"/>
      <c r="F110" s="3161"/>
      <c r="G110" s="3161"/>
      <c r="H110" s="3161"/>
      <c r="I110" s="3161"/>
      <c r="J110" s="3161"/>
      <c r="K110" s="3161"/>
      <c r="L110" s="3161"/>
      <c r="M110" s="3161"/>
      <c r="N110" s="3161"/>
    </row>
    <row r="111" spans="1:17" s="1" customFormat="1" ht="27" customHeight="1" x14ac:dyDescent="0.2">
      <c r="A111" s="3162" t="s">
        <v>147</v>
      </c>
      <c r="B111" s="3162"/>
      <c r="C111" s="3162"/>
      <c r="D111" s="3162"/>
      <c r="E111" s="3162"/>
      <c r="F111" s="3162"/>
      <c r="G111" s="3162"/>
      <c r="H111" s="3162"/>
      <c r="I111" s="3162"/>
      <c r="J111" s="3162"/>
      <c r="K111" s="3162"/>
      <c r="L111" s="3162"/>
      <c r="M111" s="3162"/>
      <c r="N111" s="3162"/>
    </row>
    <row r="112" spans="1:17" s="1" customFormat="1" ht="41" customHeight="1" x14ac:dyDescent="0.2">
      <c r="A112" s="238" t="s">
        <v>39</v>
      </c>
      <c r="B112" s="1724" t="s">
        <v>34</v>
      </c>
      <c r="C112" s="241" t="s">
        <v>6</v>
      </c>
      <c r="D112" s="1712" t="s">
        <v>148</v>
      </c>
      <c r="E112" s="1689"/>
      <c r="F112" s="239" t="s">
        <v>17</v>
      </c>
      <c r="G112" s="240" t="s">
        <v>149</v>
      </c>
      <c r="H112" s="240" t="s">
        <v>150</v>
      </c>
      <c r="I112" s="241" t="s">
        <v>151</v>
      </c>
      <c r="J112" s="392" t="s">
        <v>1029</v>
      </c>
      <c r="K112" s="242" t="s">
        <v>1030</v>
      </c>
      <c r="L112" s="3316" t="s">
        <v>47</v>
      </c>
      <c r="M112" s="3052"/>
      <c r="N112" s="3052"/>
      <c r="O112" s="3052"/>
      <c r="P112" s="3053"/>
    </row>
    <row r="113" spans="1:16" s="1" customFormat="1" ht="26" customHeight="1" x14ac:dyDescent="0.15">
      <c r="A113" s="1530">
        <v>1</v>
      </c>
      <c r="B113" s="1593" t="s">
        <v>5</v>
      </c>
      <c r="C113" s="1593" t="s">
        <v>115</v>
      </c>
      <c r="D113" s="3375" t="s">
        <v>163</v>
      </c>
      <c r="E113" s="3376"/>
      <c r="F113" s="243" t="s">
        <v>164</v>
      </c>
      <c r="G113" s="244">
        <v>18.760000000000002</v>
      </c>
      <c r="H113" s="909">
        <f>I113/O113</f>
        <v>18.50240232240035</v>
      </c>
      <c r="I113" s="425">
        <v>9050943</v>
      </c>
      <c r="J113" s="285">
        <f>-(H113-G113)*O113</f>
        <v>126010.76640000082</v>
      </c>
      <c r="K113" s="866">
        <v>0</v>
      </c>
      <c r="L113" s="2738" t="s">
        <v>165</v>
      </c>
      <c r="M113" s="3386"/>
      <c r="N113" s="2739"/>
      <c r="O113" s="3320">
        <f>F83</f>
        <v>489176.64</v>
      </c>
      <c r="P113" s="3322"/>
    </row>
    <row r="114" spans="1:16" s="1" customFormat="1" ht="26" customHeight="1" x14ac:dyDescent="0.15">
      <c r="A114" s="1530">
        <v>2</v>
      </c>
      <c r="B114" s="1568" t="s">
        <v>5</v>
      </c>
      <c r="C114" s="1568" t="s">
        <v>115</v>
      </c>
      <c r="D114" s="3375" t="s">
        <v>166</v>
      </c>
      <c r="E114" s="3376"/>
      <c r="F114" s="243" t="s">
        <v>164</v>
      </c>
      <c r="G114" s="247">
        <v>0.53800000000000003</v>
      </c>
      <c r="H114" s="897">
        <f>I114/O114</f>
        <v>0.53404401584585814</v>
      </c>
      <c r="I114" s="245">
        <v>133494</v>
      </c>
      <c r="J114" s="533">
        <f>-(H114-G114)*O114</f>
        <v>988.87008000000446</v>
      </c>
      <c r="K114" s="720">
        <v>0</v>
      </c>
      <c r="L114" s="2738" t="s">
        <v>167</v>
      </c>
      <c r="M114" s="3386"/>
      <c r="N114" s="2739"/>
      <c r="O114" s="3320">
        <f>F81</f>
        <v>249968.16</v>
      </c>
      <c r="P114" s="3322"/>
    </row>
    <row r="115" spans="1:16" s="1" customFormat="1" ht="26" customHeight="1" x14ac:dyDescent="0.15">
      <c r="A115" s="1530">
        <v>3</v>
      </c>
      <c r="B115" s="1568" t="s">
        <v>5</v>
      </c>
      <c r="C115" s="1568" t="s">
        <v>115</v>
      </c>
      <c r="D115" s="3375" t="s">
        <v>168</v>
      </c>
      <c r="E115" s="3376"/>
      <c r="F115" s="243" t="s">
        <v>169</v>
      </c>
      <c r="G115" s="247">
        <v>0.48599999999999999</v>
      </c>
      <c r="H115" s="248">
        <f>I115/O115</f>
        <v>0.48518764886596</v>
      </c>
      <c r="I115" s="245">
        <v>116061</v>
      </c>
      <c r="J115" s="533">
        <f>-(H115-G115)*O115</f>
        <v>194.32127999998232</v>
      </c>
      <c r="K115" s="720">
        <v>0</v>
      </c>
      <c r="L115" s="2738" t="s">
        <v>170</v>
      </c>
      <c r="M115" s="3386"/>
      <c r="N115" s="2739"/>
      <c r="O115" s="3320">
        <f>F80</f>
        <v>239208.47999999998</v>
      </c>
      <c r="P115" s="3322"/>
    </row>
    <row r="116" spans="1:16" s="1" customFormat="1" ht="26" customHeight="1" x14ac:dyDescent="0.15">
      <c r="A116" s="1530">
        <v>4</v>
      </c>
      <c r="B116" s="1568" t="s">
        <v>5</v>
      </c>
      <c r="C116" s="1568" t="s">
        <v>115</v>
      </c>
      <c r="D116" s="3375" t="s">
        <v>171</v>
      </c>
      <c r="E116" s="3376"/>
      <c r="F116" s="243" t="s">
        <v>164</v>
      </c>
      <c r="G116" s="248">
        <v>0.38300000000000001</v>
      </c>
      <c r="H116" s="248"/>
      <c r="I116" s="245"/>
      <c r="J116" s="401">
        <f>-(H116-G116)*N116</f>
        <v>0</v>
      </c>
      <c r="K116" s="720"/>
      <c r="L116" s="2738" t="s">
        <v>172</v>
      </c>
      <c r="M116" s="3386"/>
      <c r="N116" s="2739"/>
      <c r="O116" s="3320"/>
      <c r="P116" s="3322"/>
    </row>
    <row r="117" spans="1:16" s="1" customFormat="1" ht="26" customHeight="1" x14ac:dyDescent="0.15">
      <c r="A117" s="1530">
        <v>5</v>
      </c>
      <c r="B117" s="1568" t="s">
        <v>5</v>
      </c>
      <c r="C117" s="1568" t="s">
        <v>115</v>
      </c>
      <c r="D117" s="3375" t="s">
        <v>173</v>
      </c>
      <c r="E117" s="3376"/>
      <c r="F117" s="243" t="s">
        <v>164</v>
      </c>
      <c r="G117" s="247">
        <v>0.624</v>
      </c>
      <c r="H117" s="248">
        <f>I117/O114</f>
        <v>0.5903791906937268</v>
      </c>
      <c r="I117" s="245">
        <v>147576</v>
      </c>
      <c r="J117" s="533">
        <f>-(H117-G117)*O114</f>
        <v>8404.1318399999891</v>
      </c>
      <c r="K117" s="721">
        <f>--(H117-G117)*N114</f>
        <v>0</v>
      </c>
      <c r="L117" s="2738" t="s">
        <v>174</v>
      </c>
      <c r="M117" s="3386"/>
      <c r="N117" s="2739"/>
      <c r="O117" s="3320">
        <f>O113+M10</f>
        <v>490854.3</v>
      </c>
      <c r="P117" s="3322"/>
    </row>
    <row r="118" spans="1:16" s="1" customFormat="1" ht="26" customHeight="1" x14ac:dyDescent="0.15">
      <c r="A118" s="1530">
        <v>6</v>
      </c>
      <c r="B118" s="1568" t="s">
        <v>5</v>
      </c>
      <c r="C118" s="1568" t="s">
        <v>115</v>
      </c>
      <c r="D118" s="3375" t="s">
        <v>175</v>
      </c>
      <c r="E118" s="3376"/>
      <c r="F118" s="243" t="s">
        <v>164</v>
      </c>
      <c r="G118" s="247">
        <v>0.57199999999999995</v>
      </c>
      <c r="H118" s="248">
        <f>I118/O115</f>
        <v>0.5703769364698108</v>
      </c>
      <c r="I118" s="245">
        <v>136439</v>
      </c>
      <c r="J118" s="533">
        <f>-(H118-G118)*O115</f>
        <v>388.25055999998079</v>
      </c>
      <c r="K118" s="721">
        <f>--(H118-G118)*N115</f>
        <v>0</v>
      </c>
      <c r="L118" s="3326"/>
      <c r="M118" s="3327"/>
      <c r="N118" s="3327"/>
      <c r="O118" s="3327"/>
      <c r="P118" s="3328"/>
    </row>
    <row r="119" spans="1:16" s="1" customFormat="1" ht="26" customHeight="1" x14ac:dyDescent="0.15">
      <c r="A119" s="1530">
        <v>7</v>
      </c>
      <c r="B119" s="1568" t="s">
        <v>5</v>
      </c>
      <c r="C119" s="1568" t="s">
        <v>115</v>
      </c>
      <c r="D119" s="3375" t="s">
        <v>130</v>
      </c>
      <c r="E119" s="3376"/>
      <c r="F119" s="243" t="s">
        <v>164</v>
      </c>
      <c r="G119" s="247">
        <v>0.434</v>
      </c>
      <c r="H119" s="248"/>
      <c r="I119" s="245"/>
      <c r="J119" s="402"/>
      <c r="K119" s="721">
        <f>--(H119-G119)*N116</f>
        <v>0</v>
      </c>
      <c r="L119" s="3326"/>
      <c r="M119" s="3327"/>
      <c r="N119" s="3327"/>
      <c r="O119" s="3327"/>
      <c r="P119" s="3328"/>
    </row>
    <row r="120" spans="1:16" s="1" customFormat="1" ht="26" customHeight="1" x14ac:dyDescent="0.15">
      <c r="A120" s="1530">
        <v>8</v>
      </c>
      <c r="B120" s="1568" t="s">
        <v>5</v>
      </c>
      <c r="C120" s="1568" t="s">
        <v>115</v>
      </c>
      <c r="D120" s="3375" t="s">
        <v>176</v>
      </c>
      <c r="E120" s="3376"/>
      <c r="F120" s="243" t="s">
        <v>169</v>
      </c>
      <c r="G120" s="247">
        <v>0.69699999999999995</v>
      </c>
      <c r="H120" s="898">
        <f>I120/O113</f>
        <v>0.69602669497872993</v>
      </c>
      <c r="I120" s="245">
        <v>340480</v>
      </c>
      <c r="J120" s="533">
        <f>-(H120-G120)*O113</f>
        <v>476.11807999999752</v>
      </c>
      <c r="K120" s="727">
        <v>0</v>
      </c>
      <c r="L120" s="3326"/>
      <c r="M120" s="3327"/>
      <c r="N120" s="3327"/>
      <c r="O120" s="3327"/>
      <c r="P120" s="3328"/>
    </row>
    <row r="121" spans="1:16" s="1" customFormat="1" ht="26" customHeight="1" x14ac:dyDescent="0.15">
      <c r="A121" s="1530">
        <v>9</v>
      </c>
      <c r="B121" s="1567" t="s">
        <v>5</v>
      </c>
      <c r="C121" s="1567" t="s">
        <v>115</v>
      </c>
      <c r="D121" s="3375" t="s">
        <v>177</v>
      </c>
      <c r="E121" s="3376"/>
      <c r="F121" s="243" t="s">
        <v>164</v>
      </c>
      <c r="G121" s="250">
        <v>3.7100000000000001E-2</v>
      </c>
      <c r="H121" s="898">
        <f>I121/O117</f>
        <v>3.6079952849552302E-2</v>
      </c>
      <c r="I121" s="245">
        <v>17710</v>
      </c>
      <c r="J121" s="533">
        <f>-(H121-G121)*O117</f>
        <v>500.69452999999999</v>
      </c>
      <c r="K121" s="728">
        <v>0</v>
      </c>
      <c r="L121" s="3326"/>
      <c r="M121" s="3327"/>
      <c r="N121" s="3327"/>
      <c r="O121" s="3327"/>
      <c r="P121" s="3328"/>
    </row>
    <row r="122" spans="1:16" s="1" customFormat="1" ht="26" customHeight="1" x14ac:dyDescent="0.15">
      <c r="A122" s="1530">
        <v>10</v>
      </c>
      <c r="B122" s="1568" t="s">
        <v>5</v>
      </c>
      <c r="C122" s="1568" t="s">
        <v>115</v>
      </c>
      <c r="D122" s="3375" t="s">
        <v>178</v>
      </c>
      <c r="E122" s="3376"/>
      <c r="F122" s="243" t="s">
        <v>164</v>
      </c>
      <c r="G122" s="251">
        <v>8.2000000000000007E-3</v>
      </c>
      <c r="H122" s="899">
        <f>I122/O117</f>
        <v>8.1490576735295996E-3</v>
      </c>
      <c r="I122" s="245">
        <v>4000</v>
      </c>
      <c r="J122" s="533">
        <f>-(H122-G122)*O117</f>
        <v>25.005260000000185</v>
      </c>
      <c r="K122" s="728">
        <f t="shared" ref="K122:K128" si="10">--(H122-G122)*N119</f>
        <v>0</v>
      </c>
      <c r="L122" s="3326" t="s">
        <v>452</v>
      </c>
      <c r="M122" s="3327"/>
      <c r="N122" s="3327"/>
      <c r="O122" s="3327"/>
      <c r="P122" s="3328"/>
    </row>
    <row r="123" spans="1:16" s="1" customFormat="1" ht="26" customHeight="1" x14ac:dyDescent="0.15">
      <c r="A123" s="1530">
        <v>11</v>
      </c>
      <c r="B123" s="1568" t="s">
        <v>5</v>
      </c>
      <c r="C123" s="1568" t="s">
        <v>115</v>
      </c>
      <c r="D123" s="3375" t="s">
        <v>179</v>
      </c>
      <c r="E123" s="3376"/>
      <c r="F123" s="243" t="s">
        <v>164</v>
      </c>
      <c r="G123" s="250">
        <v>4.6100000000000002E-2</v>
      </c>
      <c r="H123" s="898">
        <f>I123/O113</f>
        <v>3.9505157073731076E-2</v>
      </c>
      <c r="I123" s="245">
        <v>19325</v>
      </c>
      <c r="J123" s="533">
        <f>-(H123-G123)*O113</f>
        <v>3226.0431040000012</v>
      </c>
      <c r="K123" s="728">
        <f t="shared" si="10"/>
        <v>0</v>
      </c>
      <c r="L123" s="3326" t="s">
        <v>556</v>
      </c>
      <c r="M123" s="3327"/>
      <c r="N123" s="3327"/>
      <c r="O123" s="3327"/>
      <c r="P123" s="3328"/>
    </row>
    <row r="124" spans="1:16" s="1" customFormat="1" ht="26" customHeight="1" x14ac:dyDescent="0.15">
      <c r="A124" s="1530">
        <v>12</v>
      </c>
      <c r="B124" s="1568" t="s">
        <v>5</v>
      </c>
      <c r="C124" s="1568" t="s">
        <v>115</v>
      </c>
      <c r="D124" s="3375" t="s">
        <v>180</v>
      </c>
      <c r="E124" s="3376"/>
      <c r="F124" s="243" t="s">
        <v>164</v>
      </c>
      <c r="G124" s="250">
        <v>3.0000000000000001E-3</v>
      </c>
      <c r="H124" s="898">
        <f>I124/O117</f>
        <v>2.2409908602206399E-3</v>
      </c>
      <c r="I124" s="245">
        <v>1100</v>
      </c>
      <c r="J124" s="900">
        <f>-(H124-G124)*O117</f>
        <v>372.56289999999996</v>
      </c>
      <c r="K124" s="728">
        <f t="shared" si="10"/>
        <v>0</v>
      </c>
      <c r="L124" s="3326"/>
      <c r="M124" s="3327"/>
      <c r="N124" s="3327"/>
      <c r="O124" s="3327"/>
      <c r="P124" s="3328"/>
    </row>
    <row r="125" spans="1:16" s="1" customFormat="1" ht="26" customHeight="1" x14ac:dyDescent="0.15">
      <c r="A125" s="1530">
        <v>13</v>
      </c>
      <c r="B125" s="1568" t="s">
        <v>5</v>
      </c>
      <c r="C125" s="1568" t="s">
        <v>115</v>
      </c>
      <c r="D125" s="3375" t="s">
        <v>181</v>
      </c>
      <c r="E125" s="3376"/>
      <c r="F125" s="243" t="s">
        <v>164</v>
      </c>
      <c r="G125" s="251">
        <v>3.0899999999999999E-3</v>
      </c>
      <c r="H125" s="248"/>
      <c r="I125" s="245">
        <f>AA125</f>
        <v>0</v>
      </c>
      <c r="J125" s="393" t="s">
        <v>142</v>
      </c>
      <c r="K125" s="728">
        <f t="shared" si="10"/>
        <v>0</v>
      </c>
      <c r="L125" s="3326"/>
      <c r="M125" s="3327"/>
      <c r="N125" s="3327"/>
      <c r="O125" s="3327"/>
      <c r="P125" s="3328"/>
    </row>
    <row r="126" spans="1:16" s="1" customFormat="1" ht="26" customHeight="1" x14ac:dyDescent="0.15">
      <c r="A126" s="1530">
        <v>14</v>
      </c>
      <c r="B126" s="1568" t="s">
        <v>5</v>
      </c>
      <c r="C126" s="1568" t="s">
        <v>115</v>
      </c>
      <c r="D126" s="3375" t="s">
        <v>182</v>
      </c>
      <c r="E126" s="3376"/>
      <c r="F126" s="252" t="s">
        <v>164</v>
      </c>
      <c r="G126" s="253">
        <v>1.6259999999999999</v>
      </c>
      <c r="H126" s="248">
        <f>I126/O113</f>
        <v>1.5789756436447986</v>
      </c>
      <c r="I126" s="245">
        <v>772398</v>
      </c>
      <c r="J126" s="533">
        <f>-(H126-G126)*O113</f>
        <v>23003.216640000021</v>
      </c>
      <c r="K126" s="728">
        <f t="shared" si="10"/>
        <v>0</v>
      </c>
      <c r="L126" s="3326"/>
      <c r="M126" s="3327"/>
      <c r="N126" s="3327"/>
      <c r="O126" s="3327"/>
      <c r="P126" s="3328"/>
    </row>
    <row r="127" spans="1:16" s="1" customFormat="1" ht="26" customHeight="1" x14ac:dyDescent="0.15">
      <c r="A127" s="1530">
        <v>15</v>
      </c>
      <c r="B127" s="1568" t="s">
        <v>5</v>
      </c>
      <c r="C127" s="1568" t="s">
        <v>115</v>
      </c>
      <c r="D127" s="3375" t="s">
        <v>183</v>
      </c>
      <c r="E127" s="3376"/>
      <c r="F127" s="243" t="s">
        <v>164</v>
      </c>
      <c r="G127" s="251">
        <v>6.4099999999999999E-3</v>
      </c>
      <c r="H127" s="899">
        <f>I127/O117</f>
        <v>6.4071965958126479E-3</v>
      </c>
      <c r="I127" s="245">
        <v>3145</v>
      </c>
      <c r="J127" s="401"/>
      <c r="K127" s="901"/>
      <c r="L127" s="3326" t="s">
        <v>452</v>
      </c>
      <c r="M127" s="3327"/>
      <c r="N127" s="3327"/>
      <c r="O127" s="3327"/>
      <c r="P127" s="3328"/>
    </row>
    <row r="128" spans="1:16" s="1" customFormat="1" ht="26" customHeight="1" x14ac:dyDescent="0.15">
      <c r="A128" s="1530">
        <v>16</v>
      </c>
      <c r="B128" s="1568" t="s">
        <v>5</v>
      </c>
      <c r="C128" s="1568" t="s">
        <v>115</v>
      </c>
      <c r="D128" s="3375" t="s">
        <v>184</v>
      </c>
      <c r="E128" s="3376"/>
      <c r="F128" s="243" t="s">
        <v>169</v>
      </c>
      <c r="G128" s="251">
        <v>4.7239999999999997E-2</v>
      </c>
      <c r="H128" s="899">
        <f>I128/O113</f>
        <v>4.436025399741083E-2</v>
      </c>
      <c r="I128" s="245">
        <v>21700</v>
      </c>
      <c r="J128" s="533">
        <f>-(H128-G128)*O113</f>
        <v>1408.7044736000003</v>
      </c>
      <c r="K128" s="728">
        <f t="shared" si="10"/>
        <v>0</v>
      </c>
      <c r="L128" s="3326"/>
      <c r="M128" s="3327"/>
      <c r="N128" s="3327"/>
      <c r="O128" s="3327"/>
      <c r="P128" s="3328"/>
    </row>
    <row r="129" spans="1:16" s="1" customFormat="1" ht="31" customHeight="1" x14ac:dyDescent="0.15">
      <c r="A129" s="1531">
        <v>17</v>
      </c>
      <c r="B129" s="1568" t="s">
        <v>5</v>
      </c>
      <c r="C129" s="1568" t="s">
        <v>115</v>
      </c>
      <c r="D129" s="3361" t="s">
        <v>185</v>
      </c>
      <c r="E129" s="2525"/>
      <c r="F129" s="254" t="s">
        <v>169</v>
      </c>
      <c r="G129" s="255"/>
      <c r="H129" s="930"/>
      <c r="I129" s="257">
        <v>5820</v>
      </c>
      <c r="J129" s="931"/>
      <c r="K129" s="932"/>
      <c r="L129" s="3326" t="s">
        <v>558</v>
      </c>
      <c r="M129" s="3327"/>
      <c r="N129" s="3327"/>
      <c r="O129" s="3327"/>
      <c r="P129" s="3328"/>
    </row>
    <row r="130" spans="1:16" s="1" customFormat="1" ht="26" customHeight="1" x14ac:dyDescent="0.15">
      <c r="A130" s="1533">
        <v>18</v>
      </c>
      <c r="B130" s="1584" t="s">
        <v>5</v>
      </c>
      <c r="C130" s="1584" t="s">
        <v>115</v>
      </c>
      <c r="D130" s="2880" t="s">
        <v>188</v>
      </c>
      <c r="E130" s="2915"/>
      <c r="F130" s="51" t="s">
        <v>164</v>
      </c>
      <c r="G130" s="258">
        <v>5.1999999999999998E-3</v>
      </c>
      <c r="H130" s="933">
        <f>I130/O113</f>
        <v>4.3542553462896346E-3</v>
      </c>
      <c r="I130" s="1371">
        <v>2130</v>
      </c>
      <c r="J130" s="531">
        <f>-(H130-G130)*O113</f>
        <v>413.71852799999999</v>
      </c>
      <c r="K130" s="64">
        <f>--(H130-G130)*N128</f>
        <v>0</v>
      </c>
      <c r="L130" s="3326"/>
      <c r="M130" s="3327"/>
      <c r="N130" s="3327"/>
      <c r="O130" s="3327"/>
      <c r="P130" s="3328"/>
    </row>
    <row r="131" spans="1:16" s="1" customFormat="1" ht="17" customHeight="1" x14ac:dyDescent="0.15">
      <c r="A131" s="2"/>
      <c r="B131" s="4"/>
      <c r="C131" s="479"/>
      <c r="D131" s="68"/>
      <c r="E131" s="925"/>
      <c r="F131" s="926"/>
      <c r="G131" s="927"/>
      <c r="H131" s="928"/>
      <c r="I131" s="929"/>
      <c r="J131" s="2"/>
      <c r="K131" s="2"/>
      <c r="L131" s="2"/>
      <c r="M131" s="2"/>
      <c r="N131" s="2"/>
    </row>
    <row r="132" spans="1:16" s="1" customFormat="1" ht="26" customHeight="1" x14ac:dyDescent="0.2">
      <c r="A132" s="3360" t="s">
        <v>443</v>
      </c>
      <c r="B132" s="3061"/>
      <c r="C132" s="3061"/>
      <c r="D132" s="3061"/>
      <c r="E132" s="3061"/>
      <c r="F132" s="3061"/>
      <c r="G132" s="3061"/>
      <c r="H132" s="3061"/>
      <c r="I132" s="3061"/>
      <c r="J132" s="3061"/>
      <c r="K132" s="3061"/>
      <c r="L132" s="3061"/>
      <c r="M132" s="3061"/>
      <c r="N132" s="3061"/>
    </row>
    <row r="133" spans="1:16" s="1" customFormat="1" ht="30" customHeight="1" x14ac:dyDescent="0.2">
      <c r="A133" s="238" t="s">
        <v>39</v>
      </c>
      <c r="B133" s="1724" t="s">
        <v>34</v>
      </c>
      <c r="C133" s="241" t="s">
        <v>6</v>
      </c>
      <c r="D133" s="1712" t="s">
        <v>148</v>
      </c>
      <c r="E133" s="1689"/>
      <c r="F133" s="239" t="s">
        <v>17</v>
      </c>
      <c r="G133" s="240" t="s">
        <v>149</v>
      </c>
      <c r="H133" s="240" t="s">
        <v>150</v>
      </c>
      <c r="I133" s="241" t="s">
        <v>151</v>
      </c>
      <c r="J133" s="392" t="s">
        <v>1029</v>
      </c>
      <c r="K133" s="242" t="s">
        <v>1030</v>
      </c>
      <c r="L133" s="3316" t="s">
        <v>47</v>
      </c>
      <c r="M133" s="3052"/>
      <c r="N133" s="3052"/>
      <c r="O133" s="3052"/>
      <c r="P133" s="3053"/>
    </row>
    <row r="134" spans="1:16" s="1" customFormat="1" ht="26" customHeight="1" x14ac:dyDescent="0.15">
      <c r="A134" s="1693">
        <v>1</v>
      </c>
      <c r="B134" s="1593" t="s">
        <v>25</v>
      </c>
      <c r="C134" s="1593" t="s">
        <v>116</v>
      </c>
      <c r="D134" s="3361" t="s">
        <v>547</v>
      </c>
      <c r="E134" s="2525"/>
      <c r="F134" s="254" t="s">
        <v>49</v>
      </c>
      <c r="G134" s="265">
        <v>21.12</v>
      </c>
      <c r="H134" s="535">
        <f t="shared" ref="H134:H139" si="11">I134/$N$134</f>
        <v>21.183727766098734</v>
      </c>
      <c r="I134" s="266">
        <v>7793396</v>
      </c>
      <c r="J134" s="403">
        <f>-(H134-G134)*$M$268</f>
        <v>0</v>
      </c>
      <c r="K134" s="864">
        <f>--(H134-G134)*N134</f>
        <v>23445.151999999809</v>
      </c>
      <c r="L134" s="3018" t="s">
        <v>165</v>
      </c>
      <c r="M134" s="3020"/>
      <c r="N134" s="3372">
        <f>I103</f>
        <v>367895.39999999997</v>
      </c>
      <c r="O134" s="3373"/>
      <c r="P134" s="3374"/>
    </row>
    <row r="135" spans="1:16" s="1" customFormat="1" ht="26" customHeight="1" x14ac:dyDescent="0.15">
      <c r="A135" s="1536">
        <v>2</v>
      </c>
      <c r="B135" s="1568" t="s">
        <v>25</v>
      </c>
      <c r="C135" s="1568" t="s">
        <v>116</v>
      </c>
      <c r="D135" s="2880" t="s">
        <v>166</v>
      </c>
      <c r="E135" s="2915"/>
      <c r="F135" s="51" t="s">
        <v>49</v>
      </c>
      <c r="G135" s="259">
        <v>0.50900000000000001</v>
      </c>
      <c r="H135" s="287">
        <f t="shared" si="11"/>
        <v>0.44894010634544496</v>
      </c>
      <c r="I135" s="269">
        <v>165163</v>
      </c>
      <c r="J135" s="531">
        <f>-(H135-G135)*N134</f>
        <v>22095.75859999999</v>
      </c>
      <c r="K135" s="865"/>
      <c r="L135" s="3362" t="s">
        <v>362</v>
      </c>
      <c r="M135" s="3363"/>
      <c r="N135" s="3372">
        <f>N134+M16</f>
        <v>369584.99999999994</v>
      </c>
      <c r="O135" s="3373"/>
      <c r="P135" s="3374"/>
    </row>
    <row r="136" spans="1:16" s="1" customFormat="1" ht="26" customHeight="1" x14ac:dyDescent="0.15">
      <c r="A136" s="1536">
        <v>3</v>
      </c>
      <c r="B136" s="1568" t="s">
        <v>25</v>
      </c>
      <c r="C136" s="1568" t="s">
        <v>116</v>
      </c>
      <c r="D136" s="2880" t="s">
        <v>173</v>
      </c>
      <c r="E136" s="2915"/>
      <c r="F136" s="51" t="s">
        <v>49</v>
      </c>
      <c r="G136" s="259">
        <v>0.59299999999999997</v>
      </c>
      <c r="H136" s="287">
        <f t="shared" si="11"/>
        <v>0.59310880212147266</v>
      </c>
      <c r="I136" s="269">
        <v>218202</v>
      </c>
      <c r="J136" s="70"/>
      <c r="K136" s="865"/>
      <c r="L136" s="3326"/>
      <c r="M136" s="3327"/>
      <c r="N136" s="3327"/>
      <c r="O136" s="3327"/>
      <c r="P136" s="3328"/>
    </row>
    <row r="137" spans="1:16" s="1" customFormat="1" ht="26" customHeight="1" x14ac:dyDescent="0.15">
      <c r="A137" s="1536">
        <v>4</v>
      </c>
      <c r="B137" s="1568" t="s">
        <v>25</v>
      </c>
      <c r="C137" s="1568" t="s">
        <v>116</v>
      </c>
      <c r="D137" s="2880" t="s">
        <v>176</v>
      </c>
      <c r="E137" s="2915"/>
      <c r="F137" s="51" t="s">
        <v>195</v>
      </c>
      <c r="G137" s="262">
        <v>0.78400000000000003</v>
      </c>
      <c r="H137" s="536">
        <f t="shared" si="11"/>
        <v>0.7838912908397333</v>
      </c>
      <c r="I137" s="269">
        <v>288390</v>
      </c>
      <c r="J137" s="531">
        <f>-(H137-G137)*N134</f>
        <v>39.993599999992348</v>
      </c>
      <c r="K137" s="865"/>
      <c r="L137" s="3326"/>
      <c r="M137" s="3327"/>
      <c r="N137" s="3327"/>
      <c r="O137" s="3327"/>
      <c r="P137" s="3328"/>
    </row>
    <row r="138" spans="1:16" s="1" customFormat="1" ht="26" customHeight="1" x14ac:dyDescent="0.15">
      <c r="A138" s="1536">
        <v>5</v>
      </c>
      <c r="B138" s="1568" t="s">
        <v>25</v>
      </c>
      <c r="C138" s="1568" t="s">
        <v>116</v>
      </c>
      <c r="D138" s="2880" t="s">
        <v>177</v>
      </c>
      <c r="E138" s="2915"/>
      <c r="F138" s="51" t="s">
        <v>49</v>
      </c>
      <c r="G138" s="259">
        <v>2.8000000000000001E-2</v>
      </c>
      <c r="H138" s="287">
        <f t="shared" si="11"/>
        <v>2.7997088302816511E-2</v>
      </c>
      <c r="I138" s="269">
        <v>10300</v>
      </c>
      <c r="J138" s="70"/>
      <c r="K138" s="865"/>
      <c r="L138" s="3326"/>
      <c r="M138" s="3327"/>
      <c r="N138" s="3327"/>
      <c r="O138" s="3327"/>
      <c r="P138" s="3328"/>
    </row>
    <row r="139" spans="1:16" s="1" customFormat="1" ht="26" customHeight="1" x14ac:dyDescent="0.15">
      <c r="A139" s="1536">
        <v>6</v>
      </c>
      <c r="B139" s="1567" t="s">
        <v>25</v>
      </c>
      <c r="C139" s="1567" t="s">
        <v>116</v>
      </c>
      <c r="D139" s="2880" t="s">
        <v>178</v>
      </c>
      <c r="E139" s="2915"/>
      <c r="F139" s="51" t="s">
        <v>49</v>
      </c>
      <c r="G139" s="262">
        <v>1.2999999999999999E-2</v>
      </c>
      <c r="H139" s="536">
        <f t="shared" si="11"/>
        <v>1.2965641864508229E-2</v>
      </c>
      <c r="I139" s="269">
        <v>4770</v>
      </c>
      <c r="J139" s="70"/>
      <c r="K139" s="865"/>
      <c r="L139" s="3326"/>
      <c r="M139" s="3327"/>
      <c r="N139" s="3327"/>
      <c r="O139" s="3327"/>
      <c r="P139" s="3328"/>
    </row>
    <row r="140" spans="1:16" s="1" customFormat="1" ht="26" customHeight="1" x14ac:dyDescent="0.2">
      <c r="A140" s="1536">
        <v>7</v>
      </c>
      <c r="B140" s="1568" t="s">
        <v>25</v>
      </c>
      <c r="C140" s="1568" t="s">
        <v>116</v>
      </c>
      <c r="D140" s="3358" t="s">
        <v>179</v>
      </c>
      <c r="E140" s="3359"/>
      <c r="F140" s="51" t="s">
        <v>49</v>
      </c>
      <c r="G140" s="262">
        <v>2.5999999999999999E-2</v>
      </c>
      <c r="H140" s="536">
        <f>I140/$N$135</f>
        <v>0.11905245072175551</v>
      </c>
      <c r="I140" s="269">
        <v>44000</v>
      </c>
      <c r="J140" s="70"/>
      <c r="K140" s="865">
        <f>-(G140-H140)*$N$134</f>
        <v>34233.568579260529</v>
      </c>
      <c r="L140" s="3326" t="s">
        <v>557</v>
      </c>
      <c r="M140" s="3327"/>
      <c r="N140" s="3327"/>
      <c r="O140" s="3327"/>
      <c r="P140" s="3328"/>
    </row>
    <row r="141" spans="1:16" s="1" customFormat="1" ht="26" customHeight="1" x14ac:dyDescent="0.2">
      <c r="A141" s="1536">
        <v>8</v>
      </c>
      <c r="B141" s="1568" t="s">
        <v>25</v>
      </c>
      <c r="C141" s="1568" t="s">
        <v>116</v>
      </c>
      <c r="D141" s="3358" t="s">
        <v>206</v>
      </c>
      <c r="E141" s="3359"/>
      <c r="F141" s="51" t="s">
        <v>49</v>
      </c>
      <c r="G141" s="262">
        <v>2.8999999999999998E-3</v>
      </c>
      <c r="H141" s="536">
        <f>I141/$N$134</f>
        <v>2.446347521605326E-3</v>
      </c>
      <c r="I141" s="269">
        <v>900</v>
      </c>
      <c r="J141" s="70">
        <f>-(H141-G141)*N134</f>
        <v>166.89665999999988</v>
      </c>
      <c r="K141" s="865"/>
      <c r="L141" s="3326"/>
      <c r="M141" s="3327"/>
      <c r="N141" s="3327"/>
      <c r="O141" s="3327"/>
      <c r="P141" s="3328"/>
    </row>
    <row r="142" spans="1:16" s="1" customFormat="1" ht="26" customHeight="1" x14ac:dyDescent="0.15">
      <c r="A142" s="1536">
        <v>9</v>
      </c>
      <c r="B142" s="1568" t="s">
        <v>25</v>
      </c>
      <c r="C142" s="1568" t="s">
        <v>116</v>
      </c>
      <c r="D142" s="2880" t="s">
        <v>197</v>
      </c>
      <c r="E142" s="2915"/>
      <c r="F142" s="51" t="s">
        <v>49</v>
      </c>
      <c r="G142" s="259">
        <v>1.8</v>
      </c>
      <c r="H142" s="287">
        <f>I142/$N$134</f>
        <v>1.8076089018780883</v>
      </c>
      <c r="I142" s="269">
        <v>665011</v>
      </c>
      <c r="J142" s="531"/>
      <c r="K142" s="865">
        <f>--(H142-G142)*N134</f>
        <v>2799.2800000000352</v>
      </c>
      <c r="L142" s="3326"/>
      <c r="M142" s="3327"/>
      <c r="N142" s="3327"/>
      <c r="O142" s="3327"/>
      <c r="P142" s="3328"/>
    </row>
    <row r="143" spans="1:16" s="1" customFormat="1" ht="26" customHeight="1" x14ac:dyDescent="0.15">
      <c r="A143" s="1536">
        <v>10</v>
      </c>
      <c r="B143" s="1568" t="s">
        <v>25</v>
      </c>
      <c r="C143" s="1568" t="s">
        <v>116</v>
      </c>
      <c r="D143" s="2880" t="s">
        <v>198</v>
      </c>
      <c r="E143" s="2915"/>
      <c r="F143" s="51" t="s">
        <v>49</v>
      </c>
      <c r="G143" s="262">
        <v>1.0200000000000001E-2</v>
      </c>
      <c r="H143" s="536">
        <f>I143/$N$134</f>
        <v>1.0057206477710785E-2</v>
      </c>
      <c r="I143" s="269">
        <v>3700</v>
      </c>
      <c r="J143" s="531">
        <f>-(H143-G143)*N134</f>
        <v>52.533079999999948</v>
      </c>
      <c r="K143" s="865"/>
      <c r="L143" s="3326"/>
      <c r="M143" s="3327"/>
      <c r="N143" s="3327"/>
      <c r="O143" s="3327"/>
      <c r="P143" s="3328"/>
    </row>
    <row r="144" spans="1:16" s="1" customFormat="1" ht="26" customHeight="1" x14ac:dyDescent="0.15">
      <c r="A144" s="1536">
        <v>11</v>
      </c>
      <c r="B144" s="1568" t="s">
        <v>25</v>
      </c>
      <c r="C144" s="1568" t="s">
        <v>116</v>
      </c>
      <c r="D144" s="2880" t="s">
        <v>199</v>
      </c>
      <c r="E144" s="2915"/>
      <c r="F144" s="51" t="s">
        <v>195</v>
      </c>
      <c r="G144" s="262">
        <v>6.5000000000000002E-2</v>
      </c>
      <c r="H144" s="536">
        <f>I144/$N$134</f>
        <v>6.2979857861772667E-2</v>
      </c>
      <c r="I144" s="269">
        <v>23170</v>
      </c>
      <c r="J144" s="531">
        <f>-(H144-G144)*$N$134</f>
        <v>743.20100000000059</v>
      </c>
      <c r="K144" s="865" t="s">
        <v>142</v>
      </c>
      <c r="L144" s="3326"/>
      <c r="M144" s="3327"/>
      <c r="N144" s="3327"/>
      <c r="O144" s="3327"/>
      <c r="P144" s="3328"/>
    </row>
    <row r="145" spans="1:17" s="1" customFormat="1" ht="26" customHeight="1" x14ac:dyDescent="0.15">
      <c r="A145" s="1536">
        <v>12</v>
      </c>
      <c r="B145" s="1584" t="s">
        <v>25</v>
      </c>
      <c r="C145" s="1584" t="s">
        <v>116</v>
      </c>
      <c r="D145" s="2880" t="s">
        <v>185</v>
      </c>
      <c r="E145" s="2915"/>
      <c r="F145" s="51" t="s">
        <v>195</v>
      </c>
      <c r="G145" s="262">
        <v>0</v>
      </c>
      <c r="H145" s="261"/>
      <c r="I145" s="269">
        <v>6200</v>
      </c>
      <c r="J145" s="70"/>
      <c r="K145" s="865" t="s">
        <v>142</v>
      </c>
      <c r="L145" s="3326" t="s">
        <v>559</v>
      </c>
      <c r="M145" s="3327"/>
      <c r="N145" s="3327"/>
      <c r="O145" s="3327"/>
      <c r="P145" s="3328"/>
    </row>
    <row r="146" spans="1:17" s="1" customFormat="1" ht="28" customHeight="1" x14ac:dyDescent="0.2">
      <c r="A146" s="42" t="s">
        <v>500</v>
      </c>
      <c r="H146" s="78"/>
      <c r="I146" s="447"/>
      <c r="J146" s="71"/>
      <c r="K146" s="71"/>
      <c r="N146" s="209"/>
    </row>
    <row r="147" spans="1:17" s="1" customFormat="1" ht="28" customHeight="1" x14ac:dyDescent="0.2">
      <c r="A147" s="42" t="s">
        <v>38</v>
      </c>
      <c r="H147" s="78"/>
      <c r="I147" s="447"/>
      <c r="J147" s="71"/>
      <c r="K147" s="71"/>
      <c r="N147" s="209"/>
    </row>
    <row r="148" spans="1:17" s="1" customFormat="1" ht="31" customHeight="1" x14ac:dyDescent="0.2">
      <c r="A148" s="3224" t="s">
        <v>39</v>
      </c>
      <c r="B148" s="3224" t="s">
        <v>34</v>
      </c>
      <c r="C148" s="3224" t="s">
        <v>6</v>
      </c>
      <c r="D148" s="3224" t="s">
        <v>40</v>
      </c>
      <c r="E148" s="3224" t="s">
        <v>1034</v>
      </c>
      <c r="F148" s="3226" t="s">
        <v>41</v>
      </c>
      <c r="G148" s="3227"/>
      <c r="H148" s="3228"/>
      <c r="I148" s="50" t="s">
        <v>42</v>
      </c>
      <c r="J148" s="1732" t="s">
        <v>43</v>
      </c>
      <c r="K148" s="406" t="s">
        <v>44</v>
      </c>
      <c r="L148" s="3226" t="s">
        <v>535</v>
      </c>
      <c r="M148" s="3228"/>
      <c r="N148" s="1731" t="s">
        <v>45</v>
      </c>
      <c r="O148" s="1732" t="s">
        <v>46</v>
      </c>
      <c r="P148" s="3229" t="s">
        <v>531</v>
      </c>
      <c r="Q148" s="3229" t="s">
        <v>47</v>
      </c>
    </row>
    <row r="149" spans="1:17" s="2" customFormat="1" ht="31" customHeight="1" x14ac:dyDescent="0.2">
      <c r="A149" s="3225"/>
      <c r="B149" s="3225"/>
      <c r="C149" s="3225" t="s">
        <v>6</v>
      </c>
      <c r="D149" s="3225"/>
      <c r="E149" s="3225"/>
      <c r="F149" s="50" t="s">
        <v>48</v>
      </c>
      <c r="G149" s="69" t="s">
        <v>527</v>
      </c>
      <c r="H149" s="69" t="s">
        <v>528</v>
      </c>
      <c r="I149" s="50" t="s">
        <v>164</v>
      </c>
      <c r="J149" s="50" t="s">
        <v>530</v>
      </c>
      <c r="K149" s="537" t="s">
        <v>529</v>
      </c>
      <c r="L149" s="50" t="s">
        <v>164</v>
      </c>
      <c r="M149" s="69" t="s">
        <v>532</v>
      </c>
      <c r="N149" s="406" t="s">
        <v>529</v>
      </c>
      <c r="O149" s="1732" t="s">
        <v>164</v>
      </c>
      <c r="P149" s="3230"/>
      <c r="Q149" s="3230"/>
    </row>
    <row r="150" spans="1:17" ht="63" customHeight="1" x14ac:dyDescent="0.2">
      <c r="A150" s="51">
        <v>1</v>
      </c>
      <c r="B150" s="51" t="s">
        <v>5</v>
      </c>
      <c r="C150" s="51" t="s">
        <v>115</v>
      </c>
      <c r="D150" s="894" t="s">
        <v>540</v>
      </c>
      <c r="E150" s="723" t="s">
        <v>1036</v>
      </c>
      <c r="F150" s="66">
        <v>7481</v>
      </c>
      <c r="G150" s="870">
        <v>14.44</v>
      </c>
      <c r="H150" s="934">
        <v>7</v>
      </c>
      <c r="I150" s="55">
        <v>466653</v>
      </c>
      <c r="J150" s="66">
        <v>153945.68</v>
      </c>
      <c r="K150" s="70">
        <f>I150/J150</f>
        <v>3.0312835020768367</v>
      </c>
      <c r="L150" s="66">
        <v>40445</v>
      </c>
      <c r="M150" s="870">
        <f>L150/(L150+I150)*100</f>
        <v>7.9757758855290293</v>
      </c>
      <c r="N150" s="722">
        <f>(I150+L150)/J150</f>
        <v>3.2940060416115609</v>
      </c>
      <c r="O150" s="66">
        <v>6917</v>
      </c>
      <c r="P150" s="70">
        <f>(I150+L150+O150)/J150</f>
        <v>3.3389374745689522</v>
      </c>
      <c r="Q150" s="893" t="s">
        <v>554</v>
      </c>
    </row>
    <row r="151" spans="1:17" ht="63" customHeight="1" x14ac:dyDescent="0.2">
      <c r="A151" s="51">
        <v>2</v>
      </c>
      <c r="B151" s="51" t="s">
        <v>5</v>
      </c>
      <c r="C151" s="51" t="s">
        <v>115</v>
      </c>
      <c r="D151" s="894" t="s">
        <v>512</v>
      </c>
      <c r="E151" s="723" t="s">
        <v>1036</v>
      </c>
      <c r="F151" s="66">
        <v>7828</v>
      </c>
      <c r="G151" s="870">
        <v>10.72</v>
      </c>
      <c r="H151" s="870">
        <v>3.69</v>
      </c>
      <c r="I151" s="55">
        <v>314417</v>
      </c>
      <c r="J151" s="66">
        <v>102365</v>
      </c>
      <c r="K151" s="70">
        <f>I151/J151</f>
        <v>3.0715283544180139</v>
      </c>
      <c r="L151" s="66">
        <v>27222</v>
      </c>
      <c r="M151" s="870">
        <f>L151/(L151+I151)*100</f>
        <v>7.9680598526514821</v>
      </c>
      <c r="N151" s="722">
        <f>(I151+L151)/J151</f>
        <v>3.3374590924632441</v>
      </c>
      <c r="O151" s="66">
        <v>7769</v>
      </c>
      <c r="P151" s="70">
        <f>(I151+L151+O151)/J151</f>
        <v>3.4133541737898696</v>
      </c>
      <c r="Q151" s="893" t="s">
        <v>509</v>
      </c>
    </row>
    <row r="152" spans="1:17" ht="63" customHeight="1" x14ac:dyDescent="0.2">
      <c r="A152" s="51">
        <v>3</v>
      </c>
      <c r="B152" s="51" t="s">
        <v>5</v>
      </c>
      <c r="C152" s="51" t="s">
        <v>115</v>
      </c>
      <c r="D152" s="894" t="s">
        <v>513</v>
      </c>
      <c r="E152" s="723" t="s">
        <v>1036</v>
      </c>
      <c r="F152" s="66">
        <v>7518</v>
      </c>
      <c r="G152" s="870">
        <v>8.3000000000000007</v>
      </c>
      <c r="H152" s="870">
        <v>9.82</v>
      </c>
      <c r="I152" s="55">
        <v>466320</v>
      </c>
      <c r="J152" s="66">
        <v>151441.04999999999</v>
      </c>
      <c r="K152" s="56">
        <f>I152/J152</f>
        <v>3.0792179531243349</v>
      </c>
      <c r="L152" s="66">
        <v>46957</v>
      </c>
      <c r="M152" s="870">
        <f>L152/(L152+I152)*100</f>
        <v>9.1484714881048639</v>
      </c>
      <c r="N152" s="261">
        <f>(I152+L152)/J152</f>
        <v>3.3892857980052309</v>
      </c>
      <c r="O152" s="66">
        <v>1657</v>
      </c>
      <c r="P152" s="56">
        <f>(I152+L152+O152)/J152</f>
        <v>3.4002273491896684</v>
      </c>
      <c r="Q152" s="893" t="s">
        <v>510</v>
      </c>
    </row>
    <row r="153" spans="1:17" ht="57" customHeight="1" x14ac:dyDescent="0.2">
      <c r="A153" s="51">
        <v>4</v>
      </c>
      <c r="B153" s="51" t="s">
        <v>5</v>
      </c>
      <c r="C153" s="51" t="s">
        <v>115</v>
      </c>
      <c r="D153" s="894" t="s">
        <v>514</v>
      </c>
      <c r="E153" s="723" t="s">
        <v>1036</v>
      </c>
      <c r="F153" s="66">
        <v>7576</v>
      </c>
      <c r="G153" s="870">
        <v>19.7</v>
      </c>
      <c r="H153" s="870">
        <v>2.92</v>
      </c>
      <c r="I153" s="55">
        <v>252559</v>
      </c>
      <c r="J153" s="66">
        <v>81425</v>
      </c>
      <c r="K153" s="56">
        <f>I153/J153</f>
        <v>3.1017377955173471</v>
      </c>
      <c r="L153" s="66">
        <v>22820</v>
      </c>
      <c r="M153" s="870">
        <f>L153/(L153+I153)*100</f>
        <v>8.2867611546268947</v>
      </c>
      <c r="N153" s="261">
        <f>(I153+L153)/J153</f>
        <v>3.3819957015658582</v>
      </c>
      <c r="O153" s="66"/>
      <c r="P153" s="56">
        <f>(I153+L153+O153)/J153</f>
        <v>3.3819957015658582</v>
      </c>
      <c r="Q153" s="893" t="s">
        <v>511</v>
      </c>
    </row>
    <row r="154" spans="1:17" s="1" customFormat="1" ht="30" customHeight="1" x14ac:dyDescent="0.2">
      <c r="A154" s="3335" t="s">
        <v>54</v>
      </c>
      <c r="B154" s="3335"/>
      <c r="C154" s="3335"/>
      <c r="D154" s="3335"/>
      <c r="E154" s="3335"/>
      <c r="F154" s="3335"/>
      <c r="G154" s="3335"/>
      <c r="H154" s="3335"/>
      <c r="I154" s="58">
        <f>SUM(I150:I153)</f>
        <v>1499949</v>
      </c>
      <c r="J154" s="60">
        <f>SUM(J150:J153)</f>
        <v>489176.73</v>
      </c>
      <c r="K154" s="59">
        <f>I154/J154</f>
        <v>3.066272183470379</v>
      </c>
      <c r="L154" s="859">
        <f>SUM(L150:L153)</f>
        <v>137444</v>
      </c>
      <c r="M154" s="360">
        <f>L154/(L154+I154)*100</f>
        <v>8.3940752159072378</v>
      </c>
      <c r="N154" s="360">
        <f>(I154+L154)/J154</f>
        <v>3.3472422124412993</v>
      </c>
      <c r="O154" s="60">
        <f>SUM(O150:O153)</f>
        <v>16343</v>
      </c>
      <c r="P154" s="59">
        <f>(I154+L154+O154)/J154</f>
        <v>3.3806514058835138</v>
      </c>
      <c r="Q154" s="264"/>
    </row>
    <row r="155" spans="1:17" s="1" customFormat="1" ht="24" customHeight="1" x14ac:dyDescent="0.2">
      <c r="A155" s="42" t="s">
        <v>51</v>
      </c>
      <c r="H155" s="78"/>
      <c r="I155" s="447"/>
      <c r="J155" s="71"/>
      <c r="K155" s="71"/>
      <c r="N155" s="209"/>
    </row>
    <row r="156" spans="1:17" ht="33" customHeight="1" x14ac:dyDescent="0.2">
      <c r="A156" s="3224" t="s">
        <v>39</v>
      </c>
      <c r="B156" s="3224" t="s">
        <v>34</v>
      </c>
      <c r="C156" s="3224" t="s">
        <v>6</v>
      </c>
      <c r="D156" s="3224" t="s">
        <v>40</v>
      </c>
      <c r="E156" s="3224" t="s">
        <v>1034</v>
      </c>
      <c r="F156" s="3226" t="s">
        <v>41</v>
      </c>
      <c r="G156" s="3227"/>
      <c r="H156" s="3228"/>
      <c r="I156" s="50" t="s">
        <v>42</v>
      </c>
      <c r="J156" s="1732" t="s">
        <v>43</v>
      </c>
      <c r="K156" s="406" t="s">
        <v>44</v>
      </c>
      <c r="L156" s="3226" t="s">
        <v>535</v>
      </c>
      <c r="M156" s="3228"/>
      <c r="N156" s="1731" t="s">
        <v>45</v>
      </c>
      <c r="O156" s="1732" t="s">
        <v>46</v>
      </c>
      <c r="P156" s="3229" t="s">
        <v>531</v>
      </c>
      <c r="Q156" s="3229" t="s">
        <v>47</v>
      </c>
    </row>
    <row r="157" spans="1:17" ht="35" customHeight="1" x14ac:dyDescent="0.2">
      <c r="A157" s="3225"/>
      <c r="B157" s="3225"/>
      <c r="C157" s="3225" t="s">
        <v>6</v>
      </c>
      <c r="D157" s="3225"/>
      <c r="E157" s="3225"/>
      <c r="F157" s="50" t="s">
        <v>48</v>
      </c>
      <c r="G157" s="69" t="s">
        <v>527</v>
      </c>
      <c r="H157" s="69" t="s">
        <v>528</v>
      </c>
      <c r="I157" s="50" t="s">
        <v>164</v>
      </c>
      <c r="J157" s="50" t="s">
        <v>530</v>
      </c>
      <c r="K157" s="537" t="s">
        <v>529</v>
      </c>
      <c r="L157" s="50" t="s">
        <v>164</v>
      </c>
      <c r="M157" s="69" t="s">
        <v>532</v>
      </c>
      <c r="N157" s="406" t="s">
        <v>529</v>
      </c>
      <c r="O157" s="1732" t="s">
        <v>164</v>
      </c>
      <c r="P157" s="3230"/>
      <c r="Q157" s="3230"/>
    </row>
    <row r="158" spans="1:17" ht="33" customHeight="1" x14ac:dyDescent="0.2">
      <c r="A158" s="1661">
        <v>1</v>
      </c>
      <c r="B158" s="51" t="s">
        <v>25</v>
      </c>
      <c r="C158" s="51" t="s">
        <v>116</v>
      </c>
      <c r="D158" s="1742" t="s">
        <v>1043</v>
      </c>
      <c r="F158" s="66">
        <v>7481</v>
      </c>
      <c r="G158" s="870">
        <v>14.44</v>
      </c>
      <c r="H158" s="934">
        <v>7</v>
      </c>
      <c r="I158" s="61">
        <v>317746</v>
      </c>
      <c r="J158" s="61">
        <v>84721</v>
      </c>
      <c r="K158" s="70">
        <f>I158/J158</f>
        <v>3.7504986957188891</v>
      </c>
      <c r="L158" s="872">
        <v>35866</v>
      </c>
      <c r="M158" s="870">
        <f>L158/(L158+I158)*100</f>
        <v>10.142755336357363</v>
      </c>
      <c r="N158" s="722">
        <f>(I158+L158)/J158</f>
        <v>4.1738411963975874</v>
      </c>
      <c r="O158" s="1755">
        <v>6134</v>
      </c>
      <c r="P158" s="70">
        <f>(I158+L158+O158)/J158</f>
        <v>4.2462435523660016</v>
      </c>
      <c r="Q158" s="1743" t="s">
        <v>554</v>
      </c>
    </row>
    <row r="159" spans="1:17" ht="29" customHeight="1" x14ac:dyDescent="0.2">
      <c r="A159" s="1661"/>
      <c r="B159" s="51" t="s">
        <v>25</v>
      </c>
      <c r="C159" s="51" t="s">
        <v>116</v>
      </c>
      <c r="D159" s="1742" t="s">
        <v>1043</v>
      </c>
      <c r="E159" s="723" t="s">
        <v>1035</v>
      </c>
      <c r="F159" s="66"/>
      <c r="G159" s="870"/>
      <c r="H159" s="934"/>
      <c r="I159" s="55">
        <v>54202</v>
      </c>
      <c r="J159" s="1745" t="s">
        <v>406</v>
      </c>
      <c r="K159" s="1745"/>
      <c r="L159" s="1745"/>
      <c r="M159" s="1745"/>
      <c r="N159" s="1745"/>
      <c r="O159" s="1745"/>
      <c r="P159" s="1745"/>
      <c r="Q159" s="1743"/>
    </row>
    <row r="160" spans="1:17" ht="33" customHeight="1" x14ac:dyDescent="0.2">
      <c r="A160" s="1661">
        <v>2</v>
      </c>
      <c r="B160" s="51" t="s">
        <v>25</v>
      </c>
      <c r="C160" s="51" t="s">
        <v>116</v>
      </c>
      <c r="D160" s="1742" t="s">
        <v>539</v>
      </c>
      <c r="E160" s="723" t="s">
        <v>1036</v>
      </c>
      <c r="F160" s="66">
        <v>7828</v>
      </c>
      <c r="G160" s="870">
        <v>10.72</v>
      </c>
      <c r="H160" s="870">
        <v>3.69</v>
      </c>
      <c r="I160" s="61">
        <v>252179</v>
      </c>
      <c r="J160" s="66">
        <v>72497</v>
      </c>
      <c r="K160" s="70">
        <f>I160/J160</f>
        <v>3.4784749713781258</v>
      </c>
      <c r="L160" s="872">
        <v>24141</v>
      </c>
      <c r="M160" s="870">
        <f>L160/(L160+I160)*100</f>
        <v>8.736609727851766</v>
      </c>
      <c r="N160" s="722">
        <f>(I160+L160)/J160</f>
        <v>3.8114680607473415</v>
      </c>
      <c r="O160" s="1755">
        <v>6889</v>
      </c>
      <c r="P160" s="70">
        <f>(I160+L160+O160)/J160</f>
        <v>3.9064926824558257</v>
      </c>
      <c r="Q160" s="1743" t="s">
        <v>509</v>
      </c>
    </row>
    <row r="161" spans="1:17" ht="28" customHeight="1" x14ac:dyDescent="0.2">
      <c r="A161" s="1661"/>
      <c r="B161" s="51" t="s">
        <v>25</v>
      </c>
      <c r="C161" s="51" t="s">
        <v>116</v>
      </c>
      <c r="D161" s="1742" t="s">
        <v>539</v>
      </c>
      <c r="E161" s="723" t="s">
        <v>1035</v>
      </c>
      <c r="F161" s="66"/>
      <c r="G161" s="870"/>
      <c r="H161" s="870"/>
      <c r="I161" s="55">
        <v>10271</v>
      </c>
      <c r="J161" s="1745" t="s">
        <v>406</v>
      </c>
      <c r="K161" s="1745"/>
      <c r="L161" s="1745"/>
      <c r="M161" s="1745"/>
      <c r="N161" s="1745"/>
      <c r="O161" s="1745"/>
      <c r="P161" s="1745"/>
      <c r="Q161" s="1743"/>
    </row>
    <row r="162" spans="1:17" ht="59" customHeight="1" x14ac:dyDescent="0.2">
      <c r="A162" s="51">
        <v>3</v>
      </c>
      <c r="B162" s="51" t="s">
        <v>25</v>
      </c>
      <c r="C162" s="51" t="s">
        <v>116</v>
      </c>
      <c r="D162" s="894" t="s">
        <v>1044</v>
      </c>
      <c r="E162" s="723" t="s">
        <v>1036</v>
      </c>
      <c r="F162" s="66">
        <v>7518</v>
      </c>
      <c r="G162" s="870">
        <v>8.3000000000000007</v>
      </c>
      <c r="H162" s="870">
        <v>9.82</v>
      </c>
      <c r="I162" s="61">
        <v>432385</v>
      </c>
      <c r="J162" s="66">
        <v>137177</v>
      </c>
      <c r="K162" s="56">
        <f>I162/J162</f>
        <v>3.1520225693811645</v>
      </c>
      <c r="L162" s="66">
        <v>41642</v>
      </c>
      <c r="M162" s="870">
        <f>L162/(L162+I162)*100</f>
        <v>8.7847316714026835</v>
      </c>
      <c r="N162" s="261">
        <f>(I162+L162)/J162</f>
        <v>3.4555865779248709</v>
      </c>
      <c r="O162" s="873">
        <v>1469</v>
      </c>
      <c r="P162" s="56">
        <f>(I162+L162+O162)/J162</f>
        <v>3.4662953702151236</v>
      </c>
      <c r="Q162" s="893" t="s">
        <v>510</v>
      </c>
    </row>
    <row r="163" spans="1:17" ht="53" customHeight="1" x14ac:dyDescent="0.2">
      <c r="A163" s="51">
        <v>4</v>
      </c>
      <c r="B163" s="51" t="s">
        <v>25</v>
      </c>
      <c r="C163" s="51" t="s">
        <v>116</v>
      </c>
      <c r="D163" s="894" t="s">
        <v>1045</v>
      </c>
      <c r="E163" s="723" t="s">
        <v>1036</v>
      </c>
      <c r="F163" s="66">
        <v>7576</v>
      </c>
      <c r="G163" s="870">
        <v>19.7</v>
      </c>
      <c r="H163" s="870">
        <v>2.92</v>
      </c>
      <c r="I163" s="61">
        <v>234809</v>
      </c>
      <c r="J163" s="66">
        <v>73500.039999999994</v>
      </c>
      <c r="K163" s="56">
        <f>I163/J163</f>
        <v>3.1946785335082812</v>
      </c>
      <c r="L163" s="66">
        <v>20236</v>
      </c>
      <c r="M163" s="870">
        <f>L163/(L163+I163)*100</f>
        <v>7.9342861063733849</v>
      </c>
      <c r="N163" s="261">
        <f>(I163+L163)/J163</f>
        <v>3.469998111565654</v>
      </c>
      <c r="O163" s="66"/>
      <c r="P163" s="56">
        <f>(I163+L163+O163)/J163</f>
        <v>3.469998111565654</v>
      </c>
      <c r="Q163" s="893" t="s">
        <v>511</v>
      </c>
    </row>
    <row r="164" spans="1:17" ht="27" customHeight="1" x14ac:dyDescent="0.2">
      <c r="A164" s="3336" t="s">
        <v>54</v>
      </c>
      <c r="B164" s="3336"/>
      <c r="C164" s="3336"/>
      <c r="D164" s="3336"/>
      <c r="E164" s="3336"/>
      <c r="F164" s="3336"/>
      <c r="G164" s="3336"/>
      <c r="H164" s="3336"/>
      <c r="I164" s="888">
        <f>I158+I160+I162+I163</f>
        <v>1237119</v>
      </c>
      <c r="J164" s="889">
        <f>J158+J160+J162+J163</f>
        <v>367895.03999999998</v>
      </c>
      <c r="K164" s="59">
        <f>I164/J164</f>
        <v>3.3626955122852431</v>
      </c>
      <c r="L164" s="859">
        <f>L158+L160+L162+L163</f>
        <v>121885</v>
      </c>
      <c r="M164" s="360">
        <f>L164/(L164+I164)*100</f>
        <v>8.9687006072093975</v>
      </c>
      <c r="N164" s="360">
        <f>(I164+L164)/J164</f>
        <v>3.6939992450020531</v>
      </c>
      <c r="O164" s="60">
        <f>O158+O160+O162</f>
        <v>14492</v>
      </c>
      <c r="P164" s="59">
        <f>(I164+L164+O164)/J164</f>
        <v>3.7333909149740103</v>
      </c>
      <c r="Q164" s="893"/>
    </row>
    <row r="165" spans="1:17" s="1" customFormat="1" ht="27" customHeight="1" x14ac:dyDescent="0.2">
      <c r="A165" s="3335" t="s">
        <v>55</v>
      </c>
      <c r="B165" s="3335"/>
      <c r="C165" s="3335"/>
      <c r="D165" s="3335"/>
      <c r="E165" s="3335"/>
      <c r="F165" s="3335"/>
      <c r="G165" s="3335"/>
      <c r="H165" s="3335"/>
      <c r="I165" s="58">
        <f>SUM(I158:I163)</f>
        <v>1301592</v>
      </c>
      <c r="J165" s="65">
        <f>SUM(J158:J163)</f>
        <v>367895.03999999998</v>
      </c>
      <c r="K165" s="59">
        <f>I165/J165</f>
        <v>3.5379438657286602</v>
      </c>
      <c r="L165" s="859">
        <f>L158+L160+L162+L163</f>
        <v>121885</v>
      </c>
      <c r="M165" s="360">
        <f>L165/(L165+I165)*100</f>
        <v>8.5624846766052425</v>
      </c>
      <c r="N165" s="360">
        <f>(I165+L165)/J165</f>
        <v>3.8692475984454697</v>
      </c>
      <c r="O165" s="60">
        <f>O158+O160+O162</f>
        <v>14492</v>
      </c>
      <c r="P165" s="59">
        <f>(I165+L165+O165)/J165</f>
        <v>3.9086392684174269</v>
      </c>
      <c r="Q165" s="264"/>
    </row>
    <row r="166" spans="1:17" s="1" customFormat="1" ht="23" customHeight="1" x14ac:dyDescent="0.2">
      <c r="A166" s="42" t="s">
        <v>491</v>
      </c>
      <c r="H166" s="78"/>
      <c r="I166" s="447"/>
      <c r="J166" s="71"/>
      <c r="K166" s="71"/>
      <c r="N166" s="209"/>
    </row>
    <row r="167" spans="1:17" s="1" customFormat="1" ht="34" customHeight="1" x14ac:dyDescent="0.2">
      <c r="A167" s="3356" t="s">
        <v>39</v>
      </c>
      <c r="B167" s="3356" t="s">
        <v>40</v>
      </c>
      <c r="C167" s="3339" t="s">
        <v>41</v>
      </c>
      <c r="D167" s="3341"/>
      <c r="E167" s="3340"/>
      <c r="F167" s="935" t="s">
        <v>42</v>
      </c>
      <c r="G167" s="935" t="s">
        <v>43</v>
      </c>
      <c r="H167" s="936" t="s">
        <v>533</v>
      </c>
      <c r="I167" s="3339" t="s">
        <v>535</v>
      </c>
      <c r="J167" s="3340"/>
      <c r="K167" s="937" t="s">
        <v>45</v>
      </c>
      <c r="L167" s="935" t="s">
        <v>46</v>
      </c>
      <c r="M167" s="3333" t="s">
        <v>531</v>
      </c>
      <c r="N167" s="3331" t="s">
        <v>47</v>
      </c>
    </row>
    <row r="168" spans="1:17" s="1" customFormat="1" ht="35" customHeight="1" x14ac:dyDescent="0.2">
      <c r="A168" s="3357"/>
      <c r="B168" s="3357"/>
      <c r="C168" s="935" t="s">
        <v>48</v>
      </c>
      <c r="D168" s="937" t="s">
        <v>527</v>
      </c>
      <c r="E168" s="937" t="s">
        <v>528</v>
      </c>
      <c r="F168" s="935" t="s">
        <v>164</v>
      </c>
      <c r="G168" s="935" t="s">
        <v>530</v>
      </c>
      <c r="H168" s="936" t="s">
        <v>534</v>
      </c>
      <c r="I168" s="935" t="s">
        <v>164</v>
      </c>
      <c r="J168" s="937" t="s">
        <v>532</v>
      </c>
      <c r="K168" s="936" t="s">
        <v>534</v>
      </c>
      <c r="L168" s="935" t="s">
        <v>164</v>
      </c>
      <c r="M168" s="3334"/>
      <c r="N168" s="3332"/>
    </row>
    <row r="169" spans="1:17" s="1" customFormat="1" ht="24" customHeight="1" x14ac:dyDescent="0.2">
      <c r="A169" s="3349">
        <v>1</v>
      </c>
      <c r="B169" s="3347" t="s">
        <v>540</v>
      </c>
      <c r="C169" s="3345">
        <v>7481</v>
      </c>
      <c r="D169" s="3337">
        <v>14.44</v>
      </c>
      <c r="E169" s="3354">
        <v>7</v>
      </c>
      <c r="F169" s="61">
        <f>I150+I158</f>
        <v>784399</v>
      </c>
      <c r="G169" s="61">
        <f>J150+J158</f>
        <v>238666.68</v>
      </c>
      <c r="H169" s="857">
        <f>F169/G169</f>
        <v>3.2865878052185584</v>
      </c>
      <c r="I169" s="872">
        <f>L150+L158</f>
        <v>76311</v>
      </c>
      <c r="J169" s="870">
        <f>I169/(I169+F169)*100</f>
        <v>8.8660524450744163</v>
      </c>
      <c r="K169" s="722">
        <f>(F169+I169)/G169</f>
        <v>3.6063266141716976</v>
      </c>
      <c r="L169" s="874">
        <f>O150+O158</f>
        <v>13051</v>
      </c>
      <c r="M169" s="70">
        <f>(F169+I169+L169)/G169</f>
        <v>3.6610095720106384</v>
      </c>
      <c r="N169" s="3329" t="s">
        <v>508</v>
      </c>
    </row>
    <row r="170" spans="1:17" s="1" customFormat="1" ht="24" customHeight="1" x14ac:dyDescent="0.2">
      <c r="A170" s="3350"/>
      <c r="B170" s="3348"/>
      <c r="C170" s="3346"/>
      <c r="D170" s="3338"/>
      <c r="E170" s="3355"/>
      <c r="F170" s="61">
        <v>54202</v>
      </c>
      <c r="G170" s="3351" t="s">
        <v>406</v>
      </c>
      <c r="H170" s="3352"/>
      <c r="I170" s="3352"/>
      <c r="J170" s="3352"/>
      <c r="K170" s="3352"/>
      <c r="L170" s="3352"/>
      <c r="M170" s="3353"/>
      <c r="N170" s="3330"/>
    </row>
    <row r="171" spans="1:17" s="1" customFormat="1" ht="24" customHeight="1" x14ac:dyDescent="0.2">
      <c r="A171" s="3349">
        <v>2</v>
      </c>
      <c r="B171" s="3347" t="s">
        <v>539</v>
      </c>
      <c r="C171" s="3345">
        <v>7828</v>
      </c>
      <c r="D171" s="3337">
        <v>10.72</v>
      </c>
      <c r="E171" s="3337">
        <v>3.69</v>
      </c>
      <c r="F171" s="61">
        <f>I151+I160</f>
        <v>566596</v>
      </c>
      <c r="G171" s="66">
        <f>J151+J160</f>
        <v>174862</v>
      </c>
      <c r="H171" s="857">
        <f>F171/G171</f>
        <v>3.2402465944573433</v>
      </c>
      <c r="I171" s="872">
        <f>L151+L160</f>
        <v>51363</v>
      </c>
      <c r="J171" s="870">
        <f>I171/(I171+F171)*100</f>
        <v>8.3117164730993487</v>
      </c>
      <c r="K171" s="722">
        <f>(F171+I171)/G171</f>
        <v>3.5339810822248401</v>
      </c>
      <c r="L171" s="874">
        <f>O151+O160</f>
        <v>14658</v>
      </c>
      <c r="M171" s="70">
        <f>(F171+I171+L171)/G171</f>
        <v>3.6178071850945317</v>
      </c>
      <c r="N171" s="3329" t="s">
        <v>509</v>
      </c>
    </row>
    <row r="172" spans="1:17" s="1" customFormat="1" ht="24" customHeight="1" x14ac:dyDescent="0.2">
      <c r="A172" s="3350"/>
      <c r="B172" s="3348"/>
      <c r="C172" s="3346"/>
      <c r="D172" s="3338"/>
      <c r="E172" s="3338"/>
      <c r="F172" s="61">
        <v>10271</v>
      </c>
      <c r="G172" s="3342" t="s">
        <v>406</v>
      </c>
      <c r="H172" s="3343"/>
      <c r="I172" s="3343"/>
      <c r="J172" s="3343"/>
      <c r="K172" s="3343"/>
      <c r="L172" s="3343"/>
      <c r="M172" s="3344"/>
      <c r="N172" s="3330"/>
    </row>
    <row r="173" spans="1:17" s="1" customFormat="1" ht="47" customHeight="1" x14ac:dyDescent="0.2">
      <c r="A173" s="51">
        <v>3</v>
      </c>
      <c r="B173" s="868" t="s">
        <v>513</v>
      </c>
      <c r="C173" s="52">
        <v>7518</v>
      </c>
      <c r="D173" s="869">
        <v>8.3000000000000007</v>
      </c>
      <c r="E173" s="869">
        <v>9.82</v>
      </c>
      <c r="F173" s="61">
        <f>I152+I162</f>
        <v>898705</v>
      </c>
      <c r="G173" s="66">
        <f>J152+J162</f>
        <v>288618.05</v>
      </c>
      <c r="H173" s="56">
        <f>F173/G173</f>
        <v>3.1138211903240287</v>
      </c>
      <c r="I173" s="66">
        <f>L152+L162</f>
        <v>88599</v>
      </c>
      <c r="J173" s="870">
        <f>I173/(I173+F173)*100</f>
        <v>8.9738317681281554</v>
      </c>
      <c r="K173" s="261">
        <f>(F173+I173)/G173</f>
        <v>3.4207978329837654</v>
      </c>
      <c r="L173" s="873">
        <f>O152+O162</f>
        <v>3126</v>
      </c>
      <c r="M173" s="56">
        <f>(F173+I173+L173)/G173</f>
        <v>3.431628756413537</v>
      </c>
      <c r="N173" s="871" t="s">
        <v>510</v>
      </c>
    </row>
    <row r="174" spans="1:17" s="1" customFormat="1" ht="47" customHeight="1" x14ac:dyDescent="0.2">
      <c r="A174" s="51">
        <v>4</v>
      </c>
      <c r="B174" s="868" t="s">
        <v>514</v>
      </c>
      <c r="C174" s="52">
        <v>7576</v>
      </c>
      <c r="D174" s="869">
        <v>19.7</v>
      </c>
      <c r="E174" s="869">
        <v>2.92</v>
      </c>
      <c r="F174" s="61">
        <f>I153+I163</f>
        <v>487368</v>
      </c>
      <c r="G174" s="66">
        <f>J153+J163</f>
        <v>154925.03999999998</v>
      </c>
      <c r="H174" s="56">
        <f>F174/G174</f>
        <v>3.1458310419025874</v>
      </c>
      <c r="I174" s="66">
        <f>L153+L163</f>
        <v>43056</v>
      </c>
      <c r="J174" s="870">
        <f>I174/(I174+F174)*100</f>
        <v>8.117279761096782</v>
      </c>
      <c r="K174" s="261">
        <f>(F174+I174)/G174</f>
        <v>3.4237460903673163</v>
      </c>
      <c r="L174" s="66"/>
      <c r="M174" s="56">
        <f>(F174+I174+L174)/G174</f>
        <v>3.4237460903673163</v>
      </c>
      <c r="N174" s="871" t="s">
        <v>511</v>
      </c>
    </row>
    <row r="175" spans="1:17" s="1" customFormat="1" ht="25" customHeight="1" x14ac:dyDescent="0.2">
      <c r="A175" s="3380" t="s">
        <v>54</v>
      </c>
      <c r="B175" s="3381"/>
      <c r="C175" s="3381"/>
      <c r="D175" s="3381"/>
      <c r="E175" s="3382"/>
      <c r="F175" s="890">
        <f>F169+F171+F173+F174</f>
        <v>2737068</v>
      </c>
      <c r="G175" s="60">
        <f>SUM(G169:G174)</f>
        <v>857071.77</v>
      </c>
      <c r="H175" s="59">
        <f>F175/G175</f>
        <v>3.1935108538226618</v>
      </c>
      <c r="I175" s="859">
        <f>SUM(I169:I174)</f>
        <v>259329</v>
      </c>
      <c r="J175" s="360">
        <f>I175/(I175+F175)*100</f>
        <v>8.6546942878396962</v>
      </c>
      <c r="K175" s="360">
        <f>(F175+I175)/G175</f>
        <v>3.4960864479295588</v>
      </c>
      <c r="L175" s="60">
        <f>SUM(L168:L173)</f>
        <v>30835</v>
      </c>
      <c r="M175" s="59">
        <f>(F175+I175+L175)/G175</f>
        <v>3.5320635983611965</v>
      </c>
      <c r="N175" s="871"/>
    </row>
    <row r="176" spans="1:17" s="1" customFormat="1" ht="35" customHeight="1" x14ac:dyDescent="0.2">
      <c r="A176" s="3311" t="s">
        <v>55</v>
      </c>
      <c r="B176" s="3312"/>
      <c r="C176" s="3312"/>
      <c r="D176" s="3312"/>
      <c r="E176" s="3313"/>
      <c r="F176" s="58">
        <f>SUM(F169:F174)</f>
        <v>2801541</v>
      </c>
      <c r="G176" s="60">
        <f>SUM(G169:G174)</f>
        <v>857071.77</v>
      </c>
      <c r="H176" s="59">
        <f>F176/G176</f>
        <v>3.268735592586371</v>
      </c>
      <c r="I176" s="859">
        <f>SUM(I169:I174)</f>
        <v>259329</v>
      </c>
      <c r="J176" s="360">
        <f>I176/(I176+F176)*100</f>
        <v>8.4723951033529676</v>
      </c>
      <c r="K176" s="360">
        <f>(F176+I176)/G176</f>
        <v>3.5713111866932685</v>
      </c>
      <c r="L176" s="60">
        <f>SUM(L169:L174)</f>
        <v>30835</v>
      </c>
      <c r="M176" s="59">
        <f>(F176+I176+L176)/G176</f>
        <v>3.6072883371249063</v>
      </c>
      <c r="N176" s="264"/>
    </row>
    <row r="177" spans="1:18" s="1" customFormat="1" ht="19" customHeight="1" x14ac:dyDescent="0.2">
      <c r="A177" s="891" t="s">
        <v>515</v>
      </c>
      <c r="B177" s="879"/>
      <c r="C177" s="879"/>
      <c r="D177" s="879"/>
      <c r="E177" s="879"/>
      <c r="F177" s="879"/>
      <c r="G177" s="879"/>
      <c r="H177" s="879"/>
      <c r="I177" s="875"/>
      <c r="J177" s="875"/>
      <c r="K177" s="892"/>
      <c r="L177" s="892"/>
      <c r="M177" s="876"/>
      <c r="N177" s="876"/>
      <c r="O177" s="876"/>
      <c r="P177" s="876"/>
      <c r="Q177" s="876"/>
      <c r="R177" s="876"/>
    </row>
    <row r="178" spans="1:18" s="1" customFormat="1" ht="37" customHeight="1" x14ac:dyDescent="0.2">
      <c r="A178" s="3379" t="s">
        <v>516</v>
      </c>
      <c r="B178" s="3379"/>
      <c r="C178" s="3379"/>
      <c r="D178" s="3379"/>
      <c r="E178" s="3379"/>
      <c r="F178" s="3379"/>
      <c r="G178" s="3379"/>
      <c r="H178" s="3379"/>
      <c r="I178" s="3379"/>
      <c r="J178" s="3379"/>
      <c r="K178" s="3379"/>
      <c r="L178" s="3379"/>
      <c r="M178" s="3379"/>
      <c r="N178" s="3379"/>
      <c r="O178" s="885"/>
      <c r="P178" s="885"/>
      <c r="Q178" s="885"/>
      <c r="R178" s="885"/>
    </row>
    <row r="179" spans="1:18" s="1" customFormat="1" ht="35" customHeight="1" x14ac:dyDescent="0.2">
      <c r="A179" s="3379" t="s">
        <v>517</v>
      </c>
      <c r="B179" s="3379"/>
      <c r="C179" s="3379"/>
      <c r="D179" s="3379"/>
      <c r="E179" s="3379"/>
      <c r="F179" s="3379"/>
      <c r="G179" s="3379"/>
      <c r="H179" s="3379"/>
      <c r="I179" s="3379"/>
      <c r="J179" s="3379"/>
      <c r="K179" s="3379"/>
      <c r="L179" s="3379"/>
      <c r="M179" s="3379"/>
      <c r="N179" s="3379"/>
      <c r="O179" s="885"/>
      <c r="P179" s="885"/>
      <c r="Q179" s="885"/>
      <c r="R179" s="885"/>
    </row>
    <row r="180" spans="1:18" s="1" customFormat="1" ht="35" customHeight="1" x14ac:dyDescent="0.2">
      <c r="A180" s="3379" t="s">
        <v>518</v>
      </c>
      <c r="B180" s="3379"/>
      <c r="C180" s="3379"/>
      <c r="D180" s="3379"/>
      <c r="E180" s="3379"/>
      <c r="F180" s="3379"/>
      <c r="G180" s="3379"/>
      <c r="H180" s="3379"/>
      <c r="I180" s="3379"/>
      <c r="J180" s="3379"/>
      <c r="K180" s="3379"/>
      <c r="L180" s="3379"/>
      <c r="M180" s="3379"/>
      <c r="N180" s="3379"/>
      <c r="O180" s="885"/>
      <c r="P180" s="885"/>
      <c r="Q180" s="885"/>
      <c r="R180" s="885"/>
    </row>
    <row r="181" spans="1:18" s="1" customFormat="1" ht="35" customHeight="1" x14ac:dyDescent="0.2">
      <c r="A181" s="3379" t="s">
        <v>519</v>
      </c>
      <c r="B181" s="3379"/>
      <c r="C181" s="3379"/>
      <c r="D181" s="3379"/>
      <c r="E181" s="3379"/>
      <c r="F181" s="3379"/>
      <c r="G181" s="3379"/>
      <c r="H181" s="3379"/>
      <c r="I181" s="3379"/>
      <c r="J181" s="3379"/>
      <c r="K181" s="3379"/>
      <c r="L181" s="3379"/>
      <c r="M181" s="3379"/>
      <c r="N181" s="3379"/>
      <c r="O181" s="885"/>
      <c r="P181" s="885"/>
      <c r="Q181" s="885"/>
      <c r="R181" s="885"/>
    </row>
    <row r="182" spans="1:18" s="1" customFormat="1" ht="24" customHeight="1" x14ac:dyDescent="0.2">
      <c r="A182" s="3379" t="s">
        <v>526</v>
      </c>
      <c r="B182" s="3379"/>
      <c r="C182" s="3379"/>
      <c r="D182" s="3379"/>
      <c r="E182" s="3379"/>
      <c r="F182" s="3379"/>
      <c r="G182" s="3379"/>
      <c r="H182" s="3379"/>
      <c r="I182" s="3379"/>
      <c r="J182" s="3379"/>
      <c r="K182" s="3379"/>
      <c r="L182" s="3379"/>
      <c r="M182" s="3379"/>
      <c r="N182" s="3379"/>
      <c r="O182" s="885"/>
      <c r="P182" s="885"/>
      <c r="Q182" s="885"/>
      <c r="R182" s="876"/>
    </row>
    <row r="183" spans="1:18" s="1" customFormat="1" ht="24" customHeight="1" x14ac:dyDescent="0.2">
      <c r="A183" s="884" t="s">
        <v>555</v>
      </c>
      <c r="B183" s="884"/>
      <c r="C183" s="884"/>
      <c r="D183" s="884"/>
      <c r="E183" s="884"/>
      <c r="F183" s="884"/>
      <c r="G183" s="884"/>
      <c r="H183" s="884"/>
      <c r="I183" s="884"/>
      <c r="J183" s="884"/>
      <c r="K183" s="884"/>
      <c r="L183" s="884"/>
      <c r="M183" s="884"/>
      <c r="N183" s="884"/>
      <c r="O183" s="884"/>
      <c r="P183" s="884"/>
      <c r="Q183" s="884"/>
      <c r="R183" s="876"/>
    </row>
    <row r="184" spans="1:18" s="1" customFormat="1" ht="24" customHeight="1" x14ac:dyDescent="0.2">
      <c r="A184" s="883" t="s">
        <v>520</v>
      </c>
      <c r="B184" s="883"/>
      <c r="C184" s="883"/>
      <c r="D184" s="883"/>
      <c r="E184" s="883"/>
      <c r="F184" s="883"/>
      <c r="G184" s="883"/>
      <c r="H184" s="883"/>
      <c r="I184" s="883"/>
      <c r="J184" s="883"/>
      <c r="K184" s="883"/>
      <c r="L184" s="883"/>
      <c r="M184" s="883"/>
      <c r="N184" s="883"/>
      <c r="O184" s="883"/>
      <c r="P184" s="883"/>
      <c r="Q184" s="883"/>
      <c r="R184" s="877"/>
    </row>
    <row r="185" spans="1:18" s="1" customFormat="1" ht="24" customHeight="1" x14ac:dyDescent="0.2">
      <c r="A185" s="883" t="s">
        <v>521</v>
      </c>
      <c r="B185" s="883"/>
      <c r="C185" s="883"/>
      <c r="D185" s="883"/>
      <c r="E185" s="883"/>
      <c r="F185" s="883"/>
      <c r="G185" s="883"/>
      <c r="H185" s="883"/>
      <c r="I185" s="883"/>
      <c r="J185" s="883"/>
      <c r="K185" s="883"/>
      <c r="L185" s="883"/>
      <c r="M185" s="883"/>
      <c r="N185" s="883"/>
      <c r="O185" s="883"/>
      <c r="P185" s="883"/>
      <c r="Q185" s="883"/>
      <c r="R185" s="878"/>
    </row>
    <row r="186" spans="1:18" s="1" customFormat="1" ht="24" customHeight="1" x14ac:dyDescent="0.15">
      <c r="A186" s="881" t="s">
        <v>522</v>
      </c>
      <c r="B186" s="881"/>
      <c r="C186" s="881"/>
      <c r="D186" s="881"/>
      <c r="E186" s="881"/>
      <c r="F186" s="881"/>
      <c r="G186" s="881"/>
      <c r="H186" s="881"/>
      <c r="I186" s="881"/>
      <c r="J186" s="881"/>
      <c r="K186" s="881"/>
      <c r="L186" s="881"/>
      <c r="M186" s="881"/>
      <c r="N186" s="881"/>
      <c r="O186" s="881"/>
      <c r="P186" s="878"/>
      <c r="Q186" s="878"/>
      <c r="R186" s="878"/>
    </row>
    <row r="187" spans="1:18" s="1" customFormat="1" ht="24" customHeight="1" x14ac:dyDescent="0.15">
      <c r="A187" s="881" t="s">
        <v>523</v>
      </c>
      <c r="B187" s="881"/>
      <c r="C187" s="881"/>
      <c r="D187" s="881"/>
      <c r="E187" s="881"/>
      <c r="F187" s="881"/>
      <c r="G187" s="881"/>
      <c r="H187" s="881"/>
      <c r="I187" s="881"/>
      <c r="J187" s="881"/>
      <c r="K187" s="881"/>
      <c r="L187" s="881"/>
      <c r="M187" s="881"/>
      <c r="N187" s="881"/>
      <c r="O187" s="881"/>
      <c r="P187" s="878"/>
      <c r="Q187" s="878"/>
      <c r="R187" s="878"/>
    </row>
    <row r="188" spans="1:18" s="1" customFormat="1" ht="24" customHeight="1" x14ac:dyDescent="0.15">
      <c r="A188" s="881" t="s">
        <v>524</v>
      </c>
      <c r="B188" s="881"/>
      <c r="C188" s="881"/>
      <c r="D188" s="881"/>
      <c r="E188" s="881"/>
      <c r="F188" s="881"/>
      <c r="G188" s="881"/>
      <c r="H188" s="881"/>
      <c r="I188" s="881"/>
      <c r="J188" s="881"/>
      <c r="K188" s="881"/>
      <c r="L188" s="881"/>
      <c r="M188" s="881"/>
      <c r="N188" s="881"/>
      <c r="O188" s="880"/>
      <c r="P188" s="878"/>
      <c r="Q188" s="878"/>
      <c r="R188" s="878"/>
    </row>
    <row r="189" spans="1:18" s="1" customFormat="1" ht="30" customHeight="1" x14ac:dyDescent="0.2">
      <c r="A189" s="883" t="s">
        <v>525</v>
      </c>
      <c r="B189" s="883"/>
      <c r="C189" s="883"/>
      <c r="D189" s="883"/>
      <c r="E189" s="883"/>
      <c r="F189" s="883"/>
      <c r="G189" s="883"/>
      <c r="H189" s="883"/>
      <c r="I189" s="883"/>
      <c r="J189" s="883"/>
      <c r="K189" s="883"/>
      <c r="L189" s="883"/>
      <c r="M189" s="883"/>
      <c r="N189" s="883"/>
      <c r="O189" s="882"/>
      <c r="P189" s="878"/>
      <c r="Q189" s="878"/>
      <c r="R189" s="878"/>
    </row>
    <row r="190" spans="1:18" s="1" customFormat="1" ht="24.75" customHeight="1" x14ac:dyDescent="0.2">
      <c r="A190" s="2475" t="s">
        <v>501</v>
      </c>
      <c r="B190" s="2475"/>
      <c r="C190" s="2475"/>
      <c r="D190" s="2475"/>
      <c r="E190" s="2475"/>
      <c r="F190" s="2475"/>
      <c r="G190" s="2475"/>
      <c r="H190" s="2475"/>
      <c r="I190" s="2475"/>
      <c r="J190" s="2475"/>
      <c r="K190" s="2475"/>
      <c r="L190" s="2475"/>
      <c r="M190" s="2475"/>
      <c r="N190" s="2475"/>
      <c r="O190" s="75"/>
    </row>
    <row r="191" spans="1:18" s="1" customFormat="1" ht="42" customHeight="1" x14ac:dyDescent="0.2">
      <c r="A191" s="3017" t="s">
        <v>39</v>
      </c>
      <c r="B191" s="3371" t="s">
        <v>467</v>
      </c>
      <c r="C191" s="3192" t="s">
        <v>262</v>
      </c>
      <c r="D191" s="3192"/>
      <c r="E191" s="3017" t="s">
        <v>263</v>
      </c>
      <c r="F191" s="3017"/>
      <c r="G191" s="3193" t="s">
        <v>468</v>
      </c>
      <c r="H191" s="3193"/>
      <c r="I191" s="3194" t="s">
        <v>264</v>
      </c>
      <c r="J191" s="3194"/>
      <c r="K191" s="3184" t="s">
        <v>561</v>
      </c>
      <c r="L191" s="3184"/>
      <c r="M191" s="3185" t="s">
        <v>564</v>
      </c>
      <c r="N191" s="3185"/>
      <c r="O191" s="3196"/>
      <c r="P191" s="3196"/>
    </row>
    <row r="192" spans="1:18" s="1" customFormat="1" ht="30" customHeight="1" x14ac:dyDescent="0.2">
      <c r="A192" s="3017"/>
      <c r="B192" s="3371"/>
      <c r="C192" s="812" t="s">
        <v>5</v>
      </c>
      <c r="D192" s="812" t="s">
        <v>25</v>
      </c>
      <c r="E192" s="804" t="s">
        <v>5</v>
      </c>
      <c r="F192" s="804" t="s">
        <v>25</v>
      </c>
      <c r="G192" s="804" t="s">
        <v>5</v>
      </c>
      <c r="H192" s="804" t="s">
        <v>25</v>
      </c>
      <c r="I192" s="804" t="s">
        <v>5</v>
      </c>
      <c r="J192" s="804" t="s">
        <v>25</v>
      </c>
      <c r="K192" s="804" t="s">
        <v>5</v>
      </c>
      <c r="L192" s="804" t="s">
        <v>25</v>
      </c>
      <c r="M192" s="808" t="s">
        <v>5</v>
      </c>
      <c r="N192" s="808" t="s">
        <v>25</v>
      </c>
      <c r="O192" s="75"/>
    </row>
    <row r="193" spans="1:15" s="1" customFormat="1" ht="42" customHeight="1" x14ac:dyDescent="0.2">
      <c r="A193" s="51">
        <v>1</v>
      </c>
      <c r="B193" s="810" t="s">
        <v>469</v>
      </c>
      <c r="C193" s="811">
        <v>3</v>
      </c>
      <c r="D193" s="811">
        <v>3</v>
      </c>
      <c r="E193" s="805"/>
      <c r="F193" s="805"/>
      <c r="G193" s="806"/>
      <c r="H193" s="806"/>
      <c r="I193" s="806"/>
      <c r="J193" s="805"/>
      <c r="K193" s="805">
        <v>3</v>
      </c>
      <c r="L193" s="805">
        <v>4</v>
      </c>
      <c r="M193" s="954">
        <f t="shared" ref="M193:M199" si="12">C193-K193</f>
        <v>0</v>
      </c>
      <c r="N193" s="954">
        <f t="shared" ref="N193:N199" si="13">D193-L193</f>
        <v>-1</v>
      </c>
      <c r="O193" s="75"/>
    </row>
    <row r="194" spans="1:15" s="1" customFormat="1" ht="42" customHeight="1" x14ac:dyDescent="0.2">
      <c r="A194" s="51">
        <v>2</v>
      </c>
      <c r="B194" s="810" t="s">
        <v>470</v>
      </c>
      <c r="C194" s="811">
        <v>5</v>
      </c>
      <c r="D194" s="811">
        <v>5</v>
      </c>
      <c r="E194" s="805"/>
      <c r="F194" s="805"/>
      <c r="G194" s="806"/>
      <c r="H194" s="806"/>
      <c r="I194" s="806"/>
      <c r="J194" s="805"/>
      <c r="K194" s="805">
        <v>5</v>
      </c>
      <c r="L194" s="805">
        <v>6</v>
      </c>
      <c r="M194" s="954">
        <f t="shared" si="12"/>
        <v>0</v>
      </c>
      <c r="N194" s="954">
        <f t="shared" si="13"/>
        <v>-1</v>
      </c>
      <c r="O194" s="953"/>
    </row>
    <row r="195" spans="1:15" s="1" customFormat="1" ht="42" customHeight="1" x14ac:dyDescent="0.2">
      <c r="A195" s="51">
        <v>3</v>
      </c>
      <c r="B195" s="810" t="s">
        <v>471</v>
      </c>
      <c r="C195" s="811">
        <v>30</v>
      </c>
      <c r="D195" s="811">
        <v>30</v>
      </c>
      <c r="E195" s="805"/>
      <c r="F195" s="805">
        <v>3</v>
      </c>
      <c r="G195" s="806"/>
      <c r="H195" s="806"/>
      <c r="I195" s="806"/>
      <c r="J195" s="805">
        <v>3</v>
      </c>
      <c r="K195" s="805">
        <v>27</v>
      </c>
      <c r="L195" s="805">
        <v>27</v>
      </c>
      <c r="M195" s="954">
        <f t="shared" si="12"/>
        <v>3</v>
      </c>
      <c r="N195" s="954">
        <f t="shared" si="13"/>
        <v>3</v>
      </c>
      <c r="O195" s="953"/>
    </row>
    <row r="196" spans="1:15" s="1" customFormat="1" ht="42" customHeight="1" x14ac:dyDescent="0.2">
      <c r="A196" s="51">
        <v>4</v>
      </c>
      <c r="B196" s="810" t="s">
        <v>472</v>
      </c>
      <c r="C196" s="811">
        <v>19</v>
      </c>
      <c r="D196" s="811">
        <v>19</v>
      </c>
      <c r="E196" s="805"/>
      <c r="F196" s="805"/>
      <c r="G196" s="806">
        <v>3</v>
      </c>
      <c r="H196" s="806"/>
      <c r="I196" s="806"/>
      <c r="J196" s="805"/>
      <c r="K196" s="805">
        <v>16</v>
      </c>
      <c r="L196" s="805">
        <v>16</v>
      </c>
      <c r="M196" s="954">
        <f t="shared" si="12"/>
        <v>3</v>
      </c>
      <c r="N196" s="954">
        <f t="shared" si="13"/>
        <v>3</v>
      </c>
      <c r="O196" s="953"/>
    </row>
    <row r="197" spans="1:15" s="1" customFormat="1" ht="42" customHeight="1" x14ac:dyDescent="0.2">
      <c r="A197" s="51">
        <v>5</v>
      </c>
      <c r="B197" s="810" t="s">
        <v>473</v>
      </c>
      <c r="C197" s="811">
        <v>51</v>
      </c>
      <c r="D197" s="811">
        <v>51</v>
      </c>
      <c r="E197" s="805">
        <v>3</v>
      </c>
      <c r="F197" s="805">
        <v>21</v>
      </c>
      <c r="G197" s="806">
        <v>1</v>
      </c>
      <c r="H197" s="806">
        <v>2</v>
      </c>
      <c r="I197" s="806">
        <v>3</v>
      </c>
      <c r="J197" s="805">
        <v>10</v>
      </c>
      <c r="K197" s="805">
        <v>45</v>
      </c>
      <c r="L197" s="805">
        <v>50</v>
      </c>
      <c r="M197" s="954">
        <f t="shared" si="12"/>
        <v>6</v>
      </c>
      <c r="N197" s="954">
        <f t="shared" si="13"/>
        <v>1</v>
      </c>
      <c r="O197" s="953"/>
    </row>
    <row r="198" spans="1:15" s="1" customFormat="1" ht="42" customHeight="1" x14ac:dyDescent="0.2">
      <c r="A198" s="51">
        <v>6</v>
      </c>
      <c r="B198" s="810" t="s">
        <v>474</v>
      </c>
      <c r="C198" s="811">
        <v>6</v>
      </c>
      <c r="D198" s="811">
        <v>6</v>
      </c>
      <c r="E198" s="805"/>
      <c r="F198" s="805"/>
      <c r="G198" s="806"/>
      <c r="H198" s="806"/>
      <c r="I198" s="806"/>
      <c r="J198" s="805"/>
      <c r="K198" s="805">
        <v>6</v>
      </c>
      <c r="L198" s="805">
        <v>6</v>
      </c>
      <c r="M198" s="954">
        <f t="shared" si="12"/>
        <v>0</v>
      </c>
      <c r="N198" s="954">
        <f t="shared" si="13"/>
        <v>0</v>
      </c>
      <c r="O198" s="953"/>
    </row>
    <row r="199" spans="1:15" s="1" customFormat="1" ht="42" customHeight="1" x14ac:dyDescent="0.2">
      <c r="A199" s="51">
        <v>7</v>
      </c>
      <c r="B199" s="810" t="s">
        <v>475</v>
      </c>
      <c r="C199" s="811">
        <v>2</v>
      </c>
      <c r="D199" s="811">
        <v>2</v>
      </c>
      <c r="E199" s="805"/>
      <c r="F199" s="805"/>
      <c r="G199" s="806"/>
      <c r="H199" s="806"/>
      <c r="I199" s="806"/>
      <c r="J199" s="805"/>
      <c r="K199" s="805">
        <v>2</v>
      </c>
      <c r="L199" s="805">
        <v>2</v>
      </c>
      <c r="M199" s="954">
        <f t="shared" si="12"/>
        <v>0</v>
      </c>
      <c r="N199" s="954">
        <f t="shared" si="13"/>
        <v>0</v>
      </c>
      <c r="O199" s="953"/>
    </row>
    <row r="200" spans="1:15" s="1" customFormat="1" ht="42" customHeight="1" x14ac:dyDescent="0.2">
      <c r="A200" s="3018" t="s">
        <v>476</v>
      </c>
      <c r="B200" s="3020"/>
      <c r="C200" s="813">
        <f>SUM(C193:C199)</f>
        <v>116</v>
      </c>
      <c r="D200" s="813">
        <f>SUM(D193:D199)</f>
        <v>116</v>
      </c>
      <c r="E200" s="807">
        <f t="shared" ref="E200:J200" si="14">SUM(E193:E199)</f>
        <v>3</v>
      </c>
      <c r="F200" s="807">
        <f t="shared" si="14"/>
        <v>24</v>
      </c>
      <c r="G200" s="807">
        <f t="shared" si="14"/>
        <v>4</v>
      </c>
      <c r="H200" s="807">
        <f t="shared" si="14"/>
        <v>2</v>
      </c>
      <c r="I200" s="807">
        <f t="shared" si="14"/>
        <v>3</v>
      </c>
      <c r="J200" s="807">
        <f t="shared" si="14"/>
        <v>13</v>
      </c>
      <c r="K200" s="813">
        <f>SUM(K193:K199)</f>
        <v>104</v>
      </c>
      <c r="L200" s="813">
        <f>SUM(L193:L199)</f>
        <v>111</v>
      </c>
      <c r="M200" s="814">
        <f>C200-K200</f>
        <v>12</v>
      </c>
      <c r="N200" s="814">
        <f>D200-L200</f>
        <v>5</v>
      </c>
      <c r="O200" s="953"/>
    </row>
    <row r="201" spans="1:15" s="1" customFormat="1" ht="30" customHeight="1" x14ac:dyDescent="0.2">
      <c r="A201" s="938" t="s">
        <v>565</v>
      </c>
      <c r="B201" s="938"/>
      <c r="C201" s="938"/>
      <c r="D201" s="938"/>
      <c r="E201" s="938"/>
      <c r="F201" s="938"/>
      <c r="G201" s="938"/>
      <c r="H201" s="939"/>
      <c r="I201" s="940"/>
      <c r="J201" s="941"/>
      <c r="K201" s="941"/>
      <c r="L201" s="938"/>
      <c r="M201" s="938"/>
      <c r="N201" s="941"/>
      <c r="O201" s="942"/>
    </row>
    <row r="202" spans="1:15" s="1" customFormat="1" ht="30" customHeight="1" x14ac:dyDescent="0.2">
      <c r="A202" s="938" t="s">
        <v>566</v>
      </c>
      <c r="B202" s="938"/>
      <c r="C202" s="938"/>
      <c r="D202" s="938"/>
      <c r="E202" s="938"/>
      <c r="F202" s="938"/>
      <c r="G202" s="938"/>
      <c r="H202" s="939"/>
      <c r="I202" s="940"/>
      <c r="J202" s="941"/>
      <c r="K202" s="941"/>
      <c r="L202" s="938"/>
      <c r="M202" s="938"/>
      <c r="N202" s="941"/>
      <c r="O202" s="942"/>
    </row>
    <row r="203" spans="1:15" s="1" customFormat="1" ht="24.75" customHeight="1" x14ac:dyDescent="0.2">
      <c r="A203" s="42" t="s">
        <v>502</v>
      </c>
      <c r="B203" s="42"/>
      <c r="E203" s="43"/>
      <c r="F203" s="43"/>
      <c r="H203" s="78"/>
      <c r="I203" s="447"/>
      <c r="J203" s="71"/>
      <c r="K203" s="71"/>
      <c r="N203" s="209"/>
      <c r="O203" s="75"/>
    </row>
    <row r="204" spans="1:15" s="1" customFormat="1" ht="38" customHeight="1" x14ac:dyDescent="0.2">
      <c r="A204" s="3223" t="s">
        <v>34</v>
      </c>
      <c r="B204" s="3174" t="s">
        <v>6</v>
      </c>
      <c r="C204" s="3174"/>
      <c r="D204" s="2602" t="s">
        <v>7</v>
      </c>
      <c r="E204" s="3174" t="s">
        <v>8</v>
      </c>
      <c r="F204" s="3174"/>
      <c r="G204" s="3174"/>
      <c r="H204" s="3039" t="s">
        <v>9</v>
      </c>
      <c r="I204" s="2602" t="s">
        <v>10</v>
      </c>
      <c r="J204" s="8" t="s">
        <v>35</v>
      </c>
      <c r="K204" s="8" t="s">
        <v>12</v>
      </c>
      <c r="L204" s="7" t="s">
        <v>13</v>
      </c>
      <c r="M204" s="7" t="s">
        <v>14</v>
      </c>
      <c r="N204" s="8" t="s">
        <v>15</v>
      </c>
      <c r="O204" s="75"/>
    </row>
    <row r="205" spans="1:15" s="1" customFormat="1" ht="35" customHeight="1" x14ac:dyDescent="0.2">
      <c r="A205" s="3304"/>
      <c r="B205" s="7" t="s">
        <v>36</v>
      </c>
      <c r="C205" s="7" t="s">
        <v>17</v>
      </c>
      <c r="D205" s="2602"/>
      <c r="E205" s="9" t="s">
        <v>18</v>
      </c>
      <c r="F205" s="9" t="s">
        <v>19</v>
      </c>
      <c r="G205" s="7" t="s">
        <v>20</v>
      </c>
      <c r="H205" s="3039"/>
      <c r="I205" s="2602"/>
      <c r="J205" s="8" t="s">
        <v>21</v>
      </c>
      <c r="K205" s="8" t="s">
        <v>22</v>
      </c>
      <c r="L205" s="3190" t="s">
        <v>22</v>
      </c>
      <c r="M205" s="3191"/>
      <c r="N205" s="8" t="s">
        <v>23</v>
      </c>
      <c r="O205" s="75"/>
    </row>
    <row r="206" spans="1:15" s="1" customFormat="1" ht="36" customHeight="1" x14ac:dyDescent="0.2">
      <c r="A206" s="2665" t="s">
        <v>5</v>
      </c>
      <c r="B206" s="2551" t="s">
        <v>412</v>
      </c>
      <c r="C206" s="12" t="s">
        <v>21</v>
      </c>
      <c r="D206" s="14">
        <f>I206*J206*100/K207</f>
        <v>471734.69387755101</v>
      </c>
      <c r="E206" s="14">
        <f>E207*H206/100</f>
        <v>411447</v>
      </c>
      <c r="F206" s="14">
        <f>F207*H206/100</f>
        <v>27738</v>
      </c>
      <c r="G206" s="14">
        <f>G207*H206/100</f>
        <v>23115</v>
      </c>
      <c r="H206" s="853">
        <f>J206*I206</f>
        <v>462300</v>
      </c>
      <c r="I206" s="434">
        <v>30</v>
      </c>
      <c r="J206" s="357">
        <v>15410</v>
      </c>
      <c r="K206" s="348"/>
      <c r="L206" s="28"/>
      <c r="M206" s="28"/>
      <c r="N206" s="348"/>
      <c r="O206" s="75"/>
    </row>
    <row r="207" spans="1:15" s="1" customFormat="1" ht="36" customHeight="1" x14ac:dyDescent="0.2">
      <c r="A207" s="2665"/>
      <c r="B207" s="2551"/>
      <c r="C207" s="12" t="s">
        <v>22</v>
      </c>
      <c r="D207" s="13"/>
      <c r="E207" s="16">
        <v>89</v>
      </c>
      <c r="F207" s="16">
        <v>6</v>
      </c>
      <c r="G207" s="16">
        <v>5</v>
      </c>
      <c r="H207" s="858">
        <f>SUM(E207:G207)</f>
        <v>100</v>
      </c>
      <c r="I207" s="435"/>
      <c r="J207" s="362"/>
      <c r="K207" s="365">
        <v>98</v>
      </c>
      <c r="L207" s="2933">
        <f>100-K207</f>
        <v>2</v>
      </c>
      <c r="M207" s="2933"/>
      <c r="N207" s="348">
        <v>40</v>
      </c>
      <c r="O207" s="75"/>
    </row>
    <row r="208" spans="1:15" s="1" customFormat="1" ht="36" customHeight="1" x14ac:dyDescent="0.2">
      <c r="A208" s="2665" t="s">
        <v>25</v>
      </c>
      <c r="B208" s="2551" t="s">
        <v>492</v>
      </c>
      <c r="C208" s="12" t="s">
        <v>21</v>
      </c>
      <c r="D208" s="14">
        <f>I208*J208*100/K209</f>
        <v>242163.26530612246</v>
      </c>
      <c r="E208" s="14">
        <f>E209*H208/100</f>
        <v>211214.8</v>
      </c>
      <c r="F208" s="14">
        <f>F209*H208/100</f>
        <v>18985.599999999999</v>
      </c>
      <c r="G208" s="14">
        <f>G209*H208/100</f>
        <v>7119.6</v>
      </c>
      <c r="H208" s="853">
        <f>J208*I208</f>
        <v>237320</v>
      </c>
      <c r="I208" s="434">
        <v>17</v>
      </c>
      <c r="J208" s="357">
        <v>13960</v>
      </c>
      <c r="K208" s="348"/>
      <c r="L208" s="28"/>
      <c r="M208" s="28"/>
      <c r="N208" s="348"/>
      <c r="O208" s="75"/>
    </row>
    <row r="209" spans="1:15" s="1" customFormat="1" ht="36" customHeight="1" x14ac:dyDescent="0.2">
      <c r="A209" s="2665"/>
      <c r="B209" s="2551"/>
      <c r="C209" s="12" t="s">
        <v>22</v>
      </c>
      <c r="D209" s="13"/>
      <c r="E209" s="16">
        <v>89</v>
      </c>
      <c r="F209" s="16">
        <v>8</v>
      </c>
      <c r="G209" s="16">
        <v>3</v>
      </c>
      <c r="H209" s="858">
        <f>SUM(E209:G209)</f>
        <v>100</v>
      </c>
      <c r="I209" s="435"/>
      <c r="J209" s="362"/>
      <c r="K209" s="365">
        <v>98</v>
      </c>
      <c r="L209" s="2933">
        <f>100-K209</f>
        <v>2</v>
      </c>
      <c r="M209" s="2933"/>
      <c r="N209" s="348">
        <v>40</v>
      </c>
      <c r="O209" s="75"/>
    </row>
    <row r="210" spans="1:15" s="1" customFormat="1" ht="36" customHeight="1" x14ac:dyDescent="0.2">
      <c r="A210" s="2665"/>
      <c r="B210" s="2551" t="s">
        <v>495</v>
      </c>
      <c r="C210" s="12" t="s">
        <v>21</v>
      </c>
      <c r="D210" s="14">
        <f>I210*J210*100/K211</f>
        <v>155938.46153846153</v>
      </c>
      <c r="E210" s="14">
        <f>E211*H210/100</f>
        <v>142917.6</v>
      </c>
      <c r="F210" s="14">
        <f>F211*H210/100</f>
        <v>6081.6</v>
      </c>
      <c r="G210" s="14">
        <f>G211*H210/100</f>
        <v>3040.8</v>
      </c>
      <c r="H210" s="853">
        <f>J210*I210</f>
        <v>152040</v>
      </c>
      <c r="I210" s="434">
        <v>12</v>
      </c>
      <c r="J210" s="357">
        <v>12670</v>
      </c>
      <c r="K210" s="348"/>
      <c r="L210" s="28"/>
      <c r="M210" s="28"/>
      <c r="N210" s="348"/>
      <c r="O210" s="75"/>
    </row>
    <row r="211" spans="1:15" s="1" customFormat="1" ht="36" customHeight="1" x14ac:dyDescent="0.2">
      <c r="A211" s="2665"/>
      <c r="B211" s="2551"/>
      <c r="C211" s="12" t="s">
        <v>22</v>
      </c>
      <c r="D211" s="13"/>
      <c r="E211" s="16">
        <v>94</v>
      </c>
      <c r="F211" s="16">
        <v>4</v>
      </c>
      <c r="G211" s="16">
        <v>2</v>
      </c>
      <c r="H211" s="396">
        <f>SUM(E211:G211)</f>
        <v>100</v>
      </c>
      <c r="I211" s="435"/>
      <c r="J211" s="362"/>
      <c r="K211" s="365">
        <v>97.5</v>
      </c>
      <c r="L211" s="2933">
        <f>100-K211</f>
        <v>2.5</v>
      </c>
      <c r="M211" s="2933"/>
      <c r="N211" s="348">
        <v>100</v>
      </c>
      <c r="O211" s="75"/>
    </row>
    <row r="212" spans="1:15" s="1" customFormat="1" ht="35" customHeight="1" x14ac:dyDescent="0.2">
      <c r="A212" s="3378" t="s">
        <v>549</v>
      </c>
      <c r="B212" s="2792" t="s">
        <v>83</v>
      </c>
      <c r="C212" s="606" t="s">
        <v>21</v>
      </c>
      <c r="D212" s="709">
        <f t="shared" ref="D212:I212" si="15">D206+D208+D210</f>
        <v>869836.42072213499</v>
      </c>
      <c r="E212" s="709">
        <f t="shared" si="15"/>
        <v>765579.4</v>
      </c>
      <c r="F212" s="709">
        <f t="shared" si="15"/>
        <v>52805.2</v>
      </c>
      <c r="G212" s="709">
        <f t="shared" si="15"/>
        <v>33275.4</v>
      </c>
      <c r="H212" s="709">
        <f t="shared" si="15"/>
        <v>851660</v>
      </c>
      <c r="I212" s="600">
        <f t="shared" si="15"/>
        <v>59</v>
      </c>
      <c r="J212" s="709">
        <f>H212/I212</f>
        <v>14434.915254237289</v>
      </c>
      <c r="K212" s="600">
        <f>K210-K208</f>
        <v>0</v>
      </c>
      <c r="L212" s="600"/>
      <c r="M212" s="600"/>
      <c r="N212" s="600"/>
      <c r="O212" s="75"/>
    </row>
    <row r="213" spans="1:15" s="1" customFormat="1" ht="35" customHeight="1" x14ac:dyDescent="0.2">
      <c r="A213" s="3378"/>
      <c r="B213" s="3370"/>
      <c r="C213" s="599" t="s">
        <v>22</v>
      </c>
      <c r="D213" s="600"/>
      <c r="E213" s="709">
        <f>(E212/$H$212)*100</f>
        <v>89.89260972688632</v>
      </c>
      <c r="F213" s="709">
        <f>(F212/$H$212)*100</f>
        <v>6.2002677124674159</v>
      </c>
      <c r="G213" s="709">
        <f>(G212/$H$212)*100</f>
        <v>3.9071225606462674</v>
      </c>
      <c r="H213" s="600">
        <f>SUM(E213:G213)</f>
        <v>100.00000000000001</v>
      </c>
      <c r="I213" s="601"/>
      <c r="J213" s="602"/>
      <c r="K213" s="603"/>
      <c r="L213" s="604"/>
      <c r="M213" s="604"/>
      <c r="N213" s="605"/>
      <c r="O213" s="75"/>
    </row>
    <row r="214" spans="1:15" s="1" customFormat="1" ht="24.75" customHeight="1" x14ac:dyDescent="0.2">
      <c r="A214" s="2663" t="s">
        <v>493</v>
      </c>
      <c r="B214" s="2663"/>
      <c r="C214" s="2663"/>
      <c r="D214" s="2663"/>
      <c r="E214" s="2663"/>
      <c r="F214" s="2663"/>
      <c r="G214" s="2663"/>
      <c r="H214" s="2663"/>
      <c r="I214" s="2663"/>
      <c r="J214" s="2663"/>
      <c r="K214" s="2663"/>
      <c r="L214" s="2663"/>
      <c r="M214" s="2663"/>
      <c r="N214" s="2663"/>
      <c r="O214" s="75"/>
    </row>
    <row r="215" spans="1:15" s="1" customFormat="1" ht="24.75" customHeight="1" x14ac:dyDescent="0.2">
      <c r="A215" s="2663" t="s">
        <v>567</v>
      </c>
      <c r="B215" s="2663"/>
      <c r="C215" s="2663"/>
      <c r="D215" s="2663"/>
      <c r="E215" s="2663"/>
      <c r="F215" s="2663"/>
      <c r="G215" s="2663"/>
      <c r="H215" s="2663"/>
      <c r="I215" s="2663"/>
      <c r="J215" s="2663"/>
      <c r="K215" s="2663"/>
      <c r="L215" s="2663"/>
      <c r="M215" s="2663"/>
      <c r="N215" s="2663"/>
      <c r="O215" s="75"/>
    </row>
    <row r="216" spans="1:15" s="1" customFormat="1" ht="24.75" customHeight="1" x14ac:dyDescent="0.2">
      <c r="A216" s="42" t="s">
        <v>503</v>
      </c>
      <c r="B216" s="45"/>
      <c r="C216" s="2"/>
      <c r="D216" s="46"/>
      <c r="E216" s="46"/>
      <c r="F216" s="46"/>
      <c r="G216" s="46"/>
      <c r="H216" s="405"/>
      <c r="I216" s="446"/>
      <c r="J216" s="353"/>
      <c r="K216" s="370"/>
      <c r="L216" s="47"/>
      <c r="M216" s="47"/>
      <c r="N216" s="198"/>
      <c r="O216" s="75"/>
    </row>
    <row r="217" spans="1:15" s="1" customFormat="1" ht="40" customHeight="1" x14ac:dyDescent="0.2">
      <c r="A217" s="2665" t="s">
        <v>34</v>
      </c>
      <c r="B217" s="3174" t="s">
        <v>6</v>
      </c>
      <c r="C217" s="3174"/>
      <c r="D217" s="2602" t="s">
        <v>7</v>
      </c>
      <c r="E217" s="3174" t="s">
        <v>8</v>
      </c>
      <c r="F217" s="3174"/>
      <c r="G217" s="3174"/>
      <c r="H217" s="3039" t="s">
        <v>9</v>
      </c>
      <c r="I217" s="2602" t="s">
        <v>10</v>
      </c>
      <c r="J217" s="8" t="s">
        <v>35</v>
      </c>
      <c r="K217" s="8" t="s">
        <v>12</v>
      </c>
      <c r="L217" s="7" t="s">
        <v>13</v>
      </c>
      <c r="M217" s="7" t="s">
        <v>14</v>
      </c>
      <c r="N217" s="8" t="s">
        <v>15</v>
      </c>
      <c r="O217" s="75"/>
    </row>
    <row r="218" spans="1:15" s="1" customFormat="1" ht="31" customHeight="1" x14ac:dyDescent="0.2">
      <c r="A218" s="2665"/>
      <c r="B218" s="7" t="s">
        <v>37</v>
      </c>
      <c r="C218" s="7" t="s">
        <v>17</v>
      </c>
      <c r="D218" s="2602"/>
      <c r="E218" s="9" t="s">
        <v>18</v>
      </c>
      <c r="F218" s="9" t="s">
        <v>19</v>
      </c>
      <c r="G218" s="7" t="s">
        <v>20</v>
      </c>
      <c r="H218" s="3039"/>
      <c r="I218" s="2602"/>
      <c r="J218" s="8" t="s">
        <v>21</v>
      </c>
      <c r="K218" s="8" t="s">
        <v>22</v>
      </c>
      <c r="L218" s="3174" t="s">
        <v>22</v>
      </c>
      <c r="M218" s="3174"/>
      <c r="N218" s="8" t="s">
        <v>23</v>
      </c>
      <c r="O218" s="75"/>
    </row>
    <row r="219" spans="1:15" s="1" customFormat="1" ht="30" customHeight="1" x14ac:dyDescent="0.2">
      <c r="A219" s="2665" t="s">
        <v>5</v>
      </c>
      <c r="B219" s="2551" t="s">
        <v>412</v>
      </c>
      <c r="C219" s="12" t="s">
        <v>21</v>
      </c>
      <c r="D219" s="14">
        <f>I219*J219*100/K220</f>
        <v>481169.38775510201</v>
      </c>
      <c r="E219" s="14">
        <f>E220*H219/100</f>
        <v>429106.86</v>
      </c>
      <c r="F219" s="14">
        <f>F220*H219/100</f>
        <v>23577.3</v>
      </c>
      <c r="G219" s="14">
        <f>G220*H219/100</f>
        <v>18861.84</v>
      </c>
      <c r="H219" s="853">
        <f>J219*I219</f>
        <v>471546</v>
      </c>
      <c r="I219" s="434">
        <v>30</v>
      </c>
      <c r="J219" s="357">
        <f>J206+J206*2%</f>
        <v>15718.2</v>
      </c>
      <c r="K219" s="348"/>
      <c r="L219" s="28"/>
      <c r="M219" s="28"/>
      <c r="N219" s="348"/>
      <c r="O219" s="75"/>
    </row>
    <row r="220" spans="1:15" s="1" customFormat="1" ht="30" customHeight="1" x14ac:dyDescent="0.2">
      <c r="A220" s="2665"/>
      <c r="B220" s="2551"/>
      <c r="C220" s="12" t="s">
        <v>22</v>
      </c>
      <c r="D220" s="13"/>
      <c r="E220" s="16">
        <v>91</v>
      </c>
      <c r="F220" s="16">
        <v>5</v>
      </c>
      <c r="G220" s="16">
        <v>4</v>
      </c>
      <c r="H220" s="858">
        <f>SUM(E220:G220)</f>
        <v>100</v>
      </c>
      <c r="I220" s="435"/>
      <c r="J220" s="362"/>
      <c r="K220" s="365">
        <v>98</v>
      </c>
      <c r="L220" s="2933">
        <f>100-K220</f>
        <v>2</v>
      </c>
      <c r="M220" s="2933"/>
      <c r="N220" s="348">
        <v>25</v>
      </c>
      <c r="O220" s="75"/>
    </row>
    <row r="221" spans="1:15" s="1" customFormat="1" ht="36" customHeight="1" x14ac:dyDescent="0.2">
      <c r="A221" s="2665" t="s">
        <v>25</v>
      </c>
      <c r="B221" s="2551" t="s">
        <v>492</v>
      </c>
      <c r="C221" s="12" t="s">
        <v>21</v>
      </c>
      <c r="D221" s="14">
        <f>I221*J221*100/K222</f>
        <v>247006.53061224494</v>
      </c>
      <c r="E221" s="14">
        <f>E222*H221/100</f>
        <v>220280.42400000003</v>
      </c>
      <c r="F221" s="14">
        <f>F222*H221/100</f>
        <v>14523.984000000002</v>
      </c>
      <c r="G221" s="14">
        <f>G222*H221/100</f>
        <v>7261.9920000000011</v>
      </c>
      <c r="H221" s="853">
        <f>J221*I221</f>
        <v>242066.40000000002</v>
      </c>
      <c r="I221" s="434">
        <v>17</v>
      </c>
      <c r="J221" s="357">
        <f>J208+J208*2%</f>
        <v>14239.2</v>
      </c>
      <c r="K221" s="348"/>
      <c r="L221" s="28"/>
      <c r="M221" s="28"/>
      <c r="N221" s="348"/>
      <c r="O221" s="75"/>
    </row>
    <row r="222" spans="1:15" s="1" customFormat="1" ht="36" customHeight="1" x14ac:dyDescent="0.2">
      <c r="A222" s="2665"/>
      <c r="B222" s="2551"/>
      <c r="C222" s="12" t="s">
        <v>22</v>
      </c>
      <c r="D222" s="13"/>
      <c r="E222" s="16">
        <v>91</v>
      </c>
      <c r="F222" s="16">
        <v>6</v>
      </c>
      <c r="G222" s="16">
        <v>3</v>
      </c>
      <c r="H222" s="858">
        <f>SUM(E222:G222)</f>
        <v>100</v>
      </c>
      <c r="I222" s="435"/>
      <c r="J222" s="362"/>
      <c r="K222" s="365">
        <v>98</v>
      </c>
      <c r="L222" s="2933">
        <f>100-K222</f>
        <v>2</v>
      </c>
      <c r="M222" s="2933"/>
      <c r="N222" s="348">
        <v>25</v>
      </c>
      <c r="O222" s="75"/>
    </row>
    <row r="223" spans="1:15" s="1" customFormat="1" ht="36" customHeight="1" x14ac:dyDescent="0.2">
      <c r="A223" s="2665"/>
      <c r="B223" s="2551" t="s">
        <v>495</v>
      </c>
      <c r="C223" s="12" t="s">
        <v>21</v>
      </c>
      <c r="D223" s="14">
        <f>I223*J223*100/K224</f>
        <v>158245.71428571426</v>
      </c>
      <c r="E223" s="14">
        <f>E224*H223/100</f>
        <v>148877.568</v>
      </c>
      <c r="F223" s="14">
        <f>F224*H223/100</f>
        <v>4652.424</v>
      </c>
      <c r="G223" s="14">
        <f>G224*H223/100</f>
        <v>1550.808</v>
      </c>
      <c r="H223" s="853">
        <f>J223*I223</f>
        <v>155080.79999999999</v>
      </c>
      <c r="I223" s="434">
        <v>12</v>
      </c>
      <c r="J223" s="357">
        <f>J210+J210*2%</f>
        <v>12923.4</v>
      </c>
      <c r="K223" s="348"/>
      <c r="L223" s="28"/>
      <c r="M223" s="28"/>
      <c r="N223" s="348"/>
      <c r="O223" s="75"/>
    </row>
    <row r="224" spans="1:15" s="1" customFormat="1" ht="36" customHeight="1" x14ac:dyDescent="0.2">
      <c r="A224" s="2665"/>
      <c r="B224" s="2551"/>
      <c r="C224" s="12" t="s">
        <v>22</v>
      </c>
      <c r="D224" s="13"/>
      <c r="E224" s="16">
        <v>96</v>
      </c>
      <c r="F224" s="16">
        <v>3</v>
      </c>
      <c r="G224" s="16">
        <v>1</v>
      </c>
      <c r="H224" s="396">
        <f>SUM(E224:G224)</f>
        <v>100</v>
      </c>
      <c r="I224" s="435"/>
      <c r="J224" s="362"/>
      <c r="K224" s="365">
        <v>98</v>
      </c>
      <c r="L224" s="2933">
        <f>100-K224</f>
        <v>2</v>
      </c>
      <c r="M224" s="2933"/>
      <c r="N224" s="348">
        <v>80</v>
      </c>
      <c r="O224" s="75"/>
    </row>
    <row r="225" spans="1:15" s="1" customFormat="1" ht="45" customHeight="1" x14ac:dyDescent="0.2">
      <c r="A225" s="3378" t="s">
        <v>548</v>
      </c>
      <c r="B225" s="2792" t="s">
        <v>83</v>
      </c>
      <c r="C225" s="606" t="s">
        <v>21</v>
      </c>
      <c r="D225" s="709">
        <f t="shared" ref="D225:I225" si="16">D219+D221+D223</f>
        <v>886421.6326530613</v>
      </c>
      <c r="E225" s="709">
        <f t="shared" si="16"/>
        <v>798264.85199999996</v>
      </c>
      <c r="F225" s="709">
        <f t="shared" si="16"/>
        <v>42753.707999999999</v>
      </c>
      <c r="G225" s="709">
        <f t="shared" si="16"/>
        <v>27674.640000000003</v>
      </c>
      <c r="H225" s="709">
        <f t="shared" si="16"/>
        <v>868693.2</v>
      </c>
      <c r="I225" s="600">
        <f t="shared" si="16"/>
        <v>59</v>
      </c>
      <c r="J225" s="709">
        <f>H225/I225</f>
        <v>14723.613559322033</v>
      </c>
      <c r="K225" s="600">
        <f>K223-K221</f>
        <v>0</v>
      </c>
      <c r="L225" s="600"/>
      <c r="M225" s="600"/>
      <c r="N225" s="600"/>
      <c r="O225" s="75"/>
    </row>
    <row r="226" spans="1:15" s="1" customFormat="1" ht="45" customHeight="1" x14ac:dyDescent="0.2">
      <c r="A226" s="3378"/>
      <c r="B226" s="3370"/>
      <c r="C226" s="599" t="s">
        <v>22</v>
      </c>
      <c r="D226" s="600"/>
      <c r="E226" s="600">
        <f>(E225/$H$225)*100</f>
        <v>91.89260972688632</v>
      </c>
      <c r="F226" s="600">
        <f>(F225/$H$225)*100</f>
        <v>4.9216119108564449</v>
      </c>
      <c r="G226" s="600">
        <f>(G225/$H$225)*100</f>
        <v>3.1857783622572389</v>
      </c>
      <c r="H226" s="600">
        <f>SUM(E226:G226)</f>
        <v>100</v>
      </c>
      <c r="I226" s="601"/>
      <c r="J226" s="602"/>
      <c r="K226" s="603"/>
      <c r="L226" s="604"/>
      <c r="M226" s="604"/>
      <c r="N226" s="605"/>
      <c r="O226" s="75"/>
    </row>
    <row r="227" spans="1:15" s="1" customFormat="1" ht="30" customHeight="1" x14ac:dyDescent="0.2">
      <c r="A227" s="76" t="s">
        <v>504</v>
      </c>
      <c r="B227" s="77"/>
      <c r="C227" s="77"/>
      <c r="D227" s="77"/>
      <c r="E227" s="77"/>
      <c r="F227" s="77"/>
      <c r="G227" s="77"/>
      <c r="H227" s="408"/>
      <c r="I227" s="448"/>
      <c r="J227" s="354"/>
      <c r="K227" s="354"/>
      <c r="L227" s="77"/>
      <c r="M227" s="77"/>
      <c r="N227" s="349"/>
      <c r="O227" s="75"/>
    </row>
    <row r="228" spans="1:15" s="1" customFormat="1" ht="24.75" customHeight="1" x14ac:dyDescent="0.2">
      <c r="A228" s="42" t="s">
        <v>57</v>
      </c>
      <c r="B228" s="42"/>
      <c r="E228" s="43"/>
      <c r="F228" s="43"/>
      <c r="H228" s="78"/>
      <c r="I228" s="447"/>
      <c r="J228" s="71"/>
      <c r="K228" s="71"/>
      <c r="N228" s="209"/>
    </row>
    <row r="229" spans="1:15" s="1" customFormat="1" ht="24.75" customHeight="1" x14ac:dyDescent="0.2">
      <c r="A229" s="1" t="s">
        <v>58</v>
      </c>
      <c r="D229" s="43"/>
      <c r="E229" s="43"/>
      <c r="G229" s="43"/>
      <c r="H229" s="78"/>
      <c r="I229" s="447"/>
      <c r="J229" s="71"/>
      <c r="K229" s="194"/>
      <c r="N229" s="209"/>
    </row>
    <row r="230" spans="1:15" s="1" customFormat="1" ht="24.75" customHeight="1" x14ac:dyDescent="0.2">
      <c r="A230" s="3173" t="s">
        <v>542</v>
      </c>
      <c r="B230" s="3173"/>
      <c r="C230" s="3173"/>
      <c r="D230" s="3173"/>
      <c r="E230" s="3173"/>
      <c r="F230" s="3173"/>
      <c r="G230" s="3173"/>
      <c r="H230" s="3173"/>
      <c r="I230" s="3173"/>
      <c r="J230" s="3173"/>
      <c r="K230" s="3173"/>
      <c r="L230" s="3173"/>
      <c r="M230" s="3173"/>
      <c r="N230" s="3173"/>
    </row>
    <row r="231" spans="1:15" s="1" customFormat="1" ht="43" customHeight="1" x14ac:dyDescent="0.2">
      <c r="A231" s="2725" t="s">
        <v>568</v>
      </c>
      <c r="B231" s="2725"/>
      <c r="C231" s="2725"/>
      <c r="D231" s="2725"/>
      <c r="E231" s="2725"/>
      <c r="F231" s="2725"/>
      <c r="G231" s="2725"/>
      <c r="H231" s="2725"/>
      <c r="I231" s="2725"/>
      <c r="J231" s="2725"/>
      <c r="K231" s="2725"/>
      <c r="L231" s="2725"/>
      <c r="M231" s="2725"/>
      <c r="N231" s="2725"/>
    </row>
    <row r="232" spans="1:15" s="1" customFormat="1" ht="23" customHeight="1" x14ac:dyDescent="0.2">
      <c r="A232" s="42" t="s">
        <v>414</v>
      </c>
      <c r="C232" s="42"/>
      <c r="E232" s="43"/>
      <c r="F232" s="43"/>
      <c r="H232" s="78"/>
      <c r="I232" s="447"/>
      <c r="J232" s="71"/>
      <c r="K232" s="71"/>
      <c r="N232" s="209"/>
    </row>
    <row r="233" spans="1:15" s="84" customFormat="1" ht="24.75" customHeight="1" x14ac:dyDescent="0.2">
      <c r="A233" s="1" t="s">
        <v>560</v>
      </c>
      <c r="B233" s="476"/>
      <c r="C233" s="476"/>
      <c r="D233" s="476"/>
      <c r="E233" s="476"/>
      <c r="F233" s="476"/>
      <c r="G233" s="476"/>
      <c r="H233" s="861"/>
      <c r="I233" s="862"/>
      <c r="J233" s="863"/>
      <c r="K233" s="863"/>
      <c r="L233" s="476"/>
      <c r="M233" s="476"/>
      <c r="N233" s="209"/>
    </row>
    <row r="234" spans="1:15" s="84" customFormat="1" ht="52" customHeight="1" x14ac:dyDescent="0.2">
      <c r="A234" s="3205" t="s">
        <v>569</v>
      </c>
      <c r="B234" s="3205"/>
      <c r="C234" s="3205"/>
      <c r="D234" s="3205"/>
      <c r="E234" s="3205"/>
      <c r="F234" s="3205"/>
      <c r="G234" s="3205"/>
      <c r="H234" s="3205"/>
      <c r="I234" s="3205"/>
      <c r="J234" s="3205"/>
      <c r="K234" s="3205"/>
      <c r="L234" s="3205"/>
      <c r="M234" s="3205"/>
      <c r="N234" s="3205"/>
    </row>
    <row r="235" spans="1:15" s="84" customFormat="1" ht="41" customHeight="1" x14ac:dyDescent="0.2">
      <c r="A235" s="3205" t="s">
        <v>550</v>
      </c>
      <c r="B235" s="3205"/>
      <c r="C235" s="3205"/>
      <c r="D235" s="3205"/>
      <c r="E235" s="3205"/>
      <c r="F235" s="3205"/>
      <c r="G235" s="3205"/>
      <c r="H235" s="3205"/>
      <c r="I235" s="3205"/>
      <c r="J235" s="3205"/>
      <c r="K235" s="3205"/>
      <c r="L235" s="3205"/>
      <c r="M235" s="3205"/>
      <c r="N235" s="3205"/>
    </row>
    <row r="236" spans="1:15" s="84" customFormat="1" ht="62" customHeight="1" x14ac:dyDescent="0.2">
      <c r="A236" s="3205" t="s">
        <v>570</v>
      </c>
      <c r="B236" s="3205"/>
      <c r="C236" s="3205"/>
      <c r="D236" s="3205"/>
      <c r="E236" s="3205"/>
      <c r="F236" s="3205"/>
      <c r="G236" s="3205"/>
      <c r="H236" s="3205"/>
      <c r="I236" s="3205"/>
      <c r="J236" s="3205"/>
      <c r="K236" s="3205"/>
      <c r="L236" s="3205"/>
      <c r="M236" s="3205"/>
      <c r="N236" s="3205"/>
    </row>
    <row r="237" spans="1:15" s="84" customFormat="1" ht="25" customHeight="1" x14ac:dyDescent="0.2">
      <c r="A237" s="42" t="s">
        <v>60</v>
      </c>
      <c r="B237" s="85"/>
      <c r="C237" s="85"/>
      <c r="D237" s="85"/>
      <c r="E237" s="85"/>
      <c r="F237" s="85"/>
      <c r="G237" s="85"/>
      <c r="H237" s="399"/>
      <c r="I237" s="450"/>
      <c r="J237" s="85"/>
      <c r="K237" s="85"/>
      <c r="L237" s="85"/>
      <c r="M237" s="85"/>
      <c r="N237" s="86"/>
    </row>
    <row r="238" spans="1:15" s="1" customFormat="1" ht="21" customHeight="1" x14ac:dyDescent="0.2">
      <c r="A238" s="79" t="s">
        <v>551</v>
      </c>
      <c r="B238" s="85"/>
      <c r="C238" s="85"/>
      <c r="D238" s="85"/>
      <c r="E238" s="85"/>
      <c r="F238" s="85"/>
      <c r="G238" s="85"/>
      <c r="H238" s="399"/>
      <c r="I238" s="450"/>
      <c r="J238" s="85"/>
      <c r="K238" s="85"/>
      <c r="L238" s="85"/>
      <c r="M238" s="85"/>
      <c r="N238" s="86"/>
    </row>
    <row r="239" spans="1:15" s="1" customFormat="1" ht="42" customHeight="1" x14ac:dyDescent="0.2">
      <c r="A239" s="2663" t="s">
        <v>546</v>
      </c>
      <c r="B239" s="2663"/>
      <c r="C239" s="2663"/>
      <c r="D239" s="2663"/>
      <c r="E239" s="2663"/>
      <c r="F239" s="2663"/>
      <c r="G239" s="2663"/>
      <c r="H239" s="2663"/>
      <c r="I239" s="2663"/>
      <c r="J239" s="2663"/>
      <c r="K239" s="2663"/>
      <c r="L239" s="2663"/>
      <c r="M239" s="2663"/>
      <c r="N239" s="2663"/>
    </row>
    <row r="240" spans="1:15" s="84" customFormat="1" ht="21" customHeight="1" x14ac:dyDescent="0.2">
      <c r="A240" s="42" t="s">
        <v>64</v>
      </c>
      <c r="H240" s="394"/>
      <c r="I240" s="451"/>
      <c r="J240" s="355"/>
      <c r="K240" s="355"/>
      <c r="N240" s="350"/>
    </row>
    <row r="241" spans="1:14" s="84" customFormat="1" ht="27" customHeight="1" x14ac:dyDescent="0.2">
      <c r="A241" s="79" t="s">
        <v>65</v>
      </c>
      <c r="H241" s="394"/>
      <c r="I241" s="451"/>
      <c r="J241" s="355"/>
      <c r="K241" s="355"/>
      <c r="N241" s="350"/>
    </row>
    <row r="242" spans="1:14" s="84" customFormat="1" ht="27" customHeight="1" x14ac:dyDescent="0.2">
      <c r="A242" s="79" t="s">
        <v>66</v>
      </c>
      <c r="H242" s="394"/>
      <c r="I242" s="451"/>
      <c r="J242" s="355"/>
      <c r="K242" s="355"/>
      <c r="N242" s="350"/>
    </row>
    <row r="243" spans="1:14" s="84" customFormat="1" ht="27" customHeight="1" x14ac:dyDescent="0.2">
      <c r="A243" s="79" t="s">
        <v>552</v>
      </c>
      <c r="H243" s="394"/>
      <c r="I243" s="451"/>
      <c r="J243" s="355"/>
      <c r="K243" s="355"/>
      <c r="N243" s="350"/>
    </row>
    <row r="244" spans="1:14" s="1" customFormat="1" ht="24.75" customHeight="1" x14ac:dyDescent="0.2">
      <c r="A244" s="79" t="s">
        <v>544</v>
      </c>
      <c r="H244" s="78"/>
      <c r="I244" s="447"/>
      <c r="J244" s="71"/>
      <c r="K244" s="71"/>
      <c r="N244" s="209"/>
    </row>
    <row r="245" spans="1:14" s="1" customFormat="1" ht="24.75" customHeight="1" x14ac:dyDescent="0.2">
      <c r="A245" s="79" t="s">
        <v>545</v>
      </c>
      <c r="H245" s="78"/>
      <c r="I245" s="447"/>
      <c r="J245" s="71"/>
      <c r="K245" s="71"/>
      <c r="N245" s="209"/>
    </row>
    <row r="246" spans="1:14" s="1" customFormat="1" ht="24.75" customHeight="1" x14ac:dyDescent="0.2">
      <c r="A246" s="335" t="s">
        <v>571</v>
      </c>
      <c r="H246" s="78"/>
      <c r="I246" s="447"/>
      <c r="J246" s="71"/>
      <c r="K246" s="71"/>
      <c r="N246" s="209"/>
    </row>
    <row r="247" spans="1:14" s="1" customFormat="1" ht="24.75" customHeight="1" x14ac:dyDescent="0.2">
      <c r="A247" s="79" t="s">
        <v>572</v>
      </c>
      <c r="H247" s="78"/>
      <c r="I247" s="447"/>
      <c r="J247" s="71"/>
      <c r="K247" s="71"/>
      <c r="N247" s="209"/>
    </row>
    <row r="248" spans="1:14" s="1" customFormat="1" ht="24.75" customHeight="1" x14ac:dyDescent="0.2">
      <c r="A248" s="79" t="s">
        <v>573</v>
      </c>
      <c r="H248" s="78"/>
      <c r="I248" s="447"/>
      <c r="J248" s="71"/>
      <c r="K248" s="71"/>
      <c r="N248" s="209"/>
    </row>
    <row r="249" spans="1:14" s="1" customFormat="1" ht="41" customHeight="1" x14ac:dyDescent="0.2">
      <c r="A249" s="2663" t="s">
        <v>574</v>
      </c>
      <c r="B249" s="2663"/>
      <c r="C249" s="2663"/>
      <c r="D249" s="2663"/>
      <c r="E249" s="2663"/>
      <c r="F249" s="2663"/>
      <c r="G249" s="2663"/>
      <c r="H249" s="2663"/>
      <c r="I249" s="2663"/>
      <c r="J249" s="2663"/>
      <c r="K249" s="2663"/>
      <c r="L249" s="2663"/>
      <c r="M249" s="2663"/>
      <c r="N249" s="2663"/>
    </row>
    <row r="250" spans="1:14" s="1" customFormat="1" ht="24.75" customHeight="1" x14ac:dyDescent="0.2">
      <c r="A250" s="79" t="s">
        <v>575</v>
      </c>
      <c r="H250" s="78"/>
      <c r="I250" s="447"/>
      <c r="J250" s="71"/>
      <c r="K250" s="71"/>
      <c r="N250" s="209"/>
    </row>
    <row r="251" spans="1:14" s="84" customFormat="1" ht="24.75" customHeight="1" x14ac:dyDescent="0.2">
      <c r="A251" s="2475" t="s">
        <v>444</v>
      </c>
      <c r="B251" s="2475"/>
      <c r="C251" s="2475"/>
      <c r="D251" s="2475"/>
      <c r="E251" s="2475"/>
      <c r="F251" s="2475"/>
      <c r="G251" s="2475"/>
      <c r="H251" s="2475"/>
      <c r="I251" s="2475"/>
      <c r="J251" s="2475"/>
      <c r="K251" s="2475"/>
      <c r="L251" s="2475"/>
      <c r="M251" s="2475"/>
      <c r="N251" s="2475"/>
    </row>
    <row r="252" spans="1:14" s="84" customFormat="1" ht="24.75" customHeight="1" x14ac:dyDescent="0.2">
      <c r="A252" s="957" t="s">
        <v>577</v>
      </c>
      <c r="B252" s="5"/>
      <c r="C252" s="5"/>
      <c r="D252" s="5"/>
      <c r="E252" s="5"/>
      <c r="F252" s="5"/>
      <c r="G252" s="5"/>
      <c r="H252" s="5"/>
      <c r="I252" s="5"/>
      <c r="J252" s="5"/>
      <c r="K252" s="5"/>
      <c r="L252" s="5"/>
      <c r="M252" s="5"/>
      <c r="N252" s="5"/>
    </row>
    <row r="253" spans="1:14" s="84" customFormat="1" ht="28" customHeight="1" x14ac:dyDescent="0.2">
      <c r="A253" s="2725" t="s">
        <v>576</v>
      </c>
      <c r="B253" s="2725"/>
      <c r="C253" s="2725"/>
      <c r="D253" s="2725"/>
      <c r="E253" s="2725"/>
      <c r="F253" s="2725"/>
      <c r="G253" s="2725"/>
      <c r="H253" s="2725"/>
      <c r="I253" s="2725"/>
      <c r="J253" s="2725"/>
      <c r="K253" s="2725"/>
      <c r="L253" s="2725"/>
      <c r="M253" s="2725"/>
      <c r="N253" s="2725"/>
    </row>
    <row r="254" spans="1:14" s="84" customFormat="1" ht="24.75" customHeight="1" x14ac:dyDescent="0.2">
      <c r="A254" s="1" t="s">
        <v>543</v>
      </c>
      <c r="B254" s="1"/>
      <c r="C254" s="1"/>
      <c r="D254" s="1"/>
      <c r="E254" s="43"/>
      <c r="F254" s="43"/>
      <c r="G254" s="1"/>
      <c r="H254" s="78"/>
      <c r="I254" s="447"/>
      <c r="J254" s="71"/>
      <c r="K254" s="71"/>
      <c r="L254" s="1"/>
      <c r="M254" s="1"/>
      <c r="N254" s="209"/>
    </row>
    <row r="255" spans="1:14" s="84" customFormat="1" ht="24.75" customHeight="1" x14ac:dyDescent="0.2">
      <c r="A255" s="1" t="s">
        <v>68</v>
      </c>
      <c r="B255" s="1"/>
      <c r="C255" s="1"/>
      <c r="D255" s="1"/>
      <c r="E255" s="43"/>
      <c r="F255" s="43"/>
      <c r="G255" s="1"/>
      <c r="H255" s="78"/>
      <c r="I255" s="447"/>
      <c r="J255" s="71"/>
      <c r="K255" s="71"/>
      <c r="L255" s="1"/>
      <c r="M255" s="1"/>
      <c r="N255" s="209"/>
    </row>
    <row r="256" spans="1:14" s="84" customFormat="1" ht="24.75" customHeight="1" x14ac:dyDescent="0.2">
      <c r="A256" s="1" t="s">
        <v>69</v>
      </c>
      <c r="B256" s="1"/>
      <c r="C256" s="1"/>
      <c r="D256" s="1"/>
      <c r="E256" s="43"/>
      <c r="F256" s="43"/>
      <c r="G256" s="1"/>
      <c r="H256" s="78"/>
      <c r="I256" s="447"/>
      <c r="J256" s="71"/>
      <c r="K256" s="71"/>
      <c r="L256" s="1"/>
      <c r="M256" s="1"/>
      <c r="N256" s="209"/>
    </row>
    <row r="257" spans="1:14" s="84" customFormat="1" ht="22.5" customHeight="1" x14ac:dyDescent="0.2">
      <c r="A257" s="88" t="s">
        <v>494</v>
      </c>
      <c r="H257" s="394"/>
      <c r="I257" s="451"/>
      <c r="J257" s="355"/>
      <c r="K257" s="355"/>
      <c r="N257" s="350"/>
    </row>
    <row r="258" spans="1:14" s="1" customFormat="1" ht="16" x14ac:dyDescent="0.2">
      <c r="C258" s="42"/>
      <c r="E258" s="43"/>
      <c r="F258" s="43"/>
      <c r="H258" s="78"/>
      <c r="I258" s="447"/>
      <c r="J258" s="2682" t="s">
        <v>445</v>
      </c>
      <c r="K258" s="2682"/>
      <c r="L258" s="2682"/>
      <c r="M258" s="2682"/>
      <c r="N258" s="2682"/>
    </row>
    <row r="259" spans="1:14" s="84" customFormat="1" ht="24" customHeight="1" x14ac:dyDescent="0.2">
      <c r="E259" s="339"/>
      <c r="F259" s="339"/>
      <c r="H259" s="339"/>
      <c r="I259" s="339"/>
      <c r="J259" s="2683" t="s">
        <v>72</v>
      </c>
      <c r="K259" s="2683"/>
      <c r="L259" s="2683"/>
      <c r="M259" s="2683"/>
      <c r="N259" s="2683"/>
    </row>
    <row r="260" spans="1:14" x14ac:dyDescent="0.2">
      <c r="A260" s="91"/>
      <c r="B260" s="92"/>
    </row>
    <row r="261" spans="1:14" x14ac:dyDescent="0.2">
      <c r="A261" s="94"/>
      <c r="B261" s="92"/>
    </row>
    <row r="262" spans="1:14" x14ac:dyDescent="0.2">
      <c r="A262" s="94"/>
      <c r="B262" s="92"/>
    </row>
    <row r="263" spans="1:14" x14ac:dyDescent="0.2">
      <c r="A263" s="94"/>
      <c r="B263" s="92"/>
    </row>
    <row r="264" spans="1:14" x14ac:dyDescent="0.2">
      <c r="A264" s="94"/>
      <c r="B264" s="92"/>
    </row>
  </sheetData>
  <mergeCells count="233">
    <mergeCell ref="L118:P118"/>
    <mergeCell ref="L119:P119"/>
    <mergeCell ref="L120:P120"/>
    <mergeCell ref="L121:P121"/>
    <mergeCell ref="L114:N114"/>
    <mergeCell ref="L115:N115"/>
    <mergeCell ref="L116:N116"/>
    <mergeCell ref="L117:N117"/>
    <mergeCell ref="O113:P113"/>
    <mergeCell ref="O114:P114"/>
    <mergeCell ref="O115:P115"/>
    <mergeCell ref="O116:P116"/>
    <mergeCell ref="O117:P117"/>
    <mergeCell ref="A1:N1"/>
    <mergeCell ref="A2:N2"/>
    <mergeCell ref="A3:N3"/>
    <mergeCell ref="A4:N4"/>
    <mergeCell ref="A83:C83"/>
    <mergeCell ref="C87:C88"/>
    <mergeCell ref="I83:N83"/>
    <mergeCell ref="A5:A6"/>
    <mergeCell ref="B5:B6"/>
    <mergeCell ref="C5:C6"/>
    <mergeCell ref="D5:D6"/>
    <mergeCell ref="E5:E6"/>
    <mergeCell ref="F5:H5"/>
    <mergeCell ref="I5:I6"/>
    <mergeCell ref="J5:J6"/>
    <mergeCell ref="L6:N6"/>
    <mergeCell ref="B80:C80"/>
    <mergeCell ref="B81:C81"/>
    <mergeCell ref="B82:C82"/>
    <mergeCell ref="I80:N80"/>
    <mergeCell ref="I81:N81"/>
    <mergeCell ref="I82:N82"/>
    <mergeCell ref="B79:C79"/>
    <mergeCell ref="A18:B23"/>
    <mergeCell ref="A212:A213"/>
    <mergeCell ref="A225:A226"/>
    <mergeCell ref="A31:N31"/>
    <mergeCell ref="A182:N182"/>
    <mergeCell ref="A181:N181"/>
    <mergeCell ref="A180:N180"/>
    <mergeCell ref="A179:N179"/>
    <mergeCell ref="A178:N178"/>
    <mergeCell ref="A175:E175"/>
    <mergeCell ref="I109:N109"/>
    <mergeCell ref="I108:N108"/>
    <mergeCell ref="I107:N107"/>
    <mergeCell ref="A106:N106"/>
    <mergeCell ref="A111:N111"/>
    <mergeCell ref="A110:N110"/>
    <mergeCell ref="A32:N32"/>
    <mergeCell ref="C35:C36"/>
    <mergeCell ref="B35:B36"/>
    <mergeCell ref="A35:A36"/>
    <mergeCell ref="L112:P112"/>
    <mergeCell ref="A78:N78"/>
    <mergeCell ref="I79:N79"/>
    <mergeCell ref="L126:P126"/>
    <mergeCell ref="L113:N113"/>
    <mergeCell ref="D116:E116"/>
    <mergeCell ref="D117:E117"/>
    <mergeCell ref="D114:E114"/>
    <mergeCell ref="D115:E115"/>
    <mergeCell ref="A109:C109"/>
    <mergeCell ref="D113:E113"/>
    <mergeCell ref="B107:C107"/>
    <mergeCell ref="B108:C108"/>
    <mergeCell ref="D121:E121"/>
    <mergeCell ref="N134:P134"/>
    <mergeCell ref="N135:P135"/>
    <mergeCell ref="L136:P136"/>
    <mergeCell ref="L137:P137"/>
    <mergeCell ref="L138:P138"/>
    <mergeCell ref="D122:E122"/>
    <mergeCell ref="D123:E123"/>
    <mergeCell ref="D118:E118"/>
    <mergeCell ref="D119:E119"/>
    <mergeCell ref="D120:E120"/>
    <mergeCell ref="D127:E127"/>
    <mergeCell ref="D128:E128"/>
    <mergeCell ref="D129:E129"/>
    <mergeCell ref="D124:E124"/>
    <mergeCell ref="D125:E125"/>
    <mergeCell ref="D126:E126"/>
    <mergeCell ref="L127:P127"/>
    <mergeCell ref="L128:P128"/>
    <mergeCell ref="L129:P129"/>
    <mergeCell ref="L130:P130"/>
    <mergeCell ref="L122:P122"/>
    <mergeCell ref="L123:P123"/>
    <mergeCell ref="L124:P124"/>
    <mergeCell ref="L125:P125"/>
    <mergeCell ref="L139:P139"/>
    <mergeCell ref="L140:P140"/>
    <mergeCell ref="L141:P141"/>
    <mergeCell ref="L142:P142"/>
    <mergeCell ref="L143:P143"/>
    <mergeCell ref="L144:P144"/>
    <mergeCell ref="L145:P145"/>
    <mergeCell ref="D148:D149"/>
    <mergeCell ref="D142:E142"/>
    <mergeCell ref="D143:E143"/>
    <mergeCell ref="D141:E141"/>
    <mergeCell ref="J259:N259"/>
    <mergeCell ref="A251:N251"/>
    <mergeCell ref="A236:N236"/>
    <mergeCell ref="J258:N258"/>
    <mergeCell ref="L218:M218"/>
    <mergeCell ref="B223:B224"/>
    <mergeCell ref="L224:M224"/>
    <mergeCell ref="A217:A218"/>
    <mergeCell ref="B217:C217"/>
    <mergeCell ref="D217:D218"/>
    <mergeCell ref="E217:G217"/>
    <mergeCell ref="H217:H218"/>
    <mergeCell ref="I217:I218"/>
    <mergeCell ref="B221:B222"/>
    <mergeCell ref="L222:M222"/>
    <mergeCell ref="A221:A224"/>
    <mergeCell ref="A230:N230"/>
    <mergeCell ref="A231:N231"/>
    <mergeCell ref="A253:N253"/>
    <mergeCell ref="A239:N239"/>
    <mergeCell ref="A234:N234"/>
    <mergeCell ref="A235:N235"/>
    <mergeCell ref="B225:B226"/>
    <mergeCell ref="A190:N190"/>
    <mergeCell ref="A191:A192"/>
    <mergeCell ref="B191:B192"/>
    <mergeCell ref="C191:D191"/>
    <mergeCell ref="E191:F191"/>
    <mergeCell ref="G191:H191"/>
    <mergeCell ref="I191:J191"/>
    <mergeCell ref="K191:L191"/>
    <mergeCell ref="M191:N191"/>
    <mergeCell ref="O191:P191"/>
    <mergeCell ref="A249:N249"/>
    <mergeCell ref="A208:A211"/>
    <mergeCell ref="B210:B211"/>
    <mergeCell ref="B219:B220"/>
    <mergeCell ref="L220:M220"/>
    <mergeCell ref="B208:B209"/>
    <mergeCell ref="L209:M209"/>
    <mergeCell ref="A215:N215"/>
    <mergeCell ref="A219:A220"/>
    <mergeCell ref="L211:M211"/>
    <mergeCell ref="A214:N214"/>
    <mergeCell ref="A200:B200"/>
    <mergeCell ref="A204:A205"/>
    <mergeCell ref="B204:C204"/>
    <mergeCell ref="D204:D205"/>
    <mergeCell ref="E204:G204"/>
    <mergeCell ref="H204:H205"/>
    <mergeCell ref="I204:I205"/>
    <mergeCell ref="L205:M205"/>
    <mergeCell ref="A206:A207"/>
    <mergeCell ref="B206:B207"/>
    <mergeCell ref="L207:M207"/>
    <mergeCell ref="B212:B213"/>
    <mergeCell ref="A24:B29"/>
    <mergeCell ref="D35:D36"/>
    <mergeCell ref="E35:E36"/>
    <mergeCell ref="F35:I35"/>
    <mergeCell ref="K35:K36"/>
    <mergeCell ref="B53:D54"/>
    <mergeCell ref="B63:D64"/>
    <mergeCell ref="A75:D76"/>
    <mergeCell ref="B73:D74"/>
    <mergeCell ref="A30:N30"/>
    <mergeCell ref="A148:A149"/>
    <mergeCell ref="B148:B149"/>
    <mergeCell ref="C148:C149"/>
    <mergeCell ref="A87:A88"/>
    <mergeCell ref="B87:B88"/>
    <mergeCell ref="D87:D88"/>
    <mergeCell ref="E87:E88"/>
    <mergeCell ref="F87:I87"/>
    <mergeCell ref="K87:K88"/>
    <mergeCell ref="A103:D104"/>
    <mergeCell ref="D135:E135"/>
    <mergeCell ref="D136:E136"/>
    <mergeCell ref="D137:E137"/>
    <mergeCell ref="D138:E138"/>
    <mergeCell ref="D139:E139"/>
    <mergeCell ref="D140:E140"/>
    <mergeCell ref="D144:E144"/>
    <mergeCell ref="D145:E145"/>
    <mergeCell ref="D130:E130"/>
    <mergeCell ref="A132:N132"/>
    <mergeCell ref="D134:E134"/>
    <mergeCell ref="L133:P133"/>
    <mergeCell ref="L134:M134"/>
    <mergeCell ref="L135:M135"/>
    <mergeCell ref="C167:E167"/>
    <mergeCell ref="G172:M172"/>
    <mergeCell ref="D171:D172"/>
    <mergeCell ref="C171:C172"/>
    <mergeCell ref="B171:B172"/>
    <mergeCell ref="A171:A172"/>
    <mergeCell ref="G170:M170"/>
    <mergeCell ref="E169:E170"/>
    <mergeCell ref="D169:D170"/>
    <mergeCell ref="A169:A170"/>
    <mergeCell ref="B169:B170"/>
    <mergeCell ref="C169:C170"/>
    <mergeCell ref="B167:B168"/>
    <mergeCell ref="A167:A168"/>
    <mergeCell ref="A176:E176"/>
    <mergeCell ref="N169:N170"/>
    <mergeCell ref="N167:N168"/>
    <mergeCell ref="M167:M168"/>
    <mergeCell ref="E148:E149"/>
    <mergeCell ref="F148:H148"/>
    <mergeCell ref="L148:M148"/>
    <mergeCell ref="P148:P149"/>
    <mergeCell ref="Q148:Q149"/>
    <mergeCell ref="A154:H154"/>
    <mergeCell ref="E156:E157"/>
    <mergeCell ref="A164:H164"/>
    <mergeCell ref="A165:H165"/>
    <mergeCell ref="A156:A157"/>
    <mergeCell ref="B156:B157"/>
    <mergeCell ref="C156:C157"/>
    <mergeCell ref="D156:D157"/>
    <mergeCell ref="F156:H156"/>
    <mergeCell ref="L156:M156"/>
    <mergeCell ref="P156:P157"/>
    <mergeCell ref="Q156:Q157"/>
    <mergeCell ref="N171:N172"/>
    <mergeCell ref="E171:E172"/>
    <mergeCell ref="I167:J167"/>
  </mergeCells>
  <pageMargins left="0" right="0" top="0.25" bottom="0.25" header="0.3" footer="0.3"/>
  <pageSetup paperSize="9" orientation="landscape" horizontalDpi="0" verticalDpi="0"/>
  <drawing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F6D0A-F75F-0444-8BCA-74C2C8D66971}">
  <sheetPr codeName="Sheet14"/>
  <dimension ref="A1:R347"/>
  <sheetViews>
    <sheetView topLeftCell="A19" zoomScale="110" zoomScaleNormal="110" workbookViewId="0">
      <selection activeCell="K7" sqref="K7"/>
    </sheetView>
  </sheetViews>
  <sheetFormatPr baseColWidth="10" defaultColWidth="8.6640625" defaultRowHeight="14" x14ac:dyDescent="0.2"/>
  <cols>
    <col min="1" max="1" width="5.33203125" style="4" customWidth="1"/>
    <col min="2" max="2" width="12.5" style="4" customWidth="1"/>
    <col min="3" max="3" width="19.1640625" style="4" bestFit="1" customWidth="1"/>
    <col min="4" max="4" width="11" style="4" customWidth="1"/>
    <col min="5" max="6" width="11" style="93" customWidth="1"/>
    <col min="7" max="7" width="11" style="4" customWidth="1"/>
    <col min="8" max="8" width="11" style="395" customWidth="1"/>
    <col min="9" max="9" width="10.6640625" style="452" customWidth="1"/>
    <col min="10" max="10" width="11" style="356" customWidth="1"/>
    <col min="11" max="11" width="7.5" style="356" customWidth="1"/>
    <col min="12" max="12" width="7.5" style="4" customWidth="1"/>
    <col min="13" max="13" width="8" style="4" customWidth="1"/>
    <col min="14" max="14" width="9.83203125" style="272" customWidth="1"/>
    <col min="15" max="15" width="9" style="4" bestFit="1" customWidth="1"/>
    <col min="16" max="16384" width="8.6640625" style="4"/>
  </cols>
  <sheetData>
    <row r="1" spans="1:15" s="1" customFormat="1" ht="21" customHeight="1" x14ac:dyDescent="0.2">
      <c r="A1" s="2995" t="s">
        <v>0</v>
      </c>
      <c r="B1" s="2996"/>
      <c r="C1" s="2996"/>
      <c r="D1" s="2996"/>
      <c r="E1" s="2996"/>
      <c r="F1" s="2996"/>
      <c r="G1" s="2996"/>
      <c r="H1" s="2996"/>
      <c r="I1" s="2996"/>
      <c r="J1" s="2996"/>
      <c r="K1" s="2996"/>
      <c r="L1" s="2996"/>
      <c r="M1" s="2996"/>
      <c r="N1" s="2997"/>
    </row>
    <row r="2" spans="1:15" s="1" customFormat="1" ht="21" customHeight="1" x14ac:dyDescent="0.2">
      <c r="A2" s="2998" t="s">
        <v>1</v>
      </c>
      <c r="B2" s="2532"/>
      <c r="C2" s="2532"/>
      <c r="D2" s="2532"/>
      <c r="E2" s="2532"/>
      <c r="F2" s="2532"/>
      <c r="G2" s="2532"/>
      <c r="H2" s="2532"/>
      <c r="I2" s="2532"/>
      <c r="J2" s="2532"/>
      <c r="K2" s="2532"/>
      <c r="L2" s="2532"/>
      <c r="M2" s="2532"/>
      <c r="N2" s="2999"/>
    </row>
    <row r="3" spans="1:15" s="1" customFormat="1" ht="21" customHeight="1" thickBot="1" x14ac:dyDescent="0.25">
      <c r="A3" s="3000" t="s">
        <v>2</v>
      </c>
      <c r="B3" s="3001"/>
      <c r="C3" s="3001"/>
      <c r="D3" s="3001"/>
      <c r="E3" s="3001"/>
      <c r="F3" s="3001"/>
      <c r="G3" s="3001"/>
      <c r="H3" s="3001"/>
      <c r="I3" s="3001"/>
      <c r="J3" s="3001"/>
      <c r="K3" s="3001"/>
      <c r="L3" s="3001"/>
      <c r="M3" s="3001"/>
      <c r="N3" s="3002"/>
    </row>
    <row r="4" spans="1:15" ht="25" customHeight="1" x14ac:dyDescent="0.2">
      <c r="A4" s="3126" t="s">
        <v>580</v>
      </c>
      <c r="B4" s="3126"/>
      <c r="C4" s="3126"/>
      <c r="D4" s="3126"/>
      <c r="E4" s="3126"/>
      <c r="F4" s="3126"/>
      <c r="G4" s="3126"/>
      <c r="H4" s="3126"/>
      <c r="I4" s="3126"/>
      <c r="J4" s="3126"/>
      <c r="K4" s="3126"/>
      <c r="L4" s="3126"/>
      <c r="M4" s="3126"/>
      <c r="N4" s="3126"/>
    </row>
    <row r="5" spans="1:15" s="1" customFormat="1" ht="23" customHeight="1" x14ac:dyDescent="0.2">
      <c r="A5" s="2475" t="s">
        <v>507</v>
      </c>
      <c r="B5" s="2475"/>
      <c r="C5" s="2475"/>
      <c r="D5" s="2475"/>
      <c r="E5" s="2475"/>
      <c r="F5" s="2475"/>
      <c r="G5" s="2475"/>
      <c r="H5" s="2475"/>
      <c r="I5" s="2475"/>
      <c r="J5" s="2475"/>
      <c r="K5" s="2475"/>
      <c r="L5" s="2475"/>
      <c r="M5" s="2475"/>
      <c r="N5" s="2475"/>
    </row>
    <row r="6" spans="1:15" s="71" customFormat="1" ht="33" customHeight="1" x14ac:dyDescent="0.2">
      <c r="A6" s="3040" t="s">
        <v>34</v>
      </c>
      <c r="B6" s="3263" t="s">
        <v>6</v>
      </c>
      <c r="C6" s="3263" t="s">
        <v>16</v>
      </c>
      <c r="D6" s="3263" t="s">
        <v>17</v>
      </c>
      <c r="E6" s="3263" t="s">
        <v>7</v>
      </c>
      <c r="F6" s="3246" t="s">
        <v>8</v>
      </c>
      <c r="G6" s="3247"/>
      <c r="H6" s="3248"/>
      <c r="I6" s="3264" t="s">
        <v>9</v>
      </c>
      <c r="J6" s="3263" t="s">
        <v>10</v>
      </c>
      <c r="K6" s="8" t="s">
        <v>11</v>
      </c>
      <c r="L6" s="8" t="s">
        <v>12</v>
      </c>
      <c r="M6" s="8" t="s">
        <v>13</v>
      </c>
      <c r="N6" s="8" t="s">
        <v>14</v>
      </c>
      <c r="O6" s="8" t="s">
        <v>15</v>
      </c>
    </row>
    <row r="7" spans="1:15" s="71" customFormat="1" ht="25" customHeight="1" x14ac:dyDescent="0.2">
      <c r="A7" s="3041"/>
      <c r="B7" s="2816"/>
      <c r="C7" s="2816"/>
      <c r="D7" s="2816"/>
      <c r="E7" s="2816"/>
      <c r="F7" s="10" t="s">
        <v>18</v>
      </c>
      <c r="G7" s="10" t="s">
        <v>19</v>
      </c>
      <c r="H7" s="8" t="s">
        <v>20</v>
      </c>
      <c r="I7" s="3265"/>
      <c r="J7" s="2816"/>
      <c r="K7" s="8" t="s">
        <v>21</v>
      </c>
      <c r="L7" s="3246" t="s">
        <v>22</v>
      </c>
      <c r="M7" s="3247"/>
      <c r="N7" s="3248"/>
      <c r="O7" s="8" t="s">
        <v>23</v>
      </c>
    </row>
    <row r="8" spans="1:15" s="71" customFormat="1" ht="25" hidden="1" customHeight="1" x14ac:dyDescent="0.2">
      <c r="A8" s="1581"/>
      <c r="B8" s="1546" t="s">
        <v>6</v>
      </c>
      <c r="C8" s="1559" t="s">
        <v>16</v>
      </c>
      <c r="D8" s="8" t="s">
        <v>17</v>
      </c>
      <c r="E8" s="1546" t="s">
        <v>864</v>
      </c>
      <c r="F8" s="10" t="s">
        <v>18</v>
      </c>
      <c r="G8" s="10" t="s">
        <v>19</v>
      </c>
      <c r="H8" s="8" t="s">
        <v>20</v>
      </c>
      <c r="I8" s="1523" t="s">
        <v>9</v>
      </c>
      <c r="J8" s="1546" t="s">
        <v>10</v>
      </c>
      <c r="K8" s="8" t="s">
        <v>11</v>
      </c>
      <c r="L8" s="8" t="s">
        <v>12</v>
      </c>
      <c r="M8" s="8" t="s">
        <v>13</v>
      </c>
      <c r="N8" s="8" t="s">
        <v>14</v>
      </c>
      <c r="O8" s="8" t="s">
        <v>15</v>
      </c>
    </row>
    <row r="9" spans="1:15" s="1" customFormat="1" ht="23" customHeight="1" x14ac:dyDescent="0.2">
      <c r="A9" s="1603" t="s">
        <v>5</v>
      </c>
      <c r="B9" s="1593" t="s">
        <v>115</v>
      </c>
      <c r="C9" s="1562" t="s">
        <v>883</v>
      </c>
      <c r="D9" s="1562" t="s">
        <v>883</v>
      </c>
      <c r="E9" s="848">
        <f>J9*K9*100/L10</f>
        <v>436836.73469387757</v>
      </c>
      <c r="F9" s="848">
        <f>F10*$I$9/100</f>
        <v>381009</v>
      </c>
      <c r="G9" s="848">
        <f>G10*$I$9/100</f>
        <v>25686</v>
      </c>
      <c r="H9" s="848">
        <f>H10*$I$9/100</f>
        <v>21405</v>
      </c>
      <c r="I9" s="849">
        <f>J9*K9</f>
        <v>428100</v>
      </c>
      <c r="J9" s="574">
        <v>30</v>
      </c>
      <c r="K9" s="575">
        <v>14270</v>
      </c>
      <c r="L9" s="348"/>
      <c r="M9" s="28"/>
      <c r="N9" s="28"/>
      <c r="O9" s="348"/>
    </row>
    <row r="10" spans="1:15" s="1" customFormat="1" ht="23" customHeight="1" x14ac:dyDescent="0.2">
      <c r="A10" s="1604" t="s">
        <v>5</v>
      </c>
      <c r="B10" s="1605"/>
      <c r="C10" s="1565" t="s">
        <v>883</v>
      </c>
      <c r="D10" s="1565" t="s">
        <v>883</v>
      </c>
      <c r="E10" s="578"/>
      <c r="F10" s="578">
        <v>89</v>
      </c>
      <c r="G10" s="578">
        <v>6</v>
      </c>
      <c r="H10" s="578">
        <v>5</v>
      </c>
      <c r="I10" s="579">
        <f>SUM(F10:H10)</f>
        <v>100</v>
      </c>
      <c r="J10" s="580"/>
      <c r="K10" s="581"/>
      <c r="L10" s="364">
        <v>98</v>
      </c>
      <c r="M10" s="739">
        <f>100-L10</f>
        <v>2</v>
      </c>
      <c r="N10" s="739"/>
      <c r="O10" s="1009">
        <v>40</v>
      </c>
    </row>
    <row r="11" spans="1:15" s="1" customFormat="1" ht="23" customHeight="1" x14ac:dyDescent="0.2">
      <c r="A11" s="1606" t="s">
        <v>5</v>
      </c>
      <c r="B11" s="1567" t="s">
        <v>115</v>
      </c>
      <c r="C11" s="1562" t="s">
        <v>1013</v>
      </c>
      <c r="D11" s="1562" t="s">
        <v>1013</v>
      </c>
      <c r="E11" s="14">
        <v>446786</v>
      </c>
      <c r="F11" s="895">
        <v>407993.76</v>
      </c>
      <c r="G11" s="895">
        <v>12530.88</v>
      </c>
      <c r="H11" s="895">
        <v>20553.12</v>
      </c>
      <c r="I11" s="849">
        <f>SUM(F11:H11)</f>
        <v>441077.76000000001</v>
      </c>
      <c r="J11" s="574">
        <v>30</v>
      </c>
      <c r="K11" s="575">
        <f>+I11/J11</f>
        <v>14702.592000000001</v>
      </c>
      <c r="L11" s="584"/>
      <c r="M11" s="28">
        <v>1512</v>
      </c>
      <c r="N11" s="28">
        <v>1572.48</v>
      </c>
      <c r="O11" s="1049">
        <v>24</v>
      </c>
    </row>
    <row r="12" spans="1:15" s="1" customFormat="1" ht="23" customHeight="1" x14ac:dyDescent="0.2">
      <c r="A12" s="1604" t="s">
        <v>5</v>
      </c>
      <c r="B12" s="1568" t="s">
        <v>115</v>
      </c>
      <c r="C12" s="1569" t="s">
        <v>1013</v>
      </c>
      <c r="D12" s="1569" t="s">
        <v>1013</v>
      </c>
      <c r="E12" s="578"/>
      <c r="F12" s="578">
        <f>+F11/I11*100</f>
        <v>92.499281759297958</v>
      </c>
      <c r="G12" s="578">
        <f>+G11/I11*100</f>
        <v>2.8409684496447971</v>
      </c>
      <c r="H12" s="578">
        <f>+H11/I11*100</f>
        <v>4.6597497910572505</v>
      </c>
      <c r="I12" s="579">
        <f>SUM(F12:H12)</f>
        <v>100</v>
      </c>
      <c r="J12" s="580"/>
      <c r="K12" s="581"/>
      <c r="L12" s="364">
        <f>(I11/E11)*100</f>
        <v>98.722377155953851</v>
      </c>
      <c r="M12" s="739">
        <f>100-L12</f>
        <v>1.2776228440461495</v>
      </c>
      <c r="N12" s="739"/>
      <c r="O12" s="291"/>
    </row>
    <row r="13" spans="1:15" s="1" customFormat="1" ht="23" customHeight="1" x14ac:dyDescent="0.2">
      <c r="A13" s="1604" t="s">
        <v>5</v>
      </c>
      <c r="B13" s="1568" t="s">
        <v>115</v>
      </c>
      <c r="C13" s="1570" t="s">
        <v>83</v>
      </c>
      <c r="D13" s="1570" t="s">
        <v>83</v>
      </c>
      <c r="E13" s="709">
        <f t="shared" ref="E13:K14" si="0">E11-E9</f>
        <v>9949.2653061224264</v>
      </c>
      <c r="F13" s="709">
        <f t="shared" si="0"/>
        <v>26984.760000000009</v>
      </c>
      <c r="G13" s="709">
        <f t="shared" si="0"/>
        <v>-13155.12</v>
      </c>
      <c r="H13" s="709">
        <f t="shared" si="0"/>
        <v>-851.88000000000102</v>
      </c>
      <c r="I13" s="709">
        <f t="shared" si="0"/>
        <v>12977.760000000009</v>
      </c>
      <c r="J13" s="600">
        <f t="shared" si="0"/>
        <v>0</v>
      </c>
      <c r="K13" s="709">
        <f t="shared" si="0"/>
        <v>432.59200000000055</v>
      </c>
      <c r="L13" s="944"/>
      <c r="M13" s="1602"/>
      <c r="N13" s="1602"/>
      <c r="O13" s="709">
        <f>O10-O11</f>
        <v>16</v>
      </c>
    </row>
    <row r="14" spans="1:15" s="1" customFormat="1" ht="23" customHeight="1" thickBot="1" x14ac:dyDescent="0.25">
      <c r="A14" s="1604" t="s">
        <v>5</v>
      </c>
      <c r="B14" s="1584" t="s">
        <v>115</v>
      </c>
      <c r="C14" s="1572" t="s">
        <v>83</v>
      </c>
      <c r="D14" s="1572" t="s">
        <v>83</v>
      </c>
      <c r="E14" s="1050"/>
      <c r="F14" s="1050">
        <f>F12-F10</f>
        <v>3.4992817592979577</v>
      </c>
      <c r="G14" s="1050">
        <f t="shared" si="0"/>
        <v>-3.1590315503552029</v>
      </c>
      <c r="H14" s="1050">
        <f t="shared" si="0"/>
        <v>-0.34025020894274949</v>
      </c>
      <c r="I14" s="1050">
        <f t="shared" si="0"/>
        <v>0</v>
      </c>
      <c r="J14" s="1051"/>
      <c r="K14" s="1052"/>
      <c r="L14" s="1053"/>
      <c r="M14" s="1054"/>
      <c r="N14" s="1054"/>
      <c r="O14" s="1055"/>
    </row>
    <row r="15" spans="1:15" s="273" customFormat="1" ht="25" customHeight="1" thickTop="1" x14ac:dyDescent="0.2">
      <c r="A15" s="1603" t="s">
        <v>25</v>
      </c>
      <c r="B15" s="1593" t="s">
        <v>119</v>
      </c>
      <c r="C15" s="1588" t="s">
        <v>883</v>
      </c>
      <c r="D15" s="592" t="s">
        <v>21</v>
      </c>
      <c r="E15" s="596">
        <f>I15*100/L16</f>
        <v>242163.26530612246</v>
      </c>
      <c r="F15" s="596">
        <f>F16*$I$15/100</f>
        <v>211214.8</v>
      </c>
      <c r="G15" s="596">
        <f>G16*$I$15/100</f>
        <v>18985.599999999999</v>
      </c>
      <c r="H15" s="596">
        <f>H16*$I$15/100</f>
        <v>7119.6</v>
      </c>
      <c r="I15" s="943">
        <f>J15*K15</f>
        <v>237320</v>
      </c>
      <c r="J15" s="595">
        <v>17</v>
      </c>
      <c r="K15" s="596">
        <v>13960</v>
      </c>
      <c r="L15" s="596"/>
      <c r="M15" s="597"/>
      <c r="N15" s="597"/>
      <c r="O15" s="597">
        <v>40</v>
      </c>
    </row>
    <row r="16" spans="1:15" s="1" customFormat="1" ht="25" customHeight="1" x14ac:dyDescent="0.2">
      <c r="A16" s="1604" t="s">
        <v>25</v>
      </c>
      <c r="B16" s="1568" t="s">
        <v>119</v>
      </c>
      <c r="C16" s="1565" t="s">
        <v>883</v>
      </c>
      <c r="D16" s="17" t="s">
        <v>22</v>
      </c>
      <c r="E16" s="23"/>
      <c r="F16" s="378">
        <v>89</v>
      </c>
      <c r="G16" s="379">
        <v>8</v>
      </c>
      <c r="H16" s="379">
        <v>3</v>
      </c>
      <c r="I16" s="379">
        <f>SUM(F16:H16)</f>
        <v>100</v>
      </c>
      <c r="J16" s="430"/>
      <c r="K16" s="380"/>
      <c r="L16" s="365">
        <v>98</v>
      </c>
      <c r="M16" s="1550">
        <f>100-L16</f>
        <v>2</v>
      </c>
      <c r="N16" s="1550"/>
      <c r="O16" s="381"/>
    </row>
    <row r="17" spans="1:15" s="1" customFormat="1" ht="25" customHeight="1" x14ac:dyDescent="0.2">
      <c r="A17" s="1604" t="s">
        <v>25</v>
      </c>
      <c r="B17" s="1567" t="s">
        <v>119</v>
      </c>
      <c r="C17" s="1562" t="s">
        <v>1013</v>
      </c>
      <c r="D17" s="17" t="s">
        <v>21</v>
      </c>
      <c r="E17" s="845">
        <v>246334</v>
      </c>
      <c r="F17" s="839">
        <v>227307.51999999999</v>
      </c>
      <c r="G17" s="20"/>
      <c r="H17" s="840">
        <v>17295.36</v>
      </c>
      <c r="I17" s="836">
        <f>SUM(F17:H17)</f>
        <v>244602.88</v>
      </c>
      <c r="J17" s="431">
        <v>17</v>
      </c>
      <c r="K17" s="21">
        <f>+I17/J17</f>
        <v>14388.404705882353</v>
      </c>
      <c r="L17" s="17"/>
      <c r="M17" s="839">
        <v>1286.4000000000001</v>
      </c>
      <c r="N17" s="839">
        <v>1405.12</v>
      </c>
      <c r="O17" s="970">
        <v>21</v>
      </c>
    </row>
    <row r="18" spans="1:15" s="1" customFormat="1" ht="25" customHeight="1" x14ac:dyDescent="0.2">
      <c r="A18" s="1604" t="s">
        <v>25</v>
      </c>
      <c r="B18" s="1568" t="s">
        <v>119</v>
      </c>
      <c r="C18" s="1565" t="s">
        <v>1013</v>
      </c>
      <c r="D18" s="17" t="s">
        <v>22</v>
      </c>
      <c r="E18" s="23"/>
      <c r="F18" s="378">
        <f>+F17/$I$17*100</f>
        <v>92.929208356009539</v>
      </c>
      <c r="G18" s="378">
        <f>+G17/$I$17*100</f>
        <v>0</v>
      </c>
      <c r="H18" s="378">
        <f>+H17/$I$17*100</f>
        <v>7.0707916439904555</v>
      </c>
      <c r="I18" s="379">
        <f>SUM(F18:H18)</f>
        <v>100</v>
      </c>
      <c r="J18" s="431"/>
      <c r="K18" s="21"/>
      <c r="L18" s="364">
        <f>I17/E17*100</f>
        <v>99.297246827478133</v>
      </c>
      <c r="M18" s="1550">
        <f>100-L18</f>
        <v>0.70275317252186653</v>
      </c>
      <c r="N18" s="1550"/>
      <c r="O18" s="381"/>
    </row>
    <row r="19" spans="1:15" s="1" customFormat="1" ht="25" customHeight="1" x14ac:dyDescent="0.2">
      <c r="A19" s="1604" t="s">
        <v>25</v>
      </c>
      <c r="B19" s="1568" t="s">
        <v>119</v>
      </c>
      <c r="C19" s="1570" t="s">
        <v>83</v>
      </c>
      <c r="D19" s="606" t="s">
        <v>21</v>
      </c>
      <c r="E19" s="709">
        <f t="shared" ref="E19:K20" si="1">E17-E15</f>
        <v>4170.7346938775445</v>
      </c>
      <c r="F19" s="709">
        <f t="shared" si="1"/>
        <v>16092.720000000001</v>
      </c>
      <c r="G19" s="709">
        <f t="shared" si="1"/>
        <v>-18985.599999999999</v>
      </c>
      <c r="H19" s="709">
        <f t="shared" si="1"/>
        <v>10175.76</v>
      </c>
      <c r="I19" s="709">
        <f t="shared" si="1"/>
        <v>7282.8800000000047</v>
      </c>
      <c r="J19" s="600">
        <f t="shared" si="1"/>
        <v>0</v>
      </c>
      <c r="K19" s="709">
        <f t="shared" si="1"/>
        <v>428.40470588235257</v>
      </c>
      <c r="L19" s="944"/>
      <c r="M19" s="1602"/>
      <c r="N19" s="1602"/>
      <c r="O19" s="709"/>
    </row>
    <row r="20" spans="1:15" s="1" customFormat="1" ht="25" customHeight="1" x14ac:dyDescent="0.2">
      <c r="A20" s="1606" t="s">
        <v>25</v>
      </c>
      <c r="B20" s="1584" t="s">
        <v>119</v>
      </c>
      <c r="C20" s="1572" t="s">
        <v>83</v>
      </c>
      <c r="D20" s="599" t="s">
        <v>22</v>
      </c>
      <c r="E20" s="600"/>
      <c r="F20" s="600">
        <f>F18-F16</f>
        <v>3.9292083560095392</v>
      </c>
      <c r="G20" s="600">
        <f t="shared" si="1"/>
        <v>-8</v>
      </c>
      <c r="H20" s="600">
        <f t="shared" si="1"/>
        <v>4.0707916439904555</v>
      </c>
      <c r="I20" s="600">
        <f t="shared" si="1"/>
        <v>0</v>
      </c>
      <c r="J20" s="601"/>
      <c r="K20" s="602"/>
      <c r="L20" s="603"/>
      <c r="M20" s="604"/>
      <c r="N20" s="604"/>
      <c r="O20" s="605"/>
    </row>
    <row r="21" spans="1:15" s="1" customFormat="1" ht="25" customHeight="1" x14ac:dyDescent="0.2">
      <c r="A21" s="1604" t="s">
        <v>25</v>
      </c>
      <c r="B21" s="1593" t="s">
        <v>116</v>
      </c>
      <c r="C21" s="1562" t="s">
        <v>883</v>
      </c>
      <c r="D21" s="17" t="s">
        <v>21</v>
      </c>
      <c r="E21" s="21">
        <f>I21*100/L22</f>
        <v>151152</v>
      </c>
      <c r="F21" s="21">
        <f>F22*$I$21/100</f>
        <v>139241.22239999997</v>
      </c>
      <c r="G21" s="21">
        <f>G22*$I$21/100</f>
        <v>5925.1583999999993</v>
      </c>
      <c r="H21" s="21">
        <f>H22*$I$21/100</f>
        <v>2962.5791999999997</v>
      </c>
      <c r="I21" s="836">
        <f>J21*K21</f>
        <v>148128.95999999999</v>
      </c>
      <c r="J21" s="431">
        <v>12</v>
      </c>
      <c r="K21" s="21">
        <f>18.8*0.5*1340*0.98</f>
        <v>12344.08</v>
      </c>
      <c r="L21" s="21"/>
      <c r="M21" s="381"/>
      <c r="N21" s="381"/>
      <c r="O21" s="381">
        <v>100</v>
      </c>
    </row>
    <row r="22" spans="1:15" s="1" customFormat="1" ht="25" customHeight="1" x14ac:dyDescent="0.2">
      <c r="A22" s="1604" t="s">
        <v>25</v>
      </c>
      <c r="B22" s="1568" t="s">
        <v>116</v>
      </c>
      <c r="C22" s="1565" t="s">
        <v>883</v>
      </c>
      <c r="D22" s="17" t="s">
        <v>22</v>
      </c>
      <c r="E22" s="23"/>
      <c r="F22" s="378">
        <v>94</v>
      </c>
      <c r="G22" s="379">
        <v>4</v>
      </c>
      <c r="H22" s="379">
        <v>2</v>
      </c>
      <c r="I22" s="379">
        <f>SUM(F22:H22)</f>
        <v>100</v>
      </c>
      <c r="J22" s="430"/>
      <c r="K22" s="380"/>
      <c r="L22" s="365">
        <v>98</v>
      </c>
      <c r="M22" s="1550">
        <f>100-L22</f>
        <v>2</v>
      </c>
      <c r="N22" s="1550"/>
      <c r="O22" s="381"/>
    </row>
    <row r="23" spans="1:15" s="1" customFormat="1" ht="25" customHeight="1" x14ac:dyDescent="0.2">
      <c r="A23" s="1604" t="s">
        <v>25</v>
      </c>
      <c r="B23" s="1567" t="s">
        <v>116</v>
      </c>
      <c r="C23" s="1562" t="s">
        <v>1013</v>
      </c>
      <c r="D23" s="17" t="s">
        <v>21</v>
      </c>
      <c r="E23" s="845">
        <v>152023</v>
      </c>
      <c r="F23" s="839">
        <v>145629</v>
      </c>
      <c r="G23" s="20"/>
      <c r="H23" s="840">
        <v>2659.5</v>
      </c>
      <c r="I23" s="836">
        <f>SUM(F23:H23)</f>
        <v>148288.5</v>
      </c>
      <c r="J23" s="431">
        <v>12</v>
      </c>
      <c r="K23" s="21">
        <f>+I23/J23</f>
        <v>12357.375</v>
      </c>
      <c r="L23" s="17"/>
      <c r="M23" s="839">
        <v>642</v>
      </c>
      <c r="N23" s="839">
        <v>1421.75</v>
      </c>
      <c r="O23" s="970">
        <v>120</v>
      </c>
    </row>
    <row r="24" spans="1:15" s="1" customFormat="1" ht="25" customHeight="1" x14ac:dyDescent="0.2">
      <c r="A24" s="1604" t="s">
        <v>25</v>
      </c>
      <c r="B24" s="1568" t="s">
        <v>116</v>
      </c>
      <c r="C24" s="1565" t="s">
        <v>1013</v>
      </c>
      <c r="D24" s="17" t="s">
        <v>22</v>
      </c>
      <c r="E24" s="23"/>
      <c r="F24" s="378">
        <f>+F23/$I$23*100</f>
        <v>98.206536582405249</v>
      </c>
      <c r="G24" s="378">
        <f>+G23/$I$23*100</f>
        <v>0</v>
      </c>
      <c r="H24" s="378">
        <f>+H23/$I$23*100</f>
        <v>1.7934634175947559</v>
      </c>
      <c r="I24" s="379">
        <f>SUM(F24:H24)</f>
        <v>100</v>
      </c>
      <c r="J24" s="431"/>
      <c r="K24" s="21"/>
      <c r="L24" s="364">
        <f>I23/E23*100</f>
        <v>97.54346381797491</v>
      </c>
      <c r="M24" s="1550">
        <f>100-L24</f>
        <v>2.4565361820250899</v>
      </c>
      <c r="N24" s="1550"/>
      <c r="O24" s="381"/>
    </row>
    <row r="25" spans="1:15" s="1" customFormat="1" ht="25" customHeight="1" x14ac:dyDescent="0.2">
      <c r="A25" s="1604" t="s">
        <v>25</v>
      </c>
      <c r="B25" s="1568" t="s">
        <v>116</v>
      </c>
      <c r="C25" s="1570" t="s">
        <v>83</v>
      </c>
      <c r="D25" s="606" t="s">
        <v>21</v>
      </c>
      <c r="E25" s="709">
        <f t="shared" ref="E25:K26" si="2">E23-E21</f>
        <v>871</v>
      </c>
      <c r="F25" s="709">
        <f t="shared" si="2"/>
        <v>6387.7776000000304</v>
      </c>
      <c r="G25" s="709">
        <f t="shared" si="2"/>
        <v>-5925.1583999999993</v>
      </c>
      <c r="H25" s="709">
        <f t="shared" si="2"/>
        <v>-303.07919999999967</v>
      </c>
      <c r="I25" s="709">
        <f t="shared" si="2"/>
        <v>159.54000000000815</v>
      </c>
      <c r="J25" s="600">
        <f t="shared" si="2"/>
        <v>0</v>
      </c>
      <c r="K25" s="709">
        <f t="shared" si="2"/>
        <v>13.295000000000073</v>
      </c>
      <c r="L25" s="944"/>
      <c r="M25" s="1602"/>
      <c r="N25" s="1602"/>
      <c r="O25" s="709"/>
    </row>
    <row r="26" spans="1:15" s="1" customFormat="1" ht="25" customHeight="1" x14ac:dyDescent="0.2">
      <c r="A26" s="1604" t="s">
        <v>25</v>
      </c>
      <c r="B26" s="1584" t="s">
        <v>116</v>
      </c>
      <c r="C26" s="1574" t="s">
        <v>83</v>
      </c>
      <c r="D26" s="599" t="s">
        <v>22</v>
      </c>
      <c r="E26" s="600"/>
      <c r="F26" s="600">
        <f>F24-F22</f>
        <v>4.2065365824052492</v>
      </c>
      <c r="G26" s="600">
        <f t="shared" si="2"/>
        <v>-4</v>
      </c>
      <c r="H26" s="600">
        <f t="shared" si="2"/>
        <v>-0.20653658240524408</v>
      </c>
      <c r="I26" s="600">
        <f t="shared" si="2"/>
        <v>0</v>
      </c>
      <c r="J26" s="601"/>
      <c r="K26" s="602"/>
      <c r="L26" s="603"/>
      <c r="M26" s="604"/>
      <c r="N26" s="604"/>
      <c r="O26" s="605"/>
    </row>
    <row r="27" spans="1:15" s="1" customFormat="1" ht="25" customHeight="1" x14ac:dyDescent="0.2">
      <c r="A27" s="3249" t="s">
        <v>674</v>
      </c>
      <c r="B27" s="3250"/>
      <c r="C27" s="1524" t="s">
        <v>1016</v>
      </c>
      <c r="D27" s="509" t="s">
        <v>21</v>
      </c>
      <c r="E27" s="731">
        <f t="shared" ref="E27:J27" si="3">E15+E21</f>
        <v>393315.26530612248</v>
      </c>
      <c r="F27" s="731">
        <f t="shared" si="3"/>
        <v>350456.02239999996</v>
      </c>
      <c r="G27" s="731">
        <f t="shared" si="3"/>
        <v>24910.758399999999</v>
      </c>
      <c r="H27" s="731">
        <f t="shared" si="3"/>
        <v>10082.1792</v>
      </c>
      <c r="I27" s="731">
        <f t="shared" si="3"/>
        <v>385448.95999999996</v>
      </c>
      <c r="J27" s="511">
        <f t="shared" si="3"/>
        <v>29</v>
      </c>
      <c r="K27" s="514">
        <f>I27/J27</f>
        <v>13291.34344827586</v>
      </c>
      <c r="L27" s="515"/>
      <c r="M27" s="516"/>
      <c r="N27" s="516"/>
      <c r="O27" s="1010"/>
    </row>
    <row r="28" spans="1:15" s="1" customFormat="1" ht="23" customHeight="1" x14ac:dyDescent="0.2">
      <c r="A28" s="3251"/>
      <c r="B28" s="3252"/>
      <c r="C28" s="1573" t="s">
        <v>1016</v>
      </c>
      <c r="D28" s="509" t="s">
        <v>22</v>
      </c>
      <c r="E28" s="511"/>
      <c r="F28" s="518">
        <f>F27/$I$27*100</f>
        <v>90.921511994739845</v>
      </c>
      <c r="G28" s="518">
        <f>G27/$I$27*100</f>
        <v>6.4627904042081212</v>
      </c>
      <c r="H28" s="518">
        <f>H27/$I$27*100</f>
        <v>2.6156976010520308</v>
      </c>
      <c r="I28" s="519">
        <f>SUM(F28:H28)</f>
        <v>100</v>
      </c>
      <c r="J28" s="520"/>
      <c r="K28" s="521"/>
      <c r="L28" s="522">
        <f>(L16+L22)/2</f>
        <v>98</v>
      </c>
      <c r="M28" s="1547">
        <f>100-L28</f>
        <v>2</v>
      </c>
      <c r="N28" s="1547"/>
      <c r="O28" s="1011"/>
    </row>
    <row r="29" spans="1:15" s="1" customFormat="1" ht="23" customHeight="1" x14ac:dyDescent="0.2">
      <c r="A29" s="3251"/>
      <c r="B29" s="3253"/>
      <c r="C29" s="1524" t="s">
        <v>1017</v>
      </c>
      <c r="D29" s="509" t="s">
        <v>21</v>
      </c>
      <c r="E29" s="731">
        <f t="shared" ref="E29:J29" si="4">E17+E23</f>
        <v>398357</v>
      </c>
      <c r="F29" s="731">
        <f t="shared" si="4"/>
        <v>372936.52</v>
      </c>
      <c r="G29" s="731">
        <f t="shared" si="4"/>
        <v>0</v>
      </c>
      <c r="H29" s="731">
        <f t="shared" si="4"/>
        <v>19954.86</v>
      </c>
      <c r="I29" s="731">
        <f t="shared" si="4"/>
        <v>392891.38</v>
      </c>
      <c r="J29" s="511">
        <f t="shared" si="4"/>
        <v>29</v>
      </c>
      <c r="K29" s="514">
        <f>+I29/J29</f>
        <v>13547.978620689655</v>
      </c>
      <c r="L29" s="524"/>
      <c r="M29" s="508"/>
      <c r="N29" s="508"/>
      <c r="O29" s="1010"/>
    </row>
    <row r="30" spans="1:15" s="1" customFormat="1" ht="23" customHeight="1" x14ac:dyDescent="0.2">
      <c r="A30" s="3251"/>
      <c r="B30" s="3253"/>
      <c r="C30" s="1573" t="s">
        <v>1017</v>
      </c>
      <c r="D30" s="509" t="s">
        <v>22</v>
      </c>
      <c r="E30" s="511"/>
      <c r="F30" s="518">
        <f>+F29/$I$29*100</f>
        <v>94.921023719074725</v>
      </c>
      <c r="G30" s="518">
        <f>+G29/$I$29*100</f>
        <v>0</v>
      </c>
      <c r="H30" s="518">
        <f>+H29/$I$29*100</f>
        <v>5.0789762809252776</v>
      </c>
      <c r="I30" s="519">
        <f>SUM(F30:H30)</f>
        <v>100</v>
      </c>
      <c r="J30" s="520"/>
      <c r="K30" s="521"/>
      <c r="L30" s="825">
        <f>+I29/E29*100</f>
        <v>98.627959343001379</v>
      </c>
      <c r="M30" s="1547">
        <f>100-L30</f>
        <v>1.372040656998621</v>
      </c>
      <c r="N30" s="1547"/>
      <c r="O30" s="1011"/>
    </row>
    <row r="31" spans="1:15" s="1" customFormat="1" ht="23" customHeight="1" x14ac:dyDescent="0.2">
      <c r="A31" s="3251"/>
      <c r="B31" s="3253"/>
      <c r="C31" s="1570" t="s">
        <v>83</v>
      </c>
      <c r="D31" s="606" t="s">
        <v>21</v>
      </c>
      <c r="E31" s="838">
        <f>E29-E27</f>
        <v>5041.7346938775154</v>
      </c>
      <c r="F31" s="838">
        <f t="shared" ref="F31:L32" si="5">F29-F27</f>
        <v>22480.497600000061</v>
      </c>
      <c r="G31" s="838">
        <f t="shared" si="5"/>
        <v>-24910.758399999999</v>
      </c>
      <c r="H31" s="838">
        <f t="shared" si="5"/>
        <v>9872.6808000000001</v>
      </c>
      <c r="I31" s="838">
        <f t="shared" si="5"/>
        <v>7442.4200000000419</v>
      </c>
      <c r="J31" s="622">
        <f t="shared" si="5"/>
        <v>0</v>
      </c>
      <c r="K31" s="838">
        <f t="shared" si="5"/>
        <v>256.63517241379486</v>
      </c>
      <c r="L31" s="838">
        <f t="shared" si="5"/>
        <v>0</v>
      </c>
      <c r="M31" s="1527">
        <f>M18-M16</f>
        <v>-1.2972468274781335</v>
      </c>
      <c r="N31" s="1527"/>
      <c r="O31" s="948"/>
    </row>
    <row r="32" spans="1:15" s="1" customFormat="1" ht="23" customHeight="1" x14ac:dyDescent="0.2">
      <c r="A32" s="3251"/>
      <c r="B32" s="3253"/>
      <c r="C32" s="1574" t="s">
        <v>83</v>
      </c>
      <c r="D32" s="599" t="s">
        <v>22</v>
      </c>
      <c r="E32" s="622"/>
      <c r="F32" s="600">
        <f>F30-F28</f>
        <v>3.9995117243348801</v>
      </c>
      <c r="G32" s="600">
        <f t="shared" si="5"/>
        <v>-6.4627904042081212</v>
      </c>
      <c r="H32" s="600">
        <f t="shared" si="5"/>
        <v>2.4632786798732469</v>
      </c>
      <c r="I32" s="600">
        <f t="shared" si="5"/>
        <v>0</v>
      </c>
      <c r="J32" s="601"/>
      <c r="K32" s="602"/>
      <c r="L32" s="603"/>
      <c r="M32" s="604"/>
      <c r="N32" s="604"/>
      <c r="O32" s="1012"/>
    </row>
    <row r="33" spans="1:16" s="1" customFormat="1" ht="25" customHeight="1" x14ac:dyDescent="0.2">
      <c r="A33" s="3141" t="s">
        <v>28</v>
      </c>
      <c r="B33" s="3142"/>
      <c r="C33" s="1529" t="s">
        <v>1018</v>
      </c>
      <c r="D33" s="31" t="s">
        <v>21</v>
      </c>
      <c r="E33" s="842">
        <f t="shared" ref="E33:J33" si="6">E9+E27</f>
        <v>830152</v>
      </c>
      <c r="F33" s="842">
        <f t="shared" si="6"/>
        <v>731465.0223999999</v>
      </c>
      <c r="G33" s="842">
        <f t="shared" si="6"/>
        <v>50596.758399999999</v>
      </c>
      <c r="H33" s="842">
        <f t="shared" si="6"/>
        <v>31487.179199999999</v>
      </c>
      <c r="I33" s="842">
        <f t="shared" si="6"/>
        <v>813548.96</v>
      </c>
      <c r="J33" s="34">
        <f t="shared" si="6"/>
        <v>59</v>
      </c>
      <c r="K33" s="359">
        <f>+I33/J33</f>
        <v>13788.965423728812</v>
      </c>
      <c r="L33" s="368"/>
      <c r="M33" s="826"/>
      <c r="N33" s="826"/>
      <c r="O33" s="1056"/>
    </row>
    <row r="34" spans="1:16" s="1" customFormat="1" ht="25" customHeight="1" x14ac:dyDescent="0.2">
      <c r="A34" s="3143"/>
      <c r="B34" s="3144"/>
      <c r="C34" s="1575" t="s">
        <v>1018</v>
      </c>
      <c r="D34" s="31" t="s">
        <v>22</v>
      </c>
      <c r="E34" s="32"/>
      <c r="F34" s="33">
        <f>+F33/I33*100</f>
        <v>89.910387495302061</v>
      </c>
      <c r="G34" s="33">
        <f>+G33/I33*100</f>
        <v>6.2192640993604122</v>
      </c>
      <c r="H34" s="33">
        <f>+H33/I33*100</f>
        <v>3.8703484053375226</v>
      </c>
      <c r="I34" s="397">
        <v>100</v>
      </c>
      <c r="J34" s="436"/>
      <c r="K34" s="358"/>
      <c r="L34" s="366">
        <f>+I33/E33*100</f>
        <v>98</v>
      </c>
      <c r="M34" s="1553">
        <f>100-L34</f>
        <v>2</v>
      </c>
      <c r="N34" s="1553"/>
      <c r="O34" s="1056"/>
    </row>
    <row r="35" spans="1:16" s="1" customFormat="1" ht="25" customHeight="1" x14ac:dyDescent="0.2">
      <c r="A35" s="3143"/>
      <c r="B35" s="3145"/>
      <c r="C35" s="1529" t="s">
        <v>1019</v>
      </c>
      <c r="D35" s="31" t="s">
        <v>21</v>
      </c>
      <c r="E35" s="842">
        <f t="shared" ref="E35:J35" si="7">E11+E29</f>
        <v>845143</v>
      </c>
      <c r="F35" s="842">
        <f t="shared" si="7"/>
        <v>780930.28</v>
      </c>
      <c r="G35" s="842">
        <f t="shared" si="7"/>
        <v>12530.88</v>
      </c>
      <c r="H35" s="842">
        <f t="shared" si="7"/>
        <v>40507.979999999996</v>
      </c>
      <c r="I35" s="842">
        <f t="shared" si="7"/>
        <v>833969.14</v>
      </c>
      <c r="J35" s="34">
        <f t="shared" si="7"/>
        <v>59</v>
      </c>
      <c r="K35" s="359">
        <f>I35/J35</f>
        <v>14135.070169491526</v>
      </c>
      <c r="L35" s="367"/>
      <c r="M35" s="35"/>
      <c r="N35" s="35"/>
      <c r="O35" s="1056"/>
    </row>
    <row r="36" spans="1:16" s="1" customFormat="1" ht="25" customHeight="1" x14ac:dyDescent="0.2">
      <c r="A36" s="3143"/>
      <c r="B36" s="3145"/>
      <c r="C36" s="1575" t="s">
        <v>1020</v>
      </c>
      <c r="D36" s="31" t="s">
        <v>22</v>
      </c>
      <c r="E36" s="32"/>
      <c r="F36" s="33">
        <f>F35/$I$35*100</f>
        <v>93.640189132178193</v>
      </c>
      <c r="G36" s="33">
        <f>G35/$I$35*100</f>
        <v>1.502559195415792</v>
      </c>
      <c r="H36" s="33">
        <f>H35/$I$35*100</f>
        <v>4.8572516724060071</v>
      </c>
      <c r="I36" s="397">
        <f>SUM(F36:H36)</f>
        <v>100</v>
      </c>
      <c r="J36" s="436"/>
      <c r="K36" s="358"/>
      <c r="L36" s="366">
        <f>I35/E35*100</f>
        <v>98.677873448635324</v>
      </c>
      <c r="M36" s="1553">
        <f>100-L36</f>
        <v>1.3221265513646756</v>
      </c>
      <c r="N36" s="1553"/>
      <c r="O36" s="1056"/>
    </row>
    <row r="37" spans="1:16" s="1" customFormat="1" ht="25" customHeight="1" x14ac:dyDescent="0.2">
      <c r="A37" s="3143"/>
      <c r="B37" s="3145"/>
      <c r="C37" s="1529" t="s">
        <v>83</v>
      </c>
      <c r="D37" s="31" t="s">
        <v>21</v>
      </c>
      <c r="E37" s="844">
        <f>E35-E33</f>
        <v>14991</v>
      </c>
      <c r="F37" s="844">
        <f t="shared" ref="F37:K38" si="8">F35-F33</f>
        <v>49465.257600000128</v>
      </c>
      <c r="G37" s="844">
        <f t="shared" si="8"/>
        <v>-38065.878400000001</v>
      </c>
      <c r="H37" s="844">
        <f t="shared" si="8"/>
        <v>9020.8007999999973</v>
      </c>
      <c r="I37" s="844">
        <f t="shared" si="8"/>
        <v>20420.180000000051</v>
      </c>
      <c r="J37" s="32">
        <f t="shared" si="8"/>
        <v>0</v>
      </c>
      <c r="K37" s="844">
        <f t="shared" si="8"/>
        <v>346.10474576271372</v>
      </c>
      <c r="L37" s="368"/>
      <c r="M37" s="36"/>
      <c r="N37" s="36"/>
      <c r="O37" s="367"/>
    </row>
    <row r="38" spans="1:16" s="1" customFormat="1" ht="25" customHeight="1" x14ac:dyDescent="0.2">
      <c r="A38" s="3146"/>
      <c r="B38" s="3147"/>
      <c r="C38" s="1575" t="s">
        <v>30</v>
      </c>
      <c r="D38" s="31" t="s">
        <v>22</v>
      </c>
      <c r="E38" s="32"/>
      <c r="F38" s="33">
        <f>F36-F34</f>
        <v>3.7298016368761324</v>
      </c>
      <c r="G38" s="33">
        <f t="shared" si="8"/>
        <v>-4.7167049039446205</v>
      </c>
      <c r="H38" s="33">
        <f t="shared" si="8"/>
        <v>0.98690326706848452</v>
      </c>
      <c r="I38" s="397"/>
      <c r="J38" s="437"/>
      <c r="K38" s="827"/>
      <c r="L38" s="368"/>
      <c r="M38" s="36"/>
      <c r="N38" s="36"/>
      <c r="O38" s="828"/>
    </row>
    <row r="39" spans="1:16" s="1" customFormat="1" ht="20" customHeight="1" x14ac:dyDescent="0.2">
      <c r="A39" s="2941" t="s">
        <v>32</v>
      </c>
      <c r="B39" s="2941"/>
      <c r="C39" s="2941"/>
      <c r="D39" s="2941"/>
      <c r="E39" s="2941"/>
      <c r="F39" s="2941"/>
      <c r="G39" s="2941"/>
      <c r="H39" s="2941"/>
      <c r="I39" s="2941"/>
      <c r="J39" s="2941"/>
      <c r="K39" s="2941"/>
      <c r="L39" s="2941"/>
      <c r="M39" s="2941"/>
      <c r="N39" s="2941"/>
    </row>
    <row r="40" spans="1:16" s="1" customFormat="1" ht="38" customHeight="1" x14ac:dyDescent="0.2">
      <c r="A40" s="2663" t="s">
        <v>661</v>
      </c>
      <c r="B40" s="2663"/>
      <c r="C40" s="2663"/>
      <c r="D40" s="2663"/>
      <c r="E40" s="2663"/>
      <c r="F40" s="2663"/>
      <c r="G40" s="2663"/>
      <c r="H40" s="2663"/>
      <c r="I40" s="2663"/>
      <c r="J40" s="2663"/>
      <c r="K40" s="2663"/>
      <c r="L40" s="2663"/>
      <c r="M40" s="2663"/>
      <c r="N40" s="2663"/>
    </row>
    <row r="41" spans="1:16" s="1" customFormat="1" ht="38" customHeight="1" x14ac:dyDescent="0.2">
      <c r="A41" s="2663" t="s">
        <v>651</v>
      </c>
      <c r="B41" s="2663"/>
      <c r="C41" s="2663"/>
      <c r="D41" s="2663"/>
      <c r="E41" s="2663"/>
      <c r="F41" s="2663"/>
      <c r="G41" s="2663"/>
      <c r="H41" s="2663"/>
      <c r="I41" s="2663"/>
      <c r="J41" s="2663"/>
      <c r="K41" s="2663"/>
      <c r="L41" s="2663"/>
      <c r="M41" s="2663"/>
      <c r="N41" s="2663"/>
    </row>
    <row r="42" spans="1:16" s="1" customFormat="1" ht="23" customHeight="1" x14ac:dyDescent="0.2">
      <c r="A42" s="42" t="s">
        <v>581</v>
      </c>
      <c r="B42" s="41"/>
      <c r="C42" s="41"/>
      <c r="D42" s="41"/>
      <c r="E42" s="41"/>
      <c r="F42" s="41"/>
      <c r="G42" s="41"/>
      <c r="H42" s="399"/>
      <c r="I42" s="439"/>
      <c r="J42" s="41"/>
      <c r="K42" s="41"/>
      <c r="L42" s="41"/>
      <c r="M42" s="41"/>
      <c r="N42" s="41"/>
    </row>
    <row r="43" spans="1:16" s="1" customFormat="1" ht="23" customHeight="1" x14ac:dyDescent="0.2">
      <c r="A43" s="42" t="s">
        <v>312</v>
      </c>
      <c r="B43" s="41"/>
      <c r="C43" s="41"/>
      <c r="D43" s="41"/>
      <c r="E43" s="41"/>
      <c r="F43" s="41"/>
      <c r="G43" s="41"/>
      <c r="H43" s="399"/>
      <c r="I43" s="439"/>
      <c r="J43" s="41"/>
      <c r="K43" s="41"/>
      <c r="L43" s="41"/>
      <c r="M43" s="41"/>
      <c r="N43" s="41"/>
    </row>
    <row r="44" spans="1:16" s="1" customFormat="1" ht="23" customHeight="1" x14ac:dyDescent="0.2">
      <c r="A44" s="2665" t="s">
        <v>34</v>
      </c>
      <c r="B44" s="2665" t="s">
        <v>135</v>
      </c>
      <c r="C44" s="2551" t="s">
        <v>6</v>
      </c>
      <c r="D44" s="2551" t="s">
        <v>105</v>
      </c>
      <c r="E44" s="2551" t="s">
        <v>17</v>
      </c>
      <c r="F44" s="3389" t="s">
        <v>106</v>
      </c>
      <c r="G44" s="3390"/>
      <c r="H44" s="3390"/>
      <c r="I44" s="3391"/>
      <c r="J44" s="1659" t="s">
        <v>107</v>
      </c>
      <c r="K44" s="2722" t="s">
        <v>47</v>
      </c>
      <c r="L44"/>
      <c r="M44"/>
      <c r="N44"/>
      <c r="O44"/>
      <c r="P44"/>
    </row>
    <row r="45" spans="1:16" s="1" customFormat="1" ht="39" customHeight="1" x14ac:dyDescent="0.2">
      <c r="A45" s="3223"/>
      <c r="B45" s="3223"/>
      <c r="C45" s="2566"/>
      <c r="D45" s="2551"/>
      <c r="E45" s="2551"/>
      <c r="F45" s="200" t="s">
        <v>18</v>
      </c>
      <c r="G45" s="202" t="s">
        <v>19</v>
      </c>
      <c r="H45" s="202" t="s">
        <v>20</v>
      </c>
      <c r="I45" s="202" t="s">
        <v>108</v>
      </c>
      <c r="J45" s="390" t="s">
        <v>22</v>
      </c>
      <c r="K45" s="2722"/>
      <c r="L45"/>
      <c r="M45"/>
      <c r="N45"/>
      <c r="O45"/>
      <c r="P45"/>
    </row>
    <row r="46" spans="1:16" s="1" customFormat="1" ht="25" customHeight="1" x14ac:dyDescent="0.2">
      <c r="A46" s="1635" t="s">
        <v>5</v>
      </c>
      <c r="B46" s="1632" t="s">
        <v>139</v>
      </c>
      <c r="C46" s="1632" t="s">
        <v>115</v>
      </c>
      <c r="D46" s="1640" t="s">
        <v>120</v>
      </c>
      <c r="E46" s="57" t="s">
        <v>21</v>
      </c>
      <c r="F46" s="834">
        <v>228780</v>
      </c>
      <c r="G46" s="834">
        <v>8696.16</v>
      </c>
      <c r="H46" s="834">
        <v>9871.2000000000007</v>
      </c>
      <c r="I46" s="831">
        <f>SUM(F46:H46)</f>
        <v>247347.36000000002</v>
      </c>
      <c r="J46" s="216">
        <f t="shared" ref="J46:J61" si="9">(I46/$I$84)*100</f>
        <v>56.077948704554956</v>
      </c>
      <c r="K46" s="1518"/>
      <c r="L46"/>
      <c r="M46"/>
      <c r="N46"/>
      <c r="O46"/>
      <c r="P46"/>
    </row>
    <row r="47" spans="1:16" s="1" customFormat="1" ht="25" customHeight="1" x14ac:dyDescent="0.2">
      <c r="A47" s="1636" t="s">
        <v>5</v>
      </c>
      <c r="B47" s="1633" t="s">
        <v>139</v>
      </c>
      <c r="C47" s="1633" t="s">
        <v>115</v>
      </c>
      <c r="D47" s="1642" t="s">
        <v>120</v>
      </c>
      <c r="E47" s="57" t="s">
        <v>22</v>
      </c>
      <c r="F47" s="739">
        <f>F46/$I$46*100</f>
        <v>92.493406842911114</v>
      </c>
      <c r="G47" s="739">
        <f>G46/$I$46*100</f>
        <v>3.5157682701768072</v>
      </c>
      <c r="H47" s="739">
        <f>H46/$I$46*100</f>
        <v>3.9908248869120739</v>
      </c>
      <c r="I47" s="216"/>
      <c r="J47" s="216">
        <f t="shared" si="9"/>
        <v>0</v>
      </c>
      <c r="K47" s="1518"/>
      <c r="L47"/>
      <c r="M47"/>
      <c r="N47"/>
      <c r="O47"/>
      <c r="P47"/>
    </row>
    <row r="48" spans="1:16" s="1" customFormat="1" ht="25" customHeight="1" x14ac:dyDescent="0.2">
      <c r="A48" s="1636" t="s">
        <v>5</v>
      </c>
      <c r="B48" s="1633" t="s">
        <v>139</v>
      </c>
      <c r="C48" s="1633" t="s">
        <v>115</v>
      </c>
      <c r="D48" s="1640" t="s">
        <v>146</v>
      </c>
      <c r="E48" s="57" t="s">
        <v>21</v>
      </c>
      <c r="F48" s="831">
        <v>14934.24</v>
      </c>
      <c r="G48" s="214"/>
      <c r="H48" s="831">
        <v>1082.8800000000001</v>
      </c>
      <c r="I48" s="831">
        <f>SUM(F48:H48)</f>
        <v>16017.119999999999</v>
      </c>
      <c r="J48" s="216">
        <f t="shared" si="9"/>
        <v>3.6313596949435851</v>
      </c>
      <c r="K48" s="1518"/>
      <c r="L48"/>
      <c r="M48"/>
      <c r="N48"/>
      <c r="O48"/>
      <c r="P48"/>
    </row>
    <row r="49" spans="1:16" s="1" customFormat="1" ht="25" customHeight="1" x14ac:dyDescent="0.2">
      <c r="A49" s="1636" t="s">
        <v>5</v>
      </c>
      <c r="B49" s="1633" t="s">
        <v>139</v>
      </c>
      <c r="C49" s="1633" t="s">
        <v>115</v>
      </c>
      <c r="D49" s="1642" t="s">
        <v>146</v>
      </c>
      <c r="E49" s="57" t="s">
        <v>22</v>
      </c>
      <c r="F49" s="216">
        <f>F48/$I$48*100</f>
        <v>93.239234019599039</v>
      </c>
      <c r="G49" s="216">
        <f>G48/$I$48*100</f>
        <v>0</v>
      </c>
      <c r="H49" s="216">
        <f>H48/$I$48*100</f>
        <v>6.7607659804009721</v>
      </c>
      <c r="I49" s="216"/>
      <c r="J49" s="216">
        <f t="shared" si="9"/>
        <v>0</v>
      </c>
      <c r="K49" s="1518"/>
      <c r="L49"/>
      <c r="M49"/>
      <c r="N49"/>
      <c r="O49"/>
      <c r="P49"/>
    </row>
    <row r="50" spans="1:16" s="1" customFormat="1" ht="23" customHeight="1" x14ac:dyDescent="0.2">
      <c r="A50" s="1636" t="s">
        <v>5</v>
      </c>
      <c r="B50" s="1633" t="s">
        <v>139</v>
      </c>
      <c r="C50" s="1633" t="s">
        <v>115</v>
      </c>
      <c r="D50" s="1640" t="s">
        <v>125</v>
      </c>
      <c r="E50" s="57" t="s">
        <v>21</v>
      </c>
      <c r="F50" s="831">
        <v>19742.400000000001</v>
      </c>
      <c r="G50" s="214"/>
      <c r="H50" s="831">
        <v>1638.72</v>
      </c>
      <c r="I50" s="831">
        <f>SUM(F50:H50)</f>
        <v>21381.120000000003</v>
      </c>
      <c r="J50" s="216">
        <f t="shared" si="9"/>
        <v>4.8474717927287925</v>
      </c>
      <c r="K50" s="1518"/>
      <c r="L50"/>
      <c r="M50"/>
      <c r="N50"/>
      <c r="O50"/>
      <c r="P50"/>
    </row>
    <row r="51" spans="1:16" s="1" customFormat="1" ht="23" customHeight="1" x14ac:dyDescent="0.2">
      <c r="A51" s="1636" t="s">
        <v>5</v>
      </c>
      <c r="B51" s="1633" t="s">
        <v>139</v>
      </c>
      <c r="C51" s="1633" t="s">
        <v>115</v>
      </c>
      <c r="D51" s="1642" t="s">
        <v>125</v>
      </c>
      <c r="E51" s="57" t="s">
        <v>22</v>
      </c>
      <c r="F51" s="216">
        <f>F50/$I$50*100</f>
        <v>92.33566810344827</v>
      </c>
      <c r="G51" s="216">
        <f>G50/$I$50*100</f>
        <v>0</v>
      </c>
      <c r="H51" s="216">
        <f>H50/$I$50*100</f>
        <v>7.6643318965517242</v>
      </c>
      <c r="I51" s="214"/>
      <c r="J51" s="216">
        <f t="shared" si="9"/>
        <v>0</v>
      </c>
      <c r="K51" s="1518"/>
      <c r="L51"/>
      <c r="M51"/>
      <c r="N51"/>
      <c r="O51"/>
      <c r="P51"/>
    </row>
    <row r="52" spans="1:16" s="1" customFormat="1" ht="23" customHeight="1" x14ac:dyDescent="0.2">
      <c r="A52" s="1636" t="s">
        <v>5</v>
      </c>
      <c r="B52" s="1567" t="s">
        <v>139</v>
      </c>
      <c r="C52" s="1567" t="s">
        <v>115</v>
      </c>
      <c r="D52" s="1640" t="s">
        <v>114</v>
      </c>
      <c r="E52" s="57" t="s">
        <v>21</v>
      </c>
      <c r="F52" s="831">
        <v>19044</v>
      </c>
      <c r="G52" s="214"/>
      <c r="H52" s="831">
        <v>1414.08</v>
      </c>
      <c r="I52" s="831">
        <f>SUM(F52:H52)</f>
        <v>20458.080000000002</v>
      </c>
      <c r="J52" s="216">
        <f t="shared" si="9"/>
        <v>4.6382025699958218</v>
      </c>
      <c r="K52" s="1518"/>
      <c r="L52"/>
      <c r="M52"/>
      <c r="N52"/>
      <c r="O52"/>
      <c r="P52"/>
    </row>
    <row r="53" spans="1:16" s="1" customFormat="1" ht="23" customHeight="1" x14ac:dyDescent="0.2">
      <c r="A53" s="1636" t="s">
        <v>5</v>
      </c>
      <c r="B53" s="1633" t="s">
        <v>139</v>
      </c>
      <c r="C53" s="1633" t="s">
        <v>115</v>
      </c>
      <c r="D53" s="1642" t="s">
        <v>114</v>
      </c>
      <c r="E53" s="57" t="s">
        <v>22</v>
      </c>
      <c r="F53" s="216">
        <f>F52/$I$52*100</f>
        <v>93.087914408390233</v>
      </c>
      <c r="G53" s="216">
        <f>G52/$I$52*100</f>
        <v>0</v>
      </c>
      <c r="H53" s="216">
        <f>H52/$I$52*100</f>
        <v>6.9120855916097694</v>
      </c>
      <c r="I53" s="214"/>
      <c r="J53" s="216">
        <f t="shared" si="9"/>
        <v>0</v>
      </c>
      <c r="K53" s="1518"/>
      <c r="L53"/>
      <c r="M53"/>
      <c r="N53"/>
      <c r="O53"/>
      <c r="P53"/>
    </row>
    <row r="54" spans="1:16" s="1" customFormat="1" ht="23" customHeight="1" x14ac:dyDescent="0.2">
      <c r="A54" s="1636" t="s">
        <v>5</v>
      </c>
      <c r="B54" s="1633" t="s">
        <v>139</v>
      </c>
      <c r="C54" s="1633" t="s">
        <v>115</v>
      </c>
      <c r="D54" s="1640" t="s">
        <v>129</v>
      </c>
      <c r="E54" s="57" t="s">
        <v>21</v>
      </c>
      <c r="F54" s="831">
        <v>12189.6</v>
      </c>
      <c r="G54" s="831">
        <v>518.4</v>
      </c>
      <c r="H54" s="831">
        <v>586.08000000000004</v>
      </c>
      <c r="I54" s="831">
        <f>SUM(F54:H54)</f>
        <v>13294.08</v>
      </c>
      <c r="J54" s="216">
        <f t="shared" si="9"/>
        <v>3.0139991642290012</v>
      </c>
      <c r="K54" s="1518"/>
      <c r="L54"/>
      <c r="M54"/>
      <c r="N54"/>
      <c r="O54"/>
      <c r="P54"/>
    </row>
    <row r="55" spans="1:16" s="1" customFormat="1" ht="23" customHeight="1" x14ac:dyDescent="0.2">
      <c r="A55" s="1636" t="s">
        <v>5</v>
      </c>
      <c r="B55" s="1633" t="s">
        <v>139</v>
      </c>
      <c r="C55" s="1633" t="s">
        <v>115</v>
      </c>
      <c r="D55" s="1642" t="s">
        <v>129</v>
      </c>
      <c r="E55" s="57" t="s">
        <v>22</v>
      </c>
      <c r="F55" s="216">
        <f>F54/$I$54*100</f>
        <v>91.691941074523399</v>
      </c>
      <c r="G55" s="216">
        <f>G54/$I$54*100</f>
        <v>3.8994800693240896</v>
      </c>
      <c r="H55" s="216">
        <f>H54/$I$54*100</f>
        <v>4.4085788561525137</v>
      </c>
      <c r="I55" s="214"/>
      <c r="J55" s="216">
        <f t="shared" si="9"/>
        <v>0</v>
      </c>
      <c r="K55" s="1518"/>
      <c r="L55"/>
      <c r="M55"/>
      <c r="N55"/>
      <c r="O55"/>
      <c r="P55"/>
    </row>
    <row r="56" spans="1:16" s="1" customFormat="1" ht="23" customHeight="1" x14ac:dyDescent="0.2">
      <c r="A56" s="1636" t="s">
        <v>5</v>
      </c>
      <c r="B56" s="1633" t="s">
        <v>139</v>
      </c>
      <c r="C56" s="1633" t="s">
        <v>115</v>
      </c>
      <c r="D56" s="1640" t="s">
        <v>112</v>
      </c>
      <c r="E56" s="57" t="s">
        <v>21</v>
      </c>
      <c r="F56" s="831">
        <v>18518.400000000001</v>
      </c>
      <c r="G56" s="831">
        <v>397.44</v>
      </c>
      <c r="H56" s="831">
        <v>1032.48</v>
      </c>
      <c r="I56" s="831">
        <f>SUM(F56:H56)</f>
        <v>19948.32</v>
      </c>
      <c r="J56" s="216">
        <f t="shared" si="9"/>
        <v>4.5226311115754276</v>
      </c>
      <c r="K56" s="1518"/>
      <c r="L56"/>
      <c r="M56"/>
      <c r="N56"/>
      <c r="O56"/>
      <c r="P56"/>
    </row>
    <row r="57" spans="1:16" s="1" customFormat="1" ht="23" customHeight="1" x14ac:dyDescent="0.2">
      <c r="A57" s="1636" t="s">
        <v>5</v>
      </c>
      <c r="B57" s="1633" t="s">
        <v>139</v>
      </c>
      <c r="C57" s="1633" t="s">
        <v>115</v>
      </c>
      <c r="D57" s="1642" t="s">
        <v>112</v>
      </c>
      <c r="E57" s="57" t="s">
        <v>22</v>
      </c>
      <c r="F57" s="216">
        <f>F56/$I$56*100</f>
        <v>92.831877571645137</v>
      </c>
      <c r="G57" s="216">
        <f>G56/$I$56*100</f>
        <v>1.9923482278206888</v>
      </c>
      <c r="H57" s="216">
        <f>H56/$I$56*100</f>
        <v>5.1757742005341809</v>
      </c>
      <c r="I57" s="214"/>
      <c r="J57" s="216">
        <f t="shared" si="9"/>
        <v>0</v>
      </c>
      <c r="K57" s="1518"/>
      <c r="L57"/>
      <c r="M57"/>
      <c r="N57"/>
      <c r="O57"/>
      <c r="P57"/>
    </row>
    <row r="58" spans="1:16" s="1" customFormat="1" ht="23" customHeight="1" x14ac:dyDescent="0.2">
      <c r="A58" s="1636" t="s">
        <v>5</v>
      </c>
      <c r="B58" s="1633" t="s">
        <v>139</v>
      </c>
      <c r="C58" s="1633" t="s">
        <v>115</v>
      </c>
      <c r="D58" s="1640" t="s">
        <v>541</v>
      </c>
      <c r="E58" s="57" t="s">
        <v>21</v>
      </c>
      <c r="F58" s="831">
        <v>49849.919999999998</v>
      </c>
      <c r="G58" s="831">
        <v>2064.96</v>
      </c>
      <c r="H58" s="831">
        <v>2296.8000000000002</v>
      </c>
      <c r="I58" s="831">
        <f>SUM(F58:H58)</f>
        <v>54211.68</v>
      </c>
      <c r="J58" s="216">
        <f t="shared" si="9"/>
        <v>12.290730777267028</v>
      </c>
      <c r="K58" s="1518"/>
      <c r="L58"/>
      <c r="M58"/>
      <c r="N58"/>
      <c r="O58"/>
      <c r="P58"/>
    </row>
    <row r="59" spans="1:16" s="1" customFormat="1" ht="23" customHeight="1" x14ac:dyDescent="0.2">
      <c r="A59" s="1636" t="s">
        <v>5</v>
      </c>
      <c r="B59" s="1634" t="s">
        <v>139</v>
      </c>
      <c r="C59" s="1634" t="s">
        <v>115</v>
      </c>
      <c r="D59" s="1642" t="s">
        <v>541</v>
      </c>
      <c r="E59" s="57" t="s">
        <v>22</v>
      </c>
      <c r="F59" s="216">
        <f>F58/$I$58*100</f>
        <v>91.954206178447151</v>
      </c>
      <c r="G59" s="216">
        <f>G58/$I$58*100</f>
        <v>3.8090684516694555</v>
      </c>
      <c r="H59" s="216">
        <f>H58/$I$58*100</f>
        <v>4.2367253698833904</v>
      </c>
      <c r="I59" s="214"/>
      <c r="J59" s="216">
        <f t="shared" si="9"/>
        <v>0</v>
      </c>
      <c r="K59" s="1518"/>
      <c r="L59"/>
      <c r="M59"/>
      <c r="N59"/>
      <c r="O59"/>
      <c r="P59"/>
    </row>
    <row r="60" spans="1:16" s="1" customFormat="1" ht="23" hidden="1" customHeight="1" x14ac:dyDescent="0.2">
      <c r="A60" s="1633" t="s">
        <v>5</v>
      </c>
      <c r="C60" s="328">
        <v>8</v>
      </c>
      <c r="D60" s="1656" t="s">
        <v>541</v>
      </c>
      <c r="E60" s="57" t="s">
        <v>21</v>
      </c>
      <c r="F60" s="214"/>
      <c r="G60" s="831"/>
      <c r="H60" s="831"/>
      <c r="I60" s="831">
        <f>SUM(F60:H60)</f>
        <v>0</v>
      </c>
      <c r="J60" s="216">
        <f t="shared" si="9"/>
        <v>0</v>
      </c>
      <c r="K60" s="1518"/>
      <c r="L60"/>
      <c r="M60"/>
      <c r="N60"/>
      <c r="O60"/>
      <c r="P60"/>
    </row>
    <row r="61" spans="1:16" s="1" customFormat="1" ht="23" hidden="1" customHeight="1" x14ac:dyDescent="0.2">
      <c r="A61" s="1633" t="s">
        <v>5</v>
      </c>
      <c r="C61" s="317"/>
      <c r="D61" s="1658"/>
      <c r="E61" s="57" t="s">
        <v>22</v>
      </c>
      <c r="F61" s="216" t="e">
        <f>F60/$I$60*100</f>
        <v>#DIV/0!</v>
      </c>
      <c r="G61" s="216" t="e">
        <f>G60/$I$60*100</f>
        <v>#DIV/0!</v>
      </c>
      <c r="H61" s="216" t="e">
        <f>H60/$I$60*100</f>
        <v>#DIV/0!</v>
      </c>
      <c r="I61" s="214" t="e">
        <f>SUM(F61:H61)</f>
        <v>#DIV/0!</v>
      </c>
      <c r="J61" s="216" t="e">
        <f t="shared" si="9"/>
        <v>#DIV/0!</v>
      </c>
      <c r="K61" s="1518"/>
      <c r="L61"/>
      <c r="M61"/>
      <c r="N61"/>
      <c r="O61"/>
      <c r="P61"/>
    </row>
    <row r="62" spans="1:16" s="1" customFormat="1" ht="34" customHeight="1" x14ac:dyDescent="0.2">
      <c r="A62" s="1633" t="s">
        <v>5</v>
      </c>
      <c r="B62" s="3235" t="s">
        <v>103</v>
      </c>
      <c r="C62" s="3235"/>
      <c r="D62" s="3236"/>
      <c r="E62" s="414" t="s">
        <v>21</v>
      </c>
      <c r="F62" s="832">
        <f>F46+F48+F50+F52+F54+F56+F58+F60</f>
        <v>363058.56</v>
      </c>
      <c r="G62" s="832">
        <f>G46+G48+G50+G52+G54+G56+G58+G60</f>
        <v>11676.96</v>
      </c>
      <c r="H62" s="832">
        <f>H46+H48+H50+H52+H54+H56+H58+H60</f>
        <v>17922.240000000002</v>
      </c>
      <c r="I62" s="832">
        <f>SUM(F62:H62)</f>
        <v>392657.76</v>
      </c>
      <c r="J62" s="216"/>
      <c r="K62" s="1518"/>
      <c r="L62"/>
      <c r="M62"/>
      <c r="N62"/>
      <c r="O62"/>
      <c r="P62"/>
    </row>
    <row r="63" spans="1:16" s="1" customFormat="1" ht="34" customHeight="1" x14ac:dyDescent="0.2">
      <c r="A63" s="1567" t="s">
        <v>5</v>
      </c>
      <c r="B63" s="3258"/>
      <c r="C63" s="3238"/>
      <c r="D63" s="3239"/>
      <c r="E63" s="414" t="s">
        <v>22</v>
      </c>
      <c r="F63" s="417">
        <f>F62/$I$62*100</f>
        <v>92.461832411003414</v>
      </c>
      <c r="G63" s="417">
        <f>G62/$I$62*100</f>
        <v>2.973826367267006</v>
      </c>
      <c r="H63" s="417">
        <f>H62/$I$62*100</f>
        <v>4.5643412217295802</v>
      </c>
      <c r="I63" s="415"/>
      <c r="J63" s="216"/>
      <c r="K63" s="1518"/>
      <c r="L63"/>
      <c r="M63"/>
      <c r="N63"/>
      <c r="O63"/>
      <c r="P63"/>
    </row>
    <row r="64" spans="1:16" s="1" customFormat="1" ht="33" customHeight="1" x14ac:dyDescent="0.2">
      <c r="A64" s="1636" t="s">
        <v>5</v>
      </c>
      <c r="B64" s="1593" t="s">
        <v>140</v>
      </c>
      <c r="C64" s="1593" t="s">
        <v>115</v>
      </c>
      <c r="D64" s="1640" t="s">
        <v>109</v>
      </c>
      <c r="E64" s="57" t="s">
        <v>21</v>
      </c>
      <c r="F64" s="834">
        <v>41915.519999999997</v>
      </c>
      <c r="G64" s="738">
        <v>853.92</v>
      </c>
      <c r="H64" s="738">
        <v>2443.6799999999998</v>
      </c>
      <c r="I64" s="831">
        <f>SUM(F64:H64)</f>
        <v>45213.119999999995</v>
      </c>
      <c r="J64" s="216">
        <f t="shared" ref="J64:J71" si="10">(I64/$I$84)*100</f>
        <v>10.250600710405347</v>
      </c>
      <c r="K64" s="1518"/>
      <c r="L64"/>
      <c r="M64"/>
      <c r="N64"/>
      <c r="O64"/>
      <c r="P64"/>
    </row>
    <row r="65" spans="1:16" s="1" customFormat="1" ht="33" customHeight="1" x14ac:dyDescent="0.2">
      <c r="A65" s="1636" t="s">
        <v>5</v>
      </c>
      <c r="B65" s="1567" t="s">
        <v>140</v>
      </c>
      <c r="C65" s="1567" t="s">
        <v>115</v>
      </c>
      <c r="D65" s="1642" t="s">
        <v>109</v>
      </c>
      <c r="E65" s="57" t="s">
        <v>22</v>
      </c>
      <c r="F65" s="215">
        <f>F64/$I$64*100</f>
        <v>92.706541817950196</v>
      </c>
      <c r="G65" s="215">
        <f>G64/$I$64*100</f>
        <v>1.8886553283648639</v>
      </c>
      <c r="H65" s="215">
        <f>H64/$I$64*100</f>
        <v>5.4048028536849477</v>
      </c>
      <c r="I65" s="214"/>
      <c r="J65" s="216">
        <f t="shared" si="10"/>
        <v>0</v>
      </c>
      <c r="K65" s="1518"/>
      <c r="L65"/>
      <c r="M65"/>
      <c r="N65"/>
      <c r="O65"/>
      <c r="P65"/>
    </row>
    <row r="66" spans="1:16" s="1" customFormat="1" ht="33" customHeight="1" x14ac:dyDescent="0.2">
      <c r="A66" s="1636" t="s">
        <v>5</v>
      </c>
      <c r="B66" s="1568" t="s">
        <v>140</v>
      </c>
      <c r="C66" s="1568" t="s">
        <v>115</v>
      </c>
      <c r="D66" s="1640" t="s">
        <v>631</v>
      </c>
      <c r="E66" s="57" t="s">
        <v>21</v>
      </c>
      <c r="F66" s="834">
        <v>3019.68</v>
      </c>
      <c r="G66" s="834">
        <v>0</v>
      </c>
      <c r="H66" s="834">
        <v>187.2</v>
      </c>
      <c r="I66" s="831">
        <f>SUM(F66:H66)</f>
        <v>3206.8799999999997</v>
      </c>
      <c r="J66" s="216">
        <f t="shared" si="10"/>
        <v>0.72705547430004169</v>
      </c>
      <c r="K66" s="1518"/>
      <c r="L66"/>
      <c r="M66"/>
      <c r="N66"/>
      <c r="O66"/>
      <c r="P66"/>
    </row>
    <row r="67" spans="1:16" s="1" customFormat="1" ht="33" customHeight="1" x14ac:dyDescent="0.2">
      <c r="A67" s="1636" t="s">
        <v>5</v>
      </c>
      <c r="B67" s="1584" t="s">
        <v>140</v>
      </c>
      <c r="C67" s="1584" t="s">
        <v>115</v>
      </c>
      <c r="D67" s="1642" t="s">
        <v>631</v>
      </c>
      <c r="E67" s="57" t="s">
        <v>22</v>
      </c>
      <c r="F67" s="216">
        <f>F66/$I$66*100</f>
        <v>94.162550516389771</v>
      </c>
      <c r="G67" s="216">
        <f>G66/$I$66*100</f>
        <v>0</v>
      </c>
      <c r="H67" s="216">
        <f>H66/$I$66*100</f>
        <v>5.8374494836102384</v>
      </c>
      <c r="I67" s="214"/>
      <c r="J67" s="216">
        <f t="shared" si="10"/>
        <v>0</v>
      </c>
      <c r="K67" s="1518"/>
      <c r="L67"/>
      <c r="M67"/>
      <c r="N67"/>
      <c r="O67"/>
      <c r="P67"/>
    </row>
    <row r="68" spans="1:16" s="1" customFormat="1" ht="33" hidden="1" customHeight="1" x14ac:dyDescent="0.2">
      <c r="A68" s="1633" t="s">
        <v>5</v>
      </c>
      <c r="C68" s="321">
        <v>3</v>
      </c>
      <c r="D68" s="1655" t="s">
        <v>114</v>
      </c>
      <c r="E68" s="57" t="s">
        <v>21</v>
      </c>
      <c r="F68" s="834"/>
      <c r="G68" s="738"/>
      <c r="H68" s="834"/>
      <c r="I68" s="831">
        <f>SUM(F68:H68)</f>
        <v>0</v>
      </c>
      <c r="J68" s="216">
        <f t="shared" si="10"/>
        <v>0</v>
      </c>
      <c r="K68" s="1518"/>
      <c r="L68"/>
      <c r="M68"/>
      <c r="N68"/>
      <c r="O68"/>
      <c r="P68"/>
    </row>
    <row r="69" spans="1:16" s="1" customFormat="1" ht="33" hidden="1" customHeight="1" x14ac:dyDescent="0.2">
      <c r="A69" s="1633" t="s">
        <v>5</v>
      </c>
      <c r="C69" s="321"/>
      <c r="D69" s="1655"/>
      <c r="E69" s="57" t="s">
        <v>22</v>
      </c>
      <c r="F69" s="216" t="e">
        <f>F68/$I$68*100</f>
        <v>#DIV/0!</v>
      </c>
      <c r="G69" s="216" t="e">
        <f>G68/$I$68*100</f>
        <v>#DIV/0!</v>
      </c>
      <c r="H69" s="216" t="e">
        <f>H68/$I$68*100</f>
        <v>#DIV/0!</v>
      </c>
      <c r="I69" s="214" t="e">
        <f>SUM(F69:H69)</f>
        <v>#DIV/0!</v>
      </c>
      <c r="J69" s="216" t="e">
        <f t="shared" si="10"/>
        <v>#DIV/0!</v>
      </c>
      <c r="K69" s="1518"/>
      <c r="L69"/>
      <c r="M69"/>
      <c r="N69"/>
      <c r="O69"/>
      <c r="P69"/>
    </row>
    <row r="70" spans="1:16" s="1" customFormat="1" ht="29" hidden="1" customHeight="1" x14ac:dyDescent="0.2">
      <c r="A70" s="1633" t="s">
        <v>5</v>
      </c>
      <c r="C70" s="321"/>
      <c r="D70" s="924" t="s">
        <v>129</v>
      </c>
      <c r="E70" s="57" t="s">
        <v>21</v>
      </c>
      <c r="F70" s="738"/>
      <c r="G70" s="738"/>
      <c r="H70" s="738"/>
      <c r="I70" s="214">
        <f>SUM(F70:H70)</f>
        <v>0</v>
      </c>
      <c r="J70" s="216">
        <f t="shared" si="10"/>
        <v>0</v>
      </c>
      <c r="K70" s="1518"/>
      <c r="L70"/>
      <c r="M70"/>
      <c r="N70"/>
      <c r="O70"/>
      <c r="P70"/>
    </row>
    <row r="71" spans="1:16" s="1" customFormat="1" ht="29" hidden="1" customHeight="1" x14ac:dyDescent="0.2">
      <c r="A71" s="1633" t="s">
        <v>5</v>
      </c>
      <c r="C71" s="321"/>
      <c r="D71" s="924"/>
      <c r="E71" s="57" t="s">
        <v>22</v>
      </c>
      <c r="F71" s="216" t="e">
        <f>F70/$I$70*100</f>
        <v>#DIV/0!</v>
      </c>
      <c r="G71" s="216" t="e">
        <f>G70/$I$70*100</f>
        <v>#DIV/0!</v>
      </c>
      <c r="H71" s="216" t="e">
        <f>H70/$I$70*100</f>
        <v>#DIV/0!</v>
      </c>
      <c r="I71" s="214" t="e">
        <f>SUM(F71:H71)</f>
        <v>#DIV/0!</v>
      </c>
      <c r="J71" s="216" t="e">
        <f t="shared" si="10"/>
        <v>#DIV/0!</v>
      </c>
      <c r="K71" s="1518"/>
      <c r="L71"/>
      <c r="M71"/>
      <c r="N71"/>
      <c r="O71"/>
      <c r="P71"/>
    </row>
    <row r="72" spans="1:16" s="1" customFormat="1" ht="41" customHeight="1" x14ac:dyDescent="0.2">
      <c r="A72" s="1633" t="s">
        <v>5</v>
      </c>
      <c r="B72" s="3235" t="s">
        <v>103</v>
      </c>
      <c r="C72" s="3235"/>
      <c r="D72" s="3236"/>
      <c r="E72" s="414" t="s">
        <v>21</v>
      </c>
      <c r="F72" s="832">
        <f>F64+F66+F68+F70</f>
        <v>44935.199999999997</v>
      </c>
      <c r="G72" s="832">
        <f>G64+G66+G68+G70</f>
        <v>853.92</v>
      </c>
      <c r="H72" s="832">
        <f>H64+H66+H68+H70</f>
        <v>2630.8799999999997</v>
      </c>
      <c r="I72" s="832">
        <f>SUM(F72:H72)</f>
        <v>48419.999999999993</v>
      </c>
      <c r="J72" s="216"/>
      <c r="K72" s="1518"/>
      <c r="L72"/>
      <c r="M72"/>
      <c r="N72"/>
      <c r="O72"/>
      <c r="P72"/>
    </row>
    <row r="73" spans="1:16" s="1" customFormat="1" ht="41" customHeight="1" x14ac:dyDescent="0.2">
      <c r="A73" s="1633" t="s">
        <v>5</v>
      </c>
      <c r="B73" s="3238"/>
      <c r="C73" s="3238"/>
      <c r="D73" s="3239"/>
      <c r="E73" s="414" t="s">
        <v>22</v>
      </c>
      <c r="F73" s="417">
        <f>F72/$I$72*100</f>
        <v>92.802973977695174</v>
      </c>
      <c r="G73" s="417">
        <f>G72/$I$72*100</f>
        <v>1.7635687732342011</v>
      </c>
      <c r="H73" s="417">
        <f>H72/$I$72*100</f>
        <v>5.4334572490706323</v>
      </c>
      <c r="I73" s="415"/>
      <c r="J73" s="216">
        <f t="shared" ref="J73:J84" si="11">(I73/$I$84)*100</f>
        <v>0</v>
      </c>
      <c r="K73" s="1518"/>
      <c r="L73"/>
      <c r="M73"/>
      <c r="N73"/>
      <c r="O73"/>
      <c r="P73"/>
    </row>
    <row r="74" spans="1:16" s="1" customFormat="1" ht="29" customHeight="1" x14ac:dyDescent="0.2">
      <c r="A74" s="1633" t="s">
        <v>5</v>
      </c>
      <c r="B74" s="1654" t="s">
        <v>141</v>
      </c>
      <c r="C74" s="1593" t="s">
        <v>115</v>
      </c>
      <c r="D74" s="1640" t="s">
        <v>125</v>
      </c>
      <c r="E74" s="57" t="s">
        <v>21</v>
      </c>
      <c r="F74" s="738"/>
      <c r="G74" s="738"/>
      <c r="H74" s="738"/>
      <c r="I74" s="214">
        <f>SUM(F74:H74)</f>
        <v>0</v>
      </c>
      <c r="J74" s="216">
        <f t="shared" si="11"/>
        <v>0</v>
      </c>
      <c r="K74" s="1528"/>
      <c r="L74"/>
      <c r="M74"/>
      <c r="N74"/>
      <c r="O74"/>
      <c r="P74"/>
    </row>
    <row r="75" spans="1:16" s="1" customFormat="1" ht="29" customHeight="1" x14ac:dyDescent="0.2">
      <c r="A75" s="1633" t="s">
        <v>5</v>
      </c>
      <c r="B75" s="1643" t="s">
        <v>141</v>
      </c>
      <c r="C75" s="1568" t="s">
        <v>115</v>
      </c>
      <c r="D75" s="1642" t="s">
        <v>125</v>
      </c>
      <c r="E75" s="57" t="s">
        <v>22</v>
      </c>
      <c r="F75" s="216" t="e">
        <f>F74/$I$74*100</f>
        <v>#DIV/0!</v>
      </c>
      <c r="G75" s="216" t="e">
        <f>G74/$I$74*100</f>
        <v>#DIV/0!</v>
      </c>
      <c r="H75" s="216" t="e">
        <f>H74/$I$74*100</f>
        <v>#DIV/0!</v>
      </c>
      <c r="I75" s="216" t="e">
        <f>SUM(F75:H75)</f>
        <v>#DIV/0!</v>
      </c>
      <c r="J75" s="216" t="e">
        <f t="shared" si="11"/>
        <v>#DIV/0!</v>
      </c>
      <c r="K75" s="1528"/>
      <c r="L75"/>
      <c r="M75"/>
      <c r="N75"/>
      <c r="O75"/>
      <c r="P75"/>
    </row>
    <row r="76" spans="1:16" s="1" customFormat="1" ht="29" customHeight="1" x14ac:dyDescent="0.2">
      <c r="A76" s="1633" t="s">
        <v>5</v>
      </c>
      <c r="B76" s="1643" t="s">
        <v>141</v>
      </c>
      <c r="C76" s="1568" t="s">
        <v>115</v>
      </c>
      <c r="D76" s="1640" t="s">
        <v>313</v>
      </c>
      <c r="E76" s="57" t="s">
        <v>21</v>
      </c>
      <c r="F76" s="738"/>
      <c r="G76" s="738"/>
      <c r="H76" s="738"/>
      <c r="I76" s="214">
        <f>SUM(F76:H76)</f>
        <v>0</v>
      </c>
      <c r="J76" s="216">
        <f t="shared" si="11"/>
        <v>0</v>
      </c>
      <c r="K76" s="1528"/>
      <c r="L76"/>
      <c r="M76"/>
      <c r="N76"/>
      <c r="O76"/>
      <c r="P76"/>
    </row>
    <row r="77" spans="1:16" s="1" customFormat="1" ht="29" customHeight="1" x14ac:dyDescent="0.2">
      <c r="A77" s="1633" t="s">
        <v>5</v>
      </c>
      <c r="B77" s="1585" t="s">
        <v>141</v>
      </c>
      <c r="C77" s="1567" t="s">
        <v>115</v>
      </c>
      <c r="D77" s="1642" t="s">
        <v>313</v>
      </c>
      <c r="E77" s="57" t="s">
        <v>22</v>
      </c>
      <c r="F77" s="216" t="e">
        <f>F76/$I$76*100</f>
        <v>#DIV/0!</v>
      </c>
      <c r="G77" s="216" t="e">
        <f>G76/$I$76*100</f>
        <v>#DIV/0!</v>
      </c>
      <c r="H77" s="216" t="e">
        <f>H76/$I$76*100</f>
        <v>#DIV/0!</v>
      </c>
      <c r="I77" s="216" t="e">
        <f>I76/$I$76*100</f>
        <v>#DIV/0!</v>
      </c>
      <c r="J77" s="216" t="e">
        <f t="shared" si="11"/>
        <v>#DIV/0!</v>
      </c>
      <c r="K77" s="1528"/>
      <c r="L77"/>
      <c r="M77"/>
      <c r="N77"/>
      <c r="O77"/>
      <c r="P77"/>
    </row>
    <row r="78" spans="1:16" s="1" customFormat="1" ht="29" customHeight="1" x14ac:dyDescent="0.2">
      <c r="A78" s="1633" t="s">
        <v>5</v>
      </c>
      <c r="B78" s="1643" t="s">
        <v>141</v>
      </c>
      <c r="C78" s="1568" t="s">
        <v>115</v>
      </c>
      <c r="D78" s="1640" t="s">
        <v>109</v>
      </c>
      <c r="E78" s="57" t="s">
        <v>21</v>
      </c>
      <c r="F78" s="738"/>
      <c r="G78" s="738"/>
      <c r="H78" s="738"/>
      <c r="I78" s="214">
        <f t="shared" ref="I78:I84" si="12">SUM(F78:H78)</f>
        <v>0</v>
      </c>
      <c r="J78" s="216">
        <f t="shared" si="11"/>
        <v>0</v>
      </c>
      <c r="K78" s="1528"/>
      <c r="L78"/>
      <c r="M78"/>
      <c r="N78"/>
      <c r="O78"/>
      <c r="P78"/>
    </row>
    <row r="79" spans="1:16" s="1" customFormat="1" ht="29" customHeight="1" x14ac:dyDescent="0.2">
      <c r="A79" s="1633" t="s">
        <v>5</v>
      </c>
      <c r="B79" s="1643" t="s">
        <v>141</v>
      </c>
      <c r="C79" s="1568" t="s">
        <v>115</v>
      </c>
      <c r="D79" s="1642" t="s">
        <v>109</v>
      </c>
      <c r="E79" s="57" t="s">
        <v>22</v>
      </c>
      <c r="F79" s="216" t="e">
        <f>F78/$I$78*100</f>
        <v>#DIV/0!</v>
      </c>
      <c r="G79" s="216" t="e">
        <f>G78/$I$78*100</f>
        <v>#DIV/0!</v>
      </c>
      <c r="H79" s="216" t="e">
        <f>H78/$I$78*100</f>
        <v>#DIV/0!</v>
      </c>
      <c r="I79" s="216" t="e">
        <f t="shared" si="12"/>
        <v>#DIV/0!</v>
      </c>
      <c r="J79" s="216" t="e">
        <f t="shared" si="11"/>
        <v>#DIV/0!</v>
      </c>
      <c r="K79" s="1528"/>
      <c r="L79"/>
      <c r="M79"/>
      <c r="N79"/>
      <c r="O79"/>
      <c r="P79"/>
    </row>
    <row r="80" spans="1:16" s="1" customFormat="1" ht="29" customHeight="1" x14ac:dyDescent="0.2">
      <c r="A80" s="1633" t="s">
        <v>5</v>
      </c>
      <c r="B80" s="1643" t="s">
        <v>141</v>
      </c>
      <c r="C80" s="1568" t="s">
        <v>115</v>
      </c>
      <c r="D80" s="1640" t="s">
        <v>129</v>
      </c>
      <c r="E80" s="57" t="s">
        <v>21</v>
      </c>
      <c r="F80" s="214"/>
      <c r="G80" s="214"/>
      <c r="H80" s="214"/>
      <c r="I80" s="214">
        <f t="shared" si="12"/>
        <v>0</v>
      </c>
      <c r="J80" s="216">
        <f t="shared" si="11"/>
        <v>0</v>
      </c>
      <c r="K80" s="1528"/>
      <c r="L80"/>
      <c r="M80"/>
      <c r="N80"/>
      <c r="O80"/>
      <c r="P80"/>
    </row>
    <row r="81" spans="1:16" s="1" customFormat="1" ht="29" customHeight="1" x14ac:dyDescent="0.2">
      <c r="A81" s="1633" t="s">
        <v>5</v>
      </c>
      <c r="B81" s="1644" t="s">
        <v>141</v>
      </c>
      <c r="C81" s="1584" t="s">
        <v>115</v>
      </c>
      <c r="D81" s="1642" t="s">
        <v>129</v>
      </c>
      <c r="E81" s="57" t="s">
        <v>22</v>
      </c>
      <c r="F81" s="216" t="e">
        <f>F80/$I$82*100</f>
        <v>#DIV/0!</v>
      </c>
      <c r="G81" s="216" t="e">
        <f>G80/$I$82*100</f>
        <v>#DIV/0!</v>
      </c>
      <c r="H81" s="216" t="e">
        <f>H80/$I$82*100</f>
        <v>#DIV/0!</v>
      </c>
      <c r="I81" s="216" t="e">
        <f t="shared" si="12"/>
        <v>#DIV/0!</v>
      </c>
      <c r="J81" s="216" t="e">
        <f t="shared" si="11"/>
        <v>#DIV/0!</v>
      </c>
      <c r="K81" s="1528"/>
      <c r="L81"/>
      <c r="M81"/>
      <c r="N81"/>
      <c r="O81"/>
      <c r="P81"/>
    </row>
    <row r="82" spans="1:16" s="1" customFormat="1" ht="29" customHeight="1" x14ac:dyDescent="0.2">
      <c r="A82" s="1633" t="s">
        <v>5</v>
      </c>
      <c r="B82" s="3235" t="s">
        <v>103</v>
      </c>
      <c r="C82" s="3235"/>
      <c r="D82" s="3236"/>
      <c r="E82" s="414" t="s">
        <v>21</v>
      </c>
      <c r="F82" s="415">
        <f>F74+F76+F78+F80</f>
        <v>0</v>
      </c>
      <c r="G82" s="415">
        <f>G74+G76+G78+G80</f>
        <v>0</v>
      </c>
      <c r="H82" s="415">
        <f>H74+H76+H78+H80</f>
        <v>0</v>
      </c>
      <c r="I82" s="415">
        <f t="shared" si="12"/>
        <v>0</v>
      </c>
      <c r="J82" s="216">
        <f t="shared" si="11"/>
        <v>0</v>
      </c>
      <c r="K82" s="1528"/>
      <c r="L82"/>
      <c r="M82"/>
      <c r="N82"/>
      <c r="O82"/>
      <c r="P82"/>
    </row>
    <row r="83" spans="1:16" s="1" customFormat="1" ht="29" customHeight="1" x14ac:dyDescent="0.2">
      <c r="A83" s="1634" t="s">
        <v>5</v>
      </c>
      <c r="B83" s="3238"/>
      <c r="C83" s="3238"/>
      <c r="D83" s="3239"/>
      <c r="E83" s="414" t="s">
        <v>22</v>
      </c>
      <c r="F83" s="417" t="e">
        <f>F82/$I$82*100</f>
        <v>#DIV/0!</v>
      </c>
      <c r="G83" s="417" t="e">
        <f>G82/$I$82*100</f>
        <v>#DIV/0!</v>
      </c>
      <c r="H83" s="417" t="e">
        <f>H82/$I$82*100</f>
        <v>#DIV/0!</v>
      </c>
      <c r="I83" s="415" t="e">
        <f t="shared" si="12"/>
        <v>#DIV/0!</v>
      </c>
      <c r="J83" s="216" t="e">
        <f t="shared" si="11"/>
        <v>#DIV/0!</v>
      </c>
      <c r="K83" s="1528"/>
      <c r="L83"/>
      <c r="M83"/>
      <c r="N83"/>
      <c r="O83"/>
      <c r="P83"/>
    </row>
    <row r="84" spans="1:16" s="1" customFormat="1" ht="39" customHeight="1" x14ac:dyDescent="0.2">
      <c r="A84" s="3364" t="s">
        <v>124</v>
      </c>
      <c r="B84" s="3387"/>
      <c r="C84" s="3387"/>
      <c r="D84" s="3388"/>
      <c r="E84" s="387" t="s">
        <v>21</v>
      </c>
      <c r="F84" s="896">
        <f>F62+F72+F82</f>
        <v>407993.76</v>
      </c>
      <c r="G84" s="896">
        <f>G62+G72+G82</f>
        <v>12530.88</v>
      </c>
      <c r="H84" s="896">
        <f>H62+H72+H82</f>
        <v>20553.120000000003</v>
      </c>
      <c r="I84" s="896">
        <f t="shared" si="12"/>
        <v>441077.76000000001</v>
      </c>
      <c r="J84" s="549">
        <f t="shared" si="11"/>
        <v>100</v>
      </c>
      <c r="K84" s="1521"/>
      <c r="L84"/>
      <c r="M84"/>
      <c r="N84"/>
      <c r="O84"/>
      <c r="P84"/>
    </row>
    <row r="85" spans="1:16" s="1" customFormat="1" ht="39" customHeight="1" x14ac:dyDescent="0.2">
      <c r="A85" s="3367"/>
      <c r="B85" s="3368"/>
      <c r="C85" s="3368"/>
      <c r="D85" s="3369"/>
      <c r="E85" s="387" t="s">
        <v>22</v>
      </c>
      <c r="F85" s="389">
        <f>F84/$I$84*100</f>
        <v>92.499281759297958</v>
      </c>
      <c r="G85" s="389">
        <f>G84/$I$84*100</f>
        <v>2.8409684496447971</v>
      </c>
      <c r="H85" s="389">
        <f>H84/$I$84*100</f>
        <v>4.6597497910572505</v>
      </c>
      <c r="I85" s="389"/>
      <c r="J85" s="389"/>
      <c r="K85" s="1520"/>
      <c r="L85"/>
      <c r="M85"/>
      <c r="N85"/>
      <c r="O85"/>
      <c r="P85"/>
    </row>
    <row r="86" spans="1:16" s="1" customFormat="1" ht="14" customHeight="1" x14ac:dyDescent="0.2">
      <c r="A86" s="919"/>
      <c r="B86" s="919"/>
      <c r="C86" s="920"/>
      <c r="D86" s="921"/>
      <c r="E86" s="921"/>
      <c r="F86" s="921"/>
      <c r="G86" s="921"/>
      <c r="H86" s="921"/>
      <c r="I86" s="922"/>
      <c r="J86" s="922"/>
      <c r="K86" s="922"/>
      <c r="L86" s="922"/>
      <c r="M86" s="922"/>
      <c r="N86" s="922"/>
    </row>
    <row r="87" spans="1:16" s="1" customFormat="1" ht="29" customHeight="1" x14ac:dyDescent="0.2">
      <c r="A87" s="3207" t="s">
        <v>506</v>
      </c>
      <c r="B87" s="3207"/>
      <c r="C87" s="3207"/>
      <c r="D87" s="3207"/>
      <c r="E87" s="3207"/>
      <c r="F87" s="3207"/>
      <c r="G87" s="3207"/>
      <c r="H87" s="3207"/>
      <c r="I87" s="3207"/>
      <c r="J87" s="3207"/>
      <c r="K87" s="3207"/>
      <c r="L87" s="3207"/>
      <c r="M87" s="3207"/>
      <c r="N87" s="3207"/>
    </row>
    <row r="88" spans="1:16" s="1" customFormat="1" ht="29" customHeight="1" x14ac:dyDescent="0.2">
      <c r="A88" s="221" t="s">
        <v>39</v>
      </c>
      <c r="B88" s="2551" t="s">
        <v>134</v>
      </c>
      <c r="C88" s="2551"/>
      <c r="D88" s="222" t="s">
        <v>6</v>
      </c>
      <c r="E88" s="222" t="s">
        <v>135</v>
      </c>
      <c r="F88" s="222" t="s">
        <v>43</v>
      </c>
      <c r="G88" s="222" t="s">
        <v>10</v>
      </c>
      <c r="H88" s="391" t="s">
        <v>314</v>
      </c>
      <c r="I88" s="2605" t="s">
        <v>47</v>
      </c>
      <c r="J88" s="2605"/>
      <c r="K88" s="2605"/>
      <c r="L88" s="2605"/>
      <c r="M88" s="2605"/>
      <c r="N88" s="2605"/>
    </row>
    <row r="89" spans="1:16" s="1" customFormat="1" ht="29" customHeight="1" x14ac:dyDescent="0.2">
      <c r="A89" s="223">
        <v>1</v>
      </c>
      <c r="B89" s="2599" t="s">
        <v>137</v>
      </c>
      <c r="C89" s="2599"/>
      <c r="D89" s="224" t="s">
        <v>138</v>
      </c>
      <c r="E89" s="735" t="s">
        <v>139</v>
      </c>
      <c r="F89" s="830">
        <f>I62</f>
        <v>392657.76</v>
      </c>
      <c r="G89" s="224">
        <f>F89/$K$11</f>
        <v>26.706703144588381</v>
      </c>
      <c r="H89" s="214">
        <f>F89/$F$92*100</f>
        <v>89.022343815294619</v>
      </c>
      <c r="I89" s="2600"/>
      <c r="J89" s="2600"/>
      <c r="K89" s="2600"/>
      <c r="L89" s="2600"/>
      <c r="M89" s="2600"/>
      <c r="N89" s="2600"/>
    </row>
    <row r="90" spans="1:16" s="1" customFormat="1" ht="29" customHeight="1" x14ac:dyDescent="0.2">
      <c r="A90" s="223">
        <v>2</v>
      </c>
      <c r="B90" s="2599" t="s">
        <v>137</v>
      </c>
      <c r="C90" s="2599"/>
      <c r="D90" s="224" t="s">
        <v>138</v>
      </c>
      <c r="E90" s="224" t="s">
        <v>140</v>
      </c>
      <c r="F90" s="830">
        <f>I72</f>
        <v>48419.999999999993</v>
      </c>
      <c r="G90" s="224">
        <f>F90/$K$11</f>
        <v>3.2932968554116164</v>
      </c>
      <c r="H90" s="214">
        <f>F90/$F$92*100</f>
        <v>10.97765618470539</v>
      </c>
      <c r="I90" s="2600"/>
      <c r="J90" s="2600"/>
      <c r="K90" s="2600"/>
      <c r="L90" s="2600"/>
      <c r="M90" s="2600"/>
      <c r="N90" s="2600"/>
    </row>
    <row r="91" spans="1:16" s="1" customFormat="1" ht="29" customHeight="1" x14ac:dyDescent="0.2">
      <c r="A91" s="223">
        <v>3</v>
      </c>
      <c r="B91" s="2599" t="s">
        <v>137</v>
      </c>
      <c r="C91" s="2599"/>
      <c r="D91" s="224" t="s">
        <v>138</v>
      </c>
      <c r="E91" s="224" t="s">
        <v>141</v>
      </c>
      <c r="F91" s="830">
        <f>I82</f>
        <v>0</v>
      </c>
      <c r="G91" s="224">
        <f>F91/$K$11</f>
        <v>0</v>
      </c>
      <c r="H91" s="214">
        <f>F91/$F$92*100</f>
        <v>0</v>
      </c>
      <c r="I91" s="2600"/>
      <c r="J91" s="2600"/>
      <c r="K91" s="2600"/>
      <c r="L91" s="2600"/>
      <c r="M91" s="2600"/>
      <c r="N91" s="2600"/>
    </row>
    <row r="92" spans="1:16" s="1" customFormat="1" ht="29" customHeight="1" x14ac:dyDescent="0.2">
      <c r="A92" s="3377" t="s">
        <v>582</v>
      </c>
      <c r="B92" s="3377"/>
      <c r="C92" s="3377"/>
      <c r="D92" s="225" t="s">
        <v>142</v>
      </c>
      <c r="E92" s="225" t="s">
        <v>142</v>
      </c>
      <c r="F92" s="860">
        <f>SUM(F89:F91)</f>
        <v>441077.76000000001</v>
      </c>
      <c r="G92" s="226">
        <f>SUM(G89:G91)</f>
        <v>29.999999999999996</v>
      </c>
      <c r="H92" s="227">
        <f>SUM(H89:H91)</f>
        <v>100.00000000000001</v>
      </c>
      <c r="I92" s="2603"/>
      <c r="J92" s="2603"/>
      <c r="K92" s="2603"/>
      <c r="L92" s="2603"/>
      <c r="M92" s="2603"/>
      <c r="N92" s="2603"/>
    </row>
    <row r="93" spans="1:16" s="1" customFormat="1" ht="27" customHeight="1" x14ac:dyDescent="0.2">
      <c r="A93" s="42" t="s">
        <v>497</v>
      </c>
      <c r="B93" s="459"/>
      <c r="C93" s="459"/>
      <c r="D93" s="460"/>
      <c r="E93" s="460"/>
      <c r="F93" s="461"/>
      <c r="G93" s="462"/>
      <c r="H93" s="463"/>
      <c r="I93" s="465"/>
      <c r="J93" s="464"/>
      <c r="K93" s="41"/>
      <c r="L93" s="41"/>
      <c r="M93" s="41"/>
      <c r="N93" s="41"/>
    </row>
    <row r="94" spans="1:16" s="1" customFormat="1" ht="23" customHeight="1" x14ac:dyDescent="0.2">
      <c r="A94" s="2665" t="s">
        <v>34</v>
      </c>
      <c r="B94" s="2665" t="s">
        <v>135</v>
      </c>
      <c r="C94" s="2551" t="s">
        <v>6</v>
      </c>
      <c r="D94" s="2551" t="s">
        <v>105</v>
      </c>
      <c r="E94" s="2551" t="s">
        <v>17</v>
      </c>
      <c r="F94" s="3389" t="s">
        <v>106</v>
      </c>
      <c r="G94" s="3390"/>
      <c r="H94" s="3390"/>
      <c r="I94" s="3391"/>
      <c r="J94" s="1659" t="s">
        <v>107</v>
      </c>
      <c r="K94" s="2722" t="s">
        <v>47</v>
      </c>
      <c r="L94"/>
      <c r="M94"/>
      <c r="N94"/>
      <c r="O94"/>
      <c r="P94"/>
    </row>
    <row r="95" spans="1:16" s="1" customFormat="1" ht="34" customHeight="1" x14ac:dyDescent="0.2">
      <c r="A95" s="3223"/>
      <c r="B95" s="3223"/>
      <c r="C95" s="2566"/>
      <c r="D95" s="2551"/>
      <c r="E95" s="2551"/>
      <c r="F95" s="200" t="s">
        <v>18</v>
      </c>
      <c r="G95" s="202" t="s">
        <v>19</v>
      </c>
      <c r="H95" s="202" t="s">
        <v>20</v>
      </c>
      <c r="I95" s="202" t="s">
        <v>108</v>
      </c>
      <c r="J95" s="390" t="s">
        <v>22</v>
      </c>
      <c r="K95" s="2722"/>
      <c r="L95"/>
      <c r="M95"/>
      <c r="N95"/>
      <c r="O95"/>
      <c r="P95"/>
    </row>
    <row r="96" spans="1:16" s="1" customFormat="1" ht="25" customHeight="1" x14ac:dyDescent="0.2">
      <c r="A96" s="1593" t="s">
        <v>25</v>
      </c>
      <c r="B96" s="1654" t="s">
        <v>140</v>
      </c>
      <c r="C96" s="1654" t="s">
        <v>116</v>
      </c>
      <c r="D96" s="1640" t="s">
        <v>129</v>
      </c>
      <c r="E96" s="57" t="s">
        <v>21</v>
      </c>
      <c r="F96" s="834">
        <v>4629.76</v>
      </c>
      <c r="G96" s="738"/>
      <c r="H96" s="834">
        <v>467.2</v>
      </c>
      <c r="I96" s="831">
        <f>SUM(F96:H96)</f>
        <v>5096.96</v>
      </c>
      <c r="J96" s="214">
        <f t="shared" ref="J96:J113" si="13">(I96/$I$114*100)</f>
        <v>2.0837694143257841</v>
      </c>
      <c r="K96" s="1014" t="s">
        <v>320</v>
      </c>
      <c r="L96"/>
      <c r="M96"/>
      <c r="N96"/>
      <c r="O96"/>
      <c r="P96"/>
    </row>
    <row r="97" spans="1:16" s="1" customFormat="1" ht="25" customHeight="1" x14ac:dyDescent="0.2">
      <c r="A97" s="1568" t="s">
        <v>25</v>
      </c>
      <c r="B97" s="1643" t="s">
        <v>140</v>
      </c>
      <c r="C97" s="1643" t="s">
        <v>116</v>
      </c>
      <c r="D97" s="1642" t="s">
        <v>129</v>
      </c>
      <c r="E97" s="57" t="s">
        <v>22</v>
      </c>
      <c r="F97" s="739">
        <f>F96/$I$96*100</f>
        <v>90.833751883475642</v>
      </c>
      <c r="G97" s="739"/>
      <c r="H97" s="739">
        <f>H96/$I$96*100</f>
        <v>9.1662481165243594</v>
      </c>
      <c r="I97" s="216"/>
      <c r="J97" s="214">
        <f t="shared" si="13"/>
        <v>0</v>
      </c>
      <c r="K97" s="1014"/>
      <c r="L97"/>
      <c r="M97"/>
      <c r="N97"/>
      <c r="O97"/>
      <c r="P97"/>
    </row>
    <row r="98" spans="1:16" s="1" customFormat="1" ht="25" customHeight="1" x14ac:dyDescent="0.2">
      <c r="A98" s="1568" t="s">
        <v>25</v>
      </c>
      <c r="B98" s="1643" t="s">
        <v>140</v>
      </c>
      <c r="C98" s="1643" t="s">
        <v>116</v>
      </c>
      <c r="D98" s="1640" t="s">
        <v>109</v>
      </c>
      <c r="E98" s="57" t="s">
        <v>21</v>
      </c>
      <c r="F98" s="831">
        <v>123294.72</v>
      </c>
      <c r="G98" s="214">
        <v>0</v>
      </c>
      <c r="H98" s="831">
        <v>9684.48</v>
      </c>
      <c r="I98" s="831">
        <f>SUM(F98:H98)</f>
        <v>132979.20000000001</v>
      </c>
      <c r="J98" s="214">
        <f t="shared" si="13"/>
        <v>54.365345166827147</v>
      </c>
      <c r="K98" s="1014"/>
      <c r="L98"/>
      <c r="M98"/>
      <c r="N98"/>
      <c r="O98"/>
      <c r="P98"/>
    </row>
    <row r="99" spans="1:16" s="1" customFormat="1" ht="25" customHeight="1" x14ac:dyDescent="0.2">
      <c r="A99" s="1568" t="s">
        <v>25</v>
      </c>
      <c r="B99" s="1643" t="s">
        <v>140</v>
      </c>
      <c r="C99" s="1643" t="s">
        <v>116</v>
      </c>
      <c r="D99" s="1642" t="s">
        <v>109</v>
      </c>
      <c r="E99" s="57" t="s">
        <v>22</v>
      </c>
      <c r="F99" s="216">
        <f>F98/$I$98*100</f>
        <v>92.717297141207027</v>
      </c>
      <c r="G99" s="216">
        <f>G98/$I$98*100</f>
        <v>0</v>
      </c>
      <c r="H99" s="216">
        <f>H98/$I$98*100</f>
        <v>7.2827028587929528</v>
      </c>
      <c r="I99" s="216"/>
      <c r="J99" s="214">
        <f t="shared" si="13"/>
        <v>0</v>
      </c>
      <c r="K99" s="1014"/>
      <c r="L99"/>
      <c r="M99"/>
      <c r="N99"/>
      <c r="O99"/>
      <c r="P99"/>
    </row>
    <row r="100" spans="1:16" s="1" customFormat="1" ht="25" customHeight="1" x14ac:dyDescent="0.2">
      <c r="A100" s="1568" t="s">
        <v>25</v>
      </c>
      <c r="B100" s="1643" t="s">
        <v>140</v>
      </c>
      <c r="C100" s="1643" t="s">
        <v>116</v>
      </c>
      <c r="D100" s="1640" t="s">
        <v>146</v>
      </c>
      <c r="E100" s="57" t="s">
        <v>21</v>
      </c>
      <c r="F100" s="831">
        <v>13473.28</v>
      </c>
      <c r="G100" s="214">
        <v>0</v>
      </c>
      <c r="H100" s="831">
        <v>1058.56</v>
      </c>
      <c r="I100" s="831">
        <f>SUM(F100:H100)</f>
        <v>14531.84</v>
      </c>
      <c r="J100" s="214">
        <f t="shared" si="13"/>
        <v>5.9409930087495288</v>
      </c>
      <c r="K100" s="1014"/>
      <c r="L100"/>
      <c r="M100"/>
      <c r="N100"/>
      <c r="O100"/>
      <c r="P100"/>
    </row>
    <row r="101" spans="1:16" s="1" customFormat="1" ht="25" customHeight="1" x14ac:dyDescent="0.2">
      <c r="A101" s="1568" t="s">
        <v>25</v>
      </c>
      <c r="B101" s="1643" t="s">
        <v>140</v>
      </c>
      <c r="C101" s="1643" t="s">
        <v>116</v>
      </c>
      <c r="D101" s="1642" t="s">
        <v>146</v>
      </c>
      <c r="E101" s="57" t="s">
        <v>22</v>
      </c>
      <c r="F101" s="216">
        <f>F100/$I$100*100</f>
        <v>92.715581784550338</v>
      </c>
      <c r="G101" s="216">
        <f>G100/$I$100*100</f>
        <v>0</v>
      </c>
      <c r="H101" s="216">
        <f>H100/$I$100*100</f>
        <v>7.2844182154496604</v>
      </c>
      <c r="I101" s="216"/>
      <c r="J101" s="214">
        <f t="shared" si="13"/>
        <v>0</v>
      </c>
      <c r="K101" s="1014"/>
      <c r="L101"/>
      <c r="M101"/>
      <c r="N101"/>
      <c r="O101"/>
      <c r="P101"/>
    </row>
    <row r="102" spans="1:16" s="1" customFormat="1" ht="25" customHeight="1" x14ac:dyDescent="0.2">
      <c r="A102" s="1568" t="s">
        <v>25</v>
      </c>
      <c r="B102" s="1643" t="s">
        <v>140</v>
      </c>
      <c r="C102" s="1643" t="s">
        <v>116</v>
      </c>
      <c r="D102" s="1640" t="s">
        <v>125</v>
      </c>
      <c r="E102" s="57" t="s">
        <v>21</v>
      </c>
      <c r="F102" s="831">
        <v>13059.84</v>
      </c>
      <c r="G102" s="214">
        <v>0</v>
      </c>
      <c r="H102" s="831">
        <v>782.08</v>
      </c>
      <c r="I102" s="831">
        <f>SUM(F102:H102)</f>
        <v>13841.92</v>
      </c>
      <c r="J102" s="214">
        <f t="shared" si="13"/>
        <v>5.6589358228325031</v>
      </c>
      <c r="K102" s="1014"/>
      <c r="L102"/>
      <c r="M102"/>
      <c r="N102"/>
      <c r="O102"/>
      <c r="P102"/>
    </row>
    <row r="103" spans="1:16" s="1" customFormat="1" ht="25" customHeight="1" x14ac:dyDescent="0.2">
      <c r="A103" s="1568" t="s">
        <v>25</v>
      </c>
      <c r="B103" s="1643" t="s">
        <v>140</v>
      </c>
      <c r="C103" s="1643" t="s">
        <v>116</v>
      </c>
      <c r="D103" s="1642" t="s">
        <v>125</v>
      </c>
      <c r="E103" s="57" t="s">
        <v>22</v>
      </c>
      <c r="F103" s="216">
        <f>F102/$I$102*100</f>
        <v>94.349916774551517</v>
      </c>
      <c r="G103" s="216">
        <f>G102/$I$102*100</f>
        <v>0</v>
      </c>
      <c r="H103" s="216">
        <f>H102/$I$102*100</f>
        <v>5.6500832254484923</v>
      </c>
      <c r="I103" s="216"/>
      <c r="J103" s="214">
        <f t="shared" si="13"/>
        <v>0</v>
      </c>
      <c r="K103" s="1014"/>
      <c r="L103"/>
      <c r="M103"/>
      <c r="N103"/>
      <c r="O103"/>
      <c r="P103"/>
    </row>
    <row r="104" spans="1:16" s="1" customFormat="1" ht="25" customHeight="1" x14ac:dyDescent="0.2">
      <c r="A104" s="1568" t="s">
        <v>25</v>
      </c>
      <c r="B104" s="1585" t="s">
        <v>140</v>
      </c>
      <c r="C104" s="1585" t="s">
        <v>116</v>
      </c>
      <c r="D104" s="1640" t="s">
        <v>117</v>
      </c>
      <c r="E104" s="57" t="s">
        <v>21</v>
      </c>
      <c r="F104" s="831">
        <v>19627.52</v>
      </c>
      <c r="G104" s="214">
        <v>0</v>
      </c>
      <c r="H104" s="831">
        <v>1345.28</v>
      </c>
      <c r="I104" s="831">
        <f t="shared" ref="I104:I112" si="14">SUM(F104:H104)</f>
        <v>20972.799999999999</v>
      </c>
      <c r="J104" s="214">
        <f t="shared" si="13"/>
        <v>8.5742244735630262</v>
      </c>
      <c r="K104" s="1014"/>
      <c r="L104"/>
      <c r="M104"/>
      <c r="N104"/>
      <c r="O104"/>
      <c r="P104"/>
    </row>
    <row r="105" spans="1:16" s="1" customFormat="1" ht="25" customHeight="1" x14ac:dyDescent="0.2">
      <c r="A105" s="1568" t="s">
        <v>25</v>
      </c>
      <c r="B105" s="1643" t="s">
        <v>140</v>
      </c>
      <c r="C105" s="1643" t="s">
        <v>116</v>
      </c>
      <c r="D105" s="1642" t="s">
        <v>117</v>
      </c>
      <c r="E105" s="57" t="s">
        <v>22</v>
      </c>
      <c r="F105" s="216">
        <f>F104/$I$104*100</f>
        <v>93.585596582239859</v>
      </c>
      <c r="G105" s="216">
        <f>G104/$I$104*100</f>
        <v>0</v>
      </c>
      <c r="H105" s="216">
        <f>H104/$I$104*100</f>
        <v>6.4144034177601466</v>
      </c>
      <c r="I105" s="216"/>
      <c r="J105" s="214">
        <f t="shared" si="13"/>
        <v>0</v>
      </c>
      <c r="K105" s="1014"/>
      <c r="L105"/>
      <c r="M105"/>
      <c r="N105"/>
      <c r="O105"/>
      <c r="P105"/>
    </row>
    <row r="106" spans="1:16" s="1" customFormat="1" ht="25" customHeight="1" x14ac:dyDescent="0.2">
      <c r="A106" s="1568" t="s">
        <v>25</v>
      </c>
      <c r="B106" s="1643" t="s">
        <v>140</v>
      </c>
      <c r="C106" s="1643" t="s">
        <v>116</v>
      </c>
      <c r="D106" s="1640" t="s">
        <v>112</v>
      </c>
      <c r="E106" s="57" t="s">
        <v>21</v>
      </c>
      <c r="F106" s="831">
        <v>8637.44</v>
      </c>
      <c r="G106" s="214">
        <v>0</v>
      </c>
      <c r="H106" s="831">
        <v>387.84</v>
      </c>
      <c r="I106" s="831">
        <f t="shared" si="14"/>
        <v>9025.2800000000007</v>
      </c>
      <c r="J106" s="214">
        <f t="shared" si="13"/>
        <v>3.6897684933227279</v>
      </c>
      <c r="K106" s="1014"/>
      <c r="L106"/>
      <c r="M106"/>
      <c r="N106"/>
      <c r="O106"/>
      <c r="P106"/>
    </row>
    <row r="107" spans="1:16" s="1" customFormat="1" ht="25" customHeight="1" x14ac:dyDescent="0.2">
      <c r="A107" s="1568" t="s">
        <v>25</v>
      </c>
      <c r="B107" s="1643" t="s">
        <v>140</v>
      </c>
      <c r="C107" s="1643" t="s">
        <v>116</v>
      </c>
      <c r="D107" s="1642" t="s">
        <v>112</v>
      </c>
      <c r="E107" s="57" t="s">
        <v>22</v>
      </c>
      <c r="F107" s="216">
        <f>F106/$I$106*100</f>
        <v>95.70273720039711</v>
      </c>
      <c r="G107" s="216">
        <f>G106/$I$106*100</f>
        <v>0</v>
      </c>
      <c r="H107" s="216">
        <f>H106/$I$106*100</f>
        <v>4.2972627996028923</v>
      </c>
      <c r="I107" s="214"/>
      <c r="J107" s="214">
        <f t="shared" si="13"/>
        <v>0</v>
      </c>
      <c r="K107" s="1014"/>
      <c r="L107"/>
      <c r="M107"/>
      <c r="N107"/>
      <c r="O107"/>
      <c r="P107"/>
    </row>
    <row r="108" spans="1:16" s="1" customFormat="1" ht="23" customHeight="1" x14ac:dyDescent="0.2">
      <c r="A108" s="1568" t="s">
        <v>25</v>
      </c>
      <c r="B108" s="1643" t="s">
        <v>140</v>
      </c>
      <c r="C108" s="1643" t="s">
        <v>116</v>
      </c>
      <c r="D108" s="1640" t="s">
        <v>541</v>
      </c>
      <c r="E108" s="57" t="s">
        <v>21</v>
      </c>
      <c r="F108" s="831">
        <v>29858.560000000001</v>
      </c>
      <c r="G108" s="214">
        <v>0</v>
      </c>
      <c r="H108" s="831">
        <v>2705.92</v>
      </c>
      <c r="I108" s="831">
        <f>SUM(F108:H108)</f>
        <v>32564.480000000003</v>
      </c>
      <c r="J108" s="214">
        <f t="shared" si="13"/>
        <v>13.313203834721815</v>
      </c>
      <c r="K108" s="1014"/>
      <c r="L108"/>
      <c r="M108"/>
      <c r="N108"/>
      <c r="O108"/>
      <c r="P108"/>
    </row>
    <row r="109" spans="1:16" s="1" customFormat="1" ht="23" customHeight="1" x14ac:dyDescent="0.2">
      <c r="A109" s="1568" t="s">
        <v>25</v>
      </c>
      <c r="B109" s="1643" t="s">
        <v>140</v>
      </c>
      <c r="C109" s="1643" t="s">
        <v>116</v>
      </c>
      <c r="D109" s="1642" t="s">
        <v>541</v>
      </c>
      <c r="E109" s="57" t="s">
        <v>22</v>
      </c>
      <c r="F109" s="216">
        <f>F108/$I$108*100</f>
        <v>91.690578200542433</v>
      </c>
      <c r="G109" s="216">
        <f>G108/$I$108*100</f>
        <v>0</v>
      </c>
      <c r="H109" s="216">
        <f>H108/$I$108*100</f>
        <v>8.309421799457569</v>
      </c>
      <c r="I109" s="214"/>
      <c r="J109" s="214">
        <f t="shared" si="13"/>
        <v>0</v>
      </c>
      <c r="K109" s="1014"/>
      <c r="L109"/>
      <c r="M109"/>
      <c r="N109"/>
      <c r="O109"/>
      <c r="P109"/>
    </row>
    <row r="110" spans="1:16" s="1" customFormat="1" ht="23" customHeight="1" x14ac:dyDescent="0.2">
      <c r="A110" s="1568" t="s">
        <v>25</v>
      </c>
      <c r="B110" s="1643" t="s">
        <v>140</v>
      </c>
      <c r="C110" s="1643" t="s">
        <v>116</v>
      </c>
      <c r="D110" s="1640" t="s">
        <v>637</v>
      </c>
      <c r="E110" s="57" t="s">
        <v>21</v>
      </c>
      <c r="F110" s="831">
        <v>13849.6</v>
      </c>
      <c r="G110" s="214">
        <v>0</v>
      </c>
      <c r="H110" s="831">
        <v>864</v>
      </c>
      <c r="I110" s="831">
        <f t="shared" si="14"/>
        <v>14713.6</v>
      </c>
      <c r="J110" s="214">
        <f t="shared" si="13"/>
        <v>6.0153012098631056</v>
      </c>
      <c r="K110" s="1014" t="s">
        <v>320</v>
      </c>
      <c r="L110"/>
      <c r="M110"/>
      <c r="N110"/>
      <c r="O110"/>
      <c r="P110"/>
    </row>
    <row r="111" spans="1:16" s="1" customFormat="1" ht="23" customHeight="1" x14ac:dyDescent="0.2">
      <c r="A111" s="1568" t="s">
        <v>25</v>
      </c>
      <c r="B111" s="1643" t="s">
        <v>140</v>
      </c>
      <c r="C111" s="1643" t="s">
        <v>116</v>
      </c>
      <c r="D111" s="1642" t="s">
        <v>637</v>
      </c>
      <c r="E111" s="57" t="s">
        <v>22</v>
      </c>
      <c r="F111" s="216">
        <f>F110/$I$110*100</f>
        <v>94.127881687690291</v>
      </c>
      <c r="G111" s="216">
        <f>G110/$I$110*100</f>
        <v>0</v>
      </c>
      <c r="H111" s="216">
        <f>H110/$I$110*100</f>
        <v>5.8721183123096994</v>
      </c>
      <c r="I111" s="214"/>
      <c r="J111" s="214">
        <f t="shared" si="13"/>
        <v>0</v>
      </c>
      <c r="K111" s="1014"/>
      <c r="L111"/>
      <c r="M111"/>
      <c r="N111"/>
      <c r="O111"/>
      <c r="P111"/>
    </row>
    <row r="112" spans="1:16" s="1" customFormat="1" ht="23" customHeight="1" x14ac:dyDescent="0.2">
      <c r="A112" s="1568" t="s">
        <v>25</v>
      </c>
      <c r="B112" s="1643" t="s">
        <v>140</v>
      </c>
      <c r="C112" s="1643" t="s">
        <v>116</v>
      </c>
      <c r="D112" s="1640" t="s">
        <v>144</v>
      </c>
      <c r="E112" s="57" t="s">
        <v>21</v>
      </c>
      <c r="F112" s="831">
        <v>876.8</v>
      </c>
      <c r="G112" s="214">
        <v>0</v>
      </c>
      <c r="H112" s="831">
        <v>0</v>
      </c>
      <c r="I112" s="831">
        <f t="shared" si="14"/>
        <v>876.8</v>
      </c>
      <c r="J112" s="214">
        <f t="shared" si="13"/>
        <v>0.35845857579436508</v>
      </c>
      <c r="K112" s="1014"/>
      <c r="L112"/>
      <c r="M112"/>
      <c r="N112"/>
      <c r="O112"/>
      <c r="P112"/>
    </row>
    <row r="113" spans="1:16" s="1" customFormat="1" ht="23" customHeight="1" x14ac:dyDescent="0.2">
      <c r="A113" s="1568" t="s">
        <v>25</v>
      </c>
      <c r="B113" s="1644" t="s">
        <v>140</v>
      </c>
      <c r="C113" s="1644" t="s">
        <v>116</v>
      </c>
      <c r="D113" s="1642" t="s">
        <v>144</v>
      </c>
      <c r="E113" s="57" t="s">
        <v>22</v>
      </c>
      <c r="F113" s="216">
        <f>F112/$I$112*100</f>
        <v>100</v>
      </c>
      <c r="G113" s="216">
        <f>G112/$I$112*100</f>
        <v>0</v>
      </c>
      <c r="H113" s="216">
        <f>H112/$I$112*100</f>
        <v>0</v>
      </c>
      <c r="I113" s="214"/>
      <c r="J113" s="214">
        <f t="shared" si="13"/>
        <v>0</v>
      </c>
      <c r="K113" s="1014"/>
      <c r="L113"/>
      <c r="M113"/>
      <c r="N113"/>
      <c r="O113"/>
      <c r="P113"/>
    </row>
    <row r="114" spans="1:16" s="1" customFormat="1" ht="31" customHeight="1" x14ac:dyDescent="0.2">
      <c r="A114" s="1568" t="s">
        <v>25</v>
      </c>
      <c r="B114" s="3258" t="s">
        <v>103</v>
      </c>
      <c r="C114" s="3235"/>
      <c r="D114" s="3236"/>
      <c r="E114" s="1027" t="s">
        <v>21</v>
      </c>
      <c r="F114" s="1028">
        <f>F96+F98+F100+F102+F104+F106+F108+F110+F112</f>
        <v>227307.51999999999</v>
      </c>
      <c r="G114" s="1028">
        <f>G96+G98+G100+G102+G104+G106+G108+G110+G112</f>
        <v>0</v>
      </c>
      <c r="H114" s="1028">
        <f>H96+H98+H100+H102+H104+H106+H108+H110+H112</f>
        <v>17295.36</v>
      </c>
      <c r="I114" s="1028">
        <f>SUM(F114:H114)</f>
        <v>244602.88</v>
      </c>
      <c r="J114" s="1684"/>
      <c r="K114" s="1686"/>
      <c r="L114"/>
      <c r="M114"/>
      <c r="N114"/>
      <c r="O114"/>
      <c r="P114"/>
    </row>
    <row r="115" spans="1:16" s="1" customFormat="1" ht="31" customHeight="1" x14ac:dyDescent="0.2">
      <c r="A115" s="1568" t="s">
        <v>25</v>
      </c>
      <c r="B115" s="3238"/>
      <c r="C115" s="3238"/>
      <c r="D115" s="3239"/>
      <c r="E115" s="414" t="s">
        <v>22</v>
      </c>
      <c r="F115" s="417">
        <f>F114/$I$114*100</f>
        <v>92.929208356009539</v>
      </c>
      <c r="G115" s="417">
        <f>G114/$I$114*100</f>
        <v>0</v>
      </c>
      <c r="H115" s="417">
        <f>H114/$I$114*100</f>
        <v>7.0707916439904555</v>
      </c>
      <c r="I115" s="415"/>
      <c r="J115" s="1684"/>
      <c r="K115" s="1668"/>
      <c r="L115"/>
      <c r="M115"/>
      <c r="N115"/>
      <c r="O115"/>
      <c r="P115"/>
    </row>
    <row r="116" spans="1:16" s="1" customFormat="1" ht="26" customHeight="1" x14ac:dyDescent="0.2">
      <c r="A116" s="1568" t="s">
        <v>25</v>
      </c>
      <c r="B116" s="1593" t="s">
        <v>1032</v>
      </c>
      <c r="C116" s="1593" t="s">
        <v>119</v>
      </c>
      <c r="D116" s="1640" t="s">
        <v>109</v>
      </c>
      <c r="E116" s="57" t="s">
        <v>21</v>
      </c>
      <c r="F116" s="834">
        <v>74484</v>
      </c>
      <c r="G116" s="738">
        <v>0</v>
      </c>
      <c r="H116" s="834">
        <v>1681.5</v>
      </c>
      <c r="I116" s="831">
        <f>SUM(F116:H116)</f>
        <v>76165.5</v>
      </c>
      <c r="J116" s="214">
        <f t="shared" ref="J116:J129" si="15">(I116/$I$114*100)</f>
        <v>31.138431403587724</v>
      </c>
      <c r="K116" s="1014" t="s">
        <v>638</v>
      </c>
      <c r="L116"/>
      <c r="M116"/>
      <c r="N116"/>
      <c r="O116"/>
      <c r="P116"/>
    </row>
    <row r="117" spans="1:16" s="1" customFormat="1" ht="26" customHeight="1" x14ac:dyDescent="0.2">
      <c r="A117" s="1568" t="s">
        <v>25</v>
      </c>
      <c r="B117" s="1568" t="s">
        <v>1032</v>
      </c>
      <c r="C117" s="1568" t="s">
        <v>119</v>
      </c>
      <c r="D117" s="1642" t="s">
        <v>109</v>
      </c>
      <c r="E117" s="57" t="s">
        <v>22</v>
      </c>
      <c r="F117" s="739">
        <f>F116/$I$116*100</f>
        <v>97.792307540815727</v>
      </c>
      <c r="G117" s="739">
        <f>G116/$I$116*100</f>
        <v>0</v>
      </c>
      <c r="H117" s="739">
        <f>H116/$I$116*100</f>
        <v>2.2076924591842761</v>
      </c>
      <c r="I117" s="216"/>
      <c r="J117" s="214">
        <f t="shared" si="15"/>
        <v>0</v>
      </c>
      <c r="K117" s="1014"/>
      <c r="L117"/>
      <c r="M117"/>
      <c r="N117"/>
      <c r="O117"/>
      <c r="P117"/>
    </row>
    <row r="118" spans="1:16" s="1" customFormat="1" ht="26" customHeight="1" x14ac:dyDescent="0.2">
      <c r="A118" s="1568" t="s">
        <v>25</v>
      </c>
      <c r="B118" s="1568" t="s">
        <v>1032</v>
      </c>
      <c r="C118" s="1568" t="s">
        <v>119</v>
      </c>
      <c r="D118" s="1640" t="s">
        <v>129</v>
      </c>
      <c r="E118" s="57" t="s">
        <v>21</v>
      </c>
      <c r="F118" s="831">
        <v>17508</v>
      </c>
      <c r="G118" s="214">
        <v>0</v>
      </c>
      <c r="H118" s="831">
        <v>84</v>
      </c>
      <c r="I118" s="831">
        <f>SUM(F118:H118)</f>
        <v>17592</v>
      </c>
      <c r="J118" s="214">
        <f t="shared" si="15"/>
        <v>7.1920657679909574</v>
      </c>
      <c r="K118" s="1014"/>
      <c r="L118"/>
      <c r="M118"/>
      <c r="N118"/>
      <c r="O118"/>
      <c r="P118"/>
    </row>
    <row r="119" spans="1:16" s="1" customFormat="1" ht="26" customHeight="1" x14ac:dyDescent="0.2">
      <c r="A119" s="1568" t="s">
        <v>25</v>
      </c>
      <c r="B119" s="1568" t="s">
        <v>1032</v>
      </c>
      <c r="C119" s="1568" t="s">
        <v>119</v>
      </c>
      <c r="D119" s="1642" t="s">
        <v>129</v>
      </c>
      <c r="E119" s="57" t="s">
        <v>22</v>
      </c>
      <c r="F119" s="216">
        <f>F118/$I$118*100</f>
        <v>99.522510231923604</v>
      </c>
      <c r="G119" s="216">
        <f>G118/$I$118*100</f>
        <v>0</v>
      </c>
      <c r="H119" s="216">
        <f>H118/$I$118*100</f>
        <v>0.47748976807639837</v>
      </c>
      <c r="I119" s="216"/>
      <c r="J119" s="214">
        <f t="shared" si="15"/>
        <v>0</v>
      </c>
      <c r="K119" s="1014"/>
      <c r="L119"/>
      <c r="M119"/>
      <c r="N119"/>
      <c r="O119"/>
      <c r="P119"/>
    </row>
    <row r="120" spans="1:16" s="1" customFormat="1" ht="26" customHeight="1" x14ac:dyDescent="0.2">
      <c r="A120" s="1568" t="s">
        <v>25</v>
      </c>
      <c r="B120" s="1568" t="s">
        <v>1032</v>
      </c>
      <c r="C120" s="1568" t="s">
        <v>119</v>
      </c>
      <c r="D120" s="1640" t="s">
        <v>146</v>
      </c>
      <c r="E120" s="57" t="s">
        <v>21</v>
      </c>
      <c r="F120" s="831">
        <v>1879.5</v>
      </c>
      <c r="G120" s="214">
        <v>0</v>
      </c>
      <c r="H120" s="831">
        <v>112.5</v>
      </c>
      <c r="I120" s="831">
        <f>SUM(F120:H120)</f>
        <v>1992</v>
      </c>
      <c r="J120" s="214">
        <f t="shared" si="15"/>
        <v>0.81438125340143175</v>
      </c>
      <c r="K120" s="1014"/>
      <c r="L120"/>
      <c r="M120"/>
      <c r="N120"/>
      <c r="O120"/>
      <c r="P120"/>
    </row>
    <row r="121" spans="1:16" s="1" customFormat="1" ht="26" customHeight="1" x14ac:dyDescent="0.2">
      <c r="A121" s="1568" t="s">
        <v>25</v>
      </c>
      <c r="B121" s="1568" t="s">
        <v>1032</v>
      </c>
      <c r="C121" s="1568" t="s">
        <v>119</v>
      </c>
      <c r="D121" s="1642" t="s">
        <v>146</v>
      </c>
      <c r="E121" s="57" t="s">
        <v>22</v>
      </c>
      <c r="F121" s="216">
        <f>F120/$I$120*100</f>
        <v>94.352409638554207</v>
      </c>
      <c r="G121" s="216">
        <f>G120/$I$120*100</f>
        <v>0</v>
      </c>
      <c r="H121" s="216">
        <f>H120/$I$120*100</f>
        <v>5.6475903614457836</v>
      </c>
      <c r="I121" s="216"/>
      <c r="J121" s="214">
        <f t="shared" si="15"/>
        <v>0</v>
      </c>
      <c r="K121" s="1014"/>
      <c r="L121"/>
      <c r="M121"/>
      <c r="N121"/>
      <c r="O121"/>
      <c r="P121"/>
    </row>
    <row r="122" spans="1:16" s="1" customFormat="1" ht="26" customHeight="1" x14ac:dyDescent="0.2">
      <c r="A122" s="1568" t="s">
        <v>25</v>
      </c>
      <c r="B122" s="1567" t="s">
        <v>1032</v>
      </c>
      <c r="C122" s="1567" t="s">
        <v>119</v>
      </c>
      <c r="D122" s="1640" t="s">
        <v>541</v>
      </c>
      <c r="E122" s="57" t="s">
        <v>21</v>
      </c>
      <c r="F122" s="831">
        <v>16657.5</v>
      </c>
      <c r="G122" s="214">
        <v>0</v>
      </c>
      <c r="H122" s="831">
        <v>76.5</v>
      </c>
      <c r="I122" s="831">
        <f>SUM(F122:H122)</f>
        <v>16734</v>
      </c>
      <c r="J122" s="214">
        <f t="shared" si="15"/>
        <v>6.841293119688534</v>
      </c>
      <c r="K122" s="1014"/>
      <c r="L122"/>
      <c r="M122"/>
      <c r="N122"/>
      <c r="O122"/>
      <c r="P122"/>
    </row>
    <row r="123" spans="1:16" s="1" customFormat="1" ht="26" customHeight="1" x14ac:dyDescent="0.2">
      <c r="A123" s="1568" t="s">
        <v>25</v>
      </c>
      <c r="B123" s="1568" t="s">
        <v>1032</v>
      </c>
      <c r="C123" s="1568" t="s">
        <v>119</v>
      </c>
      <c r="D123" s="1642" t="s">
        <v>541</v>
      </c>
      <c r="E123" s="57" t="s">
        <v>22</v>
      </c>
      <c r="F123" s="216">
        <f>F122/$I$122*100</f>
        <v>99.54284689852993</v>
      </c>
      <c r="G123" s="216">
        <f>G122/$I$122*100</f>
        <v>0</v>
      </c>
      <c r="H123" s="216">
        <f>H122/$I$122*100</f>
        <v>0.457153101470061</v>
      </c>
      <c r="I123" s="216"/>
      <c r="J123" s="214">
        <f t="shared" si="15"/>
        <v>0</v>
      </c>
      <c r="K123" s="1014"/>
      <c r="L123"/>
      <c r="M123"/>
      <c r="N123"/>
      <c r="O123"/>
      <c r="P123"/>
    </row>
    <row r="124" spans="1:16" s="1" customFormat="1" ht="26" customHeight="1" x14ac:dyDescent="0.2">
      <c r="A124" s="1568" t="s">
        <v>25</v>
      </c>
      <c r="B124" s="1568" t="s">
        <v>1032</v>
      </c>
      <c r="C124" s="1568" t="s">
        <v>119</v>
      </c>
      <c r="D124" s="1640" t="s">
        <v>117</v>
      </c>
      <c r="E124" s="57" t="s">
        <v>21</v>
      </c>
      <c r="F124" s="831">
        <v>11019</v>
      </c>
      <c r="G124" s="214">
        <v>0</v>
      </c>
      <c r="H124" s="831">
        <v>169.5</v>
      </c>
      <c r="I124" s="831">
        <f t="shared" ref="I124:I129" si="16">SUM(F124:H124)</f>
        <v>11188.5</v>
      </c>
      <c r="J124" s="214">
        <f t="shared" si="15"/>
        <v>4.5741489225310836</v>
      </c>
      <c r="K124" s="1014"/>
      <c r="L124"/>
      <c r="M124"/>
      <c r="N124"/>
      <c r="O124"/>
      <c r="P124"/>
    </row>
    <row r="125" spans="1:16" s="1" customFormat="1" ht="26" customHeight="1" x14ac:dyDescent="0.2">
      <c r="A125" s="1568" t="s">
        <v>25</v>
      </c>
      <c r="B125" s="1568" t="s">
        <v>1032</v>
      </c>
      <c r="C125" s="1568" t="s">
        <v>119</v>
      </c>
      <c r="D125" s="1642" t="s">
        <v>117</v>
      </c>
      <c r="E125" s="57" t="s">
        <v>22</v>
      </c>
      <c r="F125" s="216">
        <f>F124/$I$124*100</f>
        <v>98.485051615498051</v>
      </c>
      <c r="G125" s="216">
        <f>G124/$I$124*100</f>
        <v>0</v>
      </c>
      <c r="H125" s="216">
        <f>H124/$I$124*100</f>
        <v>1.514948384501944</v>
      </c>
      <c r="I125" s="216"/>
      <c r="J125" s="214">
        <f t="shared" si="15"/>
        <v>0</v>
      </c>
      <c r="K125" s="1014"/>
      <c r="L125"/>
      <c r="M125"/>
      <c r="N125"/>
      <c r="O125"/>
      <c r="P125"/>
    </row>
    <row r="126" spans="1:16" s="1" customFormat="1" ht="26" customHeight="1" x14ac:dyDescent="0.2">
      <c r="A126" s="1568" t="s">
        <v>25</v>
      </c>
      <c r="B126" s="1568" t="s">
        <v>1032</v>
      </c>
      <c r="C126" s="1568" t="s">
        <v>119</v>
      </c>
      <c r="D126" s="1640" t="s">
        <v>322</v>
      </c>
      <c r="E126" s="57" t="s">
        <v>21</v>
      </c>
      <c r="F126" s="831">
        <v>24081</v>
      </c>
      <c r="G126" s="214">
        <v>0</v>
      </c>
      <c r="H126" s="831">
        <v>535.5</v>
      </c>
      <c r="I126" s="831">
        <f t="shared" si="16"/>
        <v>24616.5</v>
      </c>
      <c r="J126" s="214">
        <f t="shared" si="15"/>
        <v>10.063863516243146</v>
      </c>
      <c r="K126" s="1014"/>
      <c r="L126"/>
      <c r="M126"/>
      <c r="N126"/>
      <c r="O126"/>
      <c r="P126"/>
    </row>
    <row r="127" spans="1:16" s="1" customFormat="1" ht="26" customHeight="1" x14ac:dyDescent="0.2">
      <c r="A127" s="1568" t="s">
        <v>25</v>
      </c>
      <c r="B127" s="1568" t="s">
        <v>1032</v>
      </c>
      <c r="C127" s="1568" t="s">
        <v>119</v>
      </c>
      <c r="D127" s="1642" t="s">
        <v>322</v>
      </c>
      <c r="E127" s="57" t="s">
        <v>22</v>
      </c>
      <c r="F127" s="216">
        <f>F126/$I$126*100</f>
        <v>97.824629821461215</v>
      </c>
      <c r="G127" s="216">
        <f>G126/$I$126*100</f>
        <v>0</v>
      </c>
      <c r="H127" s="216">
        <f>H126/$I$126*100</f>
        <v>2.1753701785387847</v>
      </c>
      <c r="I127" s="214"/>
      <c r="J127" s="214">
        <f t="shared" si="15"/>
        <v>0</v>
      </c>
      <c r="K127" s="1014"/>
      <c r="L127"/>
      <c r="M127"/>
      <c r="N127"/>
      <c r="O127"/>
      <c r="P127"/>
    </row>
    <row r="128" spans="1:16" s="1" customFormat="1" ht="26" hidden="1" customHeight="1" x14ac:dyDescent="0.2">
      <c r="A128" s="1568" t="s">
        <v>25</v>
      </c>
      <c r="B128" s="1568" t="s">
        <v>141</v>
      </c>
      <c r="C128" s="1568" t="s">
        <v>119</v>
      </c>
      <c r="D128" s="1640" t="s">
        <v>541</v>
      </c>
      <c r="E128" s="57" t="s">
        <v>21</v>
      </c>
      <c r="F128" s="831"/>
      <c r="G128" s="214"/>
      <c r="H128" s="831"/>
      <c r="I128" s="831">
        <f t="shared" si="16"/>
        <v>0</v>
      </c>
      <c r="J128" s="214">
        <f t="shared" si="15"/>
        <v>0</v>
      </c>
      <c r="K128" s="1014"/>
      <c r="L128"/>
      <c r="M128"/>
      <c r="N128"/>
      <c r="O128"/>
      <c r="P128"/>
    </row>
    <row r="129" spans="1:16" s="1" customFormat="1" ht="26" hidden="1" customHeight="1" x14ac:dyDescent="0.2">
      <c r="A129" s="1568" t="s">
        <v>25</v>
      </c>
      <c r="B129" s="1584" t="s">
        <v>141</v>
      </c>
      <c r="C129" s="1584" t="s">
        <v>119</v>
      </c>
      <c r="D129" s="1642" t="s">
        <v>541</v>
      </c>
      <c r="E129" s="57" t="s">
        <v>22</v>
      </c>
      <c r="F129" s="216">
        <f>F128/$I$112*100</f>
        <v>0</v>
      </c>
      <c r="G129" s="216">
        <f>G128/$I$112*100</f>
        <v>0</v>
      </c>
      <c r="H129" s="216">
        <f>H128/$I$112*100</f>
        <v>0</v>
      </c>
      <c r="I129" s="214">
        <f t="shared" si="16"/>
        <v>0</v>
      </c>
      <c r="J129" s="214">
        <f t="shared" si="15"/>
        <v>0</v>
      </c>
      <c r="K129" s="1014"/>
      <c r="L129"/>
      <c r="M129"/>
      <c r="N129"/>
      <c r="O129"/>
      <c r="P129"/>
    </row>
    <row r="130" spans="1:16" s="1" customFormat="1" ht="26" customHeight="1" x14ac:dyDescent="0.2">
      <c r="A130" s="1568" t="s">
        <v>25</v>
      </c>
      <c r="B130" s="3235" t="s">
        <v>103</v>
      </c>
      <c r="C130" s="3235"/>
      <c r="D130" s="3236"/>
      <c r="E130" s="971" t="s">
        <v>21</v>
      </c>
      <c r="F130" s="972">
        <f>F116+F118+F120+F122+F124+F126+F128</f>
        <v>145629</v>
      </c>
      <c r="G130" s="972">
        <f>G116+G118+G120+G122+G124+G126+G128</f>
        <v>0</v>
      </c>
      <c r="H130" s="972">
        <f>H116+H118+H120+H122+H124+H126+H128</f>
        <v>2659.5</v>
      </c>
      <c r="I130" s="972">
        <f>SUM(F130:H130)</f>
        <v>148288.5</v>
      </c>
      <c r="J130" s="1684"/>
      <c r="K130" s="1668"/>
      <c r="L130"/>
      <c r="M130"/>
      <c r="N130"/>
      <c r="O130"/>
      <c r="P130"/>
    </row>
    <row r="131" spans="1:16" s="1" customFormat="1" ht="30" customHeight="1" x14ac:dyDescent="0.2">
      <c r="A131" s="1584" t="s">
        <v>25</v>
      </c>
      <c r="B131" s="3238"/>
      <c r="C131" s="3238"/>
      <c r="D131" s="3239"/>
      <c r="E131" s="971" t="s">
        <v>22</v>
      </c>
      <c r="F131" s="973">
        <f>F130/$I$130*100</f>
        <v>98.206536582405249</v>
      </c>
      <c r="G131" s="973">
        <f>G130/$I$130*100</f>
        <v>0</v>
      </c>
      <c r="H131" s="973">
        <f>H130/$I$130*100</f>
        <v>1.7934634175947559</v>
      </c>
      <c r="I131" s="974"/>
      <c r="J131" s="1684"/>
      <c r="K131" s="1668"/>
      <c r="L131"/>
      <c r="M131"/>
      <c r="N131"/>
      <c r="O131"/>
      <c r="P131"/>
    </row>
    <row r="132" spans="1:16" s="1" customFormat="1" ht="30" customHeight="1" x14ac:dyDescent="0.2">
      <c r="A132" s="3364" t="s">
        <v>662</v>
      </c>
      <c r="B132" s="3365"/>
      <c r="C132" s="3365"/>
      <c r="D132" s="3366"/>
      <c r="E132" s="387" t="s">
        <v>21</v>
      </c>
      <c r="F132" s="896">
        <f>F114+F130</f>
        <v>372936.52</v>
      </c>
      <c r="G132" s="896">
        <f>G114+G130</f>
        <v>0</v>
      </c>
      <c r="H132" s="896">
        <f>H114+H130</f>
        <v>19954.86</v>
      </c>
      <c r="I132" s="896">
        <f>SUM(F132:H132)</f>
        <v>392891.38</v>
      </c>
      <c r="J132" s="549">
        <f>(I132/$I$132)*100</f>
        <v>100</v>
      </c>
      <c r="K132" s="1726"/>
      <c r="L132"/>
      <c r="M132"/>
      <c r="N132"/>
      <c r="O132"/>
      <c r="P132"/>
    </row>
    <row r="133" spans="1:16" s="1" customFormat="1" ht="30" customHeight="1" x14ac:dyDescent="0.2">
      <c r="A133" s="3364"/>
      <c r="B133" s="3387"/>
      <c r="C133" s="3387"/>
      <c r="D133" s="3388"/>
      <c r="E133" s="387" t="s">
        <v>22</v>
      </c>
      <c r="F133" s="389">
        <f>F132/$I$84*100</f>
        <v>84.551195689395001</v>
      </c>
      <c r="G133" s="389">
        <f>G132/$I$84*100</f>
        <v>0</v>
      </c>
      <c r="H133" s="389">
        <f>H132/$I$84*100</f>
        <v>4.5241138433277612</v>
      </c>
      <c r="I133" s="389"/>
      <c r="J133" s="389"/>
      <c r="K133" s="1726"/>
      <c r="L133"/>
      <c r="M133"/>
      <c r="N133"/>
      <c r="O133"/>
      <c r="P133"/>
    </row>
    <row r="134" spans="1:16" s="1" customFormat="1" ht="30" customHeight="1" x14ac:dyDescent="0.2">
      <c r="A134" s="3207" t="s">
        <v>505</v>
      </c>
      <c r="B134" s="3207"/>
      <c r="C134" s="3207"/>
      <c r="D134" s="3207"/>
      <c r="E134" s="3207"/>
      <c r="F134" s="3207"/>
      <c r="G134" s="3207"/>
      <c r="H134" s="3207"/>
      <c r="I134" s="3207"/>
      <c r="J134" s="3207"/>
      <c r="K134" s="3207"/>
      <c r="L134" s="3207"/>
      <c r="M134" s="3207"/>
      <c r="N134" s="3207"/>
    </row>
    <row r="135" spans="1:16" s="1" customFormat="1" ht="30" customHeight="1" x14ac:dyDescent="0.2">
      <c r="A135" s="221" t="s">
        <v>39</v>
      </c>
      <c r="B135" s="2551" t="s">
        <v>134</v>
      </c>
      <c r="C135" s="2551"/>
      <c r="D135" s="222" t="s">
        <v>6</v>
      </c>
      <c r="E135" s="222" t="s">
        <v>135</v>
      </c>
      <c r="F135" s="222" t="s">
        <v>43</v>
      </c>
      <c r="G135" s="222" t="s">
        <v>10</v>
      </c>
      <c r="H135" s="391" t="s">
        <v>314</v>
      </c>
      <c r="I135" s="2605" t="s">
        <v>47</v>
      </c>
      <c r="J135" s="2605"/>
      <c r="K135" s="2605"/>
      <c r="L135" s="2605"/>
      <c r="M135" s="2605"/>
      <c r="N135" s="2605"/>
    </row>
    <row r="136" spans="1:16" s="1" customFormat="1" ht="30" customHeight="1" x14ac:dyDescent="0.2">
      <c r="A136" s="223">
        <v>1</v>
      </c>
      <c r="B136" s="2599" t="s">
        <v>324</v>
      </c>
      <c r="C136" s="2599"/>
      <c r="D136" s="224" t="s">
        <v>325</v>
      </c>
      <c r="E136" s="224" t="s">
        <v>140</v>
      </c>
      <c r="F136" s="830">
        <f>I114</f>
        <v>244602.88</v>
      </c>
      <c r="G136" s="224">
        <f>F136/$K$17</f>
        <v>17</v>
      </c>
      <c r="H136" s="214">
        <f>F136/$F$138*100</f>
        <v>62.257125620826805</v>
      </c>
      <c r="I136" s="2600"/>
      <c r="J136" s="2600"/>
      <c r="K136" s="2600"/>
      <c r="L136" s="2600"/>
      <c r="M136" s="2600"/>
      <c r="N136" s="2600"/>
    </row>
    <row r="137" spans="1:16" s="1" customFormat="1" ht="30" customHeight="1" x14ac:dyDescent="0.2">
      <c r="A137" s="223">
        <v>2</v>
      </c>
      <c r="B137" s="2599" t="s">
        <v>323</v>
      </c>
      <c r="C137" s="2599"/>
      <c r="D137" s="224" t="s">
        <v>327</v>
      </c>
      <c r="E137" s="224" t="s">
        <v>583</v>
      </c>
      <c r="F137" s="830">
        <f>I130</f>
        <v>148288.5</v>
      </c>
      <c r="G137" s="224">
        <f>F137/$K$23</f>
        <v>12</v>
      </c>
      <c r="H137" s="214">
        <f>F137/$F$138*100</f>
        <v>37.742874379173195</v>
      </c>
      <c r="I137" s="2600"/>
      <c r="J137" s="2600"/>
      <c r="K137" s="2600"/>
      <c r="L137" s="2600"/>
      <c r="M137" s="2600"/>
      <c r="N137" s="2600"/>
    </row>
    <row r="138" spans="1:16" s="1" customFormat="1" ht="30" customHeight="1" x14ac:dyDescent="0.2">
      <c r="A138" s="3377" t="s">
        <v>584</v>
      </c>
      <c r="B138" s="3377"/>
      <c r="C138" s="3377"/>
      <c r="D138" s="225" t="s">
        <v>142</v>
      </c>
      <c r="E138" s="225" t="s">
        <v>142</v>
      </c>
      <c r="F138" s="860">
        <f>SUM(F136:F137)</f>
        <v>392891.38</v>
      </c>
      <c r="G138" s="226">
        <f>SUM(G136:G137)</f>
        <v>29</v>
      </c>
      <c r="H138" s="227">
        <f>SUM(H136:H137)</f>
        <v>100</v>
      </c>
      <c r="I138" s="2603"/>
      <c r="J138" s="2603"/>
      <c r="K138" s="2603"/>
      <c r="L138" s="2603"/>
      <c r="M138" s="2603"/>
      <c r="N138" s="2603"/>
    </row>
    <row r="139" spans="1:16" s="1" customFormat="1" ht="28" customHeight="1" x14ac:dyDescent="0.2">
      <c r="A139" s="3161" t="s">
        <v>499</v>
      </c>
      <c r="B139" s="3161"/>
      <c r="C139" s="3161"/>
      <c r="D139" s="3161"/>
      <c r="E139" s="3161"/>
      <c r="F139" s="3161"/>
      <c r="G139" s="3161"/>
      <c r="H139" s="3161"/>
      <c r="I139" s="3161"/>
      <c r="J139" s="3161"/>
      <c r="K139" s="3161"/>
      <c r="L139" s="3161"/>
      <c r="M139" s="3161"/>
      <c r="N139" s="3161"/>
    </row>
    <row r="140" spans="1:16" s="1" customFormat="1" ht="27" customHeight="1" x14ac:dyDescent="0.2">
      <c r="A140" s="3162" t="s">
        <v>147</v>
      </c>
      <c r="B140" s="3162"/>
      <c r="C140" s="3162"/>
      <c r="D140" s="3162"/>
      <c r="E140" s="3162"/>
      <c r="F140" s="3162"/>
      <c r="G140" s="3162"/>
      <c r="H140" s="3162"/>
      <c r="I140" s="3162"/>
      <c r="J140" s="3162"/>
      <c r="K140" s="3162"/>
      <c r="L140" s="3162"/>
      <c r="M140" s="3162"/>
      <c r="N140" s="3162"/>
    </row>
    <row r="141" spans="1:16" s="1" customFormat="1" ht="41" customHeight="1" x14ac:dyDescent="0.2">
      <c r="A141" s="238" t="s">
        <v>39</v>
      </c>
      <c r="B141" s="1724" t="s">
        <v>34</v>
      </c>
      <c r="C141" s="241" t="s">
        <v>6</v>
      </c>
      <c r="D141" s="1712" t="s">
        <v>148</v>
      </c>
      <c r="E141" s="1689"/>
      <c r="F141" s="239" t="s">
        <v>17</v>
      </c>
      <c r="G141" s="240" t="s">
        <v>149</v>
      </c>
      <c r="H141" s="240" t="s">
        <v>150</v>
      </c>
      <c r="I141" s="241" t="s">
        <v>151</v>
      </c>
      <c r="J141" s="392" t="s">
        <v>1029</v>
      </c>
      <c r="K141" s="242" t="s">
        <v>1030</v>
      </c>
      <c r="L141" s="3051" t="s">
        <v>47</v>
      </c>
      <c r="M141" s="3052"/>
      <c r="N141" s="3052"/>
      <c r="O141" s="3052"/>
      <c r="P141" s="3053"/>
    </row>
    <row r="142" spans="1:16" s="1" customFormat="1" ht="26" customHeight="1" x14ac:dyDescent="0.15">
      <c r="A142" s="1530">
        <v>1</v>
      </c>
      <c r="B142" s="1593" t="s">
        <v>5</v>
      </c>
      <c r="C142" s="1593" t="s">
        <v>115</v>
      </c>
      <c r="D142" s="3375" t="s">
        <v>163</v>
      </c>
      <c r="E142" s="3376"/>
      <c r="F142" s="243" t="s">
        <v>164</v>
      </c>
      <c r="G142" s="244">
        <v>18.760000000000002</v>
      </c>
      <c r="H142" s="909">
        <f>I142/O142</f>
        <v>18.539492900299486</v>
      </c>
      <c r="I142" s="425">
        <v>8177358</v>
      </c>
      <c r="J142" s="285">
        <f>-(H142-G142)*O142</f>
        <v>97260.777600000205</v>
      </c>
      <c r="K142" s="866">
        <v>0</v>
      </c>
      <c r="L142" s="3065" t="s">
        <v>165</v>
      </c>
      <c r="M142" s="3066"/>
      <c r="N142" s="3067"/>
      <c r="O142" s="3320">
        <f>F92</f>
        <v>441077.76000000001</v>
      </c>
      <c r="P142" s="3322"/>
    </row>
    <row r="143" spans="1:16" s="1" customFormat="1" ht="26" customHeight="1" x14ac:dyDescent="0.15">
      <c r="A143" s="1530">
        <v>2</v>
      </c>
      <c r="B143" s="1568" t="s">
        <v>5</v>
      </c>
      <c r="C143" s="1568" t="s">
        <v>115</v>
      </c>
      <c r="D143" s="3375" t="s">
        <v>166</v>
      </c>
      <c r="E143" s="3376"/>
      <c r="F143" s="243" t="s">
        <v>164</v>
      </c>
      <c r="G143" s="247">
        <v>0.53800000000000003</v>
      </c>
      <c r="H143" s="897">
        <f>I143/O143</f>
        <v>0.45061957868649327</v>
      </c>
      <c r="I143" s="245">
        <v>21819</v>
      </c>
      <c r="J143" s="533">
        <f>-(H143-G143)*O143</f>
        <v>4230.9599999999964</v>
      </c>
      <c r="K143" s="720">
        <v>0</v>
      </c>
      <c r="L143" s="3065" t="s">
        <v>167</v>
      </c>
      <c r="M143" s="3066"/>
      <c r="N143" s="3067"/>
      <c r="O143" s="3320">
        <f>F90</f>
        <v>48419.999999999993</v>
      </c>
      <c r="P143" s="3322"/>
    </row>
    <row r="144" spans="1:16" s="1" customFormat="1" ht="26" customHeight="1" x14ac:dyDescent="0.15">
      <c r="A144" s="1530">
        <v>3</v>
      </c>
      <c r="B144" s="1568" t="s">
        <v>5</v>
      </c>
      <c r="C144" s="1568" t="s">
        <v>115</v>
      </c>
      <c r="D144" s="3375" t="s">
        <v>168</v>
      </c>
      <c r="E144" s="3376"/>
      <c r="F144" s="243" t="s">
        <v>169</v>
      </c>
      <c r="G144" s="247">
        <v>0.48599999999999999</v>
      </c>
      <c r="H144" s="248">
        <f>I144/O144</f>
        <v>0.48518842464745887</v>
      </c>
      <c r="I144" s="245">
        <v>190513</v>
      </c>
      <c r="J144" s="533">
        <f>-(H144-G144)*O144</f>
        <v>318.671360000005</v>
      </c>
      <c r="K144" s="720">
        <v>0</v>
      </c>
      <c r="L144" s="3065" t="s">
        <v>170</v>
      </c>
      <c r="M144" s="3066"/>
      <c r="N144" s="3067"/>
      <c r="O144" s="3320">
        <f>F89</f>
        <v>392657.76</v>
      </c>
      <c r="P144" s="3322"/>
    </row>
    <row r="145" spans="1:16" s="1" customFormat="1" ht="26" customHeight="1" x14ac:dyDescent="0.15">
      <c r="A145" s="1530">
        <v>4</v>
      </c>
      <c r="B145" s="1568" t="s">
        <v>5</v>
      </c>
      <c r="C145" s="1568" t="s">
        <v>115</v>
      </c>
      <c r="D145" s="3375" t="s">
        <v>171</v>
      </c>
      <c r="E145" s="3376"/>
      <c r="F145" s="243" t="s">
        <v>164</v>
      </c>
      <c r="G145" s="248">
        <v>0.38300000000000001</v>
      </c>
      <c r="H145" s="248"/>
      <c r="I145" s="245"/>
      <c r="J145" s="401">
        <f>-(H145-G145)*N145</f>
        <v>0</v>
      </c>
      <c r="K145" s="720"/>
      <c r="L145" s="2670" t="s">
        <v>172</v>
      </c>
      <c r="M145" s="2671"/>
      <c r="N145" s="2671"/>
      <c r="O145" s="2671"/>
      <c r="P145" s="2672"/>
    </row>
    <row r="146" spans="1:16" s="1" customFormat="1" ht="26" customHeight="1" x14ac:dyDescent="0.15">
      <c r="A146" s="1530">
        <v>5</v>
      </c>
      <c r="B146" s="1568" t="s">
        <v>5</v>
      </c>
      <c r="C146" s="1568" t="s">
        <v>115</v>
      </c>
      <c r="D146" s="3375" t="s">
        <v>173</v>
      </c>
      <c r="E146" s="3376"/>
      <c r="F146" s="243" t="s">
        <v>164</v>
      </c>
      <c r="G146" s="247">
        <v>0.624</v>
      </c>
      <c r="H146" s="248">
        <f>I146/O143</f>
        <v>0.59566294919454776</v>
      </c>
      <c r="I146" s="245">
        <v>28842</v>
      </c>
      <c r="J146" s="533">
        <f>-(H146-G146)*O143</f>
        <v>1372.079999999997</v>
      </c>
      <c r="K146" s="721">
        <f>--(H146-G146)*N143</f>
        <v>0</v>
      </c>
      <c r="L146" s="2670" t="s">
        <v>174</v>
      </c>
      <c r="M146" s="2671"/>
      <c r="N146" s="2671"/>
      <c r="O146" s="2671">
        <f>O142+M11</f>
        <v>442589.76</v>
      </c>
      <c r="P146" s="2672"/>
    </row>
    <row r="147" spans="1:16" s="1" customFormat="1" ht="26" customHeight="1" x14ac:dyDescent="0.15">
      <c r="A147" s="1530">
        <v>6</v>
      </c>
      <c r="B147" s="1568" t="s">
        <v>5</v>
      </c>
      <c r="C147" s="1568" t="s">
        <v>115</v>
      </c>
      <c r="D147" s="3375" t="s">
        <v>175</v>
      </c>
      <c r="E147" s="3376"/>
      <c r="F147" s="243" t="s">
        <v>164</v>
      </c>
      <c r="G147" s="247">
        <v>0.57199999999999995</v>
      </c>
      <c r="H147" s="248">
        <f>I147/O144</f>
        <v>0.56193464761781353</v>
      </c>
      <c r="I147" s="245">
        <v>220648</v>
      </c>
      <c r="J147" s="533">
        <f>-(H147-G147)*O144</f>
        <v>3952.2387199999839</v>
      </c>
      <c r="K147" s="721">
        <f>--(H147-G147)*N144</f>
        <v>0</v>
      </c>
      <c r="L147" s="2670"/>
      <c r="M147" s="2671"/>
      <c r="N147" s="2671"/>
      <c r="O147" s="2671"/>
      <c r="P147" s="2672"/>
    </row>
    <row r="148" spans="1:16" s="1" customFormat="1" ht="26" customHeight="1" x14ac:dyDescent="0.15">
      <c r="A148" s="1530">
        <v>7</v>
      </c>
      <c r="B148" s="1568" t="s">
        <v>5</v>
      </c>
      <c r="C148" s="1568" t="s">
        <v>115</v>
      </c>
      <c r="D148" s="3375" t="s">
        <v>130</v>
      </c>
      <c r="E148" s="3376"/>
      <c r="F148" s="243" t="s">
        <v>164</v>
      </c>
      <c r="G148" s="247">
        <v>0.434</v>
      </c>
      <c r="H148" s="248"/>
      <c r="I148" s="245"/>
      <c r="J148" s="402"/>
      <c r="K148" s="721">
        <f>--(H148-G148)*N145</f>
        <v>0</v>
      </c>
      <c r="L148" s="2670"/>
      <c r="M148" s="2671"/>
      <c r="N148" s="2671"/>
      <c r="O148" s="2671"/>
      <c r="P148" s="2672"/>
    </row>
    <row r="149" spans="1:16" s="1" customFormat="1" ht="26" customHeight="1" x14ac:dyDescent="0.15">
      <c r="A149" s="1530">
        <v>8</v>
      </c>
      <c r="B149" s="1567" t="s">
        <v>5</v>
      </c>
      <c r="C149" s="1567" t="s">
        <v>115</v>
      </c>
      <c r="D149" s="3375" t="s">
        <v>176</v>
      </c>
      <c r="E149" s="3376"/>
      <c r="F149" s="243" t="s">
        <v>169</v>
      </c>
      <c r="G149" s="247">
        <v>0.69699999999999995</v>
      </c>
      <c r="H149" s="248">
        <f>I149/O142</f>
        <v>0.69722399968658588</v>
      </c>
      <c r="I149" s="245">
        <v>307530</v>
      </c>
      <c r="J149" s="533"/>
      <c r="K149" s="727">
        <v>0</v>
      </c>
      <c r="L149" s="2670"/>
      <c r="M149" s="2671"/>
      <c r="N149" s="2671"/>
      <c r="O149" s="2671"/>
      <c r="P149" s="2672"/>
    </row>
    <row r="150" spans="1:16" s="1" customFormat="1" ht="26" customHeight="1" x14ac:dyDescent="0.15">
      <c r="A150" s="1530">
        <v>9</v>
      </c>
      <c r="B150" s="1568" t="s">
        <v>5</v>
      </c>
      <c r="C150" s="1568" t="s">
        <v>115</v>
      </c>
      <c r="D150" s="3375" t="s">
        <v>177</v>
      </c>
      <c r="E150" s="3376"/>
      <c r="F150" s="243" t="s">
        <v>164</v>
      </c>
      <c r="G150" s="250">
        <v>3.7100000000000001E-2</v>
      </c>
      <c r="H150" s="898">
        <f>I150/O146</f>
        <v>3.0106887244747822E-2</v>
      </c>
      <c r="I150" s="245">
        <v>13325</v>
      </c>
      <c r="J150" s="533">
        <f>-(H150-G150)*O146</f>
        <v>3095.080096000001</v>
      </c>
      <c r="K150" s="728">
        <v>0</v>
      </c>
      <c r="L150" s="2670"/>
      <c r="M150" s="2671"/>
      <c r="N150" s="2671"/>
      <c r="O150" s="2671"/>
      <c r="P150" s="2672"/>
    </row>
    <row r="151" spans="1:16" s="1" customFormat="1" ht="26" customHeight="1" x14ac:dyDescent="0.15">
      <c r="A151" s="1531">
        <v>10</v>
      </c>
      <c r="B151" s="1568" t="s">
        <v>5</v>
      </c>
      <c r="C151" s="1568" t="s">
        <v>115</v>
      </c>
      <c r="D151" s="3361" t="s">
        <v>178</v>
      </c>
      <c r="E151" s="2525"/>
      <c r="F151" s="254" t="s">
        <v>164</v>
      </c>
      <c r="G151" s="1015">
        <v>8.2000000000000007E-3</v>
      </c>
      <c r="H151" s="1016">
        <f>I151/O146</f>
        <v>8.2469147049403033E-3</v>
      </c>
      <c r="I151" s="257">
        <v>3650</v>
      </c>
      <c r="J151" s="534"/>
      <c r="K151" s="1017"/>
      <c r="L151" s="2670" t="s">
        <v>452</v>
      </c>
      <c r="M151" s="2671"/>
      <c r="N151" s="2671"/>
      <c r="O151" s="2671"/>
      <c r="P151" s="2672"/>
    </row>
    <row r="152" spans="1:16" s="1" customFormat="1" ht="26" customHeight="1" x14ac:dyDescent="0.15">
      <c r="A152" s="1533">
        <v>11</v>
      </c>
      <c r="B152" s="1568" t="s">
        <v>5</v>
      </c>
      <c r="C152" s="1568" t="s">
        <v>115</v>
      </c>
      <c r="D152" s="2880" t="s">
        <v>179</v>
      </c>
      <c r="E152" s="2915"/>
      <c r="F152" s="51" t="s">
        <v>164</v>
      </c>
      <c r="G152" s="262">
        <v>4.6100000000000002E-2</v>
      </c>
      <c r="H152" s="1018">
        <f>I152/O142</f>
        <v>1.4793309914333473E-2</v>
      </c>
      <c r="I152" s="260">
        <v>6525</v>
      </c>
      <c r="J152" s="531">
        <f>-(H152-G152)*O142</f>
        <v>13808.684736000001</v>
      </c>
      <c r="K152" s="64">
        <f>--(H152-G152)*N149</f>
        <v>0</v>
      </c>
      <c r="L152" s="2670"/>
      <c r="M152" s="2671"/>
      <c r="N152" s="2671"/>
      <c r="O152" s="2671"/>
      <c r="P152" s="2672"/>
    </row>
    <row r="153" spans="1:16" s="1" customFormat="1" ht="26" customHeight="1" x14ac:dyDescent="0.15">
      <c r="A153" s="1533">
        <v>12</v>
      </c>
      <c r="B153" s="1568" t="s">
        <v>5</v>
      </c>
      <c r="C153" s="1568" t="s">
        <v>115</v>
      </c>
      <c r="D153" s="2880" t="s">
        <v>180</v>
      </c>
      <c r="E153" s="2915"/>
      <c r="F153" s="51" t="s">
        <v>164</v>
      </c>
      <c r="G153" s="262">
        <v>3.0000000000000001E-3</v>
      </c>
      <c r="H153" s="1018">
        <f>I153/O146</f>
        <v>2.7113144235420177E-3</v>
      </c>
      <c r="I153" s="260">
        <v>1200</v>
      </c>
      <c r="J153" s="1008">
        <f>-(H153-G153)*O146</f>
        <v>127.76928000000007</v>
      </c>
      <c r="K153" s="64">
        <f>--(H153-G153)*N150</f>
        <v>0</v>
      </c>
      <c r="L153" s="2670"/>
      <c r="M153" s="2671"/>
      <c r="N153" s="2671"/>
      <c r="O153" s="2671"/>
      <c r="P153" s="2672"/>
    </row>
    <row r="154" spans="1:16" s="1" customFormat="1" ht="26" customHeight="1" x14ac:dyDescent="0.15">
      <c r="A154" s="1533">
        <v>13</v>
      </c>
      <c r="B154" s="1568" t="s">
        <v>5</v>
      </c>
      <c r="C154" s="1568" t="s">
        <v>115</v>
      </c>
      <c r="D154" s="2880" t="s">
        <v>181</v>
      </c>
      <c r="E154" s="2915"/>
      <c r="F154" s="51" t="s">
        <v>164</v>
      </c>
      <c r="G154" s="258">
        <v>3.0899999999999999E-3</v>
      </c>
      <c r="H154" s="1019"/>
      <c r="I154" s="260">
        <f>AA154</f>
        <v>0</v>
      </c>
      <c r="J154" s="1020" t="s">
        <v>142</v>
      </c>
      <c r="K154" s="64">
        <f>--(H154-G154)*N151</f>
        <v>0</v>
      </c>
      <c r="L154" s="2670"/>
      <c r="M154" s="2671"/>
      <c r="N154" s="2671"/>
      <c r="O154" s="2671"/>
      <c r="P154" s="2672"/>
    </row>
    <row r="155" spans="1:16" s="1" customFormat="1" ht="26" customHeight="1" x14ac:dyDescent="0.15">
      <c r="A155" s="1533">
        <v>14</v>
      </c>
      <c r="B155" s="1568" t="s">
        <v>5</v>
      </c>
      <c r="C155" s="1568" t="s">
        <v>115</v>
      </c>
      <c r="D155" s="2880" t="s">
        <v>182</v>
      </c>
      <c r="E155" s="2915"/>
      <c r="F155" s="1021" t="s">
        <v>164</v>
      </c>
      <c r="G155" s="1022">
        <v>1.6259999999999999</v>
      </c>
      <c r="H155" s="1019">
        <f>I155/O142</f>
        <v>1.5898353161129684</v>
      </c>
      <c r="I155" s="260">
        <v>701241</v>
      </c>
      <c r="J155" s="531">
        <f>-(H155-G155)*O146</f>
        <v>16006.118762037155</v>
      </c>
      <c r="K155" s="64">
        <f>--(H155-G155)*N152</f>
        <v>0</v>
      </c>
      <c r="L155" s="2670"/>
      <c r="M155" s="2671"/>
      <c r="N155" s="2671"/>
      <c r="O155" s="2671"/>
      <c r="P155" s="2672"/>
    </row>
    <row r="156" spans="1:16" s="1" customFormat="1" ht="26" customHeight="1" x14ac:dyDescent="0.15">
      <c r="A156" s="1533">
        <v>15</v>
      </c>
      <c r="B156" s="1568" t="s">
        <v>5</v>
      </c>
      <c r="C156" s="1568" t="s">
        <v>115</v>
      </c>
      <c r="D156" s="2880" t="s">
        <v>183</v>
      </c>
      <c r="E156" s="2915"/>
      <c r="F156" s="51" t="s">
        <v>164</v>
      </c>
      <c r="G156" s="258">
        <v>6.4099999999999999E-3</v>
      </c>
      <c r="H156" s="933">
        <f>I156/O146</f>
        <v>5.095011687572708E-3</v>
      </c>
      <c r="I156" s="260">
        <v>2255</v>
      </c>
      <c r="J156" s="531">
        <f>-(H156-G156)*O146</f>
        <v>582.00036160000013</v>
      </c>
      <c r="K156" s="1023"/>
      <c r="L156" s="2670" t="s">
        <v>452</v>
      </c>
      <c r="M156" s="2671"/>
      <c r="N156" s="2671"/>
      <c r="O156" s="2671"/>
      <c r="P156" s="2672"/>
    </row>
    <row r="157" spans="1:16" s="1" customFormat="1" ht="26" customHeight="1" x14ac:dyDescent="0.15">
      <c r="A157" s="1533">
        <v>16</v>
      </c>
      <c r="B157" s="1568" t="s">
        <v>5</v>
      </c>
      <c r="C157" s="1568" t="s">
        <v>115</v>
      </c>
      <c r="D157" s="2880" t="s">
        <v>184</v>
      </c>
      <c r="E157" s="2915"/>
      <c r="F157" s="51" t="s">
        <v>169</v>
      </c>
      <c r="G157" s="258">
        <v>4.7239999999999997E-2</v>
      </c>
      <c r="H157" s="933">
        <f>I157/O142</f>
        <v>4.7247904768537866E-2</v>
      </c>
      <c r="I157" s="260">
        <v>20840</v>
      </c>
      <c r="J157" s="531"/>
      <c r="K157" s="1023">
        <f>--(H157-G157)*O142</f>
        <v>3.4866176000014302</v>
      </c>
      <c r="L157" s="2670"/>
      <c r="M157" s="2671"/>
      <c r="N157" s="2671"/>
      <c r="O157" s="2671"/>
      <c r="P157" s="2672"/>
    </row>
    <row r="158" spans="1:16" s="1" customFormat="1" ht="31" customHeight="1" x14ac:dyDescent="0.15">
      <c r="A158" s="1533">
        <v>17</v>
      </c>
      <c r="B158" s="1568" t="s">
        <v>5</v>
      </c>
      <c r="C158" s="1568" t="s">
        <v>115</v>
      </c>
      <c r="D158" s="2880" t="s">
        <v>185</v>
      </c>
      <c r="E158" s="2915"/>
      <c r="F158" s="51" t="s">
        <v>169</v>
      </c>
      <c r="G158" s="258"/>
      <c r="H158" s="1024"/>
      <c r="I158" s="260">
        <v>5520</v>
      </c>
      <c r="J158" s="1025"/>
      <c r="K158" s="64"/>
      <c r="L158" s="2670" t="s">
        <v>632</v>
      </c>
      <c r="M158" s="2671"/>
      <c r="N158" s="2671"/>
      <c r="O158" s="2671"/>
      <c r="P158" s="2672"/>
    </row>
    <row r="159" spans="1:16" s="1" customFormat="1" ht="26" customHeight="1" x14ac:dyDescent="0.15">
      <c r="A159" s="1533">
        <v>18</v>
      </c>
      <c r="B159" s="1584" t="s">
        <v>5</v>
      </c>
      <c r="C159" s="1584" t="s">
        <v>115</v>
      </c>
      <c r="D159" s="2880" t="s">
        <v>188</v>
      </c>
      <c r="E159" s="2915"/>
      <c r="F159" s="51" t="s">
        <v>164</v>
      </c>
      <c r="G159" s="258">
        <v>5.1999999999999998E-3</v>
      </c>
      <c r="H159" s="933">
        <f>I159/O142</f>
        <v>3.8088522078283883E-3</v>
      </c>
      <c r="I159" s="1371">
        <v>1680</v>
      </c>
      <c r="J159" s="531">
        <f>-(H159-G159)*O142</f>
        <v>613.60435199999995</v>
      </c>
      <c r="K159" s="64">
        <f>--(H159-G159)*N157</f>
        <v>0</v>
      </c>
      <c r="L159" s="2670"/>
      <c r="M159" s="2671"/>
      <c r="N159" s="2671"/>
      <c r="O159" s="2671"/>
      <c r="P159" s="2672"/>
    </row>
    <row r="160" spans="1:16" s="1" customFormat="1" ht="17" customHeight="1" x14ac:dyDescent="0.15">
      <c r="A160" s="2"/>
      <c r="B160" s="4"/>
      <c r="C160" s="479"/>
      <c r="D160" s="68"/>
      <c r="E160" s="925"/>
      <c r="F160" s="926"/>
      <c r="G160" s="927"/>
      <c r="H160" s="928"/>
      <c r="I160" s="929"/>
      <c r="J160" s="2"/>
      <c r="K160" s="2"/>
      <c r="L160" s="2"/>
      <c r="M160" s="2"/>
      <c r="N160" s="2"/>
    </row>
    <row r="161" spans="1:16" s="1" customFormat="1" ht="26" customHeight="1" x14ac:dyDescent="0.2">
      <c r="A161" s="3061" t="s">
        <v>443</v>
      </c>
      <c r="B161" s="3061"/>
      <c r="C161" s="3061"/>
      <c r="D161" s="3061"/>
      <c r="E161" s="3061"/>
      <c r="F161" s="3061"/>
      <c r="G161" s="3061"/>
      <c r="H161" s="3061"/>
      <c r="I161" s="3061"/>
      <c r="J161" s="3061"/>
      <c r="K161" s="3061"/>
      <c r="L161" s="3061"/>
      <c r="M161" s="3061"/>
      <c r="N161" s="3061"/>
    </row>
    <row r="162" spans="1:16" s="1" customFormat="1" ht="30" customHeight="1" x14ac:dyDescent="0.2">
      <c r="A162" s="238" t="s">
        <v>39</v>
      </c>
      <c r="B162" s="1724" t="s">
        <v>34</v>
      </c>
      <c r="C162" s="241" t="s">
        <v>6</v>
      </c>
      <c r="D162" s="1712" t="s">
        <v>148</v>
      </c>
      <c r="E162" s="1689"/>
      <c r="F162" s="239" t="s">
        <v>17</v>
      </c>
      <c r="G162" s="240" t="s">
        <v>149</v>
      </c>
      <c r="H162" s="240" t="s">
        <v>150</v>
      </c>
      <c r="I162" s="241" t="s">
        <v>151</v>
      </c>
      <c r="J162" s="392" t="s">
        <v>1029</v>
      </c>
      <c r="K162" s="242" t="s">
        <v>1030</v>
      </c>
      <c r="L162" s="3051" t="s">
        <v>47</v>
      </c>
      <c r="M162" s="3052"/>
      <c r="N162" s="3052"/>
      <c r="O162" s="3052"/>
      <c r="P162" s="3053"/>
    </row>
    <row r="163" spans="1:16" s="1" customFormat="1" ht="32" customHeight="1" x14ac:dyDescent="0.15">
      <c r="A163" s="264">
        <v>1</v>
      </c>
      <c r="B163" s="1593" t="s">
        <v>25</v>
      </c>
      <c r="C163" s="1593" t="s">
        <v>116</v>
      </c>
      <c r="D163" s="2880" t="s">
        <v>547</v>
      </c>
      <c r="E163" s="2915"/>
      <c r="F163" s="51" t="s">
        <v>49</v>
      </c>
      <c r="G163" s="56">
        <v>21.12</v>
      </c>
      <c r="H163" s="261">
        <f t="shared" ref="H163:H173" si="17">I163/$N$163</f>
        <v>20.656690550822624</v>
      </c>
      <c r="I163" s="269">
        <v>5052686</v>
      </c>
      <c r="J163" s="531">
        <f>-(H163-G163)*N163</f>
        <v>113326.8256</v>
      </c>
      <c r="K163" s="445"/>
      <c r="L163" s="3393" t="s">
        <v>165</v>
      </c>
      <c r="M163" s="3394"/>
      <c r="N163" s="3372">
        <f>F136</f>
        <v>244602.88</v>
      </c>
      <c r="O163" s="3373"/>
      <c r="P163" s="3374"/>
    </row>
    <row r="164" spans="1:16" s="1" customFormat="1" ht="32" customHeight="1" x14ac:dyDescent="0.15">
      <c r="A164" s="264">
        <v>2</v>
      </c>
      <c r="B164" s="1568" t="s">
        <v>25</v>
      </c>
      <c r="C164" s="1568" t="s">
        <v>116</v>
      </c>
      <c r="D164" s="2880" t="s">
        <v>166</v>
      </c>
      <c r="E164" s="2915"/>
      <c r="F164" s="51" t="s">
        <v>49</v>
      </c>
      <c r="G164" s="259">
        <v>0.50900000000000001</v>
      </c>
      <c r="H164" s="268">
        <f t="shared" si="17"/>
        <v>0.44575681202118306</v>
      </c>
      <c r="I164" s="269">
        <v>109033.4</v>
      </c>
      <c r="J164" s="531">
        <f>-(H164-G164)*N163</f>
        <v>15469.465920000006</v>
      </c>
      <c r="K164" s="445"/>
      <c r="L164" s="3358" t="s">
        <v>362</v>
      </c>
      <c r="M164" s="3359"/>
      <c r="N164" s="3372">
        <f>N163+M17</f>
        <v>245889.28</v>
      </c>
      <c r="O164" s="3373"/>
      <c r="P164" s="3374"/>
    </row>
    <row r="165" spans="1:16" s="1" customFormat="1" ht="32" customHeight="1" x14ac:dyDescent="0.15">
      <c r="A165" s="264">
        <v>3</v>
      </c>
      <c r="B165" s="1568" t="s">
        <v>25</v>
      </c>
      <c r="C165" s="1568" t="s">
        <v>116</v>
      </c>
      <c r="D165" s="2880" t="s">
        <v>173</v>
      </c>
      <c r="E165" s="2915"/>
      <c r="F165" s="51" t="s">
        <v>49</v>
      </c>
      <c r="G165" s="259">
        <v>0.59299999999999997</v>
      </c>
      <c r="H165" s="268">
        <f t="shared" si="17"/>
        <v>0.580573703792858</v>
      </c>
      <c r="I165" s="269">
        <v>142010</v>
      </c>
      <c r="J165" s="531">
        <f>-(H165-G165)*N164</f>
        <v>3055.4930274408707</v>
      </c>
      <c r="K165" s="445"/>
      <c r="L165" s="3395"/>
      <c r="M165" s="3396"/>
      <c r="N165" s="3396"/>
      <c r="O165" s="3396"/>
      <c r="P165" s="3397"/>
    </row>
    <row r="166" spans="1:16" s="1" customFormat="1" ht="32" customHeight="1" x14ac:dyDescent="0.15">
      <c r="A166" s="264">
        <v>4</v>
      </c>
      <c r="B166" s="1568" t="s">
        <v>25</v>
      </c>
      <c r="C166" s="1568" t="s">
        <v>116</v>
      </c>
      <c r="D166" s="2880" t="s">
        <v>176</v>
      </c>
      <c r="E166" s="2915"/>
      <c r="F166" s="51" t="s">
        <v>195</v>
      </c>
      <c r="G166" s="262">
        <v>0.78400000000000003</v>
      </c>
      <c r="H166" s="270">
        <f t="shared" si="17"/>
        <v>0.78269724379369532</v>
      </c>
      <c r="I166" s="269">
        <v>191450</v>
      </c>
      <c r="J166" s="531">
        <f>-(H166-G166)*N163</f>
        <v>318.65792000000658</v>
      </c>
      <c r="K166" s="445"/>
      <c r="L166" s="3395"/>
      <c r="M166" s="3396"/>
      <c r="N166" s="3396"/>
      <c r="O166" s="3396"/>
      <c r="P166" s="3397"/>
    </row>
    <row r="167" spans="1:16" s="1" customFormat="1" ht="32" customHeight="1" x14ac:dyDescent="0.15">
      <c r="A167" s="264">
        <v>5</v>
      </c>
      <c r="B167" s="1568" t="s">
        <v>25</v>
      </c>
      <c r="C167" s="1568" t="s">
        <v>116</v>
      </c>
      <c r="D167" s="2880" t="s">
        <v>177</v>
      </c>
      <c r="E167" s="2915"/>
      <c r="F167" s="51" t="s">
        <v>49</v>
      </c>
      <c r="G167" s="259">
        <v>2.8000000000000001E-2</v>
      </c>
      <c r="H167" s="268">
        <f t="shared" si="17"/>
        <v>2.8004576233934774E-2</v>
      </c>
      <c r="I167" s="269">
        <v>6850</v>
      </c>
      <c r="J167" s="1008" t="s">
        <v>142</v>
      </c>
      <c r="K167" s="445"/>
      <c r="L167" s="3395"/>
      <c r="M167" s="3396"/>
      <c r="N167" s="3396"/>
      <c r="O167" s="3396"/>
      <c r="P167" s="3397"/>
    </row>
    <row r="168" spans="1:16" s="1" customFormat="1" ht="32" customHeight="1" x14ac:dyDescent="0.15">
      <c r="A168" s="264">
        <v>6</v>
      </c>
      <c r="B168" s="1567" t="s">
        <v>25</v>
      </c>
      <c r="C168" s="1567" t="s">
        <v>116</v>
      </c>
      <c r="D168" s="2880" t="s">
        <v>178</v>
      </c>
      <c r="E168" s="2915"/>
      <c r="F168" s="51" t="s">
        <v>49</v>
      </c>
      <c r="G168" s="262">
        <v>1.2999999999999999E-2</v>
      </c>
      <c r="H168" s="270">
        <f t="shared" si="17"/>
        <v>1.2510073470925608E-2</v>
      </c>
      <c r="I168" s="269">
        <v>3060</v>
      </c>
      <c r="J168" s="531">
        <f>-(H168-G168)*N163</f>
        <v>119.83743999999999</v>
      </c>
      <c r="K168" s="445"/>
      <c r="L168" s="3395"/>
      <c r="M168" s="3396"/>
      <c r="N168" s="3396"/>
      <c r="O168" s="3396"/>
      <c r="P168" s="3397"/>
    </row>
    <row r="169" spans="1:16" s="1" customFormat="1" ht="32" customHeight="1" x14ac:dyDescent="0.15">
      <c r="A169" s="264">
        <v>7</v>
      </c>
      <c r="B169" s="1568" t="s">
        <v>25</v>
      </c>
      <c r="C169" s="1568" t="s">
        <v>116</v>
      </c>
      <c r="D169" s="3392" t="s">
        <v>179</v>
      </c>
      <c r="E169" s="3392"/>
      <c r="F169" s="51" t="s">
        <v>49</v>
      </c>
      <c r="G169" s="262">
        <v>2.5999999999999999E-2</v>
      </c>
      <c r="H169" s="270">
        <f t="shared" si="17"/>
        <v>1.9623644660275462E-2</v>
      </c>
      <c r="I169" s="269">
        <v>4800</v>
      </c>
      <c r="J169" s="531">
        <f>-(H169-G169)*N163</f>
        <v>1559.6748800000003</v>
      </c>
      <c r="K169" s="445"/>
      <c r="L169" s="3395"/>
      <c r="M169" s="3396"/>
      <c r="N169" s="3396"/>
      <c r="O169" s="3396"/>
      <c r="P169" s="3397"/>
    </row>
    <row r="170" spans="1:16" s="1" customFormat="1" ht="32" customHeight="1" x14ac:dyDescent="0.15">
      <c r="A170" s="264">
        <v>8</v>
      </c>
      <c r="B170" s="1568" t="s">
        <v>25</v>
      </c>
      <c r="C170" s="1568" t="s">
        <v>116</v>
      </c>
      <c r="D170" s="3392" t="s">
        <v>206</v>
      </c>
      <c r="E170" s="3392"/>
      <c r="F170" s="51" t="s">
        <v>49</v>
      </c>
      <c r="G170" s="262">
        <v>2.8999999999999998E-3</v>
      </c>
      <c r="H170" s="270">
        <f t="shared" si="17"/>
        <v>2.4529555825344327E-3</v>
      </c>
      <c r="I170" s="269">
        <v>600</v>
      </c>
      <c r="J170" s="531">
        <f>-(H170-G170)*N163</f>
        <v>109.34835200000001</v>
      </c>
      <c r="K170" s="445"/>
      <c r="L170" s="3395"/>
      <c r="M170" s="3396"/>
      <c r="N170" s="3396"/>
      <c r="O170" s="3396"/>
      <c r="P170" s="3397"/>
    </row>
    <row r="171" spans="1:16" s="1" customFormat="1" ht="32" customHeight="1" x14ac:dyDescent="0.15">
      <c r="A171" s="264">
        <v>9</v>
      </c>
      <c r="B171" s="1568" t="s">
        <v>25</v>
      </c>
      <c r="C171" s="1568" t="s">
        <v>116</v>
      </c>
      <c r="D171" s="2880" t="s">
        <v>197</v>
      </c>
      <c r="E171" s="2915"/>
      <c r="F171" s="51" t="s">
        <v>49</v>
      </c>
      <c r="G171" s="259">
        <v>1.8</v>
      </c>
      <c r="H171" s="268">
        <f t="shared" si="17"/>
        <v>1.7670139452160172</v>
      </c>
      <c r="I171" s="269">
        <v>432216.7</v>
      </c>
      <c r="J171" s="531">
        <f>-(H171-G171)*N163</f>
        <v>8068.4839999999867</v>
      </c>
      <c r="K171" s="445"/>
      <c r="L171" s="3395"/>
      <c r="M171" s="3396"/>
      <c r="N171" s="3396"/>
      <c r="O171" s="3396"/>
      <c r="P171" s="3397"/>
    </row>
    <row r="172" spans="1:16" s="1" customFormat="1" ht="32" customHeight="1" x14ac:dyDescent="0.15">
      <c r="A172" s="264">
        <v>10</v>
      </c>
      <c r="B172" s="1568" t="s">
        <v>25</v>
      </c>
      <c r="C172" s="1568" t="s">
        <v>116</v>
      </c>
      <c r="D172" s="2880" t="s">
        <v>198</v>
      </c>
      <c r="E172" s="2915"/>
      <c r="F172" s="51" t="s">
        <v>49</v>
      </c>
      <c r="G172" s="262">
        <v>1.0200000000000001E-2</v>
      </c>
      <c r="H172" s="270">
        <f t="shared" si="17"/>
        <v>1.0138883074475656E-2</v>
      </c>
      <c r="I172" s="269">
        <v>2480</v>
      </c>
      <c r="J172" s="531">
        <f>-(H172-G172)*N163</f>
        <v>14.949376000000202</v>
      </c>
      <c r="K172" s="445"/>
      <c r="L172" s="3395"/>
      <c r="M172" s="3396"/>
      <c r="N172" s="3396"/>
      <c r="O172" s="3396"/>
      <c r="P172" s="3397"/>
    </row>
    <row r="173" spans="1:16" s="1" customFormat="1" ht="32" customHeight="1" x14ac:dyDescent="0.15">
      <c r="A173" s="264">
        <v>11</v>
      </c>
      <c r="B173" s="1568" t="s">
        <v>25</v>
      </c>
      <c r="C173" s="1568" t="s">
        <v>116</v>
      </c>
      <c r="D173" s="2880" t="s">
        <v>199</v>
      </c>
      <c r="E173" s="2915"/>
      <c r="F173" s="51" t="s">
        <v>195</v>
      </c>
      <c r="G173" s="262">
        <v>6.5000000000000002E-2</v>
      </c>
      <c r="H173" s="270">
        <f t="shared" si="17"/>
        <v>5.7869310451291497E-2</v>
      </c>
      <c r="I173" s="269">
        <v>14155</v>
      </c>
      <c r="J173" s="531">
        <f>-(H173-G173)*N163</f>
        <v>1744.1872000000005</v>
      </c>
      <c r="K173" s="445"/>
      <c r="L173" s="3395"/>
      <c r="M173" s="3396"/>
      <c r="N173" s="3396"/>
      <c r="O173" s="3396"/>
      <c r="P173" s="3397"/>
    </row>
    <row r="174" spans="1:16" s="1" customFormat="1" ht="32" customHeight="1" x14ac:dyDescent="0.15">
      <c r="A174" s="264">
        <v>12</v>
      </c>
      <c r="B174" s="1584" t="s">
        <v>25</v>
      </c>
      <c r="C174" s="1584" t="s">
        <v>116</v>
      </c>
      <c r="D174" s="2880" t="s">
        <v>185</v>
      </c>
      <c r="E174" s="2915"/>
      <c r="F174" s="51" t="s">
        <v>195</v>
      </c>
      <c r="G174" s="262">
        <v>0</v>
      </c>
      <c r="H174" s="261"/>
      <c r="I174" s="269">
        <v>4180</v>
      </c>
      <c r="J174" s="70"/>
      <c r="K174" s="445"/>
      <c r="L174" s="3395" t="s">
        <v>639</v>
      </c>
      <c r="M174" s="3396"/>
      <c r="N174" s="3396"/>
      <c r="O174" s="3396"/>
      <c r="P174" s="3397"/>
    </row>
    <row r="175" spans="1:16" s="1" customFormat="1" ht="26" customHeight="1" x14ac:dyDescent="0.2">
      <c r="A175" s="3061" t="s">
        <v>586</v>
      </c>
      <c r="B175" s="3061"/>
      <c r="C175" s="3061"/>
      <c r="D175" s="3061"/>
      <c r="E175" s="3061"/>
      <c r="F175" s="3061"/>
      <c r="G175" s="3061"/>
      <c r="H175" s="3061"/>
      <c r="I175" s="3061"/>
      <c r="J175" s="3061"/>
      <c r="K175" s="3061"/>
      <c r="L175" s="3061"/>
      <c r="M175" s="3061"/>
      <c r="N175" s="3061"/>
    </row>
    <row r="176" spans="1:16" s="1" customFormat="1" ht="31" customHeight="1" x14ac:dyDescent="0.2">
      <c r="A176" s="238" t="s">
        <v>39</v>
      </c>
      <c r="B176" s="1724" t="s">
        <v>34</v>
      </c>
      <c r="C176" s="241" t="s">
        <v>6</v>
      </c>
      <c r="D176" s="1712" t="s">
        <v>148</v>
      </c>
      <c r="E176" s="1689"/>
      <c r="F176" s="239" t="s">
        <v>17</v>
      </c>
      <c r="G176" s="240" t="s">
        <v>149</v>
      </c>
      <c r="H176" s="240" t="s">
        <v>150</v>
      </c>
      <c r="I176" s="241" t="s">
        <v>151</v>
      </c>
      <c r="J176" s="392" t="s">
        <v>1029</v>
      </c>
      <c r="K176" s="242" t="s">
        <v>1030</v>
      </c>
      <c r="L176" s="3051" t="s">
        <v>47</v>
      </c>
      <c r="M176" s="3052"/>
      <c r="N176" s="3052"/>
      <c r="O176" s="3052"/>
      <c r="P176" s="3053"/>
    </row>
    <row r="177" spans="1:17" s="1" customFormat="1" ht="26" customHeight="1" x14ac:dyDescent="0.15">
      <c r="A177" s="1536">
        <v>1</v>
      </c>
      <c r="B177" s="1593" t="s">
        <v>25</v>
      </c>
      <c r="C177" s="1593" t="s">
        <v>119</v>
      </c>
      <c r="D177" s="2880" t="s">
        <v>547</v>
      </c>
      <c r="E177" s="2915"/>
      <c r="F177" s="51" t="s">
        <v>49</v>
      </c>
      <c r="G177" s="56">
        <v>21.26</v>
      </c>
      <c r="H177" s="261">
        <f t="shared" ref="H177:H187" si="18">I177/$N$177</f>
        <v>21.223291084608718</v>
      </c>
      <c r="I177" s="269">
        <v>3147170</v>
      </c>
      <c r="J177" s="531">
        <f>-(H177-G177)*N177</f>
        <v>5443.5100000003622</v>
      </c>
      <c r="K177" s="445"/>
      <c r="L177" s="3018" t="s">
        <v>165</v>
      </c>
      <c r="M177" s="3020"/>
      <c r="N177" s="3372">
        <f>F137</f>
        <v>148288.5</v>
      </c>
      <c r="O177" s="3373"/>
      <c r="P177" s="3374"/>
    </row>
    <row r="178" spans="1:17" s="1" customFormat="1" ht="26" customHeight="1" x14ac:dyDescent="0.15">
      <c r="A178" s="1536">
        <v>2</v>
      </c>
      <c r="B178" s="1568" t="s">
        <v>25</v>
      </c>
      <c r="C178" s="1568" t="s">
        <v>119</v>
      </c>
      <c r="D178" s="2880" t="s">
        <v>208</v>
      </c>
      <c r="E178" s="2915"/>
      <c r="F178" s="51" t="s">
        <v>49</v>
      </c>
      <c r="G178" s="259">
        <v>0.28000000000000003</v>
      </c>
      <c r="H178" s="268">
        <f t="shared" si="18"/>
        <v>0.28108922809253584</v>
      </c>
      <c r="I178" s="269">
        <v>41682.300000000003</v>
      </c>
      <c r="J178" s="70"/>
      <c r="K178" s="531">
        <f>--(H178-G178)*N177</f>
        <v>161.51999999999646</v>
      </c>
      <c r="L178" s="3362" t="s">
        <v>362</v>
      </c>
      <c r="M178" s="3363"/>
      <c r="N178" s="3372">
        <f>N177+M23</f>
        <v>148930.5</v>
      </c>
      <c r="O178" s="3373"/>
      <c r="P178" s="3374"/>
    </row>
    <row r="179" spans="1:17" s="1" customFormat="1" ht="26" customHeight="1" x14ac:dyDescent="0.15">
      <c r="A179" s="1536">
        <v>3</v>
      </c>
      <c r="B179" s="1568" t="s">
        <v>25</v>
      </c>
      <c r="C179" s="1568" t="s">
        <v>119</v>
      </c>
      <c r="D179" s="2880" t="s">
        <v>733</v>
      </c>
      <c r="E179" s="2915"/>
      <c r="F179" s="51" t="s">
        <v>49</v>
      </c>
      <c r="G179" s="259">
        <v>3.9E-2</v>
      </c>
      <c r="H179" s="268">
        <f t="shared" si="18"/>
        <v>0.10355287159826959</v>
      </c>
      <c r="I179" s="269">
        <v>15355.7</v>
      </c>
      <c r="J179" s="70"/>
      <c r="K179" s="445">
        <f>--(H179-G179)*N177</f>
        <v>9572.4484999999986</v>
      </c>
      <c r="L179" s="3395"/>
      <c r="M179" s="3396"/>
      <c r="N179" s="3396"/>
      <c r="O179" s="3396"/>
      <c r="P179" s="3397"/>
    </row>
    <row r="180" spans="1:17" s="1" customFormat="1" ht="26" customHeight="1" x14ac:dyDescent="0.15">
      <c r="A180" s="1536">
        <v>4</v>
      </c>
      <c r="B180" s="1568" t="s">
        <v>25</v>
      </c>
      <c r="C180" s="1568" t="s">
        <v>119</v>
      </c>
      <c r="D180" s="3392" t="s">
        <v>196</v>
      </c>
      <c r="E180" s="3392"/>
      <c r="F180" s="51" t="s">
        <v>49</v>
      </c>
      <c r="G180" s="259">
        <v>0.11700000000000001</v>
      </c>
      <c r="H180" s="268">
        <f t="shared" si="18"/>
        <v>0.12868428772291851</v>
      </c>
      <c r="I180" s="269">
        <v>19082.400000000001</v>
      </c>
      <c r="J180" s="260"/>
      <c r="K180" s="445">
        <f>--(H180-G180)*N177</f>
        <v>1732.6455000000005</v>
      </c>
      <c r="L180" s="3395"/>
      <c r="M180" s="3396"/>
      <c r="N180" s="3396"/>
      <c r="O180" s="3396"/>
      <c r="P180" s="3397"/>
    </row>
    <row r="181" spans="1:17" s="1" customFormat="1" ht="26" customHeight="1" x14ac:dyDescent="0.15">
      <c r="A181" s="1727">
        <v>5</v>
      </c>
      <c r="B181" s="1568" t="s">
        <v>25</v>
      </c>
      <c r="C181" s="1568" t="s">
        <v>119</v>
      </c>
      <c r="D181" s="3402" t="s">
        <v>176</v>
      </c>
      <c r="E181" s="3403"/>
      <c r="F181" s="1040" t="s">
        <v>195</v>
      </c>
      <c r="G181" s="1044">
        <v>0.66900000000000004</v>
      </c>
      <c r="H181" s="1045">
        <f t="shared" si="18"/>
        <v>0.66896623811017042</v>
      </c>
      <c r="I181" s="1041">
        <v>99200</v>
      </c>
      <c r="J181" s="1035"/>
      <c r="K181" s="1042"/>
      <c r="L181" s="3395"/>
      <c r="M181" s="3396"/>
      <c r="N181" s="3396"/>
      <c r="O181" s="3396"/>
      <c r="P181" s="3397"/>
    </row>
    <row r="182" spans="1:17" s="1" customFormat="1" ht="26" customHeight="1" x14ac:dyDescent="0.15">
      <c r="A182" s="1536">
        <v>6</v>
      </c>
      <c r="B182" s="1567" t="s">
        <v>25</v>
      </c>
      <c r="C182" s="1567" t="s">
        <v>119</v>
      </c>
      <c r="D182" s="2880" t="s">
        <v>177</v>
      </c>
      <c r="E182" s="2915"/>
      <c r="F182" s="51" t="s">
        <v>49</v>
      </c>
      <c r="G182" s="259">
        <v>0.02</v>
      </c>
      <c r="H182" s="287">
        <f t="shared" si="18"/>
        <v>2.0230833813815637E-2</v>
      </c>
      <c r="I182" s="269">
        <v>3000</v>
      </c>
      <c r="J182" s="265"/>
      <c r="K182" s="865"/>
      <c r="L182" s="3395"/>
      <c r="M182" s="3396"/>
      <c r="N182" s="3396"/>
      <c r="O182" s="3396"/>
      <c r="P182" s="3397"/>
    </row>
    <row r="183" spans="1:17" s="1" customFormat="1" ht="26" customHeight="1" x14ac:dyDescent="0.15">
      <c r="A183" s="1693">
        <v>7</v>
      </c>
      <c r="B183" s="1568" t="s">
        <v>25</v>
      </c>
      <c r="C183" s="1568" t="s">
        <v>119</v>
      </c>
      <c r="D183" s="2880" t="s">
        <v>178</v>
      </c>
      <c r="E183" s="2915"/>
      <c r="F183" s="51" t="s">
        <v>49</v>
      </c>
      <c r="G183" s="262">
        <v>1.9599999999999999E-2</v>
      </c>
      <c r="H183" s="536">
        <f t="shared" si="18"/>
        <v>1.2138500288289382E-2</v>
      </c>
      <c r="I183" s="269">
        <v>1800</v>
      </c>
      <c r="J183" s="257">
        <f>-(H183-G183)*$N$177</f>
        <v>1106.4545999999998</v>
      </c>
      <c r="K183" s="865"/>
      <c r="L183" s="3395"/>
      <c r="M183" s="3396"/>
      <c r="N183" s="3396"/>
      <c r="O183" s="3396"/>
      <c r="P183" s="3397"/>
    </row>
    <row r="184" spans="1:17" s="1" customFormat="1" ht="26" customHeight="1" x14ac:dyDescent="0.15">
      <c r="A184" s="1536">
        <v>8</v>
      </c>
      <c r="B184" s="1568" t="s">
        <v>25</v>
      </c>
      <c r="C184" s="1568" t="s">
        <v>119</v>
      </c>
      <c r="D184" s="3358" t="s">
        <v>179</v>
      </c>
      <c r="E184" s="3359"/>
      <c r="F184" s="51" t="s">
        <v>49</v>
      </c>
      <c r="G184" s="262">
        <v>2.7E-2</v>
      </c>
      <c r="H184" s="536">
        <f t="shared" si="18"/>
        <v>4.1641799600103849E-2</v>
      </c>
      <c r="I184" s="269">
        <v>6175</v>
      </c>
      <c r="J184" s="265"/>
      <c r="K184" s="865">
        <f>--(H184-G184)*N177</f>
        <v>2171.2104999999997</v>
      </c>
      <c r="L184" s="3395" t="s">
        <v>653</v>
      </c>
      <c r="M184" s="3396"/>
      <c r="N184" s="3396"/>
      <c r="O184" s="3396"/>
      <c r="P184" s="3397"/>
    </row>
    <row r="185" spans="1:17" s="1" customFormat="1" ht="26" customHeight="1" x14ac:dyDescent="0.15">
      <c r="A185" s="1693">
        <v>9</v>
      </c>
      <c r="B185" s="1568" t="s">
        <v>25</v>
      </c>
      <c r="C185" s="1568" t="s">
        <v>119</v>
      </c>
      <c r="D185" s="3358" t="s">
        <v>206</v>
      </c>
      <c r="E185" s="3359"/>
      <c r="F185" s="51" t="s">
        <v>49</v>
      </c>
      <c r="G185" s="262">
        <v>2.0999999999999999E-3</v>
      </c>
      <c r="H185" s="536">
        <f t="shared" si="18"/>
        <v>2.0230833813815637E-3</v>
      </c>
      <c r="I185" s="269">
        <v>300</v>
      </c>
      <c r="J185" s="257">
        <f>-(H185-G185)*$N$177</f>
        <v>11.405849999999978</v>
      </c>
      <c r="K185" s="865"/>
      <c r="L185" s="3395"/>
      <c r="M185" s="3396"/>
      <c r="N185" s="3396"/>
      <c r="O185" s="3396"/>
      <c r="P185" s="3397"/>
    </row>
    <row r="186" spans="1:17" s="1" customFormat="1" ht="26" customHeight="1" x14ac:dyDescent="0.15">
      <c r="A186" s="1705">
        <v>10</v>
      </c>
      <c r="B186" s="1568" t="s">
        <v>25</v>
      </c>
      <c r="C186" s="1568" t="s">
        <v>119</v>
      </c>
      <c r="D186" s="3400" t="s">
        <v>197</v>
      </c>
      <c r="E186" s="3401"/>
      <c r="F186" s="1037" t="s">
        <v>49</v>
      </c>
      <c r="G186" s="1043">
        <v>1.82</v>
      </c>
      <c r="H186" s="287">
        <f t="shared" si="18"/>
        <v>1.8199826689190328</v>
      </c>
      <c r="I186" s="1038">
        <v>269882.5</v>
      </c>
      <c r="J186" s="265">
        <f>-(H186-G186)*$N$177</f>
        <v>2.5700000000108991</v>
      </c>
      <c r="K186" s="1039"/>
      <c r="L186" s="3395"/>
      <c r="M186" s="3396"/>
      <c r="N186" s="3396"/>
      <c r="O186" s="3396"/>
      <c r="P186" s="3397"/>
    </row>
    <row r="187" spans="1:17" s="1" customFormat="1" ht="26" customHeight="1" x14ac:dyDescent="0.15">
      <c r="A187" s="1536">
        <v>11</v>
      </c>
      <c r="B187" s="1568" t="s">
        <v>25</v>
      </c>
      <c r="C187" s="1568" t="s">
        <v>119</v>
      </c>
      <c r="D187" s="2880" t="s">
        <v>198</v>
      </c>
      <c r="E187" s="2915"/>
      <c r="F187" s="51" t="s">
        <v>49</v>
      </c>
      <c r="G187" s="262">
        <v>7.6E-3</v>
      </c>
      <c r="H187" s="270">
        <f t="shared" si="18"/>
        <v>7.5528446238245046E-3</v>
      </c>
      <c r="I187" s="269">
        <v>1120</v>
      </c>
      <c r="J187" s="260">
        <f>-(H187-G187)*$N$178</f>
        <v>7.0228737515046147</v>
      </c>
      <c r="K187" s="445"/>
      <c r="L187" s="3395"/>
      <c r="M187" s="3396"/>
      <c r="N187" s="3396"/>
      <c r="O187" s="3396"/>
      <c r="P187" s="3397"/>
    </row>
    <row r="188" spans="1:17" s="1" customFormat="1" ht="26" customHeight="1" x14ac:dyDescent="0.15">
      <c r="A188" s="1536">
        <v>12</v>
      </c>
      <c r="B188" s="1584" t="s">
        <v>25</v>
      </c>
      <c r="C188" s="1584" t="s">
        <v>119</v>
      </c>
      <c r="D188" s="2880" t="s">
        <v>185</v>
      </c>
      <c r="E188" s="2915"/>
      <c r="F188" s="51" t="s">
        <v>195</v>
      </c>
      <c r="G188" s="262">
        <v>0</v>
      </c>
      <c r="H188" s="261"/>
      <c r="I188" s="269">
        <v>1620</v>
      </c>
      <c r="J188" s="70"/>
      <c r="K188" s="445"/>
      <c r="L188" s="3395" t="s">
        <v>652</v>
      </c>
      <c r="M188" s="3396"/>
      <c r="N188" s="3396"/>
      <c r="O188" s="3396"/>
      <c r="P188" s="3397"/>
    </row>
    <row r="189" spans="1:17" s="1" customFormat="1" ht="26" customHeight="1" x14ac:dyDescent="0.2">
      <c r="A189" s="42" t="s">
        <v>585</v>
      </c>
      <c r="H189" s="78"/>
      <c r="I189" s="447"/>
      <c r="J189" s="71"/>
      <c r="K189" s="71"/>
      <c r="N189" s="209"/>
    </row>
    <row r="190" spans="1:17" s="1" customFormat="1" ht="26" customHeight="1" x14ac:dyDescent="0.2">
      <c r="A190" s="42" t="s">
        <v>38</v>
      </c>
      <c r="H190" s="78"/>
      <c r="I190" s="447"/>
      <c r="J190" s="71"/>
      <c r="K190" s="71"/>
      <c r="N190" s="209"/>
    </row>
    <row r="191" spans="1:17" s="1" customFormat="1" ht="31" customHeight="1" x14ac:dyDescent="0.2">
      <c r="A191" s="3224" t="s">
        <v>39</v>
      </c>
      <c r="B191" s="3224" t="s">
        <v>34</v>
      </c>
      <c r="C191" s="3224" t="s">
        <v>6</v>
      </c>
      <c r="D191" s="3224" t="s">
        <v>40</v>
      </c>
      <c r="E191" s="3224" t="s">
        <v>1034</v>
      </c>
      <c r="F191" s="3226" t="s">
        <v>41</v>
      </c>
      <c r="G191" s="3227"/>
      <c r="H191" s="3228"/>
      <c r="I191" s="50" t="s">
        <v>42</v>
      </c>
      <c r="J191" s="1732" t="s">
        <v>43</v>
      </c>
      <c r="K191" s="406" t="s">
        <v>44</v>
      </c>
      <c r="L191" s="3226" t="s">
        <v>535</v>
      </c>
      <c r="M191" s="3228"/>
      <c r="N191" s="1731" t="s">
        <v>45</v>
      </c>
      <c r="O191" s="1732" t="s">
        <v>46</v>
      </c>
      <c r="P191" s="3229" t="s">
        <v>531</v>
      </c>
      <c r="Q191" s="3229" t="s">
        <v>47</v>
      </c>
    </row>
    <row r="192" spans="1:17" s="2" customFormat="1" ht="33" customHeight="1" x14ac:dyDescent="0.2">
      <c r="A192" s="3225"/>
      <c r="B192" s="3225"/>
      <c r="C192" s="3225" t="s">
        <v>6</v>
      </c>
      <c r="D192" s="3225"/>
      <c r="E192" s="3225"/>
      <c r="F192" s="50" t="s">
        <v>48</v>
      </c>
      <c r="G192" s="69" t="s">
        <v>527</v>
      </c>
      <c r="H192" s="69" t="s">
        <v>528</v>
      </c>
      <c r="I192" s="50" t="s">
        <v>164</v>
      </c>
      <c r="J192" s="50" t="s">
        <v>530</v>
      </c>
      <c r="K192" s="537" t="s">
        <v>529</v>
      </c>
      <c r="L192" s="50" t="s">
        <v>164</v>
      </c>
      <c r="M192" s="69" t="s">
        <v>532</v>
      </c>
      <c r="N192" s="406" t="s">
        <v>529</v>
      </c>
      <c r="O192" s="1732" t="s">
        <v>164</v>
      </c>
      <c r="P192" s="3230"/>
      <c r="Q192" s="3230"/>
    </row>
    <row r="193" spans="1:17" ht="49" customHeight="1" x14ac:dyDescent="0.2">
      <c r="A193" s="51">
        <v>1</v>
      </c>
      <c r="B193" s="12" t="s">
        <v>5</v>
      </c>
      <c r="C193" s="12" t="s">
        <v>115</v>
      </c>
      <c r="D193" s="1026" t="s">
        <v>612</v>
      </c>
      <c r="E193" s="723" t="s">
        <v>1036</v>
      </c>
      <c r="F193" s="66">
        <v>7576</v>
      </c>
      <c r="G193" s="870">
        <v>19.7</v>
      </c>
      <c r="H193" s="870">
        <v>2.92</v>
      </c>
      <c r="I193" s="55">
        <v>191858</v>
      </c>
      <c r="J193" s="66">
        <v>63242</v>
      </c>
      <c r="K193" s="70">
        <f>I193/J193</f>
        <v>3.0337117738211949</v>
      </c>
      <c r="L193" s="66">
        <v>19769</v>
      </c>
      <c r="M193" s="870">
        <f>L193/(L193+I193)*100</f>
        <v>9.341435639119771</v>
      </c>
      <c r="N193" s="722">
        <f>(I193+L193)/J193</f>
        <v>3.3463046709465227</v>
      </c>
      <c r="O193" s="66">
        <v>1178</v>
      </c>
      <c r="P193" s="70">
        <f>(I193+L193+O193)/J193</f>
        <v>3.3649315328420988</v>
      </c>
      <c r="Q193" s="1046" t="s">
        <v>616</v>
      </c>
    </row>
    <row r="194" spans="1:17" ht="49" customHeight="1" x14ac:dyDescent="0.2">
      <c r="A194" s="51">
        <v>2</v>
      </c>
      <c r="B194" s="12" t="s">
        <v>5</v>
      </c>
      <c r="C194" s="12" t="s">
        <v>115</v>
      </c>
      <c r="D194" s="1026" t="s">
        <v>613</v>
      </c>
      <c r="E194" s="723" t="s">
        <v>1036</v>
      </c>
      <c r="F194" s="66">
        <v>7615</v>
      </c>
      <c r="G194" s="870">
        <v>10.58</v>
      </c>
      <c r="H194" s="870">
        <v>4.3899999999999997</v>
      </c>
      <c r="I194" s="55">
        <v>993269</v>
      </c>
      <c r="J194" s="66">
        <v>338620</v>
      </c>
      <c r="K194" s="70">
        <f>I194/J194</f>
        <v>2.9332850983403227</v>
      </c>
      <c r="L194" s="66">
        <v>80923</v>
      </c>
      <c r="M194" s="870">
        <f>L194/(L194+I194)*100</f>
        <v>7.5333832313031559</v>
      </c>
      <c r="N194" s="722">
        <f>(I194+L194)/J194</f>
        <v>3.1722638946311501</v>
      </c>
      <c r="O194" s="66">
        <v>6475</v>
      </c>
      <c r="P194" s="70">
        <f>(I194+L194+O194)/J194</f>
        <v>3.1913856240033076</v>
      </c>
      <c r="Q194" s="1046" t="s">
        <v>617</v>
      </c>
    </row>
    <row r="195" spans="1:17" ht="49" customHeight="1" x14ac:dyDescent="0.2">
      <c r="A195" s="51">
        <v>3</v>
      </c>
      <c r="B195" s="12" t="s">
        <v>5</v>
      </c>
      <c r="C195" s="12" t="s">
        <v>115</v>
      </c>
      <c r="D195" s="1026" t="s">
        <v>614</v>
      </c>
      <c r="E195" s="723" t="s">
        <v>1036</v>
      </c>
      <c r="F195" s="66">
        <v>7555</v>
      </c>
      <c r="G195" s="870">
        <v>16.8</v>
      </c>
      <c r="H195" s="870">
        <v>7.3</v>
      </c>
      <c r="I195" s="55">
        <v>95802</v>
      </c>
      <c r="J195" s="66">
        <v>39215.760000000002</v>
      </c>
      <c r="K195" s="56">
        <f>I195/J195</f>
        <v>2.4429464072607541</v>
      </c>
      <c r="L195" s="66">
        <v>9802</v>
      </c>
      <c r="M195" s="870">
        <f>L195/(L195+I195)*100</f>
        <v>9.2818453846445212</v>
      </c>
      <c r="N195" s="722">
        <f>(I195+L195)/J195</f>
        <v>2.6928969373537575</v>
      </c>
      <c r="O195" s="993">
        <v>0</v>
      </c>
      <c r="P195" s="70">
        <f>(I195+L195+O195)/J195</f>
        <v>2.6928969373537575</v>
      </c>
      <c r="Q195" s="1046" t="s">
        <v>615</v>
      </c>
    </row>
    <row r="196" spans="1:17" s="1" customFormat="1" ht="26" customHeight="1" x14ac:dyDescent="0.2">
      <c r="A196" s="3335" t="s">
        <v>54</v>
      </c>
      <c r="B196" s="3335"/>
      <c r="C196" s="3335"/>
      <c r="D196" s="3335"/>
      <c r="E196" s="3335"/>
      <c r="F196" s="3335"/>
      <c r="G196" s="3335"/>
      <c r="H196" s="3335"/>
      <c r="I196" s="58">
        <f>SUM(I193:I195)</f>
        <v>1280929</v>
      </c>
      <c r="J196" s="60">
        <f>SUM(J193:J195)</f>
        <v>441077.76000000001</v>
      </c>
      <c r="K196" s="59">
        <f>I196/J196</f>
        <v>2.9040888391198867</v>
      </c>
      <c r="L196" s="859">
        <f>SUM(L193:L195)</f>
        <v>110494</v>
      </c>
      <c r="M196" s="360">
        <f>L196/(L196+I196)*100</f>
        <v>7.9410790248544112</v>
      </c>
      <c r="N196" s="360">
        <f>(I196+L196)/J196</f>
        <v>3.1545979556983332</v>
      </c>
      <c r="O196" s="60">
        <f>SUM(O193:O195)</f>
        <v>7653</v>
      </c>
      <c r="P196" s="59">
        <f>(I196+L196+O196)/J196</f>
        <v>3.1719486378093511</v>
      </c>
      <c r="Q196" s="264"/>
    </row>
    <row r="197" spans="1:17" s="1" customFormat="1" ht="24" customHeight="1" x14ac:dyDescent="0.2">
      <c r="A197" s="42" t="s">
        <v>51</v>
      </c>
      <c r="H197" s="78"/>
      <c r="I197" s="447"/>
      <c r="J197" s="71"/>
      <c r="K197" s="71"/>
      <c r="N197" s="209"/>
    </row>
    <row r="198" spans="1:17" ht="35" customHeight="1" x14ac:dyDescent="0.2">
      <c r="A198" s="3224" t="s">
        <v>39</v>
      </c>
      <c r="B198" s="3224" t="s">
        <v>34</v>
      </c>
      <c r="C198" s="3224" t="s">
        <v>6</v>
      </c>
      <c r="D198" s="3224" t="s">
        <v>40</v>
      </c>
      <c r="E198" s="3224" t="s">
        <v>1034</v>
      </c>
      <c r="F198" s="3226" t="s">
        <v>41</v>
      </c>
      <c r="G198" s="3227"/>
      <c r="H198" s="3228"/>
      <c r="I198" s="50" t="s">
        <v>42</v>
      </c>
      <c r="J198" s="1732" t="s">
        <v>43</v>
      </c>
      <c r="K198" s="406" t="s">
        <v>44</v>
      </c>
      <c r="L198" s="3226" t="s">
        <v>535</v>
      </c>
      <c r="M198" s="3228"/>
      <c r="N198" s="1731" t="s">
        <v>45</v>
      </c>
      <c r="O198" s="1732" t="s">
        <v>46</v>
      </c>
      <c r="P198" s="3229" t="s">
        <v>531</v>
      </c>
      <c r="Q198" s="3229" t="s">
        <v>47</v>
      </c>
    </row>
    <row r="199" spans="1:17" ht="37" customHeight="1" x14ac:dyDescent="0.2">
      <c r="A199" s="3225"/>
      <c r="B199" s="3225"/>
      <c r="C199" s="3225" t="s">
        <v>6</v>
      </c>
      <c r="D199" s="3225"/>
      <c r="E199" s="3225"/>
      <c r="F199" s="50" t="s">
        <v>48</v>
      </c>
      <c r="G199" s="69" t="s">
        <v>527</v>
      </c>
      <c r="H199" s="69" t="s">
        <v>528</v>
      </c>
      <c r="I199" s="50" t="s">
        <v>164</v>
      </c>
      <c r="J199" s="50" t="s">
        <v>530</v>
      </c>
      <c r="K199" s="537" t="s">
        <v>529</v>
      </c>
      <c r="L199" s="50" t="s">
        <v>164</v>
      </c>
      <c r="M199" s="69" t="s">
        <v>532</v>
      </c>
      <c r="N199" s="406" t="s">
        <v>529</v>
      </c>
      <c r="O199" s="1732" t="s">
        <v>164</v>
      </c>
      <c r="P199" s="3230"/>
      <c r="Q199" s="3230"/>
    </row>
    <row r="200" spans="1:17" ht="63" customHeight="1" x14ac:dyDescent="0.2">
      <c r="A200" s="51">
        <v>1</v>
      </c>
      <c r="B200" s="51" t="s">
        <v>25</v>
      </c>
      <c r="C200" s="51" t="s">
        <v>116</v>
      </c>
      <c r="D200" s="894" t="s">
        <v>612</v>
      </c>
      <c r="E200" s="723" t="s">
        <v>1036</v>
      </c>
      <c r="F200" s="66">
        <v>7576</v>
      </c>
      <c r="G200" s="870">
        <v>19.7</v>
      </c>
      <c r="H200" s="870">
        <v>2.92</v>
      </c>
      <c r="I200" s="55">
        <v>183038</v>
      </c>
      <c r="J200" s="66">
        <v>59346</v>
      </c>
      <c r="K200" s="70">
        <f>I200/J200</f>
        <v>3.0842516766083645</v>
      </c>
      <c r="L200" s="66">
        <v>18509</v>
      </c>
      <c r="M200" s="870">
        <f>L200/(L200+I200)*100</f>
        <v>9.1834658913305578</v>
      </c>
      <c r="N200" s="722">
        <f>(I200+L200)/J200</f>
        <v>3.3961345330772081</v>
      </c>
      <c r="O200" s="66">
        <v>1124</v>
      </c>
      <c r="P200" s="70">
        <f>(I200+L200+O200)/J200</f>
        <v>3.4150743099787686</v>
      </c>
      <c r="Q200" s="893" t="s">
        <v>616</v>
      </c>
    </row>
    <row r="201" spans="1:17" ht="63" customHeight="1" x14ac:dyDescent="0.2">
      <c r="A201" s="51">
        <v>2</v>
      </c>
      <c r="B201" s="51" t="s">
        <v>25</v>
      </c>
      <c r="C201" s="51" t="s">
        <v>116</v>
      </c>
      <c r="D201" s="894" t="s">
        <v>613</v>
      </c>
      <c r="E201" s="723" t="s">
        <v>1036</v>
      </c>
      <c r="F201" s="66">
        <v>7615</v>
      </c>
      <c r="G201" s="870">
        <v>10.58</v>
      </c>
      <c r="H201" s="870">
        <v>4.3899999999999997</v>
      </c>
      <c r="I201" s="55">
        <v>604649</v>
      </c>
      <c r="J201" s="66">
        <v>185256.88</v>
      </c>
      <c r="K201" s="70">
        <f>I201/J201</f>
        <v>3.263840997430163</v>
      </c>
      <c r="L201" s="66">
        <v>49364</v>
      </c>
      <c r="M201" s="870">
        <f>L201/(L201+I201)*100</f>
        <v>7.5478621984578291</v>
      </c>
      <c r="N201" s="722">
        <f>(I201+L201)/J201</f>
        <v>3.5303034359641594</v>
      </c>
      <c r="O201" s="66">
        <v>3981</v>
      </c>
      <c r="P201" s="70">
        <f>(I201+L201+O201)/J201</f>
        <v>3.5517925164236814</v>
      </c>
      <c r="Q201" s="893" t="s">
        <v>617</v>
      </c>
    </row>
    <row r="202" spans="1:17" ht="27" customHeight="1" x14ac:dyDescent="0.2">
      <c r="A202" s="3336" t="s">
        <v>54</v>
      </c>
      <c r="B202" s="3336"/>
      <c r="C202" s="3336"/>
      <c r="D202" s="3336"/>
      <c r="E202" s="3336"/>
      <c r="F202" s="3336"/>
      <c r="G202" s="3336"/>
      <c r="H202" s="3336"/>
      <c r="I202" s="888">
        <f>I200+I201</f>
        <v>787687</v>
      </c>
      <c r="J202" s="888">
        <f>J200+J201</f>
        <v>244602.88</v>
      </c>
      <c r="K202" s="59">
        <f>I202/J202</f>
        <v>3.2202687065663329</v>
      </c>
      <c r="L202" s="859">
        <f>L200+L201</f>
        <v>67873</v>
      </c>
      <c r="M202" s="360">
        <f>L202/(L202+I202)*100</f>
        <v>7.9331665809528262</v>
      </c>
      <c r="N202" s="360">
        <f>(I202+L202)/J202</f>
        <v>3.4977511303219324</v>
      </c>
      <c r="O202" s="60">
        <f>O200+O201</f>
        <v>5105</v>
      </c>
      <c r="P202" s="59">
        <f>(I202+L202+O202)/J202</f>
        <v>3.5186216940699961</v>
      </c>
      <c r="Q202" s="893"/>
    </row>
    <row r="203" spans="1:17" s="1" customFormat="1" ht="27" customHeight="1" x14ac:dyDescent="0.2">
      <c r="A203" s="42" t="s">
        <v>587</v>
      </c>
      <c r="H203" s="78"/>
      <c r="I203" s="447"/>
      <c r="J203" s="71"/>
      <c r="K203" s="71"/>
      <c r="N203" s="209"/>
    </row>
    <row r="204" spans="1:17" s="1" customFormat="1" ht="41" customHeight="1" x14ac:dyDescent="0.2">
      <c r="A204" s="3224" t="s">
        <v>39</v>
      </c>
      <c r="B204" s="3224" t="s">
        <v>34</v>
      </c>
      <c r="C204" s="3224" t="s">
        <v>6</v>
      </c>
      <c r="D204" s="3224" t="s">
        <v>40</v>
      </c>
      <c r="E204" s="3224" t="s">
        <v>1034</v>
      </c>
      <c r="F204" s="3226" t="s">
        <v>41</v>
      </c>
      <c r="G204" s="3227"/>
      <c r="H204" s="3228"/>
      <c r="I204" s="50" t="s">
        <v>42</v>
      </c>
      <c r="J204" s="1732" t="s">
        <v>43</v>
      </c>
      <c r="K204" s="406" t="s">
        <v>44</v>
      </c>
      <c r="L204" s="3226" t="s">
        <v>535</v>
      </c>
      <c r="M204" s="3228"/>
      <c r="N204" s="1731" t="s">
        <v>45</v>
      </c>
      <c r="O204" s="1732" t="s">
        <v>46</v>
      </c>
      <c r="P204" s="3229" t="s">
        <v>531</v>
      </c>
      <c r="Q204" s="3229" t="s">
        <v>47</v>
      </c>
    </row>
    <row r="205" spans="1:17" s="1" customFormat="1" ht="41" customHeight="1" x14ac:dyDescent="0.2">
      <c r="A205" s="3225"/>
      <c r="B205" s="3225"/>
      <c r="C205" s="3225" t="s">
        <v>6</v>
      </c>
      <c r="D205" s="3225"/>
      <c r="E205" s="3225"/>
      <c r="F205" s="50" t="s">
        <v>48</v>
      </c>
      <c r="G205" s="69" t="s">
        <v>527</v>
      </c>
      <c r="H205" s="69" t="s">
        <v>528</v>
      </c>
      <c r="I205" s="50" t="s">
        <v>164</v>
      </c>
      <c r="J205" s="50" t="s">
        <v>530</v>
      </c>
      <c r="K205" s="537" t="s">
        <v>529</v>
      </c>
      <c r="L205" s="50" t="s">
        <v>164</v>
      </c>
      <c r="M205" s="69" t="s">
        <v>532</v>
      </c>
      <c r="N205" s="406" t="s">
        <v>529</v>
      </c>
      <c r="O205" s="1732" t="s">
        <v>164</v>
      </c>
      <c r="P205" s="3230"/>
      <c r="Q205" s="3230"/>
    </row>
    <row r="206" spans="1:17" s="1" customFormat="1" ht="64" customHeight="1" x14ac:dyDescent="0.2">
      <c r="A206" s="51">
        <v>1</v>
      </c>
      <c r="B206" s="51" t="s">
        <v>25</v>
      </c>
      <c r="C206" s="51" t="s">
        <v>119</v>
      </c>
      <c r="D206" s="894" t="s">
        <v>613</v>
      </c>
      <c r="E206" s="723" t="s">
        <v>1036</v>
      </c>
      <c r="F206" s="66">
        <v>7615</v>
      </c>
      <c r="G206" s="870">
        <v>10.58</v>
      </c>
      <c r="H206" s="870">
        <v>4.3899999999999997</v>
      </c>
      <c r="I206" s="55">
        <v>274341</v>
      </c>
      <c r="J206" s="66">
        <v>112259</v>
      </c>
      <c r="K206" s="70">
        <f>I206/J206</f>
        <v>2.4438218761970085</v>
      </c>
      <c r="L206" s="66">
        <v>22398</v>
      </c>
      <c r="M206" s="870">
        <f>L206/(L206+I206)*100</f>
        <v>7.548047273866934</v>
      </c>
      <c r="N206" s="722">
        <f>(I206+L206)/J206</f>
        <v>2.6433426273171863</v>
      </c>
      <c r="O206" s="66">
        <v>1760</v>
      </c>
      <c r="P206" s="70">
        <f>(I206+L206+O206)/J206</f>
        <v>2.6590206575864741</v>
      </c>
      <c r="Q206" s="893" t="s">
        <v>616</v>
      </c>
    </row>
    <row r="207" spans="1:17" s="1" customFormat="1" ht="64" customHeight="1" x14ac:dyDescent="0.2">
      <c r="A207" s="51">
        <v>2</v>
      </c>
      <c r="B207" s="51" t="s">
        <v>25</v>
      </c>
      <c r="C207" s="51" t="s">
        <v>119</v>
      </c>
      <c r="D207" s="894" t="s">
        <v>614</v>
      </c>
      <c r="E207" s="723" t="s">
        <v>1036</v>
      </c>
      <c r="F207" s="66">
        <v>7555</v>
      </c>
      <c r="G207" s="870">
        <v>16.8</v>
      </c>
      <c r="H207" s="870">
        <v>7.3</v>
      </c>
      <c r="I207" s="55">
        <v>82922</v>
      </c>
      <c r="J207" s="66">
        <v>36029.5</v>
      </c>
      <c r="K207" s="70">
        <f>I207/J207</f>
        <v>2.3015029350948528</v>
      </c>
      <c r="L207" s="66">
        <v>8485</v>
      </c>
      <c r="M207" s="870">
        <f>L207/(L207+I207)*100</f>
        <v>9.2826588773288705</v>
      </c>
      <c r="N207" s="722">
        <f>(I207+L207)/J207</f>
        <v>2.5370043991729001</v>
      </c>
      <c r="O207" s="993">
        <v>0</v>
      </c>
      <c r="P207" s="70">
        <f>(I207+L207+O207)/J207</f>
        <v>2.5370043991729001</v>
      </c>
      <c r="Q207" s="893" t="s">
        <v>617</v>
      </c>
    </row>
    <row r="208" spans="1:17" s="1" customFormat="1" ht="27" customHeight="1" x14ac:dyDescent="0.2">
      <c r="A208" s="3380" t="s">
        <v>54</v>
      </c>
      <c r="B208" s="3381"/>
      <c r="C208" s="3381"/>
      <c r="D208" s="3381"/>
      <c r="E208" s="3381"/>
      <c r="F208" s="3381"/>
      <c r="G208" s="3381"/>
      <c r="H208" s="3382"/>
      <c r="I208" s="888">
        <f>I206+I207</f>
        <v>357263</v>
      </c>
      <c r="J208" s="888">
        <f>J206+J207</f>
        <v>148288.5</v>
      </c>
      <c r="K208" s="59">
        <f>I208/J208</f>
        <v>2.4092427936084051</v>
      </c>
      <c r="L208" s="859">
        <f>L206+L207</f>
        <v>30883</v>
      </c>
      <c r="M208" s="360">
        <f>L208/(L208+I208)*100</f>
        <v>7.9565421259010787</v>
      </c>
      <c r="N208" s="360">
        <f>(I208+L208)/J208</f>
        <v>2.6175057404990945</v>
      </c>
      <c r="O208" s="60">
        <f>O206+O207</f>
        <v>1760</v>
      </c>
      <c r="P208" s="59">
        <f>(I208+L208+O208)/J208</f>
        <v>2.6293744963365331</v>
      </c>
      <c r="Q208" s="893"/>
    </row>
    <row r="209" spans="1:18" s="1" customFormat="1" ht="27" customHeight="1" x14ac:dyDescent="0.2">
      <c r="A209" s="3398" t="s">
        <v>618</v>
      </c>
      <c r="B209" s="3398"/>
      <c r="C209" s="3398"/>
      <c r="D209" s="3398"/>
      <c r="E209" s="3398"/>
      <c r="F209" s="3398"/>
      <c r="G209" s="3398"/>
      <c r="H209" s="3398"/>
      <c r="I209" s="3398"/>
      <c r="J209" s="3398"/>
      <c r="K209" s="3398"/>
      <c r="L209" s="3398"/>
      <c r="M209" s="3398"/>
      <c r="N209" s="3398"/>
    </row>
    <row r="210" spans="1:18" s="1" customFormat="1" ht="31" customHeight="1" x14ac:dyDescent="0.2">
      <c r="A210" s="1732" t="s">
        <v>39</v>
      </c>
      <c r="B210" s="1732" t="s">
        <v>40</v>
      </c>
      <c r="C210" s="1732" t="s">
        <v>41</v>
      </c>
      <c r="D210" s="1732"/>
      <c r="E210" s="1732"/>
      <c r="F210" s="50" t="s">
        <v>42</v>
      </c>
      <c r="G210" s="50" t="s">
        <v>43</v>
      </c>
      <c r="H210" s="537" t="s">
        <v>44</v>
      </c>
      <c r="I210" s="1732" t="s">
        <v>535</v>
      </c>
      <c r="J210" s="1732"/>
      <c r="K210" s="69" t="s">
        <v>45</v>
      </c>
      <c r="L210" s="50" t="s">
        <v>46</v>
      </c>
      <c r="M210" s="1731" t="s">
        <v>531</v>
      </c>
      <c r="N210" s="1731" t="s">
        <v>47</v>
      </c>
    </row>
    <row r="211" spans="1:18" s="1" customFormat="1" ht="27" customHeight="1" x14ac:dyDescent="0.2">
      <c r="A211" s="1732"/>
      <c r="B211" s="1732"/>
      <c r="C211" s="50" t="s">
        <v>48</v>
      </c>
      <c r="D211" s="69" t="s">
        <v>527</v>
      </c>
      <c r="E211" s="69" t="s">
        <v>528</v>
      </c>
      <c r="F211" s="50" t="s">
        <v>164</v>
      </c>
      <c r="G211" s="50" t="s">
        <v>530</v>
      </c>
      <c r="H211" s="537" t="s">
        <v>529</v>
      </c>
      <c r="I211" s="50" t="s">
        <v>164</v>
      </c>
      <c r="J211" s="69" t="s">
        <v>532</v>
      </c>
      <c r="K211" s="537" t="s">
        <v>529</v>
      </c>
      <c r="L211" s="50" t="s">
        <v>164</v>
      </c>
      <c r="M211" s="1731"/>
      <c r="N211" s="1731"/>
    </row>
    <row r="212" spans="1:18" s="1" customFormat="1" ht="58" customHeight="1" x14ac:dyDescent="0.2">
      <c r="A212" s="51">
        <v>1</v>
      </c>
      <c r="B212" s="894" t="s">
        <v>612</v>
      </c>
      <c r="C212" s="66">
        <v>7576</v>
      </c>
      <c r="D212" s="870">
        <v>19.7</v>
      </c>
      <c r="E212" s="870">
        <v>2.92</v>
      </c>
      <c r="F212" s="55">
        <f>I200</f>
        <v>183038</v>
      </c>
      <c r="G212" s="55">
        <f>J200</f>
        <v>59346</v>
      </c>
      <c r="H212" s="70">
        <f>F212/G212</f>
        <v>3.0842516766083645</v>
      </c>
      <c r="I212" s="991">
        <f>L200</f>
        <v>18509</v>
      </c>
      <c r="J212" s="870">
        <f>I212/(I212+F212)*100</f>
        <v>9.1834658913305578</v>
      </c>
      <c r="K212" s="722">
        <f>(F212+I212)/G212</f>
        <v>3.3961345330772081</v>
      </c>
      <c r="L212" s="991">
        <f>O200</f>
        <v>1124</v>
      </c>
      <c r="M212" s="70">
        <f>(F212+I212+L212)/G212</f>
        <v>3.4150743099787686</v>
      </c>
      <c r="N212" s="893" t="s">
        <v>616</v>
      </c>
    </row>
    <row r="213" spans="1:18" s="1" customFormat="1" ht="58" customHeight="1" x14ac:dyDescent="0.2">
      <c r="A213" s="51">
        <v>2</v>
      </c>
      <c r="B213" s="894" t="s">
        <v>613</v>
      </c>
      <c r="C213" s="66">
        <v>7615</v>
      </c>
      <c r="D213" s="870">
        <v>10.58</v>
      </c>
      <c r="E213" s="870">
        <v>4.3899999999999997</v>
      </c>
      <c r="F213" s="55">
        <f>I201+I206</f>
        <v>878990</v>
      </c>
      <c r="G213" s="55">
        <f>J201+J206</f>
        <v>297515.88</v>
      </c>
      <c r="H213" s="70">
        <f>F213/G213</f>
        <v>2.9544305332542251</v>
      </c>
      <c r="I213" s="66">
        <f>L201+L206</f>
        <v>71762</v>
      </c>
      <c r="J213" s="870">
        <f>I213/(I213+F213)*100</f>
        <v>7.5479199623035242</v>
      </c>
      <c r="K213" s="722">
        <f>(F213+I213)/G213</f>
        <v>3.1956344649569628</v>
      </c>
      <c r="L213" s="66">
        <f>O201+O206</f>
        <v>5741</v>
      </c>
      <c r="M213" s="70">
        <f>(F213+I213+L213)/G213</f>
        <v>3.2149309139397868</v>
      </c>
      <c r="N213" s="893" t="s">
        <v>617</v>
      </c>
    </row>
    <row r="214" spans="1:18" s="1" customFormat="1" ht="58" customHeight="1" x14ac:dyDescent="0.2">
      <c r="A214" s="51">
        <v>3</v>
      </c>
      <c r="B214" s="894" t="s">
        <v>614</v>
      </c>
      <c r="C214" s="66">
        <v>7555</v>
      </c>
      <c r="D214" s="870">
        <v>16.8</v>
      </c>
      <c r="E214" s="870">
        <v>7.3</v>
      </c>
      <c r="F214" s="55">
        <f>I207</f>
        <v>82922</v>
      </c>
      <c r="G214" s="66">
        <f>J207</f>
        <v>36029.5</v>
      </c>
      <c r="H214" s="56">
        <f>F214/G214</f>
        <v>2.3015029350948528</v>
      </c>
      <c r="I214" s="66">
        <f>L207</f>
        <v>8485</v>
      </c>
      <c r="J214" s="870">
        <f>I214/(I214+F214)*100</f>
        <v>9.2826588773288705</v>
      </c>
      <c r="K214" s="722">
        <f>(F214+I214)/G214</f>
        <v>2.5370043991729001</v>
      </c>
      <c r="L214" s="993">
        <v>0</v>
      </c>
      <c r="M214" s="70">
        <f>(F214+I214+L214)/G214</f>
        <v>2.5370043991729001</v>
      </c>
      <c r="N214" s="893" t="s">
        <v>615</v>
      </c>
    </row>
    <row r="215" spans="1:18" s="1" customFormat="1" ht="27" customHeight="1" x14ac:dyDescent="0.2">
      <c r="A215" s="1730" t="s">
        <v>54</v>
      </c>
      <c r="B215" s="1730"/>
      <c r="C215" s="1730"/>
      <c r="D215" s="1730"/>
      <c r="E215" s="1730"/>
      <c r="F215" s="58">
        <f>SUM(F212:F214)</f>
        <v>1144950</v>
      </c>
      <c r="G215" s="60">
        <f>SUM(G212:G214)</f>
        <v>392891.38</v>
      </c>
      <c r="H215" s="59">
        <f>F215/G215</f>
        <v>2.91416421505608</v>
      </c>
      <c r="I215" s="859">
        <f>SUM(I212:I214)</f>
        <v>98756</v>
      </c>
      <c r="J215" s="360">
        <f>I215/(I215+F215)*100</f>
        <v>7.9404618133224414</v>
      </c>
      <c r="K215" s="360">
        <f>(F215+I215)/G215</f>
        <v>3.1655212186126351</v>
      </c>
      <c r="L215" s="60">
        <f>SUM(L212:L214)</f>
        <v>6865</v>
      </c>
      <c r="M215" s="59">
        <f>(F215+I215+L215)/G215</f>
        <v>3.1829942413091374</v>
      </c>
      <c r="N215" s="264"/>
    </row>
    <row r="216" spans="1:18" s="1" customFormat="1" ht="23" customHeight="1" x14ac:dyDescent="0.2">
      <c r="A216" s="42" t="s">
        <v>619</v>
      </c>
      <c r="H216" s="78"/>
      <c r="I216" s="447"/>
      <c r="J216" s="71"/>
      <c r="K216" s="71"/>
      <c r="N216" s="209"/>
    </row>
    <row r="217" spans="1:18" s="1" customFormat="1" ht="34" customHeight="1" x14ac:dyDescent="0.2">
      <c r="A217" s="3407" t="s">
        <v>39</v>
      </c>
      <c r="B217" s="3407" t="s">
        <v>40</v>
      </c>
      <c r="C217" s="3407" t="s">
        <v>41</v>
      </c>
      <c r="D217" s="3407"/>
      <c r="E217" s="3407"/>
      <c r="F217" s="935" t="s">
        <v>42</v>
      </c>
      <c r="G217" s="935" t="s">
        <v>43</v>
      </c>
      <c r="H217" s="936" t="s">
        <v>533</v>
      </c>
      <c r="I217" s="3407" t="s">
        <v>535</v>
      </c>
      <c r="J217" s="3407"/>
      <c r="K217" s="937" t="s">
        <v>45</v>
      </c>
      <c r="L217" s="935" t="s">
        <v>46</v>
      </c>
      <c r="M217" s="3406" t="s">
        <v>531</v>
      </c>
      <c r="N217" s="3406" t="s">
        <v>47</v>
      </c>
    </row>
    <row r="218" spans="1:18" s="1" customFormat="1" ht="35" customHeight="1" x14ac:dyDescent="0.2">
      <c r="A218" s="3407"/>
      <c r="B218" s="3407"/>
      <c r="C218" s="935" t="s">
        <v>48</v>
      </c>
      <c r="D218" s="937" t="s">
        <v>527</v>
      </c>
      <c r="E218" s="937" t="s">
        <v>528</v>
      </c>
      <c r="F218" s="935" t="s">
        <v>164</v>
      </c>
      <c r="G218" s="935" t="s">
        <v>530</v>
      </c>
      <c r="H218" s="936" t="s">
        <v>534</v>
      </c>
      <c r="I218" s="935" t="s">
        <v>164</v>
      </c>
      <c r="J218" s="937" t="s">
        <v>532</v>
      </c>
      <c r="K218" s="936" t="s">
        <v>534</v>
      </c>
      <c r="L218" s="935" t="s">
        <v>164</v>
      </c>
      <c r="M218" s="3406"/>
      <c r="N218" s="3406"/>
    </row>
    <row r="219" spans="1:18" s="1" customFormat="1" ht="62" customHeight="1" x14ac:dyDescent="0.2">
      <c r="A219" s="51">
        <v>1</v>
      </c>
      <c r="B219" s="894" t="s">
        <v>612</v>
      </c>
      <c r="C219" s="66">
        <v>7576</v>
      </c>
      <c r="D219" s="870">
        <v>19.7</v>
      </c>
      <c r="E219" s="870">
        <v>2.92</v>
      </c>
      <c r="F219" s="55">
        <f t="shared" ref="F219:G221" si="19">I193+F212</f>
        <v>374896</v>
      </c>
      <c r="G219" s="55">
        <f t="shared" si="19"/>
        <v>122588</v>
      </c>
      <c r="H219" s="70">
        <f>F219/G219</f>
        <v>3.0581786145462853</v>
      </c>
      <c r="I219" s="991">
        <f>L193+I212</f>
        <v>38278</v>
      </c>
      <c r="J219" s="992">
        <f>I219/(I219+F219)*100</f>
        <v>9.2643777197984392</v>
      </c>
      <c r="K219" s="722">
        <f>(F219+I219)/G219</f>
        <v>3.3704277743335398</v>
      </c>
      <c r="L219" s="991">
        <f>O193+L212</f>
        <v>2302</v>
      </c>
      <c r="M219" s="70">
        <f>(F219+I219+L219)/G219</f>
        <v>3.3892061213169313</v>
      </c>
      <c r="N219" s="893" t="s">
        <v>616</v>
      </c>
    </row>
    <row r="220" spans="1:18" s="1" customFormat="1" ht="62" customHeight="1" x14ac:dyDescent="0.2">
      <c r="A220" s="51">
        <v>2</v>
      </c>
      <c r="B220" s="894" t="s">
        <v>613</v>
      </c>
      <c r="C220" s="66">
        <v>7615</v>
      </c>
      <c r="D220" s="870">
        <v>10.58</v>
      </c>
      <c r="E220" s="870">
        <v>4.3899999999999997</v>
      </c>
      <c r="F220" s="55">
        <f t="shared" si="19"/>
        <v>1872259</v>
      </c>
      <c r="G220" s="55">
        <f t="shared" si="19"/>
        <v>636135.88</v>
      </c>
      <c r="H220" s="70">
        <f>F220/G220</f>
        <v>2.9431746563328578</v>
      </c>
      <c r="I220" s="66">
        <f>L194+I213</f>
        <v>152685</v>
      </c>
      <c r="J220" s="870">
        <f>I220/(I220+F220)*100</f>
        <v>7.5402085193467085</v>
      </c>
      <c r="K220" s="722">
        <f>(F220+I220)/G220</f>
        <v>3.1831941314173315</v>
      </c>
      <c r="L220" s="1033">
        <f>O194+L213</f>
        <v>12216</v>
      </c>
      <c r="M220" s="70">
        <f>(F220+I220+L220)/G220</f>
        <v>3.2023975758135195</v>
      </c>
      <c r="N220" s="893" t="s">
        <v>617</v>
      </c>
    </row>
    <row r="221" spans="1:18" s="1" customFormat="1" ht="62" customHeight="1" x14ac:dyDescent="0.2">
      <c r="A221" s="51">
        <v>3</v>
      </c>
      <c r="B221" s="894" t="s">
        <v>614</v>
      </c>
      <c r="C221" s="66">
        <v>7555</v>
      </c>
      <c r="D221" s="870">
        <v>16.8</v>
      </c>
      <c r="E221" s="870">
        <v>7.3</v>
      </c>
      <c r="F221" s="55">
        <f t="shared" si="19"/>
        <v>178724</v>
      </c>
      <c r="G221" s="66">
        <f t="shared" si="19"/>
        <v>75245.260000000009</v>
      </c>
      <c r="H221" s="56">
        <f>F221/G221</f>
        <v>2.3752193825896804</v>
      </c>
      <c r="I221" s="66">
        <f>L195+I214</f>
        <v>18287</v>
      </c>
      <c r="J221" s="870">
        <f>I221/(I221+F221)*100</f>
        <v>9.2822228200455807</v>
      </c>
      <c r="K221" s="722">
        <f>(F221+I221)/G221</f>
        <v>2.6182513024740692</v>
      </c>
      <c r="L221" s="993">
        <v>0</v>
      </c>
      <c r="M221" s="70">
        <f>(F221+I221+L221)/G221</f>
        <v>2.6182513024740692</v>
      </c>
      <c r="N221" s="893" t="s">
        <v>615</v>
      </c>
    </row>
    <row r="222" spans="1:18" s="1" customFormat="1" ht="27" customHeight="1" x14ac:dyDescent="0.2">
      <c r="A222" s="3335" t="s">
        <v>54</v>
      </c>
      <c r="B222" s="3335"/>
      <c r="C222" s="3335"/>
      <c r="D222" s="3335"/>
      <c r="E222" s="3335"/>
      <c r="F222" s="58">
        <f>SUM(F219:F221)</f>
        <v>2425879</v>
      </c>
      <c r="G222" s="58">
        <f>SUM(G219:G221)</f>
        <v>833969.14</v>
      </c>
      <c r="H222" s="59">
        <f>F222/G222</f>
        <v>2.9088354516331383</v>
      </c>
      <c r="I222" s="859">
        <f>SUM(I219:I221)</f>
        <v>209250</v>
      </c>
      <c r="J222" s="360">
        <f>I222/(I222+F222)*100</f>
        <v>7.9407877185519187</v>
      </c>
      <c r="K222" s="360">
        <f>(F222+I222)/G222</f>
        <v>3.1597440164272745</v>
      </c>
      <c r="L222" s="60">
        <f>SUM(L219:L221)</f>
        <v>14518</v>
      </c>
      <c r="M222" s="59">
        <f>(F222+I222+L222)/G222</f>
        <v>3.1771523344376988</v>
      </c>
      <c r="N222" s="264"/>
    </row>
    <row r="223" spans="1:18" s="1" customFormat="1" ht="26" customHeight="1" x14ac:dyDescent="0.2">
      <c r="A223" s="1001" t="s">
        <v>515</v>
      </c>
      <c r="B223" s="1002"/>
      <c r="C223" s="1002"/>
      <c r="D223" s="1002"/>
      <c r="E223" s="1002"/>
      <c r="F223" s="1002"/>
      <c r="G223" s="1002"/>
      <c r="H223" s="1002"/>
      <c r="I223" s="1003"/>
      <c r="J223" s="1003"/>
      <c r="K223" s="1004"/>
      <c r="L223" s="1004"/>
      <c r="M223" s="1005"/>
      <c r="N223" s="1005"/>
      <c r="O223" s="876"/>
      <c r="P223" s="876"/>
      <c r="Q223" s="876"/>
      <c r="R223" s="876"/>
    </row>
    <row r="224" spans="1:18" s="1" customFormat="1" ht="40" customHeight="1" x14ac:dyDescent="0.2">
      <c r="A224" s="3399" t="s">
        <v>620</v>
      </c>
      <c r="B224" s="3399"/>
      <c r="C224" s="3399"/>
      <c r="D224" s="3399"/>
      <c r="E224" s="3399"/>
      <c r="F224" s="3399"/>
      <c r="G224" s="3399"/>
      <c r="H224" s="3399"/>
      <c r="I224" s="3399"/>
      <c r="J224" s="3399"/>
      <c r="K224" s="3399"/>
      <c r="L224" s="3399"/>
      <c r="M224" s="3399"/>
      <c r="N224" s="3399"/>
      <c r="O224" s="1000"/>
      <c r="P224" s="1000"/>
      <c r="Q224" s="1000"/>
      <c r="R224" s="1000"/>
    </row>
    <row r="225" spans="1:18" s="1" customFormat="1" ht="40" customHeight="1" x14ac:dyDescent="0.2">
      <c r="A225" s="3399" t="s">
        <v>621</v>
      </c>
      <c r="B225" s="3399"/>
      <c r="C225" s="3399"/>
      <c r="D225" s="3399"/>
      <c r="E225" s="3399"/>
      <c r="F225" s="3399"/>
      <c r="G225" s="3399"/>
      <c r="H225" s="3399"/>
      <c r="I225" s="3399"/>
      <c r="J225" s="3399"/>
      <c r="K225" s="3399"/>
      <c r="L225" s="3399"/>
      <c r="M225" s="3399"/>
      <c r="N225" s="3399"/>
      <c r="O225" s="1000"/>
      <c r="P225" s="1000"/>
      <c r="Q225" s="1000"/>
      <c r="R225" s="1000"/>
    </row>
    <row r="226" spans="1:18" s="1" customFormat="1" ht="27" customHeight="1" x14ac:dyDescent="0.2">
      <c r="A226" s="3399" t="s">
        <v>622</v>
      </c>
      <c r="B226" s="3399"/>
      <c r="C226" s="3399"/>
      <c r="D226" s="3399"/>
      <c r="E226" s="3399"/>
      <c r="F226" s="3399"/>
      <c r="G226" s="3399"/>
      <c r="H226" s="3399"/>
      <c r="I226" s="3399"/>
      <c r="J226" s="3399"/>
      <c r="K226" s="3399"/>
      <c r="L226" s="3399"/>
      <c r="M226" s="3399"/>
      <c r="N226" s="3399"/>
      <c r="O226" s="1000"/>
      <c r="P226" s="1000"/>
      <c r="Q226" s="1000"/>
      <c r="R226" s="1000"/>
    </row>
    <row r="227" spans="1:18" s="1" customFormat="1" ht="27" customHeight="1" x14ac:dyDescent="0.2">
      <c r="A227" s="3399" t="s">
        <v>623</v>
      </c>
      <c r="B227" s="3399"/>
      <c r="C227" s="3399"/>
      <c r="D227" s="3399"/>
      <c r="E227" s="3399"/>
      <c r="F227" s="3399"/>
      <c r="G227" s="3399"/>
      <c r="H227" s="3399"/>
      <c r="I227" s="3399"/>
      <c r="J227" s="3399"/>
      <c r="K227" s="3399"/>
      <c r="L227" s="3399"/>
      <c r="M227" s="3399"/>
      <c r="N227" s="3399"/>
      <c r="O227" s="1000"/>
      <c r="P227" s="1000"/>
      <c r="Q227" s="1000"/>
      <c r="R227" s="1000"/>
    </row>
    <row r="228" spans="1:18" s="1" customFormat="1" ht="27" customHeight="1" x14ac:dyDescent="0.2">
      <c r="A228" s="3399" t="s">
        <v>624</v>
      </c>
      <c r="B228" s="3399"/>
      <c r="C228" s="3399"/>
      <c r="D228" s="3399"/>
      <c r="E228" s="3399"/>
      <c r="F228" s="3399"/>
      <c r="G228" s="3399"/>
      <c r="H228" s="3399"/>
      <c r="I228" s="3399"/>
      <c r="J228" s="3399"/>
      <c r="K228" s="3399"/>
      <c r="L228" s="3399"/>
      <c r="M228" s="3399"/>
      <c r="N228" s="3399"/>
      <c r="O228" s="1000"/>
      <c r="P228" s="1000"/>
      <c r="Q228" s="1000"/>
      <c r="R228" s="994"/>
    </row>
    <row r="229" spans="1:18" s="1" customFormat="1" ht="24" customHeight="1" x14ac:dyDescent="0.2">
      <c r="A229" s="3405" t="s">
        <v>625</v>
      </c>
      <c r="B229" s="3405"/>
      <c r="C229" s="3405"/>
      <c r="D229" s="3405"/>
      <c r="E229" s="3405"/>
      <c r="F229" s="3405"/>
      <c r="G229" s="3405"/>
      <c r="H229" s="3405"/>
      <c r="I229" s="3405"/>
      <c r="J229" s="3405"/>
      <c r="K229" s="3405"/>
      <c r="L229" s="3405"/>
      <c r="M229" s="3405"/>
      <c r="N229" s="3405"/>
      <c r="O229" s="999"/>
      <c r="P229" s="999"/>
      <c r="Q229" s="999"/>
      <c r="R229" s="994"/>
    </row>
    <row r="230" spans="1:18" s="1" customFormat="1" ht="24" customHeight="1" x14ac:dyDescent="0.2">
      <c r="A230" s="3404" t="s">
        <v>626</v>
      </c>
      <c r="B230" s="3404"/>
      <c r="C230" s="3404"/>
      <c r="D230" s="3404"/>
      <c r="E230" s="3404"/>
      <c r="F230" s="3404"/>
      <c r="G230" s="3404"/>
      <c r="H230" s="3404"/>
      <c r="I230" s="3404"/>
      <c r="J230" s="3404"/>
      <c r="K230" s="3404"/>
      <c r="L230" s="3404"/>
      <c r="M230" s="3404"/>
      <c r="N230" s="3404"/>
      <c r="O230" s="998"/>
      <c r="P230" s="998"/>
      <c r="Q230" s="998"/>
      <c r="R230" s="995"/>
    </row>
    <row r="231" spans="1:18" s="1" customFormat="1" ht="24" customHeight="1" x14ac:dyDescent="0.2">
      <c r="A231" s="3404" t="s">
        <v>627</v>
      </c>
      <c r="B231" s="3404"/>
      <c r="C231" s="3404"/>
      <c r="D231" s="3404"/>
      <c r="E231" s="3404"/>
      <c r="F231" s="3404"/>
      <c r="G231" s="3404"/>
      <c r="H231" s="3404"/>
      <c r="I231" s="3404"/>
      <c r="J231" s="3404"/>
      <c r="K231" s="3404"/>
      <c r="L231" s="3404"/>
      <c r="M231" s="3404"/>
      <c r="N231" s="3404"/>
      <c r="O231" s="998"/>
      <c r="P231" s="998"/>
      <c r="Q231" s="998"/>
      <c r="R231" s="996"/>
    </row>
    <row r="232" spans="1:18" s="1" customFormat="1" ht="24" customHeight="1" x14ac:dyDescent="0.2">
      <c r="A232" s="3404" t="s">
        <v>628</v>
      </c>
      <c r="B232" s="3404"/>
      <c r="C232" s="3404"/>
      <c r="D232" s="3404"/>
      <c r="E232" s="3404"/>
      <c r="F232" s="3404"/>
      <c r="G232" s="3404"/>
      <c r="H232" s="3404"/>
      <c r="I232" s="3404"/>
      <c r="J232" s="3404"/>
      <c r="K232" s="3404"/>
      <c r="L232" s="3404"/>
      <c r="M232" s="3404"/>
      <c r="N232" s="3404"/>
      <c r="O232" s="997"/>
      <c r="P232" s="997"/>
      <c r="Q232" s="996"/>
      <c r="R232" s="996"/>
    </row>
    <row r="233" spans="1:18" s="1" customFormat="1" ht="24" customHeight="1" x14ac:dyDescent="0.2">
      <c r="A233" s="3404" t="s">
        <v>629</v>
      </c>
      <c r="B233" s="3404"/>
      <c r="C233" s="3404"/>
      <c r="D233" s="3404"/>
      <c r="E233" s="3404"/>
      <c r="F233" s="3404"/>
      <c r="G233" s="3404"/>
      <c r="H233" s="3404"/>
      <c r="I233" s="3404"/>
      <c r="J233" s="3404"/>
      <c r="K233" s="3404"/>
      <c r="L233" s="3404"/>
      <c r="M233" s="3404"/>
      <c r="N233" s="3404"/>
      <c r="O233" s="995"/>
      <c r="P233" s="996"/>
      <c r="Q233" s="996"/>
      <c r="R233" s="996"/>
    </row>
    <row r="234" spans="1:18" s="1" customFormat="1" ht="24" customHeight="1" x14ac:dyDescent="0.2">
      <c r="A234" s="3404" t="s">
        <v>630</v>
      </c>
      <c r="B234" s="3404"/>
      <c r="C234" s="3404"/>
      <c r="D234" s="3404"/>
      <c r="E234" s="3404"/>
      <c r="F234" s="3404"/>
      <c r="G234" s="3404"/>
      <c r="H234" s="3404"/>
      <c r="I234" s="3404"/>
      <c r="J234" s="3404"/>
      <c r="K234" s="3404"/>
      <c r="L234" s="3404"/>
      <c r="M234" s="3404"/>
      <c r="N234" s="3404"/>
      <c r="O234" s="995"/>
      <c r="P234" s="996"/>
      <c r="Q234" s="996"/>
      <c r="R234" s="996"/>
    </row>
    <row r="235" spans="1:18" s="1" customFormat="1" ht="24.75" customHeight="1" x14ac:dyDescent="0.2">
      <c r="A235" s="2475" t="s">
        <v>588</v>
      </c>
      <c r="B235" s="2475"/>
      <c r="C235" s="2475"/>
      <c r="D235" s="2475"/>
      <c r="E235" s="2475"/>
      <c r="F235" s="2475"/>
      <c r="G235" s="2475"/>
      <c r="H235" s="2475"/>
      <c r="I235" s="2475"/>
      <c r="J235" s="2475"/>
      <c r="K235" s="2475"/>
      <c r="L235" s="2475"/>
      <c r="M235" s="2475"/>
      <c r="N235" s="2475"/>
      <c r="O235" s="75"/>
    </row>
    <row r="236" spans="1:18" s="1" customFormat="1" ht="42" customHeight="1" x14ac:dyDescent="0.2">
      <c r="A236" s="3017" t="s">
        <v>39</v>
      </c>
      <c r="B236" s="3017" t="s">
        <v>467</v>
      </c>
      <c r="C236" s="3192" t="s">
        <v>262</v>
      </c>
      <c r="D236" s="3192"/>
      <c r="E236" s="3017" t="s">
        <v>263</v>
      </c>
      <c r="F236" s="3017"/>
      <c r="G236" s="3193" t="s">
        <v>468</v>
      </c>
      <c r="H236" s="3193"/>
      <c r="I236" s="3194" t="s">
        <v>264</v>
      </c>
      <c r="J236" s="3194"/>
      <c r="K236" s="3184" t="s">
        <v>634</v>
      </c>
      <c r="L236" s="3184"/>
      <c r="M236" s="3185" t="s">
        <v>564</v>
      </c>
      <c r="N236" s="3185"/>
      <c r="O236" s="3196"/>
      <c r="P236" s="3196"/>
    </row>
    <row r="237" spans="1:18" s="1" customFormat="1" ht="48" customHeight="1" x14ac:dyDescent="0.2">
      <c r="A237" s="3017"/>
      <c r="B237" s="3017"/>
      <c r="C237" s="812" t="s">
        <v>5</v>
      </c>
      <c r="D237" s="812" t="s">
        <v>25</v>
      </c>
      <c r="E237" s="804" t="s">
        <v>5</v>
      </c>
      <c r="F237" s="804" t="s">
        <v>25</v>
      </c>
      <c r="G237" s="990" t="s">
        <v>633</v>
      </c>
      <c r="H237" s="990" t="s">
        <v>640</v>
      </c>
      <c r="I237" s="804" t="s">
        <v>5</v>
      </c>
      <c r="J237" s="804" t="s">
        <v>25</v>
      </c>
      <c r="K237" s="804" t="s">
        <v>5</v>
      </c>
      <c r="L237" s="804" t="s">
        <v>25</v>
      </c>
      <c r="M237" s="808" t="s">
        <v>5</v>
      </c>
      <c r="N237" s="808" t="s">
        <v>25</v>
      </c>
      <c r="O237" s="75"/>
    </row>
    <row r="238" spans="1:18" s="1" customFormat="1" ht="39" customHeight="1" x14ac:dyDescent="0.2">
      <c r="A238" s="51">
        <v>1</v>
      </c>
      <c r="B238" s="51" t="s">
        <v>469</v>
      </c>
      <c r="C238" s="811">
        <v>3</v>
      </c>
      <c r="D238" s="811">
        <v>3</v>
      </c>
      <c r="E238" s="805"/>
      <c r="F238" s="805"/>
      <c r="G238" s="806"/>
      <c r="H238" s="806"/>
      <c r="I238" s="806"/>
      <c r="J238" s="805"/>
      <c r="K238" s="805">
        <v>3</v>
      </c>
      <c r="L238" s="805">
        <v>3</v>
      </c>
      <c r="M238" s="954">
        <f t="shared" ref="M238:N241" si="20">C238-K238</f>
        <v>0</v>
      </c>
      <c r="N238" s="954">
        <f t="shared" si="20"/>
        <v>0</v>
      </c>
      <c r="O238" s="75"/>
    </row>
    <row r="239" spans="1:18" s="1" customFormat="1" ht="39" customHeight="1" x14ac:dyDescent="0.2">
      <c r="A239" s="51">
        <v>2</v>
      </c>
      <c r="B239" s="51" t="s">
        <v>470</v>
      </c>
      <c r="C239" s="811">
        <v>5</v>
      </c>
      <c r="D239" s="811">
        <v>5</v>
      </c>
      <c r="E239" s="805"/>
      <c r="F239" s="805"/>
      <c r="G239" s="806"/>
      <c r="H239" s="806">
        <v>1</v>
      </c>
      <c r="I239" s="806"/>
      <c r="J239" s="805"/>
      <c r="K239" s="805">
        <v>5</v>
      </c>
      <c r="L239" s="805">
        <v>5</v>
      </c>
      <c r="M239" s="954">
        <f t="shared" si="20"/>
        <v>0</v>
      </c>
      <c r="N239" s="954">
        <f t="shared" si="20"/>
        <v>0</v>
      </c>
      <c r="O239" s="953"/>
    </row>
    <row r="240" spans="1:18" s="1" customFormat="1" ht="39" customHeight="1" x14ac:dyDescent="0.2">
      <c r="A240" s="51">
        <v>3</v>
      </c>
      <c r="B240" s="51" t="s">
        <v>471</v>
      </c>
      <c r="C240" s="811">
        <v>30</v>
      </c>
      <c r="D240" s="811">
        <v>30</v>
      </c>
      <c r="E240" s="805">
        <v>1</v>
      </c>
      <c r="F240" s="805">
        <v>1</v>
      </c>
      <c r="G240" s="806">
        <v>1</v>
      </c>
      <c r="H240" s="806"/>
      <c r="I240" s="806"/>
      <c r="J240" s="805">
        <v>2</v>
      </c>
      <c r="K240" s="805">
        <v>30</v>
      </c>
      <c r="L240" s="805">
        <v>29</v>
      </c>
      <c r="M240" s="954">
        <f t="shared" si="20"/>
        <v>0</v>
      </c>
      <c r="N240" s="954">
        <f t="shared" si="20"/>
        <v>1</v>
      </c>
      <c r="O240" s="953"/>
    </row>
    <row r="241" spans="1:15" s="1" customFormat="1" ht="39" customHeight="1" x14ac:dyDescent="0.2">
      <c r="A241" s="51">
        <v>4</v>
      </c>
      <c r="B241" s="51" t="s">
        <v>664</v>
      </c>
      <c r="C241" s="811"/>
      <c r="D241" s="811"/>
      <c r="E241" s="805"/>
      <c r="F241" s="805"/>
      <c r="G241" s="806"/>
      <c r="H241" s="806"/>
      <c r="I241" s="806"/>
      <c r="J241" s="805"/>
      <c r="K241" s="805"/>
      <c r="L241" s="805"/>
      <c r="M241" s="954">
        <f t="shared" si="20"/>
        <v>0</v>
      </c>
      <c r="N241" s="954">
        <f t="shared" si="20"/>
        <v>0</v>
      </c>
      <c r="O241" s="953"/>
    </row>
    <row r="242" spans="1:15" s="1" customFormat="1" ht="39" customHeight="1" x14ac:dyDescent="0.2">
      <c r="A242" s="51">
        <v>5</v>
      </c>
      <c r="B242" s="51" t="s">
        <v>472</v>
      </c>
      <c r="C242" s="811">
        <v>19</v>
      </c>
      <c r="D242" s="811">
        <v>19</v>
      </c>
      <c r="E242" s="805"/>
      <c r="F242" s="805"/>
      <c r="G242" s="806"/>
      <c r="H242" s="806"/>
      <c r="I242" s="806"/>
      <c r="J242" s="805"/>
      <c r="K242" s="805">
        <v>16</v>
      </c>
      <c r="L242" s="805">
        <v>18</v>
      </c>
      <c r="M242" s="954">
        <f t="shared" ref="M242:N246" si="21">C242-K242</f>
        <v>3</v>
      </c>
      <c r="N242" s="954">
        <f t="shared" si="21"/>
        <v>1</v>
      </c>
      <c r="O242" s="953"/>
    </row>
    <row r="243" spans="1:15" s="1" customFormat="1" ht="39" customHeight="1" x14ac:dyDescent="0.2">
      <c r="A243" s="51">
        <v>6</v>
      </c>
      <c r="B243" s="51" t="s">
        <v>473</v>
      </c>
      <c r="C243" s="811">
        <v>51</v>
      </c>
      <c r="D243" s="811">
        <v>51</v>
      </c>
      <c r="E243" s="805">
        <v>5</v>
      </c>
      <c r="F243" s="805">
        <v>1</v>
      </c>
      <c r="G243" s="806">
        <v>6</v>
      </c>
      <c r="H243" s="806">
        <v>9</v>
      </c>
      <c r="I243" s="806">
        <v>5</v>
      </c>
      <c r="J243" s="805">
        <v>0</v>
      </c>
      <c r="K243" s="805">
        <v>48</v>
      </c>
      <c r="L243" s="805">
        <v>36</v>
      </c>
      <c r="M243" s="954">
        <f t="shared" si="21"/>
        <v>3</v>
      </c>
      <c r="N243" s="954">
        <f t="shared" si="21"/>
        <v>15</v>
      </c>
      <c r="O243" s="953"/>
    </row>
    <row r="244" spans="1:15" s="1" customFormat="1" ht="39" customHeight="1" x14ac:dyDescent="0.2">
      <c r="A244" s="51">
        <v>7</v>
      </c>
      <c r="B244" s="51" t="s">
        <v>474</v>
      </c>
      <c r="C244" s="811">
        <v>6</v>
      </c>
      <c r="D244" s="811">
        <v>6</v>
      </c>
      <c r="E244" s="805"/>
      <c r="F244" s="805">
        <v>1</v>
      </c>
      <c r="G244" s="806"/>
      <c r="H244" s="806">
        <v>1</v>
      </c>
      <c r="I244" s="806"/>
      <c r="J244" s="805"/>
      <c r="K244" s="805">
        <v>6</v>
      </c>
      <c r="L244" s="805">
        <v>6</v>
      </c>
      <c r="M244" s="954">
        <f t="shared" si="21"/>
        <v>0</v>
      </c>
      <c r="N244" s="954">
        <f t="shared" si="21"/>
        <v>0</v>
      </c>
      <c r="O244" s="953"/>
    </row>
    <row r="245" spans="1:15" s="1" customFormat="1" ht="39" customHeight="1" x14ac:dyDescent="0.2">
      <c r="A245" s="51">
        <v>8</v>
      </c>
      <c r="B245" s="51" t="s">
        <v>475</v>
      </c>
      <c r="C245" s="811">
        <v>2</v>
      </c>
      <c r="D245" s="811">
        <v>2</v>
      </c>
      <c r="E245" s="805"/>
      <c r="F245" s="805"/>
      <c r="G245" s="806"/>
      <c r="H245" s="806"/>
      <c r="I245" s="806"/>
      <c r="J245" s="805"/>
      <c r="K245" s="805">
        <v>2</v>
      </c>
      <c r="L245" s="805">
        <v>2</v>
      </c>
      <c r="M245" s="954">
        <f t="shared" si="21"/>
        <v>0</v>
      </c>
      <c r="N245" s="954">
        <f t="shared" si="21"/>
        <v>0</v>
      </c>
      <c r="O245" s="953"/>
    </row>
    <row r="246" spans="1:15" s="1" customFormat="1" ht="39" customHeight="1" x14ac:dyDescent="0.2">
      <c r="A246" s="3017" t="s">
        <v>476</v>
      </c>
      <c r="B246" s="3017"/>
      <c r="C246" s="813">
        <f t="shared" ref="C246:L246" si="22">SUM(C238:C245)</f>
        <v>116</v>
      </c>
      <c r="D246" s="813">
        <f t="shared" si="22"/>
        <v>116</v>
      </c>
      <c r="E246" s="807">
        <f t="shared" si="22"/>
        <v>6</v>
      </c>
      <c r="F246" s="807">
        <f t="shared" si="22"/>
        <v>3</v>
      </c>
      <c r="G246" s="807">
        <f t="shared" si="22"/>
        <v>7</v>
      </c>
      <c r="H246" s="807">
        <f t="shared" si="22"/>
        <v>11</v>
      </c>
      <c r="I246" s="807">
        <f t="shared" si="22"/>
        <v>5</v>
      </c>
      <c r="J246" s="807">
        <f t="shared" si="22"/>
        <v>2</v>
      </c>
      <c r="K246" s="813">
        <f t="shared" si="22"/>
        <v>110</v>
      </c>
      <c r="L246" s="813">
        <f t="shared" si="22"/>
        <v>99</v>
      </c>
      <c r="M246" s="814">
        <f t="shared" si="21"/>
        <v>6</v>
      </c>
      <c r="N246" s="814">
        <f t="shared" si="21"/>
        <v>17</v>
      </c>
      <c r="O246" s="953"/>
    </row>
    <row r="247" spans="1:15" s="1" customFormat="1" ht="4" customHeight="1" x14ac:dyDescent="0.2">
      <c r="A247" s="67"/>
      <c r="B247" s="67"/>
      <c r="C247" s="1057"/>
      <c r="D247" s="1057"/>
      <c r="E247" s="1058"/>
      <c r="F247" s="1058"/>
      <c r="G247" s="1058"/>
      <c r="H247" s="1058"/>
      <c r="I247" s="1058"/>
      <c r="J247" s="1058"/>
      <c r="K247" s="1057"/>
      <c r="L247" s="1057"/>
      <c r="M247" s="1059"/>
      <c r="N247" s="1059"/>
      <c r="O247" s="953"/>
    </row>
    <row r="248" spans="1:15" s="1" customFormat="1" ht="41" customHeight="1" x14ac:dyDescent="0.2">
      <c r="A248" s="51">
        <v>9</v>
      </c>
      <c r="B248" s="51" t="s">
        <v>663</v>
      </c>
      <c r="C248" s="805">
        <v>69</v>
      </c>
      <c r="D248" s="805"/>
      <c r="E248" s="805"/>
      <c r="F248" s="805"/>
      <c r="G248" s="806"/>
      <c r="H248" s="806"/>
      <c r="I248" s="806"/>
      <c r="J248" s="805"/>
      <c r="K248" s="805"/>
      <c r="L248" s="805"/>
      <c r="M248" s="1060">
        <v>65</v>
      </c>
      <c r="N248" s="1060">
        <f>C248-M248</f>
        <v>4</v>
      </c>
      <c r="O248" s="953"/>
    </row>
    <row r="249" spans="1:15" s="1" customFormat="1" ht="41" customHeight="1" x14ac:dyDescent="0.2">
      <c r="A249" s="51">
        <v>10</v>
      </c>
      <c r="B249" s="51" t="s">
        <v>665</v>
      </c>
      <c r="C249" s="805">
        <v>26</v>
      </c>
      <c r="D249" s="805"/>
      <c r="E249" s="805"/>
      <c r="F249" s="805"/>
      <c r="G249" s="806"/>
      <c r="H249" s="806"/>
      <c r="I249" s="806"/>
      <c r="J249" s="805"/>
      <c r="K249" s="805"/>
      <c r="L249" s="805"/>
      <c r="M249" s="1060">
        <f>C249-K249</f>
        <v>26</v>
      </c>
      <c r="N249" s="1060"/>
      <c r="O249" s="953"/>
    </row>
    <row r="250" spans="1:15" s="1" customFormat="1" ht="41" customHeight="1" x14ac:dyDescent="0.2">
      <c r="A250" s="51">
        <v>11</v>
      </c>
      <c r="B250" s="51" t="s">
        <v>666</v>
      </c>
      <c r="C250" s="805">
        <v>27</v>
      </c>
      <c r="D250" s="805"/>
      <c r="E250" s="805"/>
      <c r="F250" s="805"/>
      <c r="G250" s="806"/>
      <c r="H250" s="806"/>
      <c r="I250" s="806"/>
      <c r="J250" s="805"/>
      <c r="K250" s="805">
        <v>24</v>
      </c>
      <c r="L250" s="805"/>
      <c r="M250" s="1060">
        <f>C250-K250</f>
        <v>3</v>
      </c>
      <c r="N250" s="1060"/>
      <c r="O250" s="953"/>
    </row>
    <row r="251" spans="1:15" s="1" customFormat="1" ht="22" customHeight="1" x14ac:dyDescent="0.2">
      <c r="A251" s="3161" t="s">
        <v>32</v>
      </c>
      <c r="B251" s="3161"/>
      <c r="C251" s="3161"/>
      <c r="D251" s="3161"/>
      <c r="E251" s="3161"/>
      <c r="F251" s="3161"/>
      <c r="G251" s="3161"/>
      <c r="H251" s="3161"/>
      <c r="I251" s="3161"/>
      <c r="J251" s="3161"/>
      <c r="K251" s="3161"/>
      <c r="L251" s="3161"/>
      <c r="M251" s="3161"/>
      <c r="N251" s="3161"/>
      <c r="O251" s="953"/>
    </row>
    <row r="252" spans="1:15" s="1" customFormat="1" ht="40" customHeight="1" x14ac:dyDescent="0.2">
      <c r="A252" s="3183" t="s">
        <v>642</v>
      </c>
      <c r="B252" s="3183"/>
      <c r="C252" s="3183"/>
      <c r="D252" s="3183"/>
      <c r="E252" s="3183"/>
      <c r="F252" s="3183"/>
      <c r="G252" s="3183"/>
      <c r="H252" s="3183"/>
      <c r="I252" s="3183"/>
      <c r="J252" s="3183"/>
      <c r="K252" s="3183"/>
      <c r="L252" s="3183"/>
      <c r="M252" s="3183"/>
      <c r="N252" s="3183"/>
      <c r="O252" s="942"/>
    </row>
    <row r="253" spans="1:15" s="1" customFormat="1" ht="30" customHeight="1" x14ac:dyDescent="0.2">
      <c r="A253" s="3183" t="s">
        <v>641</v>
      </c>
      <c r="B253" s="3183"/>
      <c r="C253" s="3183"/>
      <c r="D253" s="3183"/>
      <c r="E253" s="3183"/>
      <c r="F253" s="3183"/>
      <c r="G253" s="3183"/>
      <c r="H253" s="3183"/>
      <c r="I253" s="3183"/>
      <c r="J253" s="3183"/>
      <c r="K253" s="3183"/>
      <c r="L253" s="3183"/>
      <c r="M253" s="3183"/>
      <c r="N253" s="3183"/>
      <c r="O253" s="942"/>
    </row>
    <row r="254" spans="1:15" s="1" customFormat="1" ht="30" customHeight="1" x14ac:dyDescent="0.2">
      <c r="A254" s="3021" t="s">
        <v>676</v>
      </c>
      <c r="B254" s="3182"/>
      <c r="C254" s="3182"/>
      <c r="D254" s="3182"/>
      <c r="E254" s="3182"/>
      <c r="F254" s="3182"/>
      <c r="G254" s="3182"/>
      <c r="H254" s="3182"/>
      <c r="I254" s="3182"/>
      <c r="J254" s="3182"/>
      <c r="K254" s="3182"/>
      <c r="L254" s="3182"/>
      <c r="M254" s="3182"/>
      <c r="N254" s="3182"/>
      <c r="O254" s="942"/>
    </row>
    <row r="255" spans="1:15" s="1" customFormat="1" ht="30" customHeight="1" x14ac:dyDescent="0.2">
      <c r="A255" s="3183" t="s">
        <v>677</v>
      </c>
      <c r="B255" s="3183"/>
      <c r="C255" s="3183"/>
      <c r="D255" s="3183"/>
      <c r="E255" s="3183"/>
      <c r="F255" s="3183"/>
      <c r="G255" s="3183"/>
      <c r="H255" s="3183"/>
      <c r="I255" s="3183"/>
      <c r="J255" s="3183"/>
      <c r="K255" s="3183"/>
      <c r="L255" s="3183"/>
      <c r="M255" s="3183"/>
      <c r="N255" s="3183"/>
      <c r="O255" s="942"/>
    </row>
    <row r="256" spans="1:15" s="1" customFormat="1" ht="30" customHeight="1" x14ac:dyDescent="0.2">
      <c r="A256" s="3183" t="s">
        <v>678</v>
      </c>
      <c r="B256" s="3183"/>
      <c r="C256" s="3183"/>
      <c r="D256" s="3183"/>
      <c r="E256" s="3183"/>
      <c r="F256" s="3183"/>
      <c r="G256" s="3183"/>
      <c r="H256" s="3183"/>
      <c r="I256" s="3183"/>
      <c r="J256" s="3183"/>
      <c r="K256" s="3183"/>
      <c r="L256" s="3183"/>
      <c r="M256" s="3183"/>
      <c r="N256" s="3183"/>
      <c r="O256" s="942"/>
    </row>
    <row r="257" spans="1:15" s="1" customFormat="1" ht="30" customHeight="1" x14ac:dyDescent="0.2">
      <c r="A257" s="941"/>
      <c r="B257" s="941"/>
      <c r="C257" s="941"/>
      <c r="D257" s="941"/>
      <c r="E257" s="941"/>
      <c r="F257" s="941"/>
      <c r="G257" s="941"/>
      <c r="H257" s="941"/>
      <c r="I257" s="941"/>
      <c r="J257" s="941"/>
      <c r="K257" s="941"/>
      <c r="L257" s="941"/>
      <c r="M257" s="941"/>
      <c r="N257" s="941"/>
      <c r="O257" s="942"/>
    </row>
    <row r="258" spans="1:15" s="1" customFormat="1" ht="30" customHeight="1" x14ac:dyDescent="0.2">
      <c r="A258" s="941"/>
      <c r="B258" s="941"/>
      <c r="C258" s="941"/>
      <c r="D258" s="941"/>
      <c r="E258" s="941"/>
      <c r="F258" s="941"/>
      <c r="G258" s="941"/>
      <c r="H258" s="941"/>
      <c r="I258" s="941"/>
      <c r="J258" s="941"/>
      <c r="K258" s="941"/>
      <c r="L258" s="941"/>
      <c r="M258" s="941"/>
      <c r="N258" s="941"/>
      <c r="O258" s="942"/>
    </row>
    <row r="259" spans="1:15" s="1" customFormat="1" ht="30" customHeight="1" x14ac:dyDescent="0.2">
      <c r="A259" s="941"/>
      <c r="B259" s="941"/>
      <c r="C259" s="941"/>
      <c r="D259" s="941"/>
      <c r="E259" s="941"/>
      <c r="F259" s="941"/>
      <c r="G259" s="941"/>
      <c r="H259" s="941"/>
      <c r="I259" s="941"/>
      <c r="J259" s="941"/>
      <c r="K259" s="941"/>
      <c r="L259" s="941"/>
      <c r="M259" s="941"/>
      <c r="N259" s="941"/>
      <c r="O259" s="942"/>
    </row>
    <row r="260" spans="1:15" s="1" customFormat="1" ht="26" customHeight="1" x14ac:dyDescent="0.2">
      <c r="A260" s="42" t="s">
        <v>589</v>
      </c>
      <c r="B260" s="42"/>
      <c r="E260" s="43"/>
      <c r="F260" s="43"/>
      <c r="H260" s="78"/>
      <c r="I260" s="447"/>
      <c r="J260" s="71"/>
      <c r="K260" s="71"/>
      <c r="N260" s="209"/>
      <c r="O260" s="75"/>
    </row>
    <row r="261" spans="1:15" s="1" customFormat="1" ht="36" customHeight="1" x14ac:dyDescent="0.2">
      <c r="A261" s="2665" t="s">
        <v>34</v>
      </c>
      <c r="B261" s="3174" t="s">
        <v>6</v>
      </c>
      <c r="C261" s="3174"/>
      <c r="D261" s="2602" t="s">
        <v>7</v>
      </c>
      <c r="E261" s="3174" t="s">
        <v>8</v>
      </c>
      <c r="F261" s="3174"/>
      <c r="G261" s="3174"/>
      <c r="H261" s="3039" t="s">
        <v>9</v>
      </c>
      <c r="I261" s="2602" t="s">
        <v>10</v>
      </c>
      <c r="J261" s="8" t="s">
        <v>35</v>
      </c>
      <c r="K261" s="8" t="s">
        <v>12</v>
      </c>
      <c r="L261" s="7" t="s">
        <v>13</v>
      </c>
      <c r="M261" s="7" t="s">
        <v>14</v>
      </c>
      <c r="N261" s="8" t="s">
        <v>15</v>
      </c>
      <c r="O261" s="75"/>
    </row>
    <row r="262" spans="1:15" s="1" customFormat="1" ht="28" customHeight="1" x14ac:dyDescent="0.2">
      <c r="A262" s="2665"/>
      <c r="B262" s="8" t="s">
        <v>36</v>
      </c>
      <c r="C262" s="7" t="s">
        <v>17</v>
      </c>
      <c r="D262" s="2602"/>
      <c r="E262" s="9" t="s">
        <v>18</v>
      </c>
      <c r="F262" s="9" t="s">
        <v>19</v>
      </c>
      <c r="G262" s="7" t="s">
        <v>20</v>
      </c>
      <c r="H262" s="3039"/>
      <c r="I262" s="2602"/>
      <c r="J262" s="8" t="s">
        <v>21</v>
      </c>
      <c r="K262" s="8" t="s">
        <v>22</v>
      </c>
      <c r="L262" s="3190" t="s">
        <v>22</v>
      </c>
      <c r="M262" s="3191"/>
      <c r="N262" s="8" t="s">
        <v>23</v>
      </c>
      <c r="O262" s="75"/>
    </row>
    <row r="263" spans="1:15" s="1" customFormat="1" ht="28" customHeight="1" x14ac:dyDescent="0.2">
      <c r="A263" s="3208" t="s">
        <v>593</v>
      </c>
      <c r="B263" s="2551" t="s">
        <v>412</v>
      </c>
      <c r="C263" s="12" t="s">
        <v>21</v>
      </c>
      <c r="D263" s="14">
        <f>I263*J263*100/K264</f>
        <v>190714.28571428571</v>
      </c>
      <c r="E263" s="14">
        <f>E264*H263/100</f>
        <v>166341</v>
      </c>
      <c r="F263" s="14">
        <f>F264*H263/100</f>
        <v>11214</v>
      </c>
      <c r="G263" s="14">
        <f>G264*H263/100</f>
        <v>9345</v>
      </c>
      <c r="H263" s="853">
        <f>J263*I263</f>
        <v>186900</v>
      </c>
      <c r="I263" s="434">
        <v>14</v>
      </c>
      <c r="J263" s="357">
        <v>13350</v>
      </c>
      <c r="K263" s="348"/>
      <c r="L263" s="28"/>
      <c r="M263" s="28"/>
      <c r="N263" s="348"/>
      <c r="O263" s="75"/>
    </row>
    <row r="264" spans="1:15" s="1" customFormat="1" ht="28" customHeight="1" x14ac:dyDescent="0.2">
      <c r="A264" s="3208"/>
      <c r="B264" s="2551"/>
      <c r="C264" s="12" t="s">
        <v>22</v>
      </c>
      <c r="D264" s="13"/>
      <c r="E264" s="16">
        <v>89</v>
      </c>
      <c r="F264" s="16">
        <v>6</v>
      </c>
      <c r="G264" s="16">
        <v>5</v>
      </c>
      <c r="H264" s="396">
        <v>100</v>
      </c>
      <c r="I264" s="435"/>
      <c r="J264" s="362"/>
      <c r="K264" s="365">
        <v>98</v>
      </c>
      <c r="L264" s="2933">
        <v>2</v>
      </c>
      <c r="M264" s="2933"/>
      <c r="N264" s="348">
        <v>40</v>
      </c>
      <c r="O264" s="75"/>
    </row>
    <row r="265" spans="1:15" s="1" customFormat="1" ht="28" customHeight="1" x14ac:dyDescent="0.2">
      <c r="A265" s="3208" t="s">
        <v>594</v>
      </c>
      <c r="B265" s="2551" t="s">
        <v>412</v>
      </c>
      <c r="C265" s="12" t="s">
        <v>21</v>
      </c>
      <c r="D265" s="14">
        <f>I265*J265*100/K266</f>
        <v>267316.32653061225</v>
      </c>
      <c r="E265" s="14">
        <f>E266*H265/100</f>
        <v>233153.3</v>
      </c>
      <c r="F265" s="14">
        <f>F266*H265/100</f>
        <v>15718.2</v>
      </c>
      <c r="G265" s="14">
        <f>G266*H265/100</f>
        <v>13098.5</v>
      </c>
      <c r="H265" s="853">
        <f>J265*I265</f>
        <v>261970</v>
      </c>
      <c r="I265" s="434">
        <v>17</v>
      </c>
      <c r="J265" s="357">
        <v>15410</v>
      </c>
      <c r="K265" s="348"/>
      <c r="L265" s="28"/>
      <c r="M265" s="28"/>
      <c r="N265" s="348"/>
      <c r="O265" s="75"/>
    </row>
    <row r="266" spans="1:15" s="1" customFormat="1" ht="28" customHeight="1" x14ac:dyDescent="0.2">
      <c r="A266" s="3208"/>
      <c r="B266" s="2551"/>
      <c r="C266" s="12" t="s">
        <v>22</v>
      </c>
      <c r="D266" s="13"/>
      <c r="E266" s="16">
        <v>89</v>
      </c>
      <c r="F266" s="16">
        <v>6</v>
      </c>
      <c r="G266" s="16">
        <v>5</v>
      </c>
      <c r="H266" s="396">
        <v>100</v>
      </c>
      <c r="I266" s="435"/>
      <c r="J266" s="362"/>
      <c r="K266" s="365">
        <v>98</v>
      </c>
      <c r="L266" s="2933">
        <v>2</v>
      </c>
      <c r="M266" s="2933"/>
      <c r="N266" s="348">
        <v>40</v>
      </c>
      <c r="O266" s="75"/>
    </row>
    <row r="267" spans="1:15" s="1" customFormat="1" ht="26" customHeight="1" x14ac:dyDescent="0.2">
      <c r="A267" s="3032" t="s">
        <v>606</v>
      </c>
      <c r="B267" s="3032"/>
      <c r="C267" s="31" t="s">
        <v>21</v>
      </c>
      <c r="D267" s="842">
        <f t="shared" ref="D267:I267" si="23">D263+D265</f>
        <v>458030.61224489799</v>
      </c>
      <c r="E267" s="842">
        <f t="shared" si="23"/>
        <v>399494.3</v>
      </c>
      <c r="F267" s="842">
        <f t="shared" si="23"/>
        <v>26932.2</v>
      </c>
      <c r="G267" s="842">
        <f t="shared" si="23"/>
        <v>22443.5</v>
      </c>
      <c r="H267" s="842">
        <f t="shared" si="23"/>
        <v>448870</v>
      </c>
      <c r="I267" s="34">
        <f t="shared" si="23"/>
        <v>31</v>
      </c>
      <c r="J267" s="842">
        <f>H267/I267</f>
        <v>14479.677419354839</v>
      </c>
      <c r="K267" s="368"/>
      <c r="L267" s="826"/>
      <c r="M267" s="826"/>
      <c r="N267" s="367"/>
      <c r="O267" s="75"/>
    </row>
    <row r="268" spans="1:15" s="1" customFormat="1" ht="26" customHeight="1" x14ac:dyDescent="0.2">
      <c r="A268" s="3032"/>
      <c r="B268" s="3032"/>
      <c r="C268" s="31" t="s">
        <v>22</v>
      </c>
      <c r="D268" s="32"/>
      <c r="E268" s="975">
        <f>+E267/H267*100</f>
        <v>89</v>
      </c>
      <c r="F268" s="975">
        <f>+F267/H267*100</f>
        <v>6.0000000000000009</v>
      </c>
      <c r="G268" s="975">
        <f>+G267/H267*100</f>
        <v>5</v>
      </c>
      <c r="H268" s="397">
        <v>100</v>
      </c>
      <c r="I268" s="436"/>
      <c r="J268" s="358"/>
      <c r="K268" s="976">
        <f>+H267/D267*100</f>
        <v>98</v>
      </c>
      <c r="L268" s="3033">
        <f>100-K268</f>
        <v>2</v>
      </c>
      <c r="M268" s="3033"/>
      <c r="N268" s="367"/>
      <c r="O268" s="75"/>
    </row>
    <row r="269" spans="1:15" s="1" customFormat="1" ht="26" customHeight="1" x14ac:dyDescent="0.2">
      <c r="A269" s="2665" t="s">
        <v>25</v>
      </c>
      <c r="B269" s="2551" t="s">
        <v>595</v>
      </c>
      <c r="C269" s="12" t="s">
        <v>21</v>
      </c>
      <c r="D269" s="14">
        <f>I269*J269*100/K270</f>
        <v>194923.07692307694</v>
      </c>
      <c r="E269" s="14">
        <f>E270*H269/100</f>
        <v>178647</v>
      </c>
      <c r="F269" s="14">
        <f>F270*H269/100</f>
        <v>5701.5</v>
      </c>
      <c r="G269" s="14">
        <f>G270*H269/100</f>
        <v>5701.5</v>
      </c>
      <c r="H269" s="853">
        <f>J269*I269</f>
        <v>190050</v>
      </c>
      <c r="I269" s="434">
        <v>15</v>
      </c>
      <c r="J269" s="357">
        <v>12670</v>
      </c>
      <c r="K269" s="348"/>
      <c r="L269" s="28"/>
      <c r="M269" s="28"/>
      <c r="N269" s="348"/>
      <c r="O269" s="75"/>
    </row>
    <row r="270" spans="1:15" s="1" customFormat="1" ht="26" customHeight="1" x14ac:dyDescent="0.2">
      <c r="A270" s="2665"/>
      <c r="B270" s="2551"/>
      <c r="C270" s="12" t="s">
        <v>22</v>
      </c>
      <c r="D270" s="13"/>
      <c r="E270" s="16">
        <v>94</v>
      </c>
      <c r="F270" s="16">
        <v>3</v>
      </c>
      <c r="G270" s="16">
        <v>3</v>
      </c>
      <c r="H270" s="396">
        <v>100</v>
      </c>
      <c r="I270" s="435"/>
      <c r="J270" s="362"/>
      <c r="K270" s="365">
        <v>97.5</v>
      </c>
      <c r="L270" s="2933">
        <v>2.5</v>
      </c>
      <c r="M270" s="2933"/>
      <c r="N270" s="348">
        <v>100</v>
      </c>
      <c r="O270" s="75"/>
    </row>
    <row r="271" spans="1:15" s="1" customFormat="1" ht="26" customHeight="1" x14ac:dyDescent="0.2">
      <c r="A271" s="2665" t="s">
        <v>25</v>
      </c>
      <c r="B271" s="2551" t="s">
        <v>596</v>
      </c>
      <c r="C271" s="12" t="s">
        <v>21</v>
      </c>
      <c r="D271" s="14">
        <f>I271*J271*100/K272</f>
        <v>147428.57142857142</v>
      </c>
      <c r="E271" s="14">
        <f>E272*H271/100</f>
        <v>128587.2</v>
      </c>
      <c r="F271" s="14">
        <f>F272*H271/100</f>
        <v>7224</v>
      </c>
      <c r="G271" s="14">
        <f>G272*H271/100</f>
        <v>8668.7999999999993</v>
      </c>
      <c r="H271" s="853">
        <f>J271*I271</f>
        <v>144480</v>
      </c>
      <c r="I271" s="434">
        <v>12</v>
      </c>
      <c r="J271" s="357">
        <v>12040</v>
      </c>
      <c r="K271" s="348"/>
      <c r="L271" s="28"/>
      <c r="M271" s="28"/>
      <c r="N271" s="348"/>
      <c r="O271" s="75"/>
    </row>
    <row r="272" spans="1:15" s="1" customFormat="1" ht="26" customHeight="1" x14ac:dyDescent="0.2">
      <c r="A272" s="2665"/>
      <c r="B272" s="2551"/>
      <c r="C272" s="12" t="s">
        <v>22</v>
      </c>
      <c r="D272" s="13"/>
      <c r="E272" s="16">
        <v>89</v>
      </c>
      <c r="F272" s="16">
        <v>5</v>
      </c>
      <c r="G272" s="16">
        <v>6</v>
      </c>
      <c r="H272" s="396">
        <v>100</v>
      </c>
      <c r="I272" s="435"/>
      <c r="J272" s="362"/>
      <c r="K272" s="365">
        <v>98</v>
      </c>
      <c r="L272" s="2933">
        <v>2</v>
      </c>
      <c r="M272" s="2933"/>
      <c r="N272" s="348">
        <v>100</v>
      </c>
      <c r="O272" s="75"/>
    </row>
    <row r="273" spans="1:15" s="1" customFormat="1" ht="26" customHeight="1" x14ac:dyDescent="0.2">
      <c r="A273" s="2665"/>
      <c r="B273" s="2551" t="s">
        <v>492</v>
      </c>
      <c r="C273" s="12" t="s">
        <v>21</v>
      </c>
      <c r="D273" s="14">
        <f>I273*J273*100/K274</f>
        <v>28489.795918367348</v>
      </c>
      <c r="E273" s="14">
        <f>E274*H273/100</f>
        <v>24848.799999999999</v>
      </c>
      <c r="F273" s="14">
        <f>F274*H273/100</f>
        <v>2233.6</v>
      </c>
      <c r="G273" s="14">
        <f>G274*H273/100</f>
        <v>837.6</v>
      </c>
      <c r="H273" s="853">
        <f>J273*I273</f>
        <v>27920</v>
      </c>
      <c r="I273" s="434">
        <v>2</v>
      </c>
      <c r="J273" s="357">
        <v>13960</v>
      </c>
      <c r="K273" s="348"/>
      <c r="L273" s="28"/>
      <c r="M273" s="28"/>
      <c r="N273" s="348"/>
      <c r="O273" s="75"/>
    </row>
    <row r="274" spans="1:15" s="1" customFormat="1" ht="27" customHeight="1" x14ac:dyDescent="0.2">
      <c r="A274" s="2665"/>
      <c r="B274" s="2551"/>
      <c r="C274" s="12" t="s">
        <v>22</v>
      </c>
      <c r="D274" s="13"/>
      <c r="E274" s="16">
        <v>89</v>
      </c>
      <c r="F274" s="16">
        <v>8</v>
      </c>
      <c r="G274" s="16">
        <v>3</v>
      </c>
      <c r="H274" s="396">
        <v>100</v>
      </c>
      <c r="I274" s="435"/>
      <c r="J274" s="362"/>
      <c r="K274" s="365">
        <v>98</v>
      </c>
      <c r="L274" s="2933">
        <v>2</v>
      </c>
      <c r="M274" s="2933"/>
      <c r="N274" s="348">
        <v>40</v>
      </c>
      <c r="O274" s="75"/>
    </row>
    <row r="275" spans="1:15" s="1" customFormat="1" ht="27" customHeight="1" x14ac:dyDescent="0.2">
      <c r="A275" s="3032" t="s">
        <v>607</v>
      </c>
      <c r="B275" s="3032"/>
      <c r="C275" s="31" t="s">
        <v>21</v>
      </c>
      <c r="D275" s="842">
        <f t="shared" ref="D275:I275" si="24">D269+D271+D273</f>
        <v>370841.44427001569</v>
      </c>
      <c r="E275" s="842">
        <f t="shared" si="24"/>
        <v>332083</v>
      </c>
      <c r="F275" s="842">
        <f t="shared" si="24"/>
        <v>15159.1</v>
      </c>
      <c r="G275" s="842">
        <f t="shared" si="24"/>
        <v>15207.9</v>
      </c>
      <c r="H275" s="842">
        <f t="shared" si="24"/>
        <v>362450</v>
      </c>
      <c r="I275" s="34">
        <f t="shared" si="24"/>
        <v>29</v>
      </c>
      <c r="J275" s="842">
        <f>H275/I275</f>
        <v>12498.275862068966</v>
      </c>
      <c r="K275" s="368"/>
      <c r="L275" s="826"/>
      <c r="M275" s="826"/>
      <c r="N275" s="367"/>
      <c r="O275" s="75"/>
    </row>
    <row r="276" spans="1:15" s="1" customFormat="1" ht="27" customHeight="1" x14ac:dyDescent="0.2">
      <c r="A276" s="3032"/>
      <c r="B276" s="3032"/>
      <c r="C276" s="31" t="s">
        <v>22</v>
      </c>
      <c r="D276" s="32"/>
      <c r="E276" s="975">
        <f>+E275/H275*100</f>
        <v>91.621740929783414</v>
      </c>
      <c r="F276" s="975">
        <f>+F275/H275*100</f>
        <v>4.1823975720789077</v>
      </c>
      <c r="G276" s="975">
        <f>+G275/H275*100</f>
        <v>4.1958614981376741</v>
      </c>
      <c r="H276" s="397">
        <v>100</v>
      </c>
      <c r="I276" s="436"/>
      <c r="J276" s="358"/>
      <c r="K276" s="976">
        <f>+H275/D275*100</f>
        <v>97.73718811646475</v>
      </c>
      <c r="L276" s="3033">
        <f>100-K276</f>
        <v>2.2628118835352495</v>
      </c>
      <c r="M276" s="3033"/>
      <c r="N276" s="367"/>
      <c r="O276" s="75"/>
    </row>
    <row r="277" spans="1:15" s="1" customFormat="1" ht="27" customHeight="1" x14ac:dyDescent="0.2">
      <c r="A277" s="3034" t="s">
        <v>608</v>
      </c>
      <c r="B277" s="3034"/>
      <c r="C277" s="977" t="s">
        <v>21</v>
      </c>
      <c r="D277" s="978">
        <f t="shared" ref="D277:I277" si="25">D275+D267</f>
        <v>828872.05651491368</v>
      </c>
      <c r="E277" s="978">
        <f t="shared" si="25"/>
        <v>731577.3</v>
      </c>
      <c r="F277" s="978">
        <f t="shared" si="25"/>
        <v>42091.3</v>
      </c>
      <c r="G277" s="978">
        <f t="shared" si="25"/>
        <v>37651.4</v>
      </c>
      <c r="H277" s="978">
        <f t="shared" si="25"/>
        <v>811320</v>
      </c>
      <c r="I277" s="979">
        <f t="shared" si="25"/>
        <v>60</v>
      </c>
      <c r="J277" s="978">
        <f>H277/I277</f>
        <v>13522</v>
      </c>
      <c r="K277" s="980"/>
      <c r="L277" s="981"/>
      <c r="M277" s="981"/>
      <c r="N277" s="982"/>
      <c r="O277" s="75"/>
    </row>
    <row r="278" spans="1:15" s="1" customFormat="1" ht="27" customHeight="1" x14ac:dyDescent="0.2">
      <c r="A278" s="3034"/>
      <c r="B278" s="3034"/>
      <c r="C278" s="977" t="s">
        <v>22</v>
      </c>
      <c r="D278" s="983"/>
      <c r="E278" s="984">
        <f>+E277/H277*100</f>
        <v>90.171239461618114</v>
      </c>
      <c r="F278" s="984">
        <f>+F277/H277*100</f>
        <v>5.188002267909086</v>
      </c>
      <c r="G278" s="984">
        <f>+G277/H277*100</f>
        <v>4.6407582704728094</v>
      </c>
      <c r="H278" s="985">
        <v>100</v>
      </c>
      <c r="I278" s="986"/>
      <c r="J278" s="987"/>
      <c r="K278" s="988">
        <f>+H277/D277*100</f>
        <v>97.882416667692567</v>
      </c>
      <c r="L278" s="3035">
        <f>100-K278</f>
        <v>2.1175833323074329</v>
      </c>
      <c r="M278" s="3035"/>
      <c r="N278" s="982"/>
      <c r="O278" s="75"/>
    </row>
    <row r="279" spans="1:15" s="340" customFormat="1" ht="26" customHeight="1" x14ac:dyDescent="0.15">
      <c r="A279" s="2475" t="s">
        <v>590</v>
      </c>
      <c r="B279" s="2475"/>
      <c r="C279" s="2475"/>
      <c r="D279" s="2475"/>
      <c r="E279" s="2475"/>
      <c r="F279" s="2475"/>
      <c r="G279" s="2475"/>
      <c r="H279" s="2475"/>
      <c r="I279" s="2475"/>
      <c r="J279" s="2475"/>
      <c r="K279" s="2475"/>
      <c r="L279" s="2475"/>
      <c r="M279" s="2475"/>
      <c r="N279" s="2475"/>
    </row>
    <row r="280" spans="1:15" s="340" customFormat="1" ht="32" customHeight="1" x14ac:dyDescent="0.15">
      <c r="A280" s="2665" t="s">
        <v>34</v>
      </c>
      <c r="B280" s="3174" t="s">
        <v>6</v>
      </c>
      <c r="C280" s="3174"/>
      <c r="D280" s="2602" t="s">
        <v>7</v>
      </c>
      <c r="E280" s="3174" t="s">
        <v>8</v>
      </c>
      <c r="F280" s="3174"/>
      <c r="G280" s="3174"/>
      <c r="H280" s="3039" t="s">
        <v>9</v>
      </c>
      <c r="I280" s="2602" t="s">
        <v>10</v>
      </c>
      <c r="J280" s="8" t="s">
        <v>35</v>
      </c>
      <c r="K280" s="8" t="s">
        <v>12</v>
      </c>
      <c r="L280" s="7" t="s">
        <v>13</v>
      </c>
      <c r="M280" s="7" t="s">
        <v>14</v>
      </c>
      <c r="N280" s="8" t="s">
        <v>15</v>
      </c>
    </row>
    <row r="281" spans="1:15" s="340" customFormat="1" ht="26" customHeight="1" x14ac:dyDescent="0.15">
      <c r="A281" s="2665"/>
      <c r="B281" s="8" t="s">
        <v>37</v>
      </c>
      <c r="C281" s="7" t="s">
        <v>17</v>
      </c>
      <c r="D281" s="2602"/>
      <c r="E281" s="9" t="s">
        <v>18</v>
      </c>
      <c r="F281" s="9" t="s">
        <v>19</v>
      </c>
      <c r="G281" s="7" t="s">
        <v>20</v>
      </c>
      <c r="H281" s="3039"/>
      <c r="I281" s="2602"/>
      <c r="J281" s="8" t="s">
        <v>21</v>
      </c>
      <c r="K281" s="8" t="s">
        <v>22</v>
      </c>
      <c r="L281" s="3174" t="s">
        <v>22</v>
      </c>
      <c r="M281" s="3174"/>
      <c r="N281" s="8" t="s">
        <v>23</v>
      </c>
    </row>
    <row r="282" spans="1:15" s="340" customFormat="1" ht="25" customHeight="1" x14ac:dyDescent="0.15">
      <c r="A282" s="3208" t="s">
        <v>593</v>
      </c>
      <c r="B282" s="2551" t="s">
        <v>412</v>
      </c>
      <c r="C282" s="12" t="s">
        <v>21</v>
      </c>
      <c r="D282" s="14">
        <f>I282*J282*100/K283</f>
        <v>193228.57142857142</v>
      </c>
      <c r="E282" s="14">
        <f>E283*H282/100</f>
        <v>172321.24</v>
      </c>
      <c r="F282" s="14">
        <f>F283*H282/100</f>
        <v>9468.2000000000007</v>
      </c>
      <c r="G282" s="14">
        <f>G283*H282/100</f>
        <v>7574.56</v>
      </c>
      <c r="H282" s="853">
        <f>J282*I282</f>
        <v>189364</v>
      </c>
      <c r="I282" s="434">
        <v>14</v>
      </c>
      <c r="J282" s="357">
        <v>13526</v>
      </c>
      <c r="K282" s="348"/>
      <c r="L282" s="28"/>
      <c r="M282" s="28"/>
      <c r="N282" s="348">
        <v>25</v>
      </c>
    </row>
    <row r="283" spans="1:15" s="340" customFormat="1" ht="25" customHeight="1" x14ac:dyDescent="0.15">
      <c r="A283" s="3208"/>
      <c r="B283" s="2551"/>
      <c r="C283" s="12" t="s">
        <v>22</v>
      </c>
      <c r="D283" s="13"/>
      <c r="E283" s="16">
        <v>91</v>
      </c>
      <c r="F283" s="16">
        <v>5</v>
      </c>
      <c r="G283" s="16">
        <v>4</v>
      </c>
      <c r="H283" s="396">
        <v>100</v>
      </c>
      <c r="I283" s="435"/>
      <c r="J283" s="362"/>
      <c r="K283" s="365">
        <v>98</v>
      </c>
      <c r="L283" s="2933">
        <v>2</v>
      </c>
      <c r="M283" s="2933"/>
      <c r="N283" s="348"/>
    </row>
    <row r="284" spans="1:15" s="340" customFormat="1" ht="25" customHeight="1" x14ac:dyDescent="0.15">
      <c r="A284" s="3208" t="s">
        <v>594</v>
      </c>
      <c r="B284" s="2551" t="s">
        <v>412</v>
      </c>
      <c r="C284" s="12" t="s">
        <v>21</v>
      </c>
      <c r="D284" s="14">
        <f>I284*J284*100/K285</f>
        <v>271132.6530612245</v>
      </c>
      <c r="E284" s="14">
        <f>E285*H284/100</f>
        <v>241796.1</v>
      </c>
      <c r="F284" s="14">
        <f>F285*H284/100</f>
        <v>13285.5</v>
      </c>
      <c r="G284" s="14">
        <f>G285*H284/100</f>
        <v>10628.4</v>
      </c>
      <c r="H284" s="853">
        <f>J284*I284</f>
        <v>265710</v>
      </c>
      <c r="I284" s="434">
        <v>17</v>
      </c>
      <c r="J284" s="357">
        <v>15630</v>
      </c>
      <c r="K284" s="348"/>
      <c r="L284" s="28"/>
      <c r="M284" s="28"/>
      <c r="N284" s="348">
        <v>25</v>
      </c>
    </row>
    <row r="285" spans="1:15" s="340" customFormat="1" ht="25" customHeight="1" x14ac:dyDescent="0.15">
      <c r="A285" s="3208"/>
      <c r="B285" s="2551"/>
      <c r="C285" s="12" t="s">
        <v>22</v>
      </c>
      <c r="D285" s="13"/>
      <c r="E285" s="16">
        <v>91</v>
      </c>
      <c r="F285" s="16">
        <v>5</v>
      </c>
      <c r="G285" s="16">
        <v>4</v>
      </c>
      <c r="H285" s="396">
        <v>100</v>
      </c>
      <c r="I285" s="435"/>
      <c r="J285" s="362"/>
      <c r="K285" s="365">
        <v>98</v>
      </c>
      <c r="L285" s="2933">
        <v>2</v>
      </c>
      <c r="M285" s="2933"/>
      <c r="N285" s="348"/>
    </row>
    <row r="286" spans="1:15" s="340" customFormat="1" ht="25" customHeight="1" x14ac:dyDescent="0.15">
      <c r="A286" s="3032" t="s">
        <v>609</v>
      </c>
      <c r="B286" s="3032"/>
      <c r="C286" s="31" t="s">
        <v>21</v>
      </c>
      <c r="D286" s="842">
        <f t="shared" ref="D286:I286" si="26">D282+D284</f>
        <v>464361.22448979592</v>
      </c>
      <c r="E286" s="842">
        <f t="shared" si="26"/>
        <v>414117.33999999997</v>
      </c>
      <c r="F286" s="842">
        <f t="shared" si="26"/>
        <v>22753.7</v>
      </c>
      <c r="G286" s="842">
        <f t="shared" si="26"/>
        <v>18202.96</v>
      </c>
      <c r="H286" s="842">
        <f t="shared" si="26"/>
        <v>455074</v>
      </c>
      <c r="I286" s="34">
        <f t="shared" si="26"/>
        <v>31</v>
      </c>
      <c r="J286" s="842">
        <f>H286/I286</f>
        <v>14679.806451612903</v>
      </c>
      <c r="K286" s="368"/>
      <c r="L286" s="826"/>
      <c r="M286" s="826"/>
      <c r="N286" s="367">
        <v>25</v>
      </c>
    </row>
    <row r="287" spans="1:15" s="340" customFormat="1" ht="25" customHeight="1" x14ac:dyDescent="0.15">
      <c r="A287" s="3032"/>
      <c r="B287" s="3032"/>
      <c r="C287" s="31" t="s">
        <v>22</v>
      </c>
      <c r="D287" s="32"/>
      <c r="E287" s="33">
        <f>+E286/H286*100</f>
        <v>90.999999999999986</v>
      </c>
      <c r="F287" s="33">
        <f>+F286/H286*100</f>
        <v>5</v>
      </c>
      <c r="G287" s="33">
        <f>+G286/H286*100</f>
        <v>4</v>
      </c>
      <c r="H287" s="397">
        <v>100</v>
      </c>
      <c r="I287" s="436"/>
      <c r="J287" s="358"/>
      <c r="K287" s="976">
        <f>+H286/D286*100</f>
        <v>98</v>
      </c>
      <c r="L287" s="3033">
        <f>100-K287</f>
        <v>2</v>
      </c>
      <c r="M287" s="3033"/>
      <c r="N287" s="367"/>
    </row>
    <row r="288" spans="1:15" s="340" customFormat="1" ht="25" customHeight="1" x14ac:dyDescent="0.15">
      <c r="A288" s="2665" t="s">
        <v>25</v>
      </c>
      <c r="B288" s="2551" t="s">
        <v>595</v>
      </c>
      <c r="C288" s="12" t="s">
        <v>21</v>
      </c>
      <c r="D288" s="14">
        <f>I288*J288*100/K289</f>
        <v>198821.53846153847</v>
      </c>
      <c r="E288" s="14">
        <f>E289*H288/100</f>
        <v>186096.96</v>
      </c>
      <c r="F288" s="14">
        <f>F289*H288/100</f>
        <v>3877.02</v>
      </c>
      <c r="G288" s="14">
        <f>G289*H288/100</f>
        <v>3877.02</v>
      </c>
      <c r="H288" s="853">
        <f>J288*I288</f>
        <v>193851</v>
      </c>
      <c r="I288" s="434">
        <v>15</v>
      </c>
      <c r="J288" s="357">
        <f>J269+J269*2%</f>
        <v>12923.4</v>
      </c>
      <c r="K288" s="348"/>
      <c r="L288" s="28"/>
      <c r="M288" s="28"/>
      <c r="N288" s="348"/>
    </row>
    <row r="289" spans="1:14" s="340" customFormat="1" ht="25" customHeight="1" x14ac:dyDescent="0.15">
      <c r="A289" s="2665"/>
      <c r="B289" s="2551"/>
      <c r="C289" s="12" t="s">
        <v>22</v>
      </c>
      <c r="D289" s="13"/>
      <c r="E289" s="16">
        <v>96</v>
      </c>
      <c r="F289" s="16">
        <v>2</v>
      </c>
      <c r="G289" s="16">
        <v>2</v>
      </c>
      <c r="H289" s="396">
        <v>100</v>
      </c>
      <c r="I289" s="435"/>
      <c r="J289" s="362"/>
      <c r="K289" s="365">
        <v>97.5</v>
      </c>
      <c r="L289" s="2933">
        <v>2.5</v>
      </c>
      <c r="M289" s="2933"/>
      <c r="N289" s="348"/>
    </row>
    <row r="290" spans="1:14" s="340" customFormat="1" ht="25" customHeight="1" x14ac:dyDescent="0.15">
      <c r="A290" s="2665"/>
      <c r="B290" s="2551" t="s">
        <v>596</v>
      </c>
      <c r="C290" s="12" t="s">
        <v>21</v>
      </c>
      <c r="D290" s="14">
        <f>I290*J290*100/K291</f>
        <v>150377.14285714284</v>
      </c>
      <c r="E290" s="14">
        <f>E291*H290/100</f>
        <v>132632.63999999998</v>
      </c>
      <c r="F290" s="14">
        <f>F291*H290/100</f>
        <v>7368.4799999999987</v>
      </c>
      <c r="G290" s="14">
        <f>G291*H290/100</f>
        <v>7368.4799999999987</v>
      </c>
      <c r="H290" s="853">
        <f>J290*I290</f>
        <v>147369.59999999998</v>
      </c>
      <c r="I290" s="434">
        <v>12</v>
      </c>
      <c r="J290" s="357">
        <f>J271+J271*2%</f>
        <v>12280.8</v>
      </c>
      <c r="K290" s="348"/>
      <c r="L290" s="28"/>
      <c r="M290" s="28"/>
      <c r="N290" s="348"/>
    </row>
    <row r="291" spans="1:14" s="340" customFormat="1" ht="25" customHeight="1" x14ac:dyDescent="0.15">
      <c r="A291" s="2665"/>
      <c r="B291" s="2551"/>
      <c r="C291" s="12" t="s">
        <v>22</v>
      </c>
      <c r="D291" s="13"/>
      <c r="E291" s="16">
        <v>90</v>
      </c>
      <c r="F291" s="16">
        <v>5</v>
      </c>
      <c r="G291" s="16">
        <v>5</v>
      </c>
      <c r="H291" s="396">
        <v>100</v>
      </c>
      <c r="I291" s="435"/>
      <c r="J291" s="362"/>
      <c r="K291" s="365">
        <v>98</v>
      </c>
      <c r="L291" s="2933">
        <v>2</v>
      </c>
      <c r="M291" s="2933"/>
      <c r="N291" s="348"/>
    </row>
    <row r="292" spans="1:14" s="340" customFormat="1" ht="25" customHeight="1" x14ac:dyDescent="0.15">
      <c r="A292" s="2665"/>
      <c r="B292" s="2551" t="s">
        <v>492</v>
      </c>
      <c r="C292" s="12" t="s">
        <v>21</v>
      </c>
      <c r="D292" s="14">
        <f>I292*J292*100/K293</f>
        <v>29059.591836734693</v>
      </c>
      <c r="E292" s="14">
        <f>E293*H292/100</f>
        <v>25915.343999999997</v>
      </c>
      <c r="F292" s="14">
        <f>F293*H292/100</f>
        <v>1708.7040000000002</v>
      </c>
      <c r="G292" s="14">
        <f>G293*H292/100</f>
        <v>854.35200000000009</v>
      </c>
      <c r="H292" s="853">
        <f>J292*I292</f>
        <v>28478.400000000001</v>
      </c>
      <c r="I292" s="434">
        <v>2</v>
      </c>
      <c r="J292" s="357">
        <f>J273+J273*2%</f>
        <v>14239.2</v>
      </c>
      <c r="K292" s="348"/>
      <c r="L292" s="28"/>
      <c r="M292" s="28"/>
      <c r="N292" s="348"/>
    </row>
    <row r="293" spans="1:14" s="340" customFormat="1" ht="26" customHeight="1" x14ac:dyDescent="0.15">
      <c r="A293" s="2665"/>
      <c r="B293" s="2551"/>
      <c r="C293" s="12" t="s">
        <v>22</v>
      </c>
      <c r="D293" s="13"/>
      <c r="E293" s="16">
        <v>91</v>
      </c>
      <c r="F293" s="16">
        <v>6</v>
      </c>
      <c r="G293" s="16">
        <v>3</v>
      </c>
      <c r="H293" s="396">
        <v>100</v>
      </c>
      <c r="I293" s="435"/>
      <c r="J293" s="362"/>
      <c r="K293" s="365">
        <v>98</v>
      </c>
      <c r="L293" s="2933">
        <v>2</v>
      </c>
      <c r="M293" s="2933"/>
      <c r="N293" s="348"/>
    </row>
    <row r="294" spans="1:14" s="340" customFormat="1" ht="26" customHeight="1" x14ac:dyDescent="0.15">
      <c r="A294" s="3032" t="s">
        <v>611</v>
      </c>
      <c r="B294" s="3032"/>
      <c r="C294" s="31" t="s">
        <v>21</v>
      </c>
      <c r="D294" s="842">
        <f t="shared" ref="D294:I294" si="27">D288+D290+D292</f>
        <v>378258.27315541601</v>
      </c>
      <c r="E294" s="842">
        <f t="shared" si="27"/>
        <v>344644.94399999996</v>
      </c>
      <c r="F294" s="842">
        <f t="shared" si="27"/>
        <v>12954.203999999998</v>
      </c>
      <c r="G294" s="842">
        <f t="shared" si="27"/>
        <v>12099.851999999999</v>
      </c>
      <c r="H294" s="842">
        <f t="shared" si="27"/>
        <v>369699</v>
      </c>
      <c r="I294" s="34">
        <f t="shared" si="27"/>
        <v>29</v>
      </c>
      <c r="J294" s="842">
        <f>H294/I294</f>
        <v>12748.241379310344</v>
      </c>
      <c r="K294" s="368"/>
      <c r="L294" s="826"/>
      <c r="M294" s="826"/>
      <c r="N294" s="367"/>
    </row>
    <row r="295" spans="1:14" s="340" customFormat="1" ht="26" customHeight="1" x14ac:dyDescent="0.15">
      <c r="A295" s="3032"/>
      <c r="B295" s="3032"/>
      <c r="C295" s="31" t="s">
        <v>22</v>
      </c>
      <c r="D295" s="32"/>
      <c r="E295" s="975">
        <f>+E294/H294*100</f>
        <v>93.22312043040418</v>
      </c>
      <c r="F295" s="975">
        <f>+F294/H294*100</f>
        <v>3.5039867567940397</v>
      </c>
      <c r="G295" s="975">
        <f>+G294/H294*100</f>
        <v>3.2728928128017656</v>
      </c>
      <c r="H295" s="397">
        <v>100</v>
      </c>
      <c r="I295" s="436"/>
      <c r="J295" s="358"/>
      <c r="K295" s="976">
        <f>+H294/D294*100</f>
        <v>97.73718811646475</v>
      </c>
      <c r="L295" s="3033">
        <f>100-K295</f>
        <v>2.2628118835352495</v>
      </c>
      <c r="M295" s="3033"/>
      <c r="N295" s="367"/>
    </row>
    <row r="296" spans="1:14" s="340" customFormat="1" ht="26" customHeight="1" x14ac:dyDescent="0.15">
      <c r="A296" s="3034" t="s">
        <v>610</v>
      </c>
      <c r="B296" s="3034"/>
      <c r="C296" s="989" t="s">
        <v>21</v>
      </c>
      <c r="D296" s="978">
        <f t="shared" ref="D296:I296" si="28">D294+D286</f>
        <v>842619.49764521187</v>
      </c>
      <c r="E296" s="978">
        <f t="shared" si="28"/>
        <v>758762.28399999999</v>
      </c>
      <c r="F296" s="978">
        <f t="shared" si="28"/>
        <v>35707.903999999995</v>
      </c>
      <c r="G296" s="978">
        <f t="shared" si="28"/>
        <v>30302.811999999998</v>
      </c>
      <c r="H296" s="978">
        <f t="shared" si="28"/>
        <v>824773</v>
      </c>
      <c r="I296" s="979">
        <f t="shared" si="28"/>
        <v>60</v>
      </c>
      <c r="J296" s="978">
        <f>H296/I296</f>
        <v>13746.216666666667</v>
      </c>
      <c r="K296" s="980"/>
      <c r="L296" s="981"/>
      <c r="M296" s="981"/>
      <c r="N296" s="982"/>
    </row>
    <row r="297" spans="1:14" s="340" customFormat="1" ht="26" customHeight="1" x14ac:dyDescent="0.15">
      <c r="A297" s="3034"/>
      <c r="B297" s="3034"/>
      <c r="C297" s="977" t="s">
        <v>22</v>
      </c>
      <c r="D297" s="983"/>
      <c r="E297" s="984">
        <f>+E296/H296*100</f>
        <v>91.996498915459156</v>
      </c>
      <c r="F297" s="984">
        <f>+F296/H296*100</f>
        <v>4.3294220349114232</v>
      </c>
      <c r="G297" s="984">
        <f>+G296/H296*100</f>
        <v>3.6740790496294125</v>
      </c>
      <c r="H297" s="985">
        <v>100</v>
      </c>
      <c r="I297" s="986"/>
      <c r="J297" s="987"/>
      <c r="K297" s="988">
        <f>+H296/D296*100</f>
        <v>97.882021755361009</v>
      </c>
      <c r="L297" s="3035">
        <f>100-K297</f>
        <v>2.1179782446389908</v>
      </c>
      <c r="M297" s="3035"/>
      <c r="N297" s="982"/>
    </row>
    <row r="298" spans="1:14" s="340" customFormat="1" ht="26" customHeight="1" x14ac:dyDescent="0.15">
      <c r="A298" s="3200" t="s">
        <v>597</v>
      </c>
      <c r="B298" s="3200"/>
      <c r="C298" s="3200"/>
      <c r="D298" s="3200"/>
      <c r="E298" s="3200"/>
      <c r="F298" s="3200"/>
      <c r="G298" s="3200"/>
      <c r="H298" s="3200"/>
      <c r="I298" s="3200"/>
      <c r="J298" s="3200"/>
      <c r="K298" s="3200"/>
      <c r="L298" s="3200"/>
      <c r="M298" s="3200"/>
      <c r="N298" s="3200"/>
    </row>
    <row r="299" spans="1:14" s="340" customFormat="1" ht="26" customHeight="1" x14ac:dyDescent="0.15">
      <c r="A299" s="3408" t="s">
        <v>598</v>
      </c>
      <c r="B299" s="3408"/>
      <c r="C299" s="3408"/>
      <c r="D299" s="3408"/>
      <c r="E299" s="3408"/>
      <c r="F299" s="3408"/>
      <c r="G299" s="3408"/>
      <c r="H299" s="3408"/>
      <c r="I299" s="3408"/>
      <c r="J299" s="3408"/>
      <c r="K299" s="3408"/>
      <c r="L299" s="3408"/>
      <c r="M299" s="3408"/>
      <c r="N299" s="3408"/>
    </row>
    <row r="300" spans="1:14" s="340" customFormat="1" ht="26" customHeight="1" x14ac:dyDescent="0.15">
      <c r="A300" s="2663" t="s">
        <v>599</v>
      </c>
      <c r="B300" s="2663"/>
      <c r="C300" s="2663"/>
      <c r="D300" s="2663"/>
      <c r="E300" s="2663"/>
      <c r="F300" s="2663"/>
      <c r="G300" s="2663"/>
      <c r="H300" s="2663"/>
      <c r="I300" s="2663"/>
      <c r="J300" s="2663"/>
      <c r="K300" s="2663"/>
      <c r="L300" s="2663"/>
      <c r="M300" s="2663"/>
      <c r="N300" s="2663"/>
    </row>
    <row r="301" spans="1:14" s="340" customFormat="1" ht="26" customHeight="1" x14ac:dyDescent="0.15">
      <c r="A301" s="2663" t="s">
        <v>600</v>
      </c>
      <c r="B301" s="2663"/>
      <c r="C301" s="2663"/>
      <c r="D301" s="2663"/>
      <c r="E301" s="2663"/>
      <c r="F301" s="2663"/>
      <c r="G301" s="2663"/>
      <c r="H301" s="2663"/>
      <c r="I301" s="2663"/>
      <c r="J301" s="2663"/>
      <c r="K301" s="2663"/>
      <c r="L301" s="2663"/>
      <c r="M301" s="2663"/>
      <c r="N301" s="2663"/>
    </row>
    <row r="302" spans="1:14" s="340" customFormat="1" ht="26" customHeight="1" x14ac:dyDescent="0.15">
      <c r="A302" s="2663" t="s">
        <v>601</v>
      </c>
      <c r="B302" s="2663"/>
      <c r="C302" s="2663"/>
      <c r="D302" s="2663"/>
      <c r="E302" s="2663"/>
      <c r="F302" s="2663"/>
      <c r="G302" s="2663"/>
      <c r="H302" s="2663"/>
      <c r="I302" s="2663"/>
      <c r="J302" s="2663"/>
      <c r="K302" s="2663"/>
      <c r="L302" s="2663"/>
      <c r="M302" s="2663"/>
      <c r="N302" s="2663"/>
    </row>
    <row r="303" spans="1:14" s="340" customFormat="1" ht="35" customHeight="1" x14ac:dyDescent="0.15">
      <c r="A303" s="3408" t="s">
        <v>602</v>
      </c>
      <c r="B303" s="3408"/>
      <c r="C303" s="3408"/>
      <c r="D303" s="3408"/>
      <c r="E303" s="3408"/>
      <c r="F303" s="3408"/>
      <c r="G303" s="3408"/>
      <c r="H303" s="3408"/>
      <c r="I303" s="3408"/>
      <c r="J303" s="3408"/>
      <c r="K303" s="3408"/>
      <c r="L303" s="3408"/>
      <c r="M303" s="3408"/>
      <c r="N303" s="3408"/>
    </row>
    <row r="304" spans="1:14" s="340" customFormat="1" ht="26" customHeight="1" x14ac:dyDescent="0.15">
      <c r="A304" s="2663" t="s">
        <v>603</v>
      </c>
      <c r="B304" s="2663"/>
      <c r="C304" s="2663"/>
      <c r="D304" s="2663"/>
      <c r="E304" s="2663"/>
      <c r="F304" s="2663"/>
      <c r="G304" s="2663"/>
      <c r="H304" s="2663"/>
      <c r="I304" s="2663"/>
      <c r="J304" s="2663"/>
      <c r="K304" s="2663"/>
      <c r="L304" s="2663"/>
      <c r="M304" s="2663"/>
      <c r="N304" s="2663"/>
    </row>
    <row r="305" spans="1:15" s="340" customFormat="1" ht="26" customHeight="1" x14ac:dyDescent="0.15">
      <c r="A305" s="2663" t="s">
        <v>604</v>
      </c>
      <c r="B305" s="2663"/>
      <c r="C305" s="2663"/>
      <c r="D305" s="2663"/>
      <c r="E305" s="2663"/>
      <c r="F305" s="2663"/>
      <c r="G305" s="2663"/>
      <c r="H305" s="2663"/>
      <c r="I305" s="2663"/>
      <c r="J305" s="2663"/>
      <c r="K305" s="2663"/>
      <c r="L305" s="2663"/>
      <c r="M305" s="2663"/>
      <c r="N305" s="2663"/>
    </row>
    <row r="306" spans="1:15" s="340" customFormat="1" ht="26" customHeight="1" x14ac:dyDescent="0.15">
      <c r="A306" s="2663" t="s">
        <v>605</v>
      </c>
      <c r="B306" s="2663"/>
      <c r="C306" s="2663"/>
      <c r="D306" s="2663"/>
      <c r="E306" s="2663"/>
      <c r="F306" s="2663"/>
      <c r="G306" s="2663"/>
      <c r="H306" s="2663"/>
      <c r="I306" s="2663"/>
      <c r="J306" s="2663"/>
      <c r="K306" s="2663"/>
      <c r="L306" s="2663"/>
      <c r="M306" s="2663"/>
      <c r="N306" s="2663"/>
    </row>
    <row r="307" spans="1:15" s="1" customFormat="1" ht="23" customHeight="1" x14ac:dyDescent="0.2">
      <c r="A307" s="3199" t="s">
        <v>591</v>
      </c>
      <c r="B307" s="3199"/>
      <c r="C307" s="3199"/>
      <c r="D307" s="3199"/>
      <c r="E307" s="3199"/>
      <c r="F307" s="3199"/>
      <c r="G307" s="3199"/>
      <c r="H307" s="3199"/>
      <c r="I307" s="3199"/>
      <c r="J307" s="3199"/>
      <c r="K307" s="3199"/>
      <c r="L307" s="3199"/>
      <c r="M307" s="3199"/>
      <c r="N307" s="3199"/>
      <c r="O307" s="942"/>
    </row>
    <row r="308" spans="1:15" s="1" customFormat="1" ht="24.75" customHeight="1" x14ac:dyDescent="0.2">
      <c r="A308" s="2475" t="s">
        <v>57</v>
      </c>
      <c r="B308" s="2475"/>
      <c r="C308" s="2475"/>
      <c r="D308" s="2475"/>
      <c r="E308" s="2475"/>
      <c r="F308" s="2475"/>
      <c r="G308" s="2475"/>
      <c r="H308" s="2475"/>
      <c r="I308" s="2475"/>
      <c r="J308" s="2475"/>
      <c r="K308" s="2475"/>
      <c r="L308" s="2475"/>
      <c r="M308" s="2475"/>
      <c r="N308" s="2475"/>
    </row>
    <row r="309" spans="1:15" s="1" customFormat="1" ht="24.75" customHeight="1" x14ac:dyDescent="0.2">
      <c r="A309" s="3173" t="s">
        <v>635</v>
      </c>
      <c r="B309" s="3173"/>
      <c r="C309" s="3173"/>
      <c r="D309" s="3173"/>
      <c r="E309" s="3173"/>
      <c r="F309" s="3173"/>
      <c r="G309" s="3173"/>
      <c r="H309" s="3173"/>
      <c r="I309" s="3173"/>
      <c r="J309" s="3173"/>
      <c r="K309" s="3173"/>
      <c r="L309" s="3173"/>
      <c r="M309" s="3173"/>
      <c r="N309" s="3173"/>
    </row>
    <row r="310" spans="1:15" s="1" customFormat="1" ht="35" customHeight="1" x14ac:dyDescent="0.2">
      <c r="A310" s="2663" t="s">
        <v>661</v>
      </c>
      <c r="B310" s="2663"/>
      <c r="C310" s="2663"/>
      <c r="D310" s="2663"/>
      <c r="E310" s="2663"/>
      <c r="F310" s="2663"/>
      <c r="G310" s="2663"/>
      <c r="H310" s="2663"/>
      <c r="I310" s="2663"/>
      <c r="J310" s="2663"/>
      <c r="K310" s="2663"/>
      <c r="L310" s="2663"/>
      <c r="M310" s="2663"/>
      <c r="N310" s="2663"/>
    </row>
    <row r="311" spans="1:15" s="1" customFormat="1" ht="24.75" customHeight="1" x14ac:dyDescent="0.2">
      <c r="A311" s="3173" t="s">
        <v>542</v>
      </c>
      <c r="B311" s="3173"/>
      <c r="C311" s="3173"/>
      <c r="D311" s="3173"/>
      <c r="E311" s="3173"/>
      <c r="F311" s="3173"/>
      <c r="G311" s="3173"/>
      <c r="H311" s="3173"/>
      <c r="I311" s="3173"/>
      <c r="J311" s="3173"/>
      <c r="K311" s="3173"/>
      <c r="L311" s="3173"/>
      <c r="M311" s="3173"/>
      <c r="N311" s="3173"/>
    </row>
    <row r="312" spans="1:15" s="1" customFormat="1" ht="39" customHeight="1" x14ac:dyDescent="0.2">
      <c r="A312" s="2725" t="s">
        <v>636</v>
      </c>
      <c r="B312" s="2725"/>
      <c r="C312" s="2725"/>
      <c r="D312" s="2725"/>
      <c r="E312" s="2725"/>
      <c r="F312" s="2725"/>
      <c r="G312" s="2725"/>
      <c r="H312" s="2725"/>
      <c r="I312" s="2725"/>
      <c r="J312" s="2725"/>
      <c r="K312" s="2725"/>
      <c r="L312" s="2725"/>
      <c r="M312" s="2725"/>
      <c r="N312" s="2725"/>
    </row>
    <row r="313" spans="1:15" s="1" customFormat="1" ht="23" customHeight="1" x14ac:dyDescent="0.2">
      <c r="A313" s="2475" t="s">
        <v>414</v>
      </c>
      <c r="B313" s="2475"/>
      <c r="C313" s="2475"/>
      <c r="D313" s="2475"/>
      <c r="E313" s="2475"/>
      <c r="F313" s="2475"/>
      <c r="G313" s="2475"/>
      <c r="H313" s="2475"/>
      <c r="I313" s="2475"/>
      <c r="J313" s="2475"/>
      <c r="K313" s="2475"/>
      <c r="L313" s="2475"/>
      <c r="M313" s="2475"/>
      <c r="N313" s="2475"/>
    </row>
    <row r="314" spans="1:15" s="84" customFormat="1" ht="24.75" customHeight="1" x14ac:dyDescent="0.2">
      <c r="A314" s="3173" t="s">
        <v>648</v>
      </c>
      <c r="B314" s="3173"/>
      <c r="C314" s="3173"/>
      <c r="D314" s="3173"/>
      <c r="E314" s="3173"/>
      <c r="F314" s="3173"/>
      <c r="G314" s="3173"/>
      <c r="H314" s="3173"/>
      <c r="I314" s="3173"/>
      <c r="J314" s="3173"/>
      <c r="K314" s="3173"/>
      <c r="L314" s="3173"/>
      <c r="M314" s="3173"/>
      <c r="N314" s="3173"/>
    </row>
    <row r="315" spans="1:15" s="84" customFormat="1" ht="24.75" customHeight="1" x14ac:dyDescent="0.2">
      <c r="A315" s="2829" t="s">
        <v>649</v>
      </c>
      <c r="B315" s="2829"/>
      <c r="C315" s="2829"/>
      <c r="D315" s="2829"/>
      <c r="E315" s="2829"/>
      <c r="F315" s="2829"/>
      <c r="G315" s="2829"/>
      <c r="H315" s="2829"/>
      <c r="I315" s="2829"/>
      <c r="J315" s="2829"/>
      <c r="K315" s="2829"/>
      <c r="L315" s="2829"/>
      <c r="M315" s="2829"/>
      <c r="N315" s="2829"/>
    </row>
    <row r="316" spans="1:15" s="84" customFormat="1" ht="35" customHeight="1" x14ac:dyDescent="0.2">
      <c r="A316" s="3206" t="s">
        <v>675</v>
      </c>
      <c r="B316" s="3206"/>
      <c r="C316" s="3206"/>
      <c r="D316" s="3206"/>
      <c r="E316" s="3206"/>
      <c r="F316" s="3206"/>
      <c r="G316" s="3206"/>
      <c r="H316" s="3206"/>
      <c r="I316" s="3206"/>
      <c r="J316" s="3206"/>
      <c r="K316" s="3206"/>
      <c r="L316" s="3206"/>
      <c r="M316" s="3206"/>
      <c r="N316" s="3206"/>
    </row>
    <row r="317" spans="1:15" s="84" customFormat="1" ht="24.75" customHeight="1" x14ac:dyDescent="0.2">
      <c r="A317" s="3206" t="s">
        <v>647</v>
      </c>
      <c r="B317" s="3206"/>
      <c r="C317" s="3206"/>
      <c r="D317" s="3206"/>
      <c r="E317" s="3206"/>
      <c r="F317" s="3206"/>
      <c r="G317" s="3206"/>
      <c r="H317" s="3206"/>
      <c r="I317" s="3206"/>
      <c r="J317" s="3206"/>
      <c r="K317" s="3206"/>
      <c r="L317" s="3206"/>
      <c r="M317" s="3206"/>
      <c r="N317" s="3206"/>
    </row>
    <row r="318" spans="1:15" s="84" customFormat="1" ht="36" customHeight="1" x14ac:dyDescent="0.2">
      <c r="A318" s="3206" t="s">
        <v>650</v>
      </c>
      <c r="B318" s="3206"/>
      <c r="C318" s="3206"/>
      <c r="D318" s="3206"/>
      <c r="E318" s="3206"/>
      <c r="F318" s="3206"/>
      <c r="G318" s="3206"/>
      <c r="H318" s="3206"/>
      <c r="I318" s="3206"/>
      <c r="J318" s="3206"/>
      <c r="K318" s="3206"/>
      <c r="L318" s="3206"/>
      <c r="M318" s="3206"/>
      <c r="N318" s="3206"/>
    </row>
    <row r="319" spans="1:15" s="84" customFormat="1" ht="25" customHeight="1" x14ac:dyDescent="0.2">
      <c r="A319" s="42" t="s">
        <v>60</v>
      </c>
      <c r="B319" s="85"/>
      <c r="C319" s="85"/>
      <c r="D319" s="85"/>
      <c r="E319" s="85"/>
      <c r="F319" s="85"/>
      <c r="G319" s="85"/>
      <c r="H319" s="399"/>
      <c r="I319" s="450"/>
      <c r="J319" s="85"/>
      <c r="K319" s="85"/>
      <c r="L319" s="85"/>
      <c r="M319" s="85"/>
      <c r="N319" s="86"/>
    </row>
    <row r="320" spans="1:15" s="1" customFormat="1" ht="21" customHeight="1" x14ac:dyDescent="0.2">
      <c r="A320" s="79" t="s">
        <v>643</v>
      </c>
      <c r="B320" s="85"/>
      <c r="C320" s="85"/>
      <c r="D320" s="85"/>
      <c r="E320" s="85"/>
      <c r="F320" s="85"/>
      <c r="G320" s="85"/>
      <c r="H320" s="399"/>
      <c r="I320" s="450"/>
      <c r="J320" s="85"/>
      <c r="K320" s="85"/>
      <c r="L320" s="85"/>
      <c r="M320" s="85"/>
      <c r="N320" s="86"/>
    </row>
    <row r="321" spans="1:14" s="1" customFormat="1" ht="21" customHeight="1" x14ac:dyDescent="0.2">
      <c r="A321" s="2829" t="s">
        <v>673</v>
      </c>
      <c r="B321" s="2829"/>
      <c r="C321" s="2829"/>
      <c r="D321" s="2829"/>
      <c r="E321" s="2829"/>
      <c r="F321" s="2829"/>
      <c r="G321" s="2829"/>
      <c r="H321" s="2829"/>
      <c r="I321" s="2829"/>
      <c r="J321" s="2829"/>
      <c r="K321" s="2829"/>
      <c r="L321" s="2829"/>
      <c r="M321" s="2829"/>
      <c r="N321" s="2829"/>
    </row>
    <row r="322" spans="1:14" s="1" customFormat="1" ht="40" customHeight="1" x14ac:dyDescent="0.2">
      <c r="A322" s="2663" t="s">
        <v>668</v>
      </c>
      <c r="B322" s="2725"/>
      <c r="C322" s="2725"/>
      <c r="D322" s="2725"/>
      <c r="E322" s="2725"/>
      <c r="F322" s="2725"/>
      <c r="G322" s="2725"/>
      <c r="H322" s="2725"/>
      <c r="I322" s="2725"/>
      <c r="J322" s="2725"/>
      <c r="K322" s="2725"/>
      <c r="L322" s="2725"/>
      <c r="M322" s="2725"/>
      <c r="N322" s="2725"/>
    </row>
    <row r="323" spans="1:14" s="84" customFormat="1" ht="21" customHeight="1" x14ac:dyDescent="0.2">
      <c r="A323" s="42" t="s">
        <v>64</v>
      </c>
      <c r="H323" s="394"/>
      <c r="I323" s="451"/>
      <c r="J323" s="355"/>
      <c r="K323" s="355"/>
      <c r="N323" s="350"/>
    </row>
    <row r="324" spans="1:14" s="84" customFormat="1" ht="26" customHeight="1" x14ac:dyDescent="0.2">
      <c r="A324" s="79" t="s">
        <v>65</v>
      </c>
      <c r="H324" s="394"/>
      <c r="I324" s="451"/>
      <c r="J324" s="355"/>
      <c r="K324" s="355"/>
      <c r="N324" s="350"/>
    </row>
    <row r="325" spans="1:14" s="84" customFormat="1" ht="26" customHeight="1" x14ac:dyDescent="0.2">
      <c r="A325" s="79" t="s">
        <v>646</v>
      </c>
      <c r="H325" s="394"/>
      <c r="I325" s="451"/>
      <c r="J325" s="355"/>
      <c r="K325" s="355"/>
      <c r="N325" s="350"/>
    </row>
    <row r="326" spans="1:14" s="1" customFormat="1" ht="24.75" customHeight="1" x14ac:dyDescent="0.2">
      <c r="A326" s="79" t="s">
        <v>644</v>
      </c>
      <c r="H326" s="78"/>
      <c r="I326" s="447"/>
      <c r="J326" s="71"/>
      <c r="K326" s="71"/>
      <c r="N326" s="209"/>
    </row>
    <row r="327" spans="1:14" s="1" customFormat="1" ht="24.75" customHeight="1" x14ac:dyDescent="0.2">
      <c r="A327" s="335" t="s">
        <v>571</v>
      </c>
      <c r="H327" s="78"/>
      <c r="I327" s="447"/>
      <c r="J327" s="71"/>
      <c r="K327" s="71"/>
      <c r="N327" s="209"/>
    </row>
    <row r="328" spans="1:14" s="1" customFormat="1" ht="24.75" customHeight="1" x14ac:dyDescent="0.2">
      <c r="A328" s="79" t="s">
        <v>572</v>
      </c>
      <c r="H328" s="78"/>
      <c r="I328" s="447"/>
      <c r="J328" s="71"/>
      <c r="K328" s="71"/>
      <c r="N328" s="209"/>
    </row>
    <row r="329" spans="1:14" s="1" customFormat="1" ht="24.75" customHeight="1" x14ac:dyDescent="0.2">
      <c r="A329" s="79" t="s">
        <v>573</v>
      </c>
      <c r="H329" s="78"/>
      <c r="I329" s="447"/>
      <c r="J329" s="71"/>
      <c r="K329" s="71"/>
      <c r="N329" s="209"/>
    </row>
    <row r="330" spans="1:14" s="1" customFormat="1" ht="24.75" customHeight="1" x14ac:dyDescent="0.2">
      <c r="A330" s="2829" t="s">
        <v>669</v>
      </c>
      <c r="B330" s="2829"/>
      <c r="C330" s="2829"/>
      <c r="D330" s="2829"/>
      <c r="E330" s="2829"/>
      <c r="F330" s="2829"/>
      <c r="G330" s="2829"/>
      <c r="H330" s="2829"/>
      <c r="I330" s="2829"/>
      <c r="J330" s="2829"/>
      <c r="K330" s="2829"/>
      <c r="L330" s="2829"/>
      <c r="M330" s="2829"/>
      <c r="N330" s="2829"/>
    </row>
    <row r="331" spans="1:14" s="84" customFormat="1" ht="23" customHeight="1" x14ac:dyDescent="0.2">
      <c r="A331" s="2475" t="s">
        <v>592</v>
      </c>
      <c r="B331" s="2475"/>
      <c r="C331" s="2475"/>
      <c r="D331" s="2475"/>
      <c r="E331" s="2475"/>
      <c r="F331" s="2475"/>
      <c r="G331" s="2475"/>
      <c r="H331" s="2475"/>
      <c r="I331" s="2475"/>
      <c r="J331" s="2475"/>
      <c r="K331" s="2475"/>
      <c r="L331" s="2475"/>
      <c r="M331" s="2475"/>
      <c r="N331" s="2475"/>
    </row>
    <row r="332" spans="1:14" s="84" customFormat="1" ht="24.75" customHeight="1" x14ac:dyDescent="0.2">
      <c r="A332" s="957" t="s">
        <v>577</v>
      </c>
      <c r="B332" s="5"/>
      <c r="C332" s="5"/>
      <c r="D332" s="5"/>
      <c r="E332" s="5"/>
      <c r="F332" s="5"/>
      <c r="G332" s="5"/>
      <c r="H332" s="5"/>
      <c r="I332" s="5"/>
      <c r="J332" s="5"/>
      <c r="K332" s="5"/>
      <c r="L332" s="5"/>
      <c r="M332" s="5"/>
      <c r="N332" s="5"/>
    </row>
    <row r="333" spans="1:14" s="84" customFormat="1" ht="26" customHeight="1" x14ac:dyDescent="0.2">
      <c r="A333" s="2725" t="s">
        <v>670</v>
      </c>
      <c r="B333" s="2725"/>
      <c r="C333" s="2725"/>
      <c r="D333" s="2725"/>
      <c r="E333" s="2725"/>
      <c r="F333" s="2725"/>
      <c r="G333" s="2725"/>
      <c r="H333" s="2725"/>
      <c r="I333" s="2725"/>
      <c r="J333" s="2725"/>
      <c r="K333" s="2725"/>
      <c r="L333" s="2725"/>
      <c r="M333" s="2725"/>
      <c r="N333" s="2725"/>
    </row>
    <row r="334" spans="1:14" s="84" customFormat="1" ht="24.75" customHeight="1" x14ac:dyDescent="0.2">
      <c r="A334" s="1" t="s">
        <v>645</v>
      </c>
      <c r="B334" s="1"/>
      <c r="C334" s="1"/>
      <c r="D334" s="1"/>
      <c r="E334" s="43"/>
      <c r="F334" s="43"/>
      <c r="G334" s="1"/>
      <c r="H334" s="78"/>
      <c r="I334" s="447"/>
      <c r="J334" s="71"/>
      <c r="K334" s="71"/>
      <c r="L334" s="1"/>
      <c r="M334" s="1"/>
      <c r="N334" s="209"/>
    </row>
    <row r="335" spans="1:14" s="84" customFormat="1" ht="39" customHeight="1" x14ac:dyDescent="0.2">
      <c r="A335" s="2663" t="s">
        <v>667</v>
      </c>
      <c r="B335" s="2663"/>
      <c r="C335" s="2663"/>
      <c r="D335" s="2663"/>
      <c r="E335" s="2663"/>
      <c r="F335" s="2663"/>
      <c r="G335" s="2663"/>
      <c r="H335" s="2663"/>
      <c r="I335" s="2663"/>
      <c r="J335" s="2663"/>
      <c r="K335" s="2663"/>
      <c r="L335" s="2663"/>
      <c r="M335" s="2663"/>
      <c r="N335" s="2663"/>
    </row>
    <row r="336" spans="1:14" s="84" customFormat="1" ht="26" customHeight="1" x14ac:dyDescent="0.2">
      <c r="A336" s="2663" t="s">
        <v>672</v>
      </c>
      <c r="B336" s="2663"/>
      <c r="C336" s="2663"/>
      <c r="D336" s="2663"/>
      <c r="E336" s="2663"/>
      <c r="F336" s="2663"/>
      <c r="G336" s="2663"/>
      <c r="H336" s="2663"/>
      <c r="I336" s="2663"/>
      <c r="J336" s="2663"/>
      <c r="K336" s="2663"/>
      <c r="L336" s="2663"/>
      <c r="M336" s="2663"/>
      <c r="N336" s="2663"/>
    </row>
    <row r="337" spans="1:14" s="84" customFormat="1" ht="33" customHeight="1" x14ac:dyDescent="0.2">
      <c r="A337" s="2725" t="s">
        <v>671</v>
      </c>
      <c r="B337" s="2725"/>
      <c r="C337" s="2725"/>
      <c r="D337" s="2725"/>
      <c r="E337" s="2725"/>
      <c r="F337" s="2725"/>
      <c r="G337" s="2725"/>
      <c r="H337" s="2725"/>
      <c r="I337" s="2725"/>
      <c r="J337" s="2725"/>
      <c r="K337" s="2725"/>
      <c r="L337" s="2725"/>
      <c r="M337" s="2725"/>
      <c r="N337" s="2725"/>
    </row>
    <row r="338" spans="1:14" s="84" customFormat="1" ht="24.75" customHeight="1" x14ac:dyDescent="0.2">
      <c r="A338" s="1" t="s">
        <v>69</v>
      </c>
      <c r="B338" s="1"/>
      <c r="C338" s="1"/>
      <c r="D338" s="1"/>
      <c r="E338" s="43"/>
      <c r="F338" s="43"/>
      <c r="G338" s="1"/>
      <c r="H338" s="78"/>
      <c r="I338" s="447"/>
      <c r="J338" s="71"/>
      <c r="K338" s="71"/>
      <c r="L338" s="1"/>
      <c r="M338" s="1"/>
      <c r="N338" s="209"/>
    </row>
    <row r="339" spans="1:14" s="84" customFormat="1" ht="39" customHeight="1" x14ac:dyDescent="0.2">
      <c r="A339" s="2663" t="s">
        <v>679</v>
      </c>
      <c r="B339" s="2663"/>
      <c r="C339" s="2663"/>
      <c r="D339" s="2663"/>
      <c r="E339" s="2663"/>
      <c r="F339" s="2663"/>
      <c r="G339" s="2663"/>
      <c r="H339" s="2663"/>
      <c r="I339" s="2663"/>
      <c r="J339" s="2663"/>
      <c r="K339" s="2663"/>
      <c r="L339" s="2663"/>
      <c r="M339" s="2663"/>
      <c r="N339" s="2663"/>
    </row>
    <row r="340" spans="1:14" s="84" customFormat="1" ht="22.5" customHeight="1" x14ac:dyDescent="0.2">
      <c r="A340" s="88" t="s">
        <v>494</v>
      </c>
      <c r="H340" s="394"/>
      <c r="I340" s="451"/>
      <c r="J340" s="355"/>
      <c r="K340" s="355"/>
      <c r="N340" s="350"/>
    </row>
    <row r="341" spans="1:14" s="1" customFormat="1" ht="16" x14ac:dyDescent="0.2">
      <c r="A341" s="1029" t="s">
        <v>655</v>
      </c>
      <c r="C341" s="42"/>
      <c r="E341" s="43"/>
      <c r="F341" s="43"/>
      <c r="H341" s="78"/>
      <c r="I341" s="447"/>
      <c r="J341" s="2682" t="s">
        <v>654</v>
      </c>
      <c r="K341" s="2682"/>
      <c r="L341" s="2682"/>
      <c r="M341" s="2682"/>
      <c r="N341" s="2682"/>
    </row>
    <row r="342" spans="1:14" s="84" customFormat="1" ht="24" customHeight="1" x14ac:dyDescent="0.15">
      <c r="A342" s="1031" t="s">
        <v>656</v>
      </c>
      <c r="B342" s="1030"/>
      <c r="C342" s="1031"/>
      <c r="E342" s="339"/>
      <c r="F342" s="339"/>
      <c r="H342" s="339"/>
      <c r="I342" s="339"/>
      <c r="J342" s="2683" t="s">
        <v>72</v>
      </c>
      <c r="K342" s="2683"/>
      <c r="L342" s="2683"/>
      <c r="M342" s="2683"/>
      <c r="N342" s="2683"/>
    </row>
    <row r="343" spans="1:14" x14ac:dyDescent="0.15">
      <c r="A343" s="94" t="s">
        <v>657</v>
      </c>
      <c r="B343" s="1030"/>
      <c r="C343" s="1031"/>
    </row>
    <row r="344" spans="1:14" x14ac:dyDescent="0.15">
      <c r="A344" s="1032" t="s">
        <v>658</v>
      </c>
      <c r="B344" s="1030"/>
      <c r="C344" s="1031"/>
    </row>
    <row r="345" spans="1:14" x14ac:dyDescent="0.15">
      <c r="A345" s="1029" t="s">
        <v>659</v>
      </c>
      <c r="B345" s="1030"/>
      <c r="C345" s="1031"/>
    </row>
    <row r="346" spans="1:14" x14ac:dyDescent="0.2">
      <c r="A346" s="94" t="s">
        <v>660</v>
      </c>
      <c r="B346" s="92"/>
    </row>
    <row r="347" spans="1:14" x14ac:dyDescent="0.2">
      <c r="B347" s="92"/>
    </row>
  </sheetData>
  <mergeCells count="310">
    <mergeCell ref="L185:P185"/>
    <mergeCell ref="L186:P186"/>
    <mergeCell ref="L187:P187"/>
    <mergeCell ref="L188:P188"/>
    <mergeCell ref="L170:P170"/>
    <mergeCell ref="L171:P171"/>
    <mergeCell ref="L172:P172"/>
    <mergeCell ref="L173:P173"/>
    <mergeCell ref="L180:P180"/>
    <mergeCell ref="L181:P181"/>
    <mergeCell ref="L182:P182"/>
    <mergeCell ref="L183:P183"/>
    <mergeCell ref="L184:P184"/>
    <mergeCell ref="L178:M178"/>
    <mergeCell ref="N177:P177"/>
    <mergeCell ref="N178:P178"/>
    <mergeCell ref="L179:P179"/>
    <mergeCell ref="B271:B272"/>
    <mergeCell ref="L272:M272"/>
    <mergeCell ref="B273:B274"/>
    <mergeCell ref="L141:P141"/>
    <mergeCell ref="L142:N142"/>
    <mergeCell ref="L143:N143"/>
    <mergeCell ref="L144:N144"/>
    <mergeCell ref="O142:P142"/>
    <mergeCell ref="O143:P143"/>
    <mergeCell ref="O144:P144"/>
    <mergeCell ref="L145:P145"/>
    <mergeCell ref="L146:P146"/>
    <mergeCell ref="L147:P147"/>
    <mergeCell ref="L148:P148"/>
    <mergeCell ref="L149:P149"/>
    <mergeCell ref="L150:P150"/>
    <mergeCell ref="L151:P151"/>
    <mergeCell ref="L152:P152"/>
    <mergeCell ref="L153:P153"/>
    <mergeCell ref="L154:P154"/>
    <mergeCell ref="L155:P155"/>
    <mergeCell ref="L156:P156"/>
    <mergeCell ref="L157:P157"/>
    <mergeCell ref="L158:P158"/>
    <mergeCell ref="A321:N321"/>
    <mergeCell ref="A310:N310"/>
    <mergeCell ref="A335:N335"/>
    <mergeCell ref="A311:N311"/>
    <mergeCell ref="A312:N312"/>
    <mergeCell ref="A302:N302"/>
    <mergeCell ref="A303:N303"/>
    <mergeCell ref="A304:N304"/>
    <mergeCell ref="L276:M276"/>
    <mergeCell ref="L278:M278"/>
    <mergeCell ref="A298:N298"/>
    <mergeCell ref="A299:N299"/>
    <mergeCell ref="A300:N300"/>
    <mergeCell ref="L289:M289"/>
    <mergeCell ref="A286:B287"/>
    <mergeCell ref="L287:M287"/>
    <mergeCell ref="A288:A293"/>
    <mergeCell ref="B288:B289"/>
    <mergeCell ref="A275:B276"/>
    <mergeCell ref="B290:B291"/>
    <mergeCell ref="E280:G280"/>
    <mergeCell ref="H280:H281"/>
    <mergeCell ref="I280:I281"/>
    <mergeCell ref="L281:M281"/>
    <mergeCell ref="J342:N342"/>
    <mergeCell ref="A331:N331"/>
    <mergeCell ref="A333:N333"/>
    <mergeCell ref="J341:N341"/>
    <mergeCell ref="A204:A205"/>
    <mergeCell ref="B204:B205"/>
    <mergeCell ref="A318:N318"/>
    <mergeCell ref="A339:N339"/>
    <mergeCell ref="A253:N253"/>
    <mergeCell ref="A252:N252"/>
    <mergeCell ref="A226:N226"/>
    <mergeCell ref="A225:N225"/>
    <mergeCell ref="A224:N224"/>
    <mergeCell ref="A254:N254"/>
    <mergeCell ref="A255:N255"/>
    <mergeCell ref="A256:N256"/>
    <mergeCell ref="A251:N251"/>
    <mergeCell ref="A337:N337"/>
    <mergeCell ref="A322:N322"/>
    <mergeCell ref="L291:M291"/>
    <mergeCell ref="B292:B293"/>
    <mergeCell ref="L293:M293"/>
    <mergeCell ref="A277:B278"/>
    <mergeCell ref="A267:B268"/>
    <mergeCell ref="A336:N336"/>
    <mergeCell ref="A265:A266"/>
    <mergeCell ref="B265:B266"/>
    <mergeCell ref="L266:M266"/>
    <mergeCell ref="D185:E185"/>
    <mergeCell ref="D179:E179"/>
    <mergeCell ref="D181:E181"/>
    <mergeCell ref="A228:N228"/>
    <mergeCell ref="A235:N235"/>
    <mergeCell ref="A234:N234"/>
    <mergeCell ref="A233:N233"/>
    <mergeCell ref="A232:N232"/>
    <mergeCell ref="A191:A192"/>
    <mergeCell ref="B191:B192"/>
    <mergeCell ref="A231:N231"/>
    <mergeCell ref="A230:N230"/>
    <mergeCell ref="A229:N229"/>
    <mergeCell ref="A222:E222"/>
    <mergeCell ref="M217:M218"/>
    <mergeCell ref="N217:N218"/>
    <mergeCell ref="A217:A218"/>
    <mergeCell ref="B217:B218"/>
    <mergeCell ref="C217:E217"/>
    <mergeCell ref="I217:J217"/>
    <mergeCell ref="O236:P236"/>
    <mergeCell ref="A246:B246"/>
    <mergeCell ref="L274:M274"/>
    <mergeCell ref="A261:A262"/>
    <mergeCell ref="B261:C261"/>
    <mergeCell ref="D261:D262"/>
    <mergeCell ref="E261:G261"/>
    <mergeCell ref="H261:H262"/>
    <mergeCell ref="I261:I262"/>
    <mergeCell ref="L262:M262"/>
    <mergeCell ref="A263:A264"/>
    <mergeCell ref="A236:A237"/>
    <mergeCell ref="B236:B237"/>
    <mergeCell ref="C236:D236"/>
    <mergeCell ref="E236:F236"/>
    <mergeCell ref="G236:H236"/>
    <mergeCell ref="I236:J236"/>
    <mergeCell ref="K236:L236"/>
    <mergeCell ref="M236:N236"/>
    <mergeCell ref="B263:B264"/>
    <mergeCell ref="L264:M264"/>
    <mergeCell ref="L268:M268"/>
    <mergeCell ref="B269:B270"/>
    <mergeCell ref="L270:M270"/>
    <mergeCell ref="A209:N209"/>
    <mergeCell ref="A227:N227"/>
    <mergeCell ref="A175:N175"/>
    <mergeCell ref="D170:E170"/>
    <mergeCell ref="D171:E171"/>
    <mergeCell ref="D172:E172"/>
    <mergeCell ref="D173:E173"/>
    <mergeCell ref="D191:D192"/>
    <mergeCell ref="C191:C192"/>
    <mergeCell ref="C204:C205"/>
    <mergeCell ref="D204:D205"/>
    <mergeCell ref="D188:E188"/>
    <mergeCell ref="D186:E186"/>
    <mergeCell ref="D187:E187"/>
    <mergeCell ref="D183:E183"/>
    <mergeCell ref="D184:E184"/>
    <mergeCell ref="D174:E174"/>
    <mergeCell ref="D182:E182"/>
    <mergeCell ref="D177:E177"/>
    <mergeCell ref="D178:E178"/>
    <mergeCell ref="D180:E180"/>
    <mergeCell ref="L174:P174"/>
    <mergeCell ref="L176:P176"/>
    <mergeCell ref="L177:M177"/>
    <mergeCell ref="D169:E169"/>
    <mergeCell ref="D164:E164"/>
    <mergeCell ref="D165:E165"/>
    <mergeCell ref="D166:E166"/>
    <mergeCell ref="D167:E167"/>
    <mergeCell ref="D168:E168"/>
    <mergeCell ref="D159:E159"/>
    <mergeCell ref="A161:N161"/>
    <mergeCell ref="D163:E163"/>
    <mergeCell ref="L159:P159"/>
    <mergeCell ref="L162:P162"/>
    <mergeCell ref="L163:M163"/>
    <mergeCell ref="L164:M164"/>
    <mergeCell ref="N163:P163"/>
    <mergeCell ref="N164:P164"/>
    <mergeCell ref="L165:P165"/>
    <mergeCell ref="L166:P166"/>
    <mergeCell ref="L167:P167"/>
    <mergeCell ref="L168:P168"/>
    <mergeCell ref="L169:P169"/>
    <mergeCell ref="D156:E156"/>
    <mergeCell ref="D157:E157"/>
    <mergeCell ref="D158:E158"/>
    <mergeCell ref="D153:E153"/>
    <mergeCell ref="D154:E154"/>
    <mergeCell ref="D155:E155"/>
    <mergeCell ref="D150:E150"/>
    <mergeCell ref="D151:E151"/>
    <mergeCell ref="D152:E152"/>
    <mergeCell ref="D147:E147"/>
    <mergeCell ref="D148:E148"/>
    <mergeCell ref="D149:E149"/>
    <mergeCell ref="D145:E145"/>
    <mergeCell ref="D146:E146"/>
    <mergeCell ref="D143:E143"/>
    <mergeCell ref="D144:E144"/>
    <mergeCell ref="A139:N139"/>
    <mergeCell ref="A140:N140"/>
    <mergeCell ref="D142:E142"/>
    <mergeCell ref="I138:N138"/>
    <mergeCell ref="B137:C137"/>
    <mergeCell ref="I137:N137"/>
    <mergeCell ref="A132:D133"/>
    <mergeCell ref="A94:A95"/>
    <mergeCell ref="B94:B95"/>
    <mergeCell ref="C94:C95"/>
    <mergeCell ref="D94:D95"/>
    <mergeCell ref="E94:E95"/>
    <mergeCell ref="F94:I94"/>
    <mergeCell ref="K94:K95"/>
    <mergeCell ref="B114:D115"/>
    <mergeCell ref="B130:D131"/>
    <mergeCell ref="A1:N1"/>
    <mergeCell ref="A2:N2"/>
    <mergeCell ref="A3:N3"/>
    <mergeCell ref="A4:N4"/>
    <mergeCell ref="A5:N5"/>
    <mergeCell ref="A40:N40"/>
    <mergeCell ref="C44:C45"/>
    <mergeCell ref="D44:D45"/>
    <mergeCell ref="A39:N39"/>
    <mergeCell ref="L7:N7"/>
    <mergeCell ref="A27:B32"/>
    <mergeCell ref="A33:B38"/>
    <mergeCell ref="B44:B45"/>
    <mergeCell ref="E44:E45"/>
    <mergeCell ref="F44:I44"/>
    <mergeCell ref="K44:K45"/>
    <mergeCell ref="A41:N41"/>
    <mergeCell ref="A44:A45"/>
    <mergeCell ref="A317:N317"/>
    <mergeCell ref="A315:N315"/>
    <mergeCell ref="A330:N330"/>
    <mergeCell ref="A316:N316"/>
    <mergeCell ref="B72:D73"/>
    <mergeCell ref="A87:N87"/>
    <mergeCell ref="B88:C88"/>
    <mergeCell ref="I88:N88"/>
    <mergeCell ref="B82:D83"/>
    <mergeCell ref="A84:D85"/>
    <mergeCell ref="A92:C92"/>
    <mergeCell ref="I92:N92"/>
    <mergeCell ref="B89:C89"/>
    <mergeCell ref="I89:N89"/>
    <mergeCell ref="B90:C90"/>
    <mergeCell ref="I90:N90"/>
    <mergeCell ref="B91:C91"/>
    <mergeCell ref="I91:N91"/>
    <mergeCell ref="I135:N135"/>
    <mergeCell ref="A134:N134"/>
    <mergeCell ref="B135:C135"/>
    <mergeCell ref="B136:C136"/>
    <mergeCell ref="I136:N136"/>
    <mergeCell ref="A138:C138"/>
    <mergeCell ref="A279:N279"/>
    <mergeCell ref="A269:A270"/>
    <mergeCell ref="A271:A274"/>
    <mergeCell ref="A307:N307"/>
    <mergeCell ref="A313:N313"/>
    <mergeCell ref="A309:N309"/>
    <mergeCell ref="A314:N314"/>
    <mergeCell ref="A294:B295"/>
    <mergeCell ref="L295:M295"/>
    <mergeCell ref="A301:N301"/>
    <mergeCell ref="A296:B297"/>
    <mergeCell ref="L297:M297"/>
    <mergeCell ref="A308:N308"/>
    <mergeCell ref="A305:N305"/>
    <mergeCell ref="A306:N306"/>
    <mergeCell ref="A280:A281"/>
    <mergeCell ref="B280:C280"/>
    <mergeCell ref="D280:D281"/>
    <mergeCell ref="A282:A283"/>
    <mergeCell ref="B282:B283"/>
    <mergeCell ref="L283:M283"/>
    <mergeCell ref="A284:A285"/>
    <mergeCell ref="B284:B285"/>
    <mergeCell ref="L285:M285"/>
    <mergeCell ref="B62:D63"/>
    <mergeCell ref="A6:A7"/>
    <mergeCell ref="B6:B7"/>
    <mergeCell ref="C6:C7"/>
    <mergeCell ref="D6:D7"/>
    <mergeCell ref="E6:E7"/>
    <mergeCell ref="F6:H6"/>
    <mergeCell ref="I6:I7"/>
    <mergeCell ref="J6:J7"/>
    <mergeCell ref="A208:H208"/>
    <mergeCell ref="F204:H204"/>
    <mergeCell ref="L204:M204"/>
    <mergeCell ref="Q204:Q205"/>
    <mergeCell ref="P191:P192"/>
    <mergeCell ref="A198:A199"/>
    <mergeCell ref="B198:B199"/>
    <mergeCell ref="C198:C199"/>
    <mergeCell ref="D198:D199"/>
    <mergeCell ref="P198:P199"/>
    <mergeCell ref="P204:P205"/>
    <mergeCell ref="E191:E192"/>
    <mergeCell ref="F191:H191"/>
    <mergeCell ref="L191:M191"/>
    <mergeCell ref="Q191:Q192"/>
    <mergeCell ref="A196:H196"/>
    <mergeCell ref="E198:E199"/>
    <mergeCell ref="F198:H198"/>
    <mergeCell ref="L198:M198"/>
    <mergeCell ref="Q198:Q199"/>
    <mergeCell ref="A202:H202"/>
    <mergeCell ref="E204:E205"/>
  </mergeCells>
  <pageMargins left="0" right="0" top="0.25" bottom="0" header="0.3" footer="0.3"/>
  <pageSetup paperSize="9" orientation="landscape" horizontalDpi="0" verticalDpi="0"/>
  <drawing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38102-DC7D-1943-B99B-10526E10B835}">
  <sheetPr codeName="Sheet15"/>
  <dimension ref="A1:U415"/>
  <sheetViews>
    <sheetView topLeftCell="A26" zoomScale="90" zoomScaleNormal="90" workbookViewId="0">
      <selection activeCell="B296" sqref="B296"/>
    </sheetView>
  </sheetViews>
  <sheetFormatPr baseColWidth="10" defaultColWidth="8.6640625" defaultRowHeight="14" x14ac:dyDescent="0.2"/>
  <cols>
    <col min="1" max="1" width="5.33203125" style="4" customWidth="1"/>
    <col min="2" max="2" width="12.5" style="4" customWidth="1"/>
    <col min="3" max="3" width="18.83203125" style="4" bestFit="1" customWidth="1"/>
    <col min="4" max="4" width="11" style="4" customWidth="1"/>
    <col min="5" max="5" width="13.1640625" style="93" customWidth="1"/>
    <col min="6" max="6" width="11" style="93" customWidth="1"/>
    <col min="7" max="7" width="11" style="4" customWidth="1"/>
    <col min="8" max="8" width="11" style="395" customWidth="1"/>
    <col min="9" max="9" width="10.6640625" style="452" customWidth="1"/>
    <col min="10" max="10" width="11" style="356" customWidth="1"/>
    <col min="11" max="11" width="9.33203125" style="356" customWidth="1"/>
    <col min="12" max="12" width="9" style="4" customWidth="1"/>
    <col min="13" max="13" width="8" style="4" customWidth="1"/>
    <col min="14" max="14" width="9.83203125" style="272" customWidth="1"/>
    <col min="15" max="15" width="9" style="4" bestFit="1" customWidth="1"/>
    <col min="16" max="20" width="8.6640625" style="4"/>
    <col min="21" max="21" width="9" style="4" bestFit="1" customWidth="1"/>
    <col min="22" max="16384" width="8.6640625" style="4"/>
  </cols>
  <sheetData>
    <row r="1" spans="1:21" s="1" customFormat="1" ht="21" customHeight="1" x14ac:dyDescent="0.2">
      <c r="A1" s="2995" t="s">
        <v>0</v>
      </c>
      <c r="B1" s="2996"/>
      <c r="C1" s="2996"/>
      <c r="D1" s="2996"/>
      <c r="E1" s="2996"/>
      <c r="F1" s="2996"/>
      <c r="G1" s="2996"/>
      <c r="H1" s="2996"/>
      <c r="I1" s="2996"/>
      <c r="J1" s="2996"/>
      <c r="K1" s="2996"/>
      <c r="L1" s="2996"/>
      <c r="M1" s="2996"/>
      <c r="N1" s="2997"/>
    </row>
    <row r="2" spans="1:21" s="1" customFormat="1" ht="21" customHeight="1" x14ac:dyDescent="0.2">
      <c r="A2" s="2998" t="s">
        <v>1</v>
      </c>
      <c r="B2" s="2532"/>
      <c r="C2" s="2532"/>
      <c r="D2" s="2532"/>
      <c r="E2" s="2532"/>
      <c r="F2" s="2532"/>
      <c r="G2" s="2532"/>
      <c r="H2" s="2532"/>
      <c r="I2" s="2532"/>
      <c r="J2" s="2532"/>
      <c r="K2" s="2532"/>
      <c r="L2" s="2532"/>
      <c r="M2" s="2532"/>
      <c r="N2" s="2999"/>
    </row>
    <row r="3" spans="1:21" s="1" customFormat="1" ht="21" customHeight="1" thickBot="1" x14ac:dyDescent="0.25">
      <c r="A3" s="3000" t="s">
        <v>2</v>
      </c>
      <c r="B3" s="3001"/>
      <c r="C3" s="3001"/>
      <c r="D3" s="3001"/>
      <c r="E3" s="3001"/>
      <c r="F3" s="3001"/>
      <c r="G3" s="3001"/>
      <c r="H3" s="3001"/>
      <c r="I3" s="3001"/>
      <c r="J3" s="3001"/>
      <c r="K3" s="3001"/>
      <c r="L3" s="3001"/>
      <c r="M3" s="3001"/>
      <c r="N3" s="3002"/>
    </row>
    <row r="4" spans="1:21" ht="25" customHeight="1" x14ac:dyDescent="0.2">
      <c r="A4" s="3126" t="s">
        <v>694</v>
      </c>
      <c r="B4" s="3126"/>
      <c r="C4" s="3126"/>
      <c r="D4" s="3126"/>
      <c r="E4" s="3126"/>
      <c r="F4" s="3126"/>
      <c r="G4" s="3126"/>
      <c r="H4" s="3126"/>
      <c r="I4" s="3126"/>
      <c r="J4" s="3126"/>
      <c r="K4" s="3126"/>
      <c r="L4" s="3126"/>
      <c r="M4" s="3126"/>
      <c r="N4" s="3126"/>
      <c r="R4" s="4">
        <v>3060</v>
      </c>
    </row>
    <row r="5" spans="1:21" s="1" customFormat="1" ht="23" customHeight="1" x14ac:dyDescent="0.2">
      <c r="A5" s="2475" t="s">
        <v>507</v>
      </c>
      <c r="B5" s="2475"/>
      <c r="C5" s="2475"/>
      <c r="D5" s="2475"/>
      <c r="E5" s="2475"/>
      <c r="F5" s="2475"/>
      <c r="G5" s="2475"/>
      <c r="H5" s="2475"/>
      <c r="I5" s="2475"/>
      <c r="J5" s="2475"/>
      <c r="K5" s="2475"/>
      <c r="L5" s="2475"/>
      <c r="M5" s="2475"/>
      <c r="N5" s="2475"/>
      <c r="P5" s="1" t="s">
        <v>5</v>
      </c>
      <c r="R5" s="1">
        <v>0.18</v>
      </c>
      <c r="S5" s="1">
        <v>4</v>
      </c>
    </row>
    <row r="6" spans="1:21" s="71" customFormat="1" ht="33" customHeight="1" x14ac:dyDescent="0.2">
      <c r="A6" s="3040" t="s">
        <v>34</v>
      </c>
      <c r="B6" s="3263" t="s">
        <v>6</v>
      </c>
      <c r="C6" s="3263" t="s">
        <v>16</v>
      </c>
      <c r="D6" s="3263" t="s">
        <v>17</v>
      </c>
      <c r="E6" s="3263" t="s">
        <v>7</v>
      </c>
      <c r="F6" s="3246" t="s">
        <v>8</v>
      </c>
      <c r="G6" s="3247"/>
      <c r="H6" s="3248"/>
      <c r="I6" s="3264" t="s">
        <v>9</v>
      </c>
      <c r="J6" s="3263" t="s">
        <v>10</v>
      </c>
      <c r="K6" s="8" t="s">
        <v>11</v>
      </c>
      <c r="L6" s="8" t="s">
        <v>12</v>
      </c>
      <c r="M6" s="8" t="s">
        <v>13</v>
      </c>
      <c r="N6" s="8" t="s">
        <v>14</v>
      </c>
      <c r="O6" s="8" t="s">
        <v>15</v>
      </c>
      <c r="P6" s="71" t="s">
        <v>748</v>
      </c>
      <c r="Q6" s="71" t="s">
        <v>749</v>
      </c>
      <c r="R6" s="71" t="s">
        <v>21</v>
      </c>
      <c r="S6" s="71" t="s">
        <v>750</v>
      </c>
      <c r="T6" s="71" t="s">
        <v>751</v>
      </c>
      <c r="U6" s="71" t="s">
        <v>752</v>
      </c>
    </row>
    <row r="7" spans="1:21" s="71" customFormat="1" ht="25" customHeight="1" x14ac:dyDescent="0.2">
      <c r="A7" s="3041"/>
      <c r="B7" s="2816"/>
      <c r="C7" s="2816"/>
      <c r="D7" s="2816"/>
      <c r="E7" s="2816"/>
      <c r="F7" s="10" t="s">
        <v>18</v>
      </c>
      <c r="G7" s="10" t="s">
        <v>19</v>
      </c>
      <c r="H7" s="8" t="s">
        <v>20</v>
      </c>
      <c r="I7" s="3265"/>
      <c r="J7" s="2816"/>
      <c r="K7" s="8" t="s">
        <v>21</v>
      </c>
      <c r="L7" s="3246" t="s">
        <v>22</v>
      </c>
      <c r="M7" s="3247"/>
      <c r="N7" s="3248"/>
      <c r="O7" s="8" t="s">
        <v>23</v>
      </c>
      <c r="P7" s="71">
        <v>10.5</v>
      </c>
      <c r="Q7" s="71">
        <v>2</v>
      </c>
      <c r="R7" s="71">
        <f>R5*S5</f>
        <v>0.72</v>
      </c>
      <c r="S7" s="71">
        <v>1400</v>
      </c>
      <c r="T7" s="71">
        <v>0.98</v>
      </c>
      <c r="U7" s="1109">
        <f>(P7*$R$7*$S$7*$T$7)</f>
        <v>10372.32</v>
      </c>
    </row>
    <row r="8" spans="1:21" s="71" customFormat="1" ht="25" hidden="1" customHeight="1" x14ac:dyDescent="0.2">
      <c r="A8" s="1581"/>
      <c r="B8" s="1546" t="s">
        <v>6</v>
      </c>
      <c r="C8" s="1559" t="s">
        <v>16</v>
      </c>
      <c r="D8" s="8" t="s">
        <v>17</v>
      </c>
      <c r="E8" s="1546" t="s">
        <v>864</v>
      </c>
      <c r="F8" s="10" t="s">
        <v>18</v>
      </c>
      <c r="G8" s="10" t="s">
        <v>19</v>
      </c>
      <c r="H8" s="8" t="s">
        <v>20</v>
      </c>
      <c r="I8" s="1523" t="s">
        <v>9</v>
      </c>
      <c r="J8" s="1546" t="s">
        <v>10</v>
      </c>
      <c r="K8" s="8" t="s">
        <v>11</v>
      </c>
      <c r="L8" s="8" t="s">
        <v>12</v>
      </c>
      <c r="M8" s="8" t="s">
        <v>13</v>
      </c>
      <c r="N8" s="8" t="s">
        <v>14</v>
      </c>
      <c r="O8" s="8" t="s">
        <v>15</v>
      </c>
      <c r="U8" s="1109"/>
    </row>
    <row r="9" spans="1:21" s="1" customFormat="1" ht="23" customHeight="1" x14ac:dyDescent="0.2">
      <c r="A9" s="1612" t="s">
        <v>5</v>
      </c>
      <c r="B9" s="1593" t="s">
        <v>115</v>
      </c>
      <c r="C9" s="1562" t="s">
        <v>883</v>
      </c>
      <c r="D9" s="1517" t="s">
        <v>21</v>
      </c>
      <c r="E9" s="848">
        <f>J9*K9*100/L10</f>
        <v>358470.91836734692</v>
      </c>
      <c r="F9" s="848">
        <f>F10*$I$9/100</f>
        <v>312658.33500000002</v>
      </c>
      <c r="G9" s="848">
        <f>G10*$I$9/100</f>
        <v>21078.09</v>
      </c>
      <c r="H9" s="848">
        <f>H10*$I$9/100</f>
        <v>17565.075000000001</v>
      </c>
      <c r="I9" s="849">
        <f>J9*K9</f>
        <v>351301.5</v>
      </c>
      <c r="J9" s="574">
        <v>24.75</v>
      </c>
      <c r="K9" s="575">
        <v>14194</v>
      </c>
      <c r="L9" s="348"/>
      <c r="M9" s="28"/>
      <c r="N9" s="28"/>
      <c r="O9" s="1009">
        <v>40</v>
      </c>
      <c r="P9" s="1">
        <v>12.5</v>
      </c>
      <c r="U9" s="1109">
        <f>(P9*$R$7*$S$7*$T$7)</f>
        <v>12348</v>
      </c>
    </row>
    <row r="10" spans="1:21" s="1" customFormat="1" ht="23" customHeight="1" x14ac:dyDescent="0.2">
      <c r="A10" s="1613" t="s">
        <v>5</v>
      </c>
      <c r="B10" s="1605"/>
      <c r="C10" s="1565" t="s">
        <v>883</v>
      </c>
      <c r="D10" s="1614" t="s">
        <v>22</v>
      </c>
      <c r="E10" s="578"/>
      <c r="F10" s="578">
        <v>89</v>
      </c>
      <c r="G10" s="578">
        <v>6</v>
      </c>
      <c r="H10" s="578">
        <v>5</v>
      </c>
      <c r="I10" s="1132">
        <f>SUM(F10:H10)</f>
        <v>100</v>
      </c>
      <c r="J10" s="580"/>
      <c r="K10" s="581"/>
      <c r="L10" s="365">
        <v>98</v>
      </c>
      <c r="M10" s="1620">
        <f>100-L10</f>
        <v>2</v>
      </c>
      <c r="N10" s="1620"/>
      <c r="O10" s="1009"/>
      <c r="P10" s="1">
        <v>14.5</v>
      </c>
      <c r="U10" s="1109">
        <f>(P10*$R$7*$S$7*$T$7)</f>
        <v>14323.68</v>
      </c>
    </row>
    <row r="11" spans="1:21" s="1" customFormat="1" ht="23" customHeight="1" x14ac:dyDescent="0.2">
      <c r="A11" s="1615" t="s">
        <v>5</v>
      </c>
      <c r="B11" s="1567" t="s">
        <v>115</v>
      </c>
      <c r="C11" s="1562" t="s">
        <v>1013</v>
      </c>
      <c r="D11" s="12" t="s">
        <v>21</v>
      </c>
      <c r="E11" s="853">
        <v>366803</v>
      </c>
      <c r="F11" s="895">
        <v>332680.31999999989</v>
      </c>
      <c r="G11" s="895">
        <v>9512.6399999999976</v>
      </c>
      <c r="H11" s="895">
        <v>18796.319999999996</v>
      </c>
      <c r="I11" s="849">
        <f>SUM(F11:H11)</f>
        <v>360989.27999999991</v>
      </c>
      <c r="J11" s="574">
        <v>24.75</v>
      </c>
      <c r="K11" s="575">
        <f>+I11/J11</f>
        <v>14585.425454545451</v>
      </c>
      <c r="L11" s="584"/>
      <c r="M11" s="73">
        <v>1689.12</v>
      </c>
      <c r="N11" s="73">
        <v>1297.4399999999998</v>
      </c>
      <c r="O11" s="1049">
        <v>26</v>
      </c>
      <c r="P11" s="1">
        <v>15.5</v>
      </c>
      <c r="U11" s="1109">
        <f>(P11*$R$7*$S$7*$T$7)</f>
        <v>15311.52</v>
      </c>
    </row>
    <row r="12" spans="1:21" s="1" customFormat="1" ht="23" customHeight="1" x14ac:dyDescent="0.2">
      <c r="A12" s="1613" t="s">
        <v>5</v>
      </c>
      <c r="B12" s="1568" t="s">
        <v>115</v>
      </c>
      <c r="C12" s="1569" t="s">
        <v>1013</v>
      </c>
      <c r="D12" s="577" t="s">
        <v>22</v>
      </c>
      <c r="E12" s="578"/>
      <c r="F12" s="578">
        <f>+F11/I11*100</f>
        <v>92.157949953527691</v>
      </c>
      <c r="G12" s="578">
        <f>+G11/I11*100</f>
        <v>2.6351585842105893</v>
      </c>
      <c r="H12" s="578">
        <f>+H11/I11*100</f>
        <v>5.2068914622617051</v>
      </c>
      <c r="I12" s="1132">
        <f>SUM(F12:H12)</f>
        <v>99.999999999999986</v>
      </c>
      <c r="J12" s="580"/>
      <c r="K12" s="581"/>
      <c r="L12" s="365">
        <f>(I11/E11)*100</f>
        <v>98.415029320916105</v>
      </c>
      <c r="M12" s="1610">
        <f>100-L12</f>
        <v>1.5849706790838951</v>
      </c>
      <c r="N12" s="1610"/>
      <c r="O12" s="291"/>
      <c r="P12" s="1">
        <f>SUM(P7:P11)/4</f>
        <v>13.25</v>
      </c>
      <c r="U12" s="1111">
        <f>SUM(U7:U11)/4</f>
        <v>13088.880000000001</v>
      </c>
    </row>
    <row r="13" spans="1:21" s="1" customFormat="1" ht="23" customHeight="1" x14ac:dyDescent="0.2">
      <c r="A13" s="1613" t="s">
        <v>5</v>
      </c>
      <c r="B13" s="1568" t="s">
        <v>115</v>
      </c>
      <c r="C13" s="1570" t="s">
        <v>83</v>
      </c>
      <c r="D13" s="1616" t="s">
        <v>21</v>
      </c>
      <c r="E13" s="709">
        <f t="shared" ref="E13:K13" si="0">E11-E9</f>
        <v>8332.0816326530767</v>
      </c>
      <c r="F13" s="709">
        <f t="shared" si="0"/>
        <v>20021.98499999987</v>
      </c>
      <c r="G13" s="709">
        <f t="shared" si="0"/>
        <v>-11565.450000000003</v>
      </c>
      <c r="H13" s="709">
        <f t="shared" si="0"/>
        <v>1231.2449999999953</v>
      </c>
      <c r="I13" s="709">
        <f t="shared" si="0"/>
        <v>9687.7799999999115</v>
      </c>
      <c r="J13" s="600">
        <f t="shared" si="0"/>
        <v>0</v>
      </c>
      <c r="K13" s="709">
        <f t="shared" si="0"/>
        <v>391.42545454545143</v>
      </c>
      <c r="L13" s="944"/>
      <c r="M13" s="1602"/>
      <c r="N13" s="1602"/>
      <c r="O13" s="709"/>
    </row>
    <row r="14" spans="1:21" s="1" customFormat="1" ht="23" customHeight="1" x14ac:dyDescent="0.2">
      <c r="A14" s="1613" t="s">
        <v>5</v>
      </c>
      <c r="B14" s="1584" t="s">
        <v>115</v>
      </c>
      <c r="C14" s="1572" t="s">
        <v>83</v>
      </c>
      <c r="D14" s="1617" t="s">
        <v>22</v>
      </c>
      <c r="E14" s="819"/>
      <c r="F14" s="819">
        <f>F12-F10</f>
        <v>3.1579499535276909</v>
      </c>
      <c r="G14" s="819">
        <f>G12-G10</f>
        <v>-3.3648414157894107</v>
      </c>
      <c r="H14" s="819">
        <f>H12-H10</f>
        <v>0.20689146226170507</v>
      </c>
      <c r="I14" s="819">
        <f>I12-I10</f>
        <v>0</v>
      </c>
      <c r="J14" s="820"/>
      <c r="K14" s="821"/>
      <c r="L14" s="822"/>
      <c r="M14" s="823"/>
      <c r="N14" s="823"/>
      <c r="O14" s="824"/>
      <c r="P14" s="1" t="s">
        <v>33</v>
      </c>
      <c r="U14" s="1111">
        <f>U12*Q7</f>
        <v>26177.760000000002</v>
      </c>
    </row>
    <row r="15" spans="1:21" s="273" customFormat="1" ht="25" customHeight="1" x14ac:dyDescent="0.2">
      <c r="A15" s="1603" t="s">
        <v>25</v>
      </c>
      <c r="B15" s="1593" t="s">
        <v>119</v>
      </c>
      <c r="C15" s="1588" t="s">
        <v>883</v>
      </c>
      <c r="D15" s="17" t="s">
        <v>21</v>
      </c>
      <c r="E15" s="21">
        <f>I15*100/L16</f>
        <v>246902.56410256409</v>
      </c>
      <c r="F15" s="21">
        <f>(F16*$I$15)/100</f>
        <v>226286.2</v>
      </c>
      <c r="G15" s="21">
        <f>(G16*$I$15)/100</f>
        <v>7221.9</v>
      </c>
      <c r="H15" s="21">
        <f>(H16*$I$15)/100</f>
        <v>7221.9</v>
      </c>
      <c r="I15" s="836">
        <f>J15*K15</f>
        <v>240730</v>
      </c>
      <c r="J15" s="431">
        <v>19</v>
      </c>
      <c r="K15" s="21">
        <v>12670</v>
      </c>
      <c r="L15" s="21"/>
      <c r="M15" s="381"/>
      <c r="N15" s="381"/>
      <c r="O15" s="381">
        <v>100</v>
      </c>
      <c r="P15" s="1">
        <v>15.5</v>
      </c>
      <c r="Q15" s="1">
        <v>18</v>
      </c>
      <c r="R15" s="1"/>
      <c r="S15" s="1"/>
      <c r="T15" s="1"/>
      <c r="U15" s="1110">
        <f>P15*Q15*R7*S7*T7</f>
        <v>275607.36</v>
      </c>
    </row>
    <row r="16" spans="1:21" s="1" customFormat="1" ht="25" customHeight="1" x14ac:dyDescent="0.2">
      <c r="A16" s="1604" t="s">
        <v>25</v>
      </c>
      <c r="B16" s="1568" t="s">
        <v>119</v>
      </c>
      <c r="C16" s="1565" t="s">
        <v>883</v>
      </c>
      <c r="D16" s="17" t="s">
        <v>22</v>
      </c>
      <c r="E16" s="23"/>
      <c r="F16" s="378">
        <v>94</v>
      </c>
      <c r="G16" s="379">
        <v>3</v>
      </c>
      <c r="H16" s="379">
        <v>3</v>
      </c>
      <c r="I16" s="1088">
        <f>SUM(F16:H16)</f>
        <v>100</v>
      </c>
      <c r="J16" s="430"/>
      <c r="K16" s="380"/>
      <c r="L16" s="365">
        <v>97.5</v>
      </c>
      <c r="M16" s="1549">
        <f>100-L16</f>
        <v>2.5</v>
      </c>
      <c r="N16" s="1549"/>
      <c r="O16" s="381"/>
      <c r="U16" s="1111">
        <f>U15+U14</f>
        <v>301785.12</v>
      </c>
    </row>
    <row r="17" spans="1:15" s="1" customFormat="1" ht="25" customHeight="1" x14ac:dyDescent="0.2">
      <c r="A17" s="1604" t="s">
        <v>25</v>
      </c>
      <c r="B17" s="1567" t="s">
        <v>119</v>
      </c>
      <c r="C17" s="1562" t="s">
        <v>1013</v>
      </c>
      <c r="D17" s="17" t="s">
        <v>21</v>
      </c>
      <c r="E17" s="845">
        <v>252891</v>
      </c>
      <c r="F17" s="839">
        <v>241764</v>
      </c>
      <c r="G17" s="840">
        <v>0</v>
      </c>
      <c r="H17" s="840">
        <v>8836.5</v>
      </c>
      <c r="I17" s="836">
        <f>SUM(F17:H17)</f>
        <v>250600.5</v>
      </c>
      <c r="J17" s="431">
        <v>19</v>
      </c>
      <c r="K17" s="21">
        <f>+I17/J17</f>
        <v>13189.5</v>
      </c>
      <c r="L17" s="17"/>
      <c r="M17" s="1084">
        <v>1209</v>
      </c>
      <c r="N17" s="1084">
        <v>1465.25</v>
      </c>
      <c r="O17" s="970">
        <v>146</v>
      </c>
    </row>
    <row r="18" spans="1:15" s="1" customFormat="1" ht="25" customHeight="1" x14ac:dyDescent="0.2">
      <c r="A18" s="1604" t="s">
        <v>25</v>
      </c>
      <c r="B18" s="1568" t="s">
        <v>119</v>
      </c>
      <c r="C18" s="1565" t="s">
        <v>1013</v>
      </c>
      <c r="D18" s="17" t="s">
        <v>22</v>
      </c>
      <c r="E18" s="23"/>
      <c r="F18" s="378">
        <f>+F17/$I$17*100</f>
        <v>96.473869764824897</v>
      </c>
      <c r="G18" s="378">
        <f ca="1">+G17/$I$18*100</f>
        <v>0</v>
      </c>
      <c r="H18" s="378">
        <f ca="1">+H17/$I$18*100</f>
        <v>3.5261302351751094</v>
      </c>
      <c r="I18" s="1088">
        <f ca="1">SUM(F18:H18)</f>
        <v>0</v>
      </c>
      <c r="J18" s="431"/>
      <c r="K18" s="21"/>
      <c r="L18" s="365">
        <f>I17/E17*100</f>
        <v>99.09427381757358</v>
      </c>
      <c r="M18" s="1550">
        <f>100-L18</f>
        <v>0.90572618242642022</v>
      </c>
      <c r="N18" s="1550"/>
      <c r="O18" s="381"/>
    </row>
    <row r="19" spans="1:15" s="1" customFormat="1" ht="25" customHeight="1" x14ac:dyDescent="0.2">
      <c r="A19" s="1604" t="s">
        <v>25</v>
      </c>
      <c r="B19" s="1568" t="s">
        <v>119</v>
      </c>
      <c r="C19" s="1570" t="s">
        <v>83</v>
      </c>
      <c r="D19" s="606" t="s">
        <v>21</v>
      </c>
      <c r="E19" s="709">
        <f t="shared" ref="E19:K19" si="1">E17-E15</f>
        <v>5988.4358974359056</v>
      </c>
      <c r="F19" s="709">
        <f t="shared" si="1"/>
        <v>15477.799999999988</v>
      </c>
      <c r="G19" s="709">
        <f t="shared" si="1"/>
        <v>-7221.9</v>
      </c>
      <c r="H19" s="709">
        <f t="shared" si="1"/>
        <v>1614.6000000000004</v>
      </c>
      <c r="I19" s="709">
        <f t="shared" si="1"/>
        <v>9870.5</v>
      </c>
      <c r="J19" s="600">
        <f t="shared" si="1"/>
        <v>0</v>
      </c>
      <c r="K19" s="709">
        <f t="shared" si="1"/>
        <v>519.5</v>
      </c>
      <c r="L19" s="944"/>
      <c r="M19" s="1602"/>
      <c r="N19" s="1602"/>
      <c r="O19" s="709"/>
    </row>
    <row r="20" spans="1:15" s="1" customFormat="1" ht="25" customHeight="1" x14ac:dyDescent="0.2">
      <c r="A20" s="1606" t="s">
        <v>25</v>
      </c>
      <c r="B20" s="1584" t="s">
        <v>119</v>
      </c>
      <c r="C20" s="1572" t="s">
        <v>83</v>
      </c>
      <c r="D20" s="599" t="s">
        <v>22</v>
      </c>
      <c r="E20" s="600"/>
      <c r="F20" s="600">
        <f>F18-F16</f>
        <v>2.4738697648248973</v>
      </c>
      <c r="G20" s="600">
        <f ca="1">G18-G16</f>
        <v>-3</v>
      </c>
      <c r="H20" s="600">
        <f ca="1">H18-H16</f>
        <v>0.52613023517510937</v>
      </c>
      <c r="I20" s="600">
        <f ca="1">I18-I16</f>
        <v>0</v>
      </c>
      <c r="J20" s="601"/>
      <c r="K20" s="602"/>
      <c r="L20" s="603"/>
      <c r="M20" s="604"/>
      <c r="N20" s="604"/>
      <c r="O20" s="605"/>
    </row>
    <row r="21" spans="1:15" s="1" customFormat="1" ht="25" customHeight="1" x14ac:dyDescent="0.2">
      <c r="A21" s="1604" t="s">
        <v>25</v>
      </c>
      <c r="B21" s="1593" t="s">
        <v>122</v>
      </c>
      <c r="C21" s="1562" t="s">
        <v>883</v>
      </c>
      <c r="D21" s="17" t="s">
        <v>21</v>
      </c>
      <c r="E21" s="21">
        <f>I21*100/L22</f>
        <v>117312.82051282052</v>
      </c>
      <c r="F21" s="21">
        <f>(F22*$I$21)/100</f>
        <v>101798.2</v>
      </c>
      <c r="G21" s="21">
        <f>(G22*$I$21)/100</f>
        <v>5719</v>
      </c>
      <c r="H21" s="21">
        <f>(H22*$I$21)/100</f>
        <v>6862.8</v>
      </c>
      <c r="I21" s="836">
        <f>J21*K21</f>
        <v>114380</v>
      </c>
      <c r="J21" s="1131">
        <v>9.5</v>
      </c>
      <c r="K21" s="1085">
        <v>12040</v>
      </c>
      <c r="L21" s="21"/>
      <c r="M21" s="381"/>
      <c r="N21" s="381"/>
      <c r="O21" s="381">
        <v>100</v>
      </c>
    </row>
    <row r="22" spans="1:15" s="1" customFormat="1" ht="25" customHeight="1" x14ac:dyDescent="0.2">
      <c r="A22" s="1604" t="s">
        <v>25</v>
      </c>
      <c r="B22" s="1568" t="s">
        <v>122</v>
      </c>
      <c r="C22" s="1565" t="s">
        <v>883</v>
      </c>
      <c r="D22" s="17" t="s">
        <v>22</v>
      </c>
      <c r="E22" s="23"/>
      <c r="F22" s="378">
        <v>89</v>
      </c>
      <c r="G22" s="379">
        <v>5</v>
      </c>
      <c r="H22" s="379">
        <v>6</v>
      </c>
      <c r="I22" s="1088">
        <f>SUM(F22:H22)</f>
        <v>100</v>
      </c>
      <c r="J22" s="430"/>
      <c r="K22" s="380"/>
      <c r="L22" s="365">
        <v>97.5</v>
      </c>
      <c r="M22" s="1549">
        <f>100-L22</f>
        <v>2.5</v>
      </c>
      <c r="N22" s="1549"/>
      <c r="O22" s="381"/>
    </row>
    <row r="23" spans="1:15" s="1" customFormat="1" ht="25" customHeight="1" x14ac:dyDescent="0.2">
      <c r="A23" s="1604" t="s">
        <v>25</v>
      </c>
      <c r="B23" s="1567" t="s">
        <v>122</v>
      </c>
      <c r="C23" s="1562" t="s">
        <v>1013</v>
      </c>
      <c r="D23" s="17" t="s">
        <v>21</v>
      </c>
      <c r="E23" s="845">
        <v>119675</v>
      </c>
      <c r="F23" s="839">
        <v>110809.8</v>
      </c>
      <c r="G23" s="840">
        <v>0</v>
      </c>
      <c r="H23" s="840">
        <v>5749.2000000000007</v>
      </c>
      <c r="I23" s="836">
        <f>SUM(F23:H23)</f>
        <v>116559</v>
      </c>
      <c r="J23" s="431">
        <v>9.5</v>
      </c>
      <c r="K23" s="21">
        <f>+I23/J23</f>
        <v>12269.368421052632</v>
      </c>
      <c r="L23" s="17"/>
      <c r="M23" s="1084">
        <v>712.8</v>
      </c>
      <c r="N23" s="1084">
        <v>758.52</v>
      </c>
      <c r="O23" s="970">
        <v>230</v>
      </c>
    </row>
    <row r="24" spans="1:15" s="1" customFormat="1" ht="25" customHeight="1" x14ac:dyDescent="0.2">
      <c r="A24" s="1604" t="s">
        <v>25</v>
      </c>
      <c r="B24" s="1568" t="s">
        <v>122</v>
      </c>
      <c r="C24" s="1565" t="s">
        <v>1013</v>
      </c>
      <c r="D24" s="17" t="s">
        <v>22</v>
      </c>
      <c r="E24" s="23"/>
      <c r="F24" s="378">
        <f ca="1">+F23/$I$24*100</f>
        <v>95.067562350397651</v>
      </c>
      <c r="G24" s="378">
        <f ca="1">+G23/$I$24*100</f>
        <v>0</v>
      </c>
      <c r="H24" s="378">
        <f ca="1">+H23/$I$24*100</f>
        <v>4.9324376496023481</v>
      </c>
      <c r="I24" s="1088">
        <f ca="1">SUM(F24:H24)</f>
        <v>100</v>
      </c>
      <c r="J24" s="431"/>
      <c r="K24" s="21"/>
      <c r="L24" s="365">
        <f>I23/E23*100</f>
        <v>97.396281595989137</v>
      </c>
      <c r="M24" s="1611">
        <f>100-L24</f>
        <v>2.6037184040108627</v>
      </c>
      <c r="N24" s="1611"/>
      <c r="O24" s="381"/>
    </row>
    <row r="25" spans="1:15" s="1" customFormat="1" ht="25" customHeight="1" x14ac:dyDescent="0.2">
      <c r="A25" s="1604" t="s">
        <v>25</v>
      </c>
      <c r="B25" s="1568" t="s">
        <v>122</v>
      </c>
      <c r="C25" s="1570" t="s">
        <v>83</v>
      </c>
      <c r="D25" s="606" t="s">
        <v>21</v>
      </c>
      <c r="E25" s="709">
        <f t="shared" ref="E25:K25" si="2">E23-E21</f>
        <v>2362.1794871794846</v>
      </c>
      <c r="F25" s="709">
        <f t="shared" si="2"/>
        <v>9011.6000000000058</v>
      </c>
      <c r="G25" s="709">
        <f t="shared" si="2"/>
        <v>-5719</v>
      </c>
      <c r="H25" s="709">
        <f t="shared" si="2"/>
        <v>-1113.5999999999995</v>
      </c>
      <c r="I25" s="709">
        <f t="shared" si="2"/>
        <v>2179</v>
      </c>
      <c r="J25" s="600">
        <f t="shared" si="2"/>
        <v>0</v>
      </c>
      <c r="K25" s="709">
        <f t="shared" si="2"/>
        <v>229.36842105263167</v>
      </c>
      <c r="L25" s="944"/>
      <c r="M25" s="1602"/>
      <c r="N25" s="1602"/>
      <c r="O25" s="709"/>
    </row>
    <row r="26" spans="1:15" s="1" customFormat="1" ht="25" customHeight="1" x14ac:dyDescent="0.2">
      <c r="A26" s="1604" t="s">
        <v>25</v>
      </c>
      <c r="B26" s="1584" t="s">
        <v>122</v>
      </c>
      <c r="C26" s="1572" t="s">
        <v>83</v>
      </c>
      <c r="D26" s="599" t="s">
        <v>22</v>
      </c>
      <c r="E26" s="600"/>
      <c r="F26" s="600">
        <f ca="1">F24-F22</f>
        <v>6.067562350397651</v>
      </c>
      <c r="G26" s="600">
        <f ca="1">G24-G22</f>
        <v>-5</v>
      </c>
      <c r="H26" s="600">
        <f ca="1">H24-H22</f>
        <v>-1.0675623503976519</v>
      </c>
      <c r="I26" s="600">
        <f ca="1">I24-I22</f>
        <v>0</v>
      </c>
      <c r="J26" s="601"/>
      <c r="K26" s="602"/>
      <c r="L26" s="603"/>
      <c r="M26" s="604"/>
      <c r="N26" s="604"/>
      <c r="O26" s="605"/>
    </row>
    <row r="27" spans="1:15" s="1" customFormat="1" ht="28" customHeight="1" x14ac:dyDescent="0.2">
      <c r="A27" s="1603" t="s">
        <v>25</v>
      </c>
      <c r="B27" s="1593" t="s">
        <v>116</v>
      </c>
      <c r="C27" s="1562" t="s">
        <v>883</v>
      </c>
      <c r="D27" s="17" t="s">
        <v>21</v>
      </c>
      <c r="E27" s="21">
        <f>I27*100/L28</f>
        <v>14244.897959183674</v>
      </c>
      <c r="F27" s="21">
        <f>(F28*$I$27)/100</f>
        <v>12424.4</v>
      </c>
      <c r="G27" s="21">
        <f>(G28*$I$27)/100</f>
        <v>1116.8</v>
      </c>
      <c r="H27" s="21">
        <f>(H28*$I$27)/100</f>
        <v>418.8</v>
      </c>
      <c r="I27" s="836">
        <f>J27*K27</f>
        <v>13960</v>
      </c>
      <c r="J27" s="18">
        <v>1</v>
      </c>
      <c r="K27" s="1085">
        <v>13960</v>
      </c>
      <c r="L27" s="21"/>
      <c r="M27" s="381"/>
      <c r="N27" s="381"/>
      <c r="O27" s="381">
        <v>40</v>
      </c>
    </row>
    <row r="28" spans="1:15" s="1" customFormat="1" ht="28" customHeight="1" x14ac:dyDescent="0.2">
      <c r="A28" s="1604" t="s">
        <v>25</v>
      </c>
      <c r="B28" s="1568" t="s">
        <v>116</v>
      </c>
      <c r="C28" s="1565" t="s">
        <v>883</v>
      </c>
      <c r="D28" s="17" t="s">
        <v>22</v>
      </c>
      <c r="E28" s="23"/>
      <c r="F28" s="378">
        <v>89</v>
      </c>
      <c r="G28" s="379">
        <v>8</v>
      </c>
      <c r="H28" s="379">
        <v>3</v>
      </c>
      <c r="I28" s="1088">
        <f>SUM(F28:H28)</f>
        <v>100</v>
      </c>
      <c r="J28" s="430"/>
      <c r="K28" s="380"/>
      <c r="L28" s="365">
        <v>98</v>
      </c>
      <c r="M28" s="1611">
        <f>100-L28</f>
        <v>2</v>
      </c>
      <c r="N28" s="1611"/>
      <c r="O28" s="381"/>
    </row>
    <row r="29" spans="1:15" s="1" customFormat="1" ht="28" customHeight="1" x14ac:dyDescent="0.2">
      <c r="A29" s="1606" t="s">
        <v>25</v>
      </c>
      <c r="B29" s="1567" t="s">
        <v>116</v>
      </c>
      <c r="C29" s="1562" t="s">
        <v>1013</v>
      </c>
      <c r="D29" s="17" t="s">
        <v>21</v>
      </c>
      <c r="E29" s="845">
        <v>22799</v>
      </c>
      <c r="F29" s="839">
        <v>16734.400000000001</v>
      </c>
      <c r="G29" s="840">
        <v>0</v>
      </c>
      <c r="H29" s="840">
        <v>2432</v>
      </c>
      <c r="I29" s="836">
        <f>SUM(F29:H29)</f>
        <v>19166.400000000001</v>
      </c>
      <c r="J29" s="431">
        <v>1.35</v>
      </c>
      <c r="K29" s="21">
        <f>+I29/J29</f>
        <v>14197.333333333334</v>
      </c>
      <c r="L29" s="17"/>
      <c r="M29" s="1084">
        <v>240</v>
      </c>
      <c r="N29" s="1084">
        <v>304.64</v>
      </c>
      <c r="O29" s="970"/>
    </row>
    <row r="30" spans="1:15" s="1" customFormat="1" ht="28" customHeight="1" x14ac:dyDescent="0.2">
      <c r="A30" s="1604" t="s">
        <v>25</v>
      </c>
      <c r="B30" s="1568" t="s">
        <v>116</v>
      </c>
      <c r="C30" s="1565" t="s">
        <v>1013</v>
      </c>
      <c r="D30" s="17" t="s">
        <v>22</v>
      </c>
      <c r="E30" s="23"/>
      <c r="F30" s="378">
        <f ca="1">+F29/$I$30*100</f>
        <v>87.311127806995586</v>
      </c>
      <c r="G30" s="378">
        <f ca="1">+G29/$I$30*100</f>
        <v>0</v>
      </c>
      <c r="H30" s="378">
        <f ca="1">+H29/$I$30*100</f>
        <v>12.688872193004425</v>
      </c>
      <c r="I30" s="1088">
        <f ca="1">SUM(F30:H30)</f>
        <v>100.00000000000001</v>
      </c>
      <c r="J30" s="431"/>
      <c r="K30" s="21"/>
      <c r="L30" s="365">
        <f>I29/E29*100</f>
        <v>84.066845037063032</v>
      </c>
      <c r="M30" s="1611">
        <f>100-L30</f>
        <v>15.933154962936968</v>
      </c>
      <c r="N30" s="1611"/>
      <c r="O30" s="381"/>
    </row>
    <row r="31" spans="1:15" s="1" customFormat="1" ht="28" customHeight="1" x14ac:dyDescent="0.2">
      <c r="A31" s="1604" t="s">
        <v>25</v>
      </c>
      <c r="B31" s="1568" t="s">
        <v>116</v>
      </c>
      <c r="C31" s="1570" t="s">
        <v>83</v>
      </c>
      <c r="D31" s="606" t="s">
        <v>21</v>
      </c>
      <c r="E31" s="709">
        <f t="shared" ref="E31:K31" si="3">E29-E27</f>
        <v>8554.1020408163258</v>
      </c>
      <c r="F31" s="709">
        <f t="shared" si="3"/>
        <v>4310.0000000000018</v>
      </c>
      <c r="G31" s="709">
        <f t="shared" si="3"/>
        <v>-1116.8</v>
      </c>
      <c r="H31" s="709">
        <f t="shared" si="3"/>
        <v>2013.2</v>
      </c>
      <c r="I31" s="709">
        <f t="shared" si="3"/>
        <v>5206.4000000000015</v>
      </c>
      <c r="J31" s="600">
        <f t="shared" si="3"/>
        <v>0.35000000000000009</v>
      </c>
      <c r="K31" s="709">
        <f t="shared" si="3"/>
        <v>237.33333333333394</v>
      </c>
      <c r="L31" s="944"/>
      <c r="M31" s="1602"/>
      <c r="N31" s="1602"/>
      <c r="O31" s="709"/>
    </row>
    <row r="32" spans="1:15" s="1" customFormat="1" ht="28" customHeight="1" x14ac:dyDescent="0.2">
      <c r="A32" s="1604" t="s">
        <v>25</v>
      </c>
      <c r="B32" s="1584" t="s">
        <v>116</v>
      </c>
      <c r="C32" s="1574" t="s">
        <v>83</v>
      </c>
      <c r="D32" s="599" t="s">
        <v>22</v>
      </c>
      <c r="E32" s="600"/>
      <c r="F32" s="600">
        <f ca="1">F30-F28</f>
        <v>-1.6888721930044142</v>
      </c>
      <c r="G32" s="600">
        <f ca="1">G30-G28</f>
        <v>-8</v>
      </c>
      <c r="H32" s="600">
        <f ca="1">H30-H28</f>
        <v>9.6888721930044248</v>
      </c>
      <c r="I32" s="600">
        <f ca="1">I30-I28</f>
        <v>0</v>
      </c>
      <c r="J32" s="601"/>
      <c r="K32" s="602"/>
      <c r="L32" s="603"/>
      <c r="M32" s="604"/>
      <c r="N32" s="604"/>
      <c r="O32" s="605"/>
    </row>
    <row r="33" spans="1:15" s="1" customFormat="1" ht="28" customHeight="1" x14ac:dyDescent="0.2">
      <c r="A33" s="3249" t="s">
        <v>674</v>
      </c>
      <c r="B33" s="3250"/>
      <c r="C33" s="1524" t="s">
        <v>1016</v>
      </c>
      <c r="D33" s="1618" t="s">
        <v>21</v>
      </c>
      <c r="E33" s="731">
        <f t="shared" ref="E33:J33" si="4">E15+E21+E27</f>
        <v>378460.28257456829</v>
      </c>
      <c r="F33" s="731">
        <f t="shared" si="4"/>
        <v>340508.80000000005</v>
      </c>
      <c r="G33" s="731">
        <f t="shared" si="4"/>
        <v>14057.699999999999</v>
      </c>
      <c r="H33" s="731">
        <f t="shared" si="4"/>
        <v>14503.5</v>
      </c>
      <c r="I33" s="731">
        <f t="shared" si="4"/>
        <v>369070</v>
      </c>
      <c r="J33" s="511">
        <f t="shared" si="4"/>
        <v>29.5</v>
      </c>
      <c r="K33" s="514">
        <f>I33/J33</f>
        <v>12510.847457627118</v>
      </c>
      <c r="L33" s="515"/>
      <c r="M33" s="516"/>
      <c r="N33" s="516"/>
      <c r="O33" s="1010"/>
    </row>
    <row r="34" spans="1:15" s="1" customFormat="1" ht="28" customHeight="1" x14ac:dyDescent="0.2">
      <c r="A34" s="3251"/>
      <c r="B34" s="3252"/>
      <c r="C34" s="1573" t="s">
        <v>1016</v>
      </c>
      <c r="D34" s="1618" t="s">
        <v>22</v>
      </c>
      <c r="E34" s="511"/>
      <c r="F34" s="518">
        <f ca="1">F33/$I$34*100</f>
        <v>92.261305443411828</v>
      </c>
      <c r="G34" s="518">
        <f ca="1">G33/$I$34*100</f>
        <v>3.8089522312840378</v>
      </c>
      <c r="H34" s="518">
        <f ca="1">H33/$I$34*100</f>
        <v>3.9297423253041428</v>
      </c>
      <c r="I34" s="1133">
        <f ca="1">SUM(F34:H34)</f>
        <v>100.00000000000001</v>
      </c>
      <c r="J34" s="520"/>
      <c r="K34" s="521"/>
      <c r="L34" s="825">
        <f>(L16+L22+L28)/3</f>
        <v>97.666666666666671</v>
      </c>
      <c r="M34" s="1608">
        <f>100-L34</f>
        <v>2.3333333333333286</v>
      </c>
      <c r="N34" s="1608"/>
      <c r="O34" s="1011"/>
    </row>
    <row r="35" spans="1:15" s="1" customFormat="1" ht="28" customHeight="1" x14ac:dyDescent="0.2">
      <c r="A35" s="3251"/>
      <c r="B35" s="3253"/>
      <c r="C35" s="1524" t="s">
        <v>1017</v>
      </c>
      <c r="D35" s="509" t="s">
        <v>21</v>
      </c>
      <c r="E35" s="731">
        <f t="shared" ref="E35:J35" si="5">E17+E23+E29</f>
        <v>395365</v>
      </c>
      <c r="F35" s="731">
        <f t="shared" si="5"/>
        <v>369308.2</v>
      </c>
      <c r="G35" s="731">
        <f t="shared" si="5"/>
        <v>0</v>
      </c>
      <c r="H35" s="731">
        <f t="shared" si="5"/>
        <v>17017.7</v>
      </c>
      <c r="I35" s="731">
        <f t="shared" si="5"/>
        <v>386325.9</v>
      </c>
      <c r="J35" s="511">
        <f t="shared" si="5"/>
        <v>29.85</v>
      </c>
      <c r="K35" s="514">
        <f>+I35/J35</f>
        <v>12942.24120603015</v>
      </c>
      <c r="L35" s="1086"/>
      <c r="M35" s="1087"/>
      <c r="N35" s="1087"/>
      <c r="O35" s="1010"/>
    </row>
    <row r="36" spans="1:15" s="1" customFormat="1" ht="28" customHeight="1" x14ac:dyDescent="0.2">
      <c r="A36" s="3251"/>
      <c r="B36" s="3253"/>
      <c r="C36" s="1573" t="s">
        <v>1017</v>
      </c>
      <c r="D36" s="509" t="s">
        <v>22</v>
      </c>
      <c r="E36" s="511"/>
      <c r="F36" s="518">
        <f ca="1">+F35/$I$36*100</f>
        <v>95.594988583473167</v>
      </c>
      <c r="G36" s="518">
        <f ca="1">+G35/$I$36*100</f>
        <v>0</v>
      </c>
      <c r="H36" s="518">
        <f ca="1">+H35/$I$36*100</f>
        <v>4.4050114165268237</v>
      </c>
      <c r="I36" s="1133">
        <f ca="1">SUM(F36:H36)</f>
        <v>99.999999999999986</v>
      </c>
      <c r="J36" s="520"/>
      <c r="K36" s="521"/>
      <c r="L36" s="1106">
        <f>+I35/E35*100</f>
        <v>97.713732879744043</v>
      </c>
      <c r="M36" s="1609">
        <f>100-L36</f>
        <v>2.2862671202559568</v>
      </c>
      <c r="N36" s="1609"/>
      <c r="O36" s="1011"/>
    </row>
    <row r="37" spans="1:15" s="1" customFormat="1" ht="28" customHeight="1" x14ac:dyDescent="0.2">
      <c r="A37" s="3251"/>
      <c r="B37" s="3253"/>
      <c r="C37" s="1570" t="s">
        <v>83</v>
      </c>
      <c r="D37" s="606" t="s">
        <v>21</v>
      </c>
      <c r="E37" s="838">
        <f t="shared" ref="E37:L37" si="6">E35-E33</f>
        <v>16904.717425431707</v>
      </c>
      <c r="F37" s="838">
        <f t="shared" si="6"/>
        <v>28799.399999999965</v>
      </c>
      <c r="G37" s="838">
        <f t="shared" si="6"/>
        <v>-14057.699999999999</v>
      </c>
      <c r="H37" s="838">
        <f t="shared" si="6"/>
        <v>2514.2000000000007</v>
      </c>
      <c r="I37" s="838">
        <f t="shared" si="6"/>
        <v>17255.900000000023</v>
      </c>
      <c r="J37" s="622">
        <f t="shared" si="6"/>
        <v>0.35000000000000142</v>
      </c>
      <c r="K37" s="838">
        <f t="shared" si="6"/>
        <v>431.39374840303208</v>
      </c>
      <c r="L37" s="838">
        <f t="shared" si="6"/>
        <v>0</v>
      </c>
      <c r="M37" s="1527"/>
      <c r="N37" s="1527"/>
      <c r="O37" s="948"/>
    </row>
    <row r="38" spans="1:15" s="1" customFormat="1" ht="28" customHeight="1" x14ac:dyDescent="0.2">
      <c r="A38" s="3251"/>
      <c r="B38" s="3253"/>
      <c r="C38" s="1574" t="s">
        <v>83</v>
      </c>
      <c r="D38" s="599" t="s">
        <v>22</v>
      </c>
      <c r="E38" s="622"/>
      <c r="F38" s="600">
        <f ca="1">F36-F34</f>
        <v>3.3336831400613391</v>
      </c>
      <c r="G38" s="600">
        <f ca="1">G36-G34</f>
        <v>-3.8089522312840378</v>
      </c>
      <c r="H38" s="600">
        <f ca="1">H36-H34</f>
        <v>0.47526909122268091</v>
      </c>
      <c r="I38" s="600">
        <f ca="1">I36-I34</f>
        <v>0</v>
      </c>
      <c r="J38" s="601"/>
      <c r="K38" s="602"/>
      <c r="L38" s="603"/>
      <c r="M38" s="604"/>
      <c r="N38" s="604"/>
      <c r="O38" s="1012"/>
    </row>
    <row r="39" spans="1:15" s="1" customFormat="1" ht="28" customHeight="1" x14ac:dyDescent="0.2">
      <c r="A39" s="3141" t="s">
        <v>28</v>
      </c>
      <c r="B39" s="3142"/>
      <c r="C39" s="1529" t="s">
        <v>1018</v>
      </c>
      <c r="D39" s="1619" t="s">
        <v>21</v>
      </c>
      <c r="E39" s="842">
        <f t="shared" ref="E39:J39" si="7">E9+E33</f>
        <v>736931.20094191516</v>
      </c>
      <c r="F39" s="842">
        <f t="shared" si="7"/>
        <v>653167.13500000001</v>
      </c>
      <c r="G39" s="842">
        <f t="shared" si="7"/>
        <v>35135.79</v>
      </c>
      <c r="H39" s="842">
        <f t="shared" si="7"/>
        <v>32068.575000000001</v>
      </c>
      <c r="I39" s="842">
        <f t="shared" si="7"/>
        <v>720371.5</v>
      </c>
      <c r="J39" s="34">
        <f t="shared" si="7"/>
        <v>54.25</v>
      </c>
      <c r="K39" s="359">
        <f>+I39/J39</f>
        <v>13278.737327188941</v>
      </c>
      <c r="L39" s="368"/>
      <c r="M39" s="826"/>
      <c r="N39" s="826"/>
      <c r="O39" s="1056"/>
    </row>
    <row r="40" spans="1:15" s="1" customFormat="1" ht="28" customHeight="1" x14ac:dyDescent="0.2">
      <c r="A40" s="3143"/>
      <c r="B40" s="3144"/>
      <c r="C40" s="1575" t="s">
        <v>1018</v>
      </c>
      <c r="D40" s="1619" t="s">
        <v>22</v>
      </c>
      <c r="E40" s="32"/>
      <c r="F40" s="33">
        <f>+F39/I39*100</f>
        <v>90.670873986547221</v>
      </c>
      <c r="G40" s="33">
        <f>+G39/I39*100</f>
        <v>4.8774542024497078</v>
      </c>
      <c r="H40" s="33">
        <f>+H39/I39*100</f>
        <v>4.4516718110030729</v>
      </c>
      <c r="I40" s="1134">
        <v>100</v>
      </c>
      <c r="J40" s="436"/>
      <c r="K40" s="358"/>
      <c r="L40" s="976">
        <f>+I39/E39*100</f>
        <v>97.752883726357467</v>
      </c>
      <c r="M40" s="1607">
        <f>100-L40</f>
        <v>2.2471162736425327</v>
      </c>
      <c r="N40" s="1607"/>
      <c r="O40" s="1056"/>
    </row>
    <row r="41" spans="1:15" s="1" customFormat="1" ht="28" customHeight="1" x14ac:dyDescent="0.2">
      <c r="A41" s="3143"/>
      <c r="B41" s="3145"/>
      <c r="C41" s="1529" t="s">
        <v>1019</v>
      </c>
      <c r="D41" s="31" t="s">
        <v>21</v>
      </c>
      <c r="E41" s="842">
        <f t="shared" ref="E41:J41" si="8">E11+E35</f>
        <v>762168</v>
      </c>
      <c r="F41" s="842">
        <f t="shared" si="8"/>
        <v>701988.5199999999</v>
      </c>
      <c r="G41" s="842">
        <f t="shared" si="8"/>
        <v>9512.6399999999976</v>
      </c>
      <c r="H41" s="842">
        <f t="shared" si="8"/>
        <v>35814.019999999997</v>
      </c>
      <c r="I41" s="842">
        <f t="shared" si="8"/>
        <v>747315.17999999993</v>
      </c>
      <c r="J41" s="34">
        <f t="shared" si="8"/>
        <v>54.6</v>
      </c>
      <c r="K41" s="359">
        <f>I41/J41</f>
        <v>13687.091208791207</v>
      </c>
      <c r="L41" s="1089"/>
      <c r="M41" s="1090"/>
      <c r="N41" s="1090"/>
      <c r="O41" s="1056"/>
    </row>
    <row r="42" spans="1:15" s="1" customFormat="1" ht="28" customHeight="1" x14ac:dyDescent="0.2">
      <c r="A42" s="3143"/>
      <c r="B42" s="3145"/>
      <c r="C42" s="1575" t="s">
        <v>1020</v>
      </c>
      <c r="D42" s="31" t="s">
        <v>22</v>
      </c>
      <c r="E42" s="32"/>
      <c r="F42" s="33">
        <f ca="1">F41/$I$42*100</f>
        <v>93.934733133615723</v>
      </c>
      <c r="G42" s="33">
        <f ca="1">G41/$I$42*100</f>
        <v>1.2729087076753878</v>
      </c>
      <c r="H42" s="33">
        <f ca="1">H41/$I$42*100</f>
        <v>4.7923581587088862</v>
      </c>
      <c r="I42" s="1134">
        <f ca="1">SUM(F42:H42)</f>
        <v>100</v>
      </c>
      <c r="J42" s="436"/>
      <c r="K42" s="358"/>
      <c r="L42" s="976">
        <f>I41/E41*100</f>
        <v>98.05124067134804</v>
      </c>
      <c r="M42" s="1607">
        <f>100-L42</f>
        <v>1.9487593286519598</v>
      </c>
      <c r="N42" s="1607"/>
      <c r="O42" s="1056"/>
    </row>
    <row r="43" spans="1:15" s="1" customFormat="1" ht="28" customHeight="1" x14ac:dyDescent="0.2">
      <c r="A43" s="3143"/>
      <c r="B43" s="3145"/>
      <c r="C43" s="1529" t="s">
        <v>83</v>
      </c>
      <c r="D43" s="31" t="s">
        <v>21</v>
      </c>
      <c r="E43" s="844">
        <f t="shared" ref="E43:K43" si="9">E41-E39</f>
        <v>25236.799058084842</v>
      </c>
      <c r="F43" s="844">
        <f t="shared" si="9"/>
        <v>48821.384999999893</v>
      </c>
      <c r="G43" s="844">
        <f t="shared" si="9"/>
        <v>-25623.15</v>
      </c>
      <c r="H43" s="844">
        <f t="shared" si="9"/>
        <v>3745.4449999999961</v>
      </c>
      <c r="I43" s="844">
        <f t="shared" si="9"/>
        <v>26943.679999999935</v>
      </c>
      <c r="J43" s="32">
        <f t="shared" si="9"/>
        <v>0.35000000000000142</v>
      </c>
      <c r="K43" s="844">
        <f t="shared" si="9"/>
        <v>408.35388160226648</v>
      </c>
      <c r="L43" s="368"/>
      <c r="M43" s="36"/>
      <c r="N43" s="36"/>
      <c r="O43" s="367"/>
    </row>
    <row r="44" spans="1:15" s="1" customFormat="1" ht="28" customHeight="1" x14ac:dyDescent="0.2">
      <c r="A44" s="3146"/>
      <c r="B44" s="3147"/>
      <c r="C44" s="1575" t="s">
        <v>30</v>
      </c>
      <c r="D44" s="31" t="s">
        <v>22</v>
      </c>
      <c r="E44" s="32"/>
      <c r="F44" s="33">
        <f ca="1">F42-F40</f>
        <v>3.2638591470685014</v>
      </c>
      <c r="G44" s="33">
        <f ca="1">G42-G40</f>
        <v>-3.6045454947743201</v>
      </c>
      <c r="H44" s="33">
        <f ca="1">H42-H40</f>
        <v>0.3406863477058133</v>
      </c>
      <c r="I44" s="397"/>
      <c r="J44" s="437"/>
      <c r="K44" s="827"/>
      <c r="L44" s="368"/>
      <c r="M44" s="36"/>
      <c r="N44" s="36"/>
      <c r="O44" s="828"/>
    </row>
    <row r="45" spans="1:15" s="1" customFormat="1" ht="30" customHeight="1" x14ac:dyDescent="0.2">
      <c r="A45" s="2941" t="s">
        <v>32</v>
      </c>
      <c r="B45" s="2941"/>
      <c r="C45" s="2941"/>
      <c r="D45" s="2941"/>
      <c r="E45" s="2941"/>
      <c r="F45" s="2941"/>
      <c r="G45" s="2941"/>
      <c r="H45" s="2941"/>
      <c r="I45" s="2941"/>
      <c r="J45" s="2941"/>
      <c r="K45" s="2941"/>
      <c r="L45" s="2941"/>
      <c r="M45" s="2941"/>
      <c r="N45" s="2941"/>
    </row>
    <row r="46" spans="1:15" s="1" customFormat="1" ht="27" customHeight="1" x14ac:dyDescent="0.2">
      <c r="A46" s="2663" t="s">
        <v>725</v>
      </c>
      <c r="B46" s="2725"/>
      <c r="C46" s="2725"/>
      <c r="D46" s="2725"/>
      <c r="E46" s="2725"/>
      <c r="F46" s="2725"/>
      <c r="G46" s="2725"/>
      <c r="H46" s="2725"/>
      <c r="I46" s="2725"/>
      <c r="J46" s="2725"/>
      <c r="K46" s="2725"/>
      <c r="L46" s="2725"/>
      <c r="M46" s="2725"/>
      <c r="N46" s="2725"/>
    </row>
    <row r="47" spans="1:15" s="1" customFormat="1" ht="27" customHeight="1" x14ac:dyDescent="0.2">
      <c r="A47" s="2663" t="s">
        <v>726</v>
      </c>
      <c r="B47" s="2663"/>
      <c r="C47" s="2663"/>
      <c r="D47" s="2663"/>
      <c r="E47" s="2663"/>
      <c r="F47" s="2663"/>
      <c r="G47" s="2663"/>
      <c r="H47" s="2663"/>
      <c r="I47" s="2663"/>
      <c r="J47" s="2663"/>
      <c r="K47" s="2663"/>
      <c r="L47" s="2663"/>
      <c r="M47" s="2663"/>
      <c r="N47" s="2663"/>
    </row>
    <row r="48" spans="1:15" s="1" customFormat="1" ht="23" customHeight="1" x14ac:dyDescent="0.2">
      <c r="A48" s="42" t="s">
        <v>719</v>
      </c>
      <c r="B48" s="41"/>
      <c r="C48" s="41"/>
      <c r="D48" s="41"/>
      <c r="E48" s="41"/>
      <c r="F48" s="41"/>
      <c r="G48" s="41"/>
      <c r="H48" s="399"/>
      <c r="I48" s="439"/>
      <c r="J48" s="41"/>
      <c r="K48" s="41"/>
      <c r="L48" s="41"/>
      <c r="M48" s="41"/>
      <c r="N48" s="41"/>
    </row>
    <row r="49" spans="1:16" s="1" customFormat="1" ht="23" customHeight="1" x14ac:dyDescent="0.2">
      <c r="A49" s="42" t="s">
        <v>312</v>
      </c>
      <c r="B49" s="41"/>
      <c r="C49" s="41"/>
      <c r="D49" s="41"/>
      <c r="E49" s="41"/>
      <c r="F49" s="41"/>
      <c r="G49" s="41"/>
      <c r="H49" s="399"/>
      <c r="I49" s="439"/>
      <c r="J49" s="41"/>
      <c r="K49" s="41"/>
      <c r="L49" s="41"/>
      <c r="M49" s="41"/>
      <c r="N49" s="41"/>
    </row>
    <row r="50" spans="1:16" s="1" customFormat="1" ht="28" customHeight="1" x14ac:dyDescent="0.2">
      <c r="A50" s="2665" t="s">
        <v>34</v>
      </c>
      <c r="B50" s="2665" t="s">
        <v>135</v>
      </c>
      <c r="C50" s="2551" t="s">
        <v>6</v>
      </c>
      <c r="D50" s="2551" t="s">
        <v>105</v>
      </c>
      <c r="E50" s="2551" t="s">
        <v>17</v>
      </c>
      <c r="F50" s="3389" t="s">
        <v>106</v>
      </c>
      <c r="G50" s="3390"/>
      <c r="H50" s="3390"/>
      <c r="I50" s="3391"/>
      <c r="J50" s="1659" t="s">
        <v>107</v>
      </c>
      <c r="K50" s="2722" t="s">
        <v>47</v>
      </c>
      <c r="L50"/>
      <c r="M50"/>
      <c r="N50"/>
      <c r="O50"/>
      <c r="P50"/>
    </row>
    <row r="51" spans="1:16" s="1" customFormat="1" ht="39" customHeight="1" x14ac:dyDescent="0.2">
      <c r="A51" s="3223"/>
      <c r="B51" s="3223"/>
      <c r="C51" s="2566"/>
      <c r="D51" s="2551"/>
      <c r="E51" s="2551"/>
      <c r="F51" s="200" t="s">
        <v>18</v>
      </c>
      <c r="G51" s="202" t="s">
        <v>19</v>
      </c>
      <c r="H51" s="202" t="s">
        <v>20</v>
      </c>
      <c r="I51" s="202" t="s">
        <v>108</v>
      </c>
      <c r="J51" s="390" t="s">
        <v>22</v>
      </c>
      <c r="K51" s="2722"/>
      <c r="L51"/>
      <c r="M51"/>
      <c r="N51"/>
      <c r="O51"/>
      <c r="P51"/>
    </row>
    <row r="52" spans="1:16" s="1" customFormat="1" ht="27" customHeight="1" x14ac:dyDescent="0.2">
      <c r="A52" s="1665" t="s">
        <v>5</v>
      </c>
      <c r="B52" s="1593" t="s">
        <v>139</v>
      </c>
      <c r="C52" s="1593" t="s">
        <v>115</v>
      </c>
      <c r="D52" s="1640" t="s">
        <v>120</v>
      </c>
      <c r="E52" s="57" t="s">
        <v>21</v>
      </c>
      <c r="F52" s="834">
        <v>151758.72</v>
      </c>
      <c r="G52" s="834">
        <v>7107.84</v>
      </c>
      <c r="H52" s="834">
        <v>8069.76</v>
      </c>
      <c r="I52" s="831">
        <f>SUM(F52:H52)</f>
        <v>166936.32000000001</v>
      </c>
      <c r="J52" s="216">
        <f t="shared" ref="J52:J67" si="10">(I52/$I$90)*100</f>
        <v>46.244121155065883</v>
      </c>
      <c r="K52" s="1014"/>
      <c r="L52"/>
      <c r="M52"/>
      <c r="N52"/>
      <c r="O52"/>
      <c r="P52"/>
    </row>
    <row r="53" spans="1:16" s="1" customFormat="1" ht="27" customHeight="1" x14ac:dyDescent="0.2">
      <c r="A53" s="1631" t="s">
        <v>5</v>
      </c>
      <c r="B53" s="1568" t="s">
        <v>139</v>
      </c>
      <c r="C53" s="1568" t="s">
        <v>115</v>
      </c>
      <c r="D53" s="1642" t="s">
        <v>120</v>
      </c>
      <c r="E53" s="57" t="s">
        <v>22</v>
      </c>
      <c r="F53" s="739">
        <f>F52/$I$52*100</f>
        <v>90.908149886136229</v>
      </c>
      <c r="G53" s="739">
        <f>G52/$I$52*100</f>
        <v>4.2578151956386723</v>
      </c>
      <c r="H53" s="739">
        <f>H52/$I$52*100</f>
        <v>4.8340349182251057</v>
      </c>
      <c r="I53" s="216"/>
      <c r="J53" s="216">
        <f t="shared" si="10"/>
        <v>0</v>
      </c>
      <c r="K53" s="1014"/>
      <c r="L53"/>
      <c r="M53"/>
      <c r="N53"/>
      <c r="O53"/>
      <c r="P53"/>
    </row>
    <row r="54" spans="1:16" s="1" customFormat="1" ht="27" customHeight="1" x14ac:dyDescent="0.2">
      <c r="A54" s="1631" t="s">
        <v>5</v>
      </c>
      <c r="B54" s="1568" t="s">
        <v>139</v>
      </c>
      <c r="C54" s="1568" t="s">
        <v>115</v>
      </c>
      <c r="D54" s="1640" t="s">
        <v>146</v>
      </c>
      <c r="E54" s="57" t="s">
        <v>21</v>
      </c>
      <c r="F54" s="831">
        <v>8082.72</v>
      </c>
      <c r="G54" s="214"/>
      <c r="H54" s="831">
        <v>519.84</v>
      </c>
      <c r="I54" s="831">
        <f>SUM(F54:H54)</f>
        <v>8602.56</v>
      </c>
      <c r="J54" s="216">
        <f t="shared" si="10"/>
        <v>2.3830513748219895</v>
      </c>
      <c r="K54" s="1014"/>
      <c r="L54"/>
      <c r="M54"/>
      <c r="N54"/>
      <c r="O54"/>
      <c r="P54"/>
    </row>
    <row r="55" spans="1:16" s="1" customFormat="1" ht="27" customHeight="1" x14ac:dyDescent="0.2">
      <c r="A55" s="1631" t="s">
        <v>5</v>
      </c>
      <c r="B55" s="1568" t="s">
        <v>139</v>
      </c>
      <c r="C55" s="1568" t="s">
        <v>115</v>
      </c>
      <c r="D55" s="1642" t="s">
        <v>146</v>
      </c>
      <c r="E55" s="57" t="s">
        <v>22</v>
      </c>
      <c r="F55" s="216">
        <f>F54/$I$54*100</f>
        <v>93.957147639772359</v>
      </c>
      <c r="G55" s="216">
        <f>G54/$I$54*100</f>
        <v>0</v>
      </c>
      <c r="H55" s="216">
        <f>H54/$I$54*100</f>
        <v>6.0428523602276538</v>
      </c>
      <c r="I55" s="216"/>
      <c r="J55" s="216">
        <f t="shared" si="10"/>
        <v>0</v>
      </c>
      <c r="K55" s="1014"/>
      <c r="L55"/>
      <c r="M55"/>
      <c r="N55"/>
      <c r="O55"/>
      <c r="P55"/>
    </row>
    <row r="56" spans="1:16" s="1" customFormat="1" ht="27" customHeight="1" x14ac:dyDescent="0.2">
      <c r="A56" s="1631" t="s">
        <v>5</v>
      </c>
      <c r="B56" s="1568" t="s">
        <v>139</v>
      </c>
      <c r="C56" s="1568" t="s">
        <v>115</v>
      </c>
      <c r="D56" s="1640" t="s">
        <v>125</v>
      </c>
      <c r="E56" s="57" t="s">
        <v>21</v>
      </c>
      <c r="F56" s="831">
        <v>27426.240000000002</v>
      </c>
      <c r="G56" s="214"/>
      <c r="H56" s="831">
        <v>1558.08</v>
      </c>
      <c r="I56" s="831">
        <f t="shared" ref="I56:I64" si="11">SUM(F56:H56)</f>
        <v>28984.32</v>
      </c>
      <c r="J56" s="216">
        <f t="shared" si="10"/>
        <v>8.0291359344521265</v>
      </c>
      <c r="K56" s="1014"/>
      <c r="L56"/>
      <c r="M56"/>
      <c r="N56"/>
      <c r="O56"/>
      <c r="P56"/>
    </row>
    <row r="57" spans="1:16" s="1" customFormat="1" ht="27" customHeight="1" x14ac:dyDescent="0.2">
      <c r="A57" s="1631" t="s">
        <v>5</v>
      </c>
      <c r="B57" s="1568" t="s">
        <v>139</v>
      </c>
      <c r="C57" s="1568" t="s">
        <v>115</v>
      </c>
      <c r="D57" s="1642" t="s">
        <v>125</v>
      </c>
      <c r="E57" s="57" t="s">
        <v>22</v>
      </c>
      <c r="F57" s="216">
        <f>F56/$I$56*100</f>
        <v>94.624403815580294</v>
      </c>
      <c r="G57" s="216">
        <f>G56/$I$56*100</f>
        <v>0</v>
      </c>
      <c r="H57" s="216">
        <f>H56/$I$56*100</f>
        <v>5.3755961844197131</v>
      </c>
      <c r="I57" s="214"/>
      <c r="J57" s="216">
        <f t="shared" si="10"/>
        <v>0</v>
      </c>
      <c r="K57" s="1014"/>
      <c r="L57"/>
      <c r="M57"/>
      <c r="N57"/>
      <c r="O57"/>
      <c r="P57"/>
    </row>
    <row r="58" spans="1:16" s="1" customFormat="1" ht="27" customHeight="1" x14ac:dyDescent="0.2">
      <c r="A58" s="1631" t="s">
        <v>5</v>
      </c>
      <c r="B58" s="1568" t="s">
        <v>139</v>
      </c>
      <c r="C58" s="1568" t="s">
        <v>115</v>
      </c>
      <c r="D58" s="1640" t="s">
        <v>114</v>
      </c>
      <c r="E58" s="57" t="s">
        <v>21</v>
      </c>
      <c r="F58" s="831">
        <v>1929.6</v>
      </c>
      <c r="G58" s="214"/>
      <c r="H58" s="831">
        <v>135.36000000000001</v>
      </c>
      <c r="I58" s="831">
        <f t="shared" si="11"/>
        <v>2064.96</v>
      </c>
      <c r="J58" s="216">
        <f t="shared" si="10"/>
        <v>0.57202806687223517</v>
      </c>
      <c r="K58" s="1014"/>
      <c r="L58"/>
      <c r="M58"/>
      <c r="N58"/>
      <c r="O58"/>
      <c r="P58"/>
    </row>
    <row r="59" spans="1:16" s="1" customFormat="1" ht="27" customHeight="1" x14ac:dyDescent="0.2">
      <c r="A59" s="1631" t="s">
        <v>5</v>
      </c>
      <c r="B59" s="1567" t="s">
        <v>139</v>
      </c>
      <c r="C59" s="1567" t="s">
        <v>115</v>
      </c>
      <c r="D59" s="1642" t="s">
        <v>114</v>
      </c>
      <c r="E59" s="57" t="s">
        <v>22</v>
      </c>
      <c r="F59" s="216">
        <f>F58/$I$58*100</f>
        <v>93.444909344490924</v>
      </c>
      <c r="G59" s="216">
        <f>G58/$I$58*100</f>
        <v>0</v>
      </c>
      <c r="H59" s="216">
        <f>H58/$I$58*100</f>
        <v>6.5550906555090656</v>
      </c>
      <c r="I59" s="214"/>
      <c r="J59" s="216">
        <f t="shared" si="10"/>
        <v>0</v>
      </c>
      <c r="K59" s="1014"/>
      <c r="L59"/>
      <c r="M59"/>
      <c r="N59"/>
      <c r="O59"/>
      <c r="P59"/>
    </row>
    <row r="60" spans="1:16" s="1" customFormat="1" ht="27" customHeight="1" x14ac:dyDescent="0.2">
      <c r="A60" s="1631" t="s">
        <v>5</v>
      </c>
      <c r="B60" s="1568" t="s">
        <v>139</v>
      </c>
      <c r="C60" s="1568" t="s">
        <v>115</v>
      </c>
      <c r="D60" s="1640" t="s">
        <v>129</v>
      </c>
      <c r="E60" s="57" t="s">
        <v>21</v>
      </c>
      <c r="F60" s="831">
        <v>25904.16</v>
      </c>
      <c r="G60" s="831">
        <v>1036.8</v>
      </c>
      <c r="H60" s="831">
        <v>928.8</v>
      </c>
      <c r="I60" s="831">
        <f t="shared" si="11"/>
        <v>27869.759999999998</v>
      </c>
      <c r="J60" s="216">
        <f t="shared" si="10"/>
        <v>7.7203843837135553</v>
      </c>
      <c r="K60" s="1014"/>
      <c r="L60"/>
      <c r="M60"/>
      <c r="N60"/>
      <c r="O60"/>
      <c r="P60"/>
    </row>
    <row r="61" spans="1:16" s="1" customFormat="1" ht="27" customHeight="1" x14ac:dyDescent="0.2">
      <c r="A61" s="1631" t="s">
        <v>5</v>
      </c>
      <c r="B61" s="1568" t="s">
        <v>139</v>
      </c>
      <c r="C61" s="1568" t="s">
        <v>115</v>
      </c>
      <c r="D61" s="1642" t="s">
        <v>129</v>
      </c>
      <c r="E61" s="57" t="s">
        <v>22</v>
      </c>
      <c r="F61" s="216">
        <f>F60/$I$60*100</f>
        <v>92.947194378423063</v>
      </c>
      <c r="G61" s="216">
        <f>G60/$I$60*100</f>
        <v>3.7201612069856358</v>
      </c>
      <c r="H61" s="216">
        <f>H60/$I$60*100</f>
        <v>3.3326444145912988</v>
      </c>
      <c r="I61" s="214"/>
      <c r="J61" s="216">
        <f t="shared" si="10"/>
        <v>0</v>
      </c>
      <c r="K61" s="1014"/>
      <c r="L61"/>
      <c r="M61"/>
      <c r="N61"/>
      <c r="O61"/>
      <c r="P61"/>
    </row>
    <row r="62" spans="1:16" s="1" customFormat="1" ht="27" customHeight="1" x14ac:dyDescent="0.2">
      <c r="A62" s="1631" t="s">
        <v>5</v>
      </c>
      <c r="B62" s="1568" t="s">
        <v>139</v>
      </c>
      <c r="C62" s="1568" t="s">
        <v>115</v>
      </c>
      <c r="D62" s="1640" t="s">
        <v>112</v>
      </c>
      <c r="E62" s="57" t="s">
        <v>21</v>
      </c>
      <c r="F62" s="831">
        <v>8536.32</v>
      </c>
      <c r="G62" s="831">
        <v>432</v>
      </c>
      <c r="H62" s="831">
        <v>472.32</v>
      </c>
      <c r="I62" s="831">
        <f t="shared" si="11"/>
        <v>9440.64</v>
      </c>
      <c r="J62" s="216">
        <f t="shared" si="10"/>
        <v>2.6152133935944026</v>
      </c>
      <c r="K62" s="1014"/>
      <c r="L62"/>
      <c r="M62"/>
      <c r="N62"/>
      <c r="O62"/>
      <c r="P62"/>
    </row>
    <row r="63" spans="1:16" s="1" customFormat="1" ht="27" customHeight="1" x14ac:dyDescent="0.2">
      <c r="A63" s="1631" t="s">
        <v>5</v>
      </c>
      <c r="B63" s="1568" t="s">
        <v>139</v>
      </c>
      <c r="C63" s="1568" t="s">
        <v>115</v>
      </c>
      <c r="D63" s="1642" t="s">
        <v>112</v>
      </c>
      <c r="E63" s="57" t="s">
        <v>22</v>
      </c>
      <c r="F63" s="216">
        <f>F62/$I$62*100</f>
        <v>90.420988407565588</v>
      </c>
      <c r="G63" s="216">
        <f>G62/$I$62*100</f>
        <v>4.5759609517998783</v>
      </c>
      <c r="H63" s="216">
        <f>H62/$I$62*100</f>
        <v>5.0030506406345339</v>
      </c>
      <c r="I63" s="214"/>
      <c r="J63" s="216">
        <f t="shared" si="10"/>
        <v>0</v>
      </c>
      <c r="K63" s="1014"/>
      <c r="L63"/>
      <c r="M63"/>
      <c r="N63"/>
      <c r="O63"/>
      <c r="P63"/>
    </row>
    <row r="64" spans="1:16" s="1" customFormat="1" ht="27" customHeight="1" x14ac:dyDescent="0.2">
      <c r="A64" s="1631" t="s">
        <v>5</v>
      </c>
      <c r="B64" s="1568" t="s">
        <v>139</v>
      </c>
      <c r="C64" s="1568" t="s">
        <v>115</v>
      </c>
      <c r="D64" s="1640" t="s">
        <v>128</v>
      </c>
      <c r="E64" s="57" t="s">
        <v>21</v>
      </c>
      <c r="F64" s="831">
        <v>13389.12</v>
      </c>
      <c r="G64" s="214"/>
      <c r="H64" s="831">
        <v>918.72</v>
      </c>
      <c r="I64" s="831">
        <f t="shared" si="11"/>
        <v>14307.84</v>
      </c>
      <c r="J64" s="216">
        <f t="shared" si="10"/>
        <v>3.9635082792486251</v>
      </c>
      <c r="K64" s="1014"/>
      <c r="L64"/>
      <c r="M64"/>
      <c r="N64"/>
      <c r="O64"/>
      <c r="P64"/>
    </row>
    <row r="65" spans="1:16" s="1" customFormat="1" ht="27" customHeight="1" x14ac:dyDescent="0.2">
      <c r="A65" s="1631" t="s">
        <v>5</v>
      </c>
      <c r="B65" s="1568" t="s">
        <v>139</v>
      </c>
      <c r="C65" s="1568" t="s">
        <v>115</v>
      </c>
      <c r="D65" s="1642" t="s">
        <v>128</v>
      </c>
      <c r="E65" s="57" t="s">
        <v>22</v>
      </c>
      <c r="F65" s="216">
        <f>F64/$I$64*100</f>
        <v>93.578904991948477</v>
      </c>
      <c r="G65" s="216">
        <f>G64/$I$64*100</f>
        <v>0</v>
      </c>
      <c r="H65" s="216">
        <f>H64/$I$64*100</f>
        <v>6.4210950080515303</v>
      </c>
      <c r="I65" s="214"/>
      <c r="J65" s="216">
        <f t="shared" si="10"/>
        <v>0</v>
      </c>
      <c r="K65" s="1014"/>
      <c r="L65"/>
      <c r="M65"/>
      <c r="N65"/>
      <c r="O65"/>
      <c r="P65"/>
    </row>
    <row r="66" spans="1:16" s="1" customFormat="1" ht="27" customHeight="1" x14ac:dyDescent="0.2">
      <c r="A66" s="1666" t="s">
        <v>5</v>
      </c>
      <c r="B66" s="1568" t="s">
        <v>139</v>
      </c>
      <c r="C66" s="1568" t="s">
        <v>115</v>
      </c>
      <c r="D66" s="1640" t="s">
        <v>541</v>
      </c>
      <c r="E66" s="57" t="s">
        <v>21</v>
      </c>
      <c r="F66" s="214">
        <v>13351.68</v>
      </c>
      <c r="G66" s="831">
        <v>604.79999999999995</v>
      </c>
      <c r="H66" s="831">
        <v>442.08</v>
      </c>
      <c r="I66" s="831">
        <f>SUM(F66:H66)</f>
        <v>14398.56</v>
      </c>
      <c r="J66" s="216">
        <f t="shared" si="10"/>
        <v>3.98863921942502</v>
      </c>
      <c r="K66" s="1014"/>
      <c r="L66"/>
      <c r="M66"/>
      <c r="N66"/>
      <c r="O66"/>
      <c r="P66"/>
    </row>
    <row r="67" spans="1:16" s="1" customFormat="1" ht="27" customHeight="1" x14ac:dyDescent="0.2">
      <c r="A67" s="1631" t="s">
        <v>5</v>
      </c>
      <c r="B67" s="1584" t="s">
        <v>139</v>
      </c>
      <c r="C67" s="1584" t="s">
        <v>115</v>
      </c>
      <c r="D67" s="1642" t="s">
        <v>541</v>
      </c>
      <c r="E67" s="57" t="s">
        <v>22</v>
      </c>
      <c r="F67" s="216">
        <f>F66/$I$66*100</f>
        <v>92.72927292729274</v>
      </c>
      <c r="G67" s="216">
        <f>G66/$I$66*100</f>
        <v>4.2004200420042004</v>
      </c>
      <c r="H67" s="216">
        <f>H66/$I$66*100</f>
        <v>3.07030703070307</v>
      </c>
      <c r="I67" s="214"/>
      <c r="J67" s="216">
        <f t="shared" si="10"/>
        <v>0</v>
      </c>
      <c r="K67" s="1014"/>
      <c r="L67"/>
      <c r="M67"/>
      <c r="N67"/>
      <c r="O67"/>
      <c r="P67"/>
    </row>
    <row r="68" spans="1:16" s="1" customFormat="1" ht="27" customHeight="1" x14ac:dyDescent="0.2">
      <c r="A68" s="1629" t="s">
        <v>5</v>
      </c>
      <c r="B68" s="3258" t="s">
        <v>103</v>
      </c>
      <c r="C68" s="3235"/>
      <c r="D68" s="3236"/>
      <c r="E68" s="414" t="s">
        <v>21</v>
      </c>
      <c r="F68" s="832">
        <f>F52+F54+F56+F58+F60+F62+F64+F66</f>
        <v>250378.56</v>
      </c>
      <c r="G68" s="832">
        <f>G52+G54+G56+G58+G60+G62+G64+G66</f>
        <v>9181.4399999999987</v>
      </c>
      <c r="H68" s="832">
        <f>H52+H54+H56+H58+H60+H62+H64+H66</f>
        <v>13044.96</v>
      </c>
      <c r="I68" s="832">
        <f>SUM(F68:H68)</f>
        <v>272604.96000000002</v>
      </c>
      <c r="J68" s="718"/>
      <c r="K68" s="1668"/>
      <c r="L68"/>
      <c r="M68"/>
      <c r="N68"/>
      <c r="O68"/>
      <c r="P68"/>
    </row>
    <row r="69" spans="1:16" s="1" customFormat="1" ht="27" customHeight="1" x14ac:dyDescent="0.2">
      <c r="A69" s="1629" t="s">
        <v>5</v>
      </c>
      <c r="B69" s="3258"/>
      <c r="C69" s="3238"/>
      <c r="D69" s="3239"/>
      <c r="E69" s="414" t="s">
        <v>22</v>
      </c>
      <c r="F69" s="417">
        <f>F68/$I$68*100</f>
        <v>91.846663391597858</v>
      </c>
      <c r="G69" s="417">
        <f>G68/$I$68*100</f>
        <v>3.3680384979055402</v>
      </c>
      <c r="H69" s="417">
        <f>H68/$I$68*100</f>
        <v>4.785298110496595</v>
      </c>
      <c r="I69" s="415"/>
      <c r="J69" s="718"/>
      <c r="K69" s="1668"/>
      <c r="L69"/>
      <c r="M69"/>
      <c r="N69"/>
      <c r="O69"/>
      <c r="P69"/>
    </row>
    <row r="70" spans="1:16" s="1" customFormat="1" ht="27" customHeight="1" x14ac:dyDescent="0.2">
      <c r="A70" s="1631" t="s">
        <v>5</v>
      </c>
      <c r="B70" s="1632" t="s">
        <v>140</v>
      </c>
      <c r="C70" s="1632" t="s">
        <v>115</v>
      </c>
      <c r="D70" s="1640" t="s">
        <v>109</v>
      </c>
      <c r="E70" s="57" t="s">
        <v>21</v>
      </c>
      <c r="F70" s="834">
        <v>4291.2</v>
      </c>
      <c r="G70" s="738">
        <v>172.8</v>
      </c>
      <c r="H70" s="738">
        <v>803.52</v>
      </c>
      <c r="I70" s="831">
        <f>SUM(F70:H70)</f>
        <v>5267.52</v>
      </c>
      <c r="J70" s="216">
        <f t="shared" ref="J70:J77" si="12">(I70/$I$90)*100</f>
        <v>1.4591901454802205</v>
      </c>
      <c r="K70" s="1014"/>
      <c r="L70"/>
      <c r="M70"/>
      <c r="N70"/>
      <c r="O70"/>
      <c r="P70"/>
    </row>
    <row r="71" spans="1:16" s="1" customFormat="1" ht="27" customHeight="1" x14ac:dyDescent="0.2">
      <c r="A71" s="1631" t="s">
        <v>5</v>
      </c>
      <c r="B71" s="1633" t="s">
        <v>140</v>
      </c>
      <c r="C71" s="1633" t="s">
        <v>115</v>
      </c>
      <c r="D71" s="1642" t="s">
        <v>109</v>
      </c>
      <c r="E71" s="57" t="s">
        <v>22</v>
      </c>
      <c r="F71" s="215">
        <f>F70/$I$70*100</f>
        <v>81.465281574630936</v>
      </c>
      <c r="G71" s="215">
        <f>G70/$I$70*100</f>
        <v>3.280481137233461</v>
      </c>
      <c r="H71" s="215">
        <f>H70/$I$70*100</f>
        <v>15.254237288135592</v>
      </c>
      <c r="I71" s="214"/>
      <c r="J71" s="216">
        <f t="shared" si="12"/>
        <v>0</v>
      </c>
      <c r="K71" s="1014"/>
      <c r="L71"/>
      <c r="M71"/>
      <c r="N71"/>
      <c r="O71"/>
      <c r="P71"/>
    </row>
    <row r="72" spans="1:16" s="1" customFormat="1" ht="27" customHeight="1" x14ac:dyDescent="0.2">
      <c r="A72" s="1631" t="s">
        <v>5</v>
      </c>
      <c r="B72" s="1633" t="s">
        <v>140</v>
      </c>
      <c r="C72" s="1633" t="s">
        <v>115</v>
      </c>
      <c r="D72" s="1640" t="s">
        <v>631</v>
      </c>
      <c r="E72" s="57" t="s">
        <v>21</v>
      </c>
      <c r="F72" s="834">
        <v>2498.4</v>
      </c>
      <c r="G72" s="834">
        <v>0</v>
      </c>
      <c r="H72" s="834">
        <v>447.84</v>
      </c>
      <c r="I72" s="831">
        <f>SUM(F72:H72)</f>
        <v>2946.2400000000002</v>
      </c>
      <c r="J72" s="216">
        <f t="shared" si="12"/>
        <v>0.81615720001436065</v>
      </c>
      <c r="K72" s="1014"/>
      <c r="L72"/>
      <c r="M72"/>
      <c r="N72"/>
      <c r="O72"/>
      <c r="P72"/>
    </row>
    <row r="73" spans="1:16" s="1" customFormat="1" ht="27" customHeight="1" x14ac:dyDescent="0.2">
      <c r="A73" s="1631" t="s">
        <v>5</v>
      </c>
      <c r="B73" s="1567" t="s">
        <v>140</v>
      </c>
      <c r="C73" s="1567" t="s">
        <v>115</v>
      </c>
      <c r="D73" s="1642" t="s">
        <v>631</v>
      </c>
      <c r="E73" s="57" t="s">
        <v>22</v>
      </c>
      <c r="F73" s="216">
        <f>F72/$I$72*100</f>
        <v>84.799608993157378</v>
      </c>
      <c r="G73" s="216">
        <f>G72/$I$72*100</f>
        <v>0</v>
      </c>
      <c r="H73" s="216">
        <f>H72/$I$72*100</f>
        <v>15.200391006842617</v>
      </c>
      <c r="I73" s="214"/>
      <c r="J73" s="216">
        <f t="shared" si="12"/>
        <v>0</v>
      </c>
      <c r="K73" s="1014"/>
      <c r="L73"/>
      <c r="M73"/>
      <c r="N73"/>
      <c r="O73"/>
      <c r="P73"/>
    </row>
    <row r="74" spans="1:16" s="1" customFormat="1" ht="26" customHeight="1" x14ac:dyDescent="0.2">
      <c r="A74" s="1631" t="s">
        <v>5</v>
      </c>
      <c r="B74" s="1633" t="s">
        <v>140</v>
      </c>
      <c r="C74" s="1633" t="s">
        <v>115</v>
      </c>
      <c r="D74" s="1640" t="s">
        <v>114</v>
      </c>
      <c r="E74" s="57" t="s">
        <v>21</v>
      </c>
      <c r="F74" s="834">
        <v>23616</v>
      </c>
      <c r="G74" s="738"/>
      <c r="H74" s="834">
        <v>2414.88</v>
      </c>
      <c r="I74" s="831">
        <f>SUM(F74:H74)</f>
        <v>26030.880000000001</v>
      </c>
      <c r="J74" s="216">
        <f t="shared" si="12"/>
        <v>7.210984215376147</v>
      </c>
      <c r="K74" s="1014"/>
      <c r="L74"/>
      <c r="M74"/>
      <c r="N74"/>
      <c r="O74"/>
      <c r="P74"/>
    </row>
    <row r="75" spans="1:16" s="1" customFormat="1" ht="26" customHeight="1" x14ac:dyDescent="0.2">
      <c r="A75" s="1631" t="s">
        <v>5</v>
      </c>
      <c r="B75" s="1633" t="s">
        <v>140</v>
      </c>
      <c r="C75" s="1633" t="s">
        <v>115</v>
      </c>
      <c r="D75" s="1642" t="s">
        <v>114</v>
      </c>
      <c r="E75" s="57" t="s">
        <v>22</v>
      </c>
      <c r="F75" s="216">
        <f>F74/$I$74*100</f>
        <v>90.723018199922549</v>
      </c>
      <c r="G75" s="216">
        <f>G74/$I$74*100</f>
        <v>0</v>
      </c>
      <c r="H75" s="216">
        <f>H74/$I$74*100</f>
        <v>9.2769818000774471</v>
      </c>
      <c r="I75" s="214"/>
      <c r="J75" s="216">
        <f t="shared" si="12"/>
        <v>0</v>
      </c>
      <c r="K75" s="1014"/>
      <c r="L75"/>
      <c r="M75"/>
      <c r="N75"/>
      <c r="O75"/>
      <c r="P75"/>
    </row>
    <row r="76" spans="1:16" s="1" customFormat="1" ht="23" customHeight="1" x14ac:dyDescent="0.2">
      <c r="A76" s="1631" t="s">
        <v>5</v>
      </c>
      <c r="B76" s="1633" t="s">
        <v>140</v>
      </c>
      <c r="C76" s="1633" t="s">
        <v>115</v>
      </c>
      <c r="D76" s="1640" t="s">
        <v>129</v>
      </c>
      <c r="E76" s="57" t="s">
        <v>21</v>
      </c>
      <c r="F76" s="738"/>
      <c r="G76" s="738"/>
      <c r="H76" s="738"/>
      <c r="I76" s="214">
        <f>SUM(F76:H76)</f>
        <v>0</v>
      </c>
      <c r="J76" s="216">
        <f t="shared" si="12"/>
        <v>0</v>
      </c>
      <c r="K76" s="1014"/>
      <c r="L76"/>
      <c r="M76"/>
      <c r="N76"/>
      <c r="O76"/>
      <c r="P76"/>
    </row>
    <row r="77" spans="1:16" s="1" customFormat="1" ht="23" customHeight="1" x14ac:dyDescent="0.2">
      <c r="A77" s="1631" t="s">
        <v>5</v>
      </c>
      <c r="B77" s="1634" t="s">
        <v>140</v>
      </c>
      <c r="C77" s="1634" t="s">
        <v>115</v>
      </c>
      <c r="D77" s="1642" t="s">
        <v>129</v>
      </c>
      <c r="E77" s="57" t="s">
        <v>22</v>
      </c>
      <c r="F77" s="216" t="e">
        <f>F76/$I$76*100</f>
        <v>#DIV/0!</v>
      </c>
      <c r="G77" s="216" t="e">
        <f>G76/$I$76*100</f>
        <v>#DIV/0!</v>
      </c>
      <c r="H77" s="216" t="e">
        <f>H76/$I$76*100</f>
        <v>#DIV/0!</v>
      </c>
      <c r="I77" s="214" t="e">
        <f>SUM(F77:H77)</f>
        <v>#DIV/0!</v>
      </c>
      <c r="J77" s="216" t="e">
        <f t="shared" si="12"/>
        <v>#DIV/0!</v>
      </c>
      <c r="K77" s="1014"/>
      <c r="L77"/>
      <c r="M77"/>
      <c r="N77"/>
      <c r="O77"/>
      <c r="P77"/>
    </row>
    <row r="78" spans="1:16" s="1" customFormat="1" ht="28" customHeight="1" x14ac:dyDescent="0.2">
      <c r="A78" s="1629" t="s">
        <v>5</v>
      </c>
      <c r="B78" s="3258" t="s">
        <v>103</v>
      </c>
      <c r="C78" s="3235"/>
      <c r="D78" s="3236"/>
      <c r="E78" s="414" t="s">
        <v>21</v>
      </c>
      <c r="F78" s="832">
        <f>F70+F72+F74+F76</f>
        <v>30405.599999999999</v>
      </c>
      <c r="G78" s="832">
        <f>G70+G72+G74+G76</f>
        <v>172.8</v>
      </c>
      <c r="H78" s="832">
        <f>H70+H72+H74+H76</f>
        <v>3666.24</v>
      </c>
      <c r="I78" s="832">
        <f>SUM(F78:H78)</f>
        <v>34244.639999999999</v>
      </c>
      <c r="J78" s="718"/>
      <c r="K78" s="1668"/>
      <c r="L78"/>
      <c r="M78"/>
      <c r="N78"/>
      <c r="O78"/>
      <c r="P78"/>
    </row>
    <row r="79" spans="1:16" s="1" customFormat="1" ht="28" customHeight="1" x14ac:dyDescent="0.2">
      <c r="A79" s="1629" t="s">
        <v>5</v>
      </c>
      <c r="B79" s="3238"/>
      <c r="C79" s="3238"/>
      <c r="D79" s="3239"/>
      <c r="E79" s="414" t="s">
        <v>22</v>
      </c>
      <c r="F79" s="417">
        <f>F78/$I$78*100</f>
        <v>88.789369664858498</v>
      </c>
      <c r="G79" s="417">
        <f>G78/$I$78*100</f>
        <v>0.50460451621042013</v>
      </c>
      <c r="H79" s="417">
        <f>H78/$I$78*100</f>
        <v>10.70602581893108</v>
      </c>
      <c r="I79" s="415"/>
      <c r="J79" s="718">
        <f t="shared" ref="J79:J90" si="13">(I79/$I$90)*100</f>
        <v>0</v>
      </c>
      <c r="K79" s="1668"/>
      <c r="L79"/>
      <c r="M79"/>
      <c r="N79"/>
      <c r="O79"/>
      <c r="P79"/>
    </row>
    <row r="80" spans="1:16" s="1" customFormat="1" ht="29" customHeight="1" x14ac:dyDescent="0.2">
      <c r="A80" s="1629" t="s">
        <v>5</v>
      </c>
      <c r="B80" s="1632" t="s">
        <v>141</v>
      </c>
      <c r="C80" s="1632" t="s">
        <v>115</v>
      </c>
      <c r="D80" s="1640" t="s">
        <v>125</v>
      </c>
      <c r="E80" s="57" t="s">
        <v>21</v>
      </c>
      <c r="F80" s="738">
        <v>27152.639999999999</v>
      </c>
      <c r="G80" s="738"/>
      <c r="H80" s="738">
        <v>1215.3599999999999</v>
      </c>
      <c r="I80" s="831">
        <f>SUM(F80:H80)</f>
        <v>28368</v>
      </c>
      <c r="J80" s="216">
        <f t="shared" si="13"/>
        <v>7.8584051027775672</v>
      </c>
      <c r="K80" s="1519"/>
      <c r="L80"/>
      <c r="M80"/>
      <c r="N80"/>
      <c r="O80"/>
      <c r="P80"/>
    </row>
    <row r="81" spans="1:16" s="1" customFormat="1" ht="29" customHeight="1" x14ac:dyDescent="0.2">
      <c r="A81" s="1629" t="s">
        <v>5</v>
      </c>
      <c r="B81" s="1633" t="s">
        <v>141</v>
      </c>
      <c r="C81" s="1633" t="s">
        <v>115</v>
      </c>
      <c r="D81" s="1642" t="s">
        <v>125</v>
      </c>
      <c r="E81" s="57" t="s">
        <v>22</v>
      </c>
      <c r="F81" s="216">
        <f>F80/$I$80*100</f>
        <v>95.71573604060913</v>
      </c>
      <c r="G81" s="216">
        <f>G80/$I$80*100</f>
        <v>0</v>
      </c>
      <c r="H81" s="216">
        <f>H80/$I$80*100</f>
        <v>4.2842639593908629</v>
      </c>
      <c r="I81" s="216"/>
      <c r="J81" s="216">
        <f t="shared" si="13"/>
        <v>0</v>
      </c>
      <c r="K81" s="1519"/>
      <c r="L81"/>
      <c r="M81"/>
      <c r="N81"/>
      <c r="O81"/>
      <c r="P81"/>
    </row>
    <row r="82" spans="1:16" s="1" customFormat="1" ht="29" customHeight="1" x14ac:dyDescent="0.2">
      <c r="A82" s="1629" t="s">
        <v>5</v>
      </c>
      <c r="B82" s="1633" t="s">
        <v>141</v>
      </c>
      <c r="C82" s="1633" t="s">
        <v>115</v>
      </c>
      <c r="D82" s="1640" t="s">
        <v>313</v>
      </c>
      <c r="E82" s="57" t="s">
        <v>21</v>
      </c>
      <c r="F82" s="834">
        <v>8570.8799999999992</v>
      </c>
      <c r="G82" s="738">
        <v>86.4</v>
      </c>
      <c r="H82" s="738">
        <v>282.24</v>
      </c>
      <c r="I82" s="831">
        <f>SUM(F82:H82)</f>
        <v>8939.5199999999986</v>
      </c>
      <c r="J82" s="216">
        <f t="shared" si="13"/>
        <v>2.4763948669057427</v>
      </c>
      <c r="K82" s="1519"/>
      <c r="L82"/>
      <c r="M82"/>
      <c r="N82"/>
      <c r="O82"/>
      <c r="P82"/>
    </row>
    <row r="83" spans="1:16" s="1" customFormat="1" ht="29" customHeight="1" x14ac:dyDescent="0.2">
      <c r="A83" s="1629" t="s">
        <v>5</v>
      </c>
      <c r="B83" s="1567" t="s">
        <v>141</v>
      </c>
      <c r="C83" s="1567" t="s">
        <v>115</v>
      </c>
      <c r="D83" s="1642" t="s">
        <v>313</v>
      </c>
      <c r="E83" s="57" t="s">
        <v>22</v>
      </c>
      <c r="F83" s="216">
        <f>F82/$I$82*100</f>
        <v>95.876288659793815</v>
      </c>
      <c r="G83" s="216">
        <f>G82/$I$82*100</f>
        <v>0.96649484536082497</v>
      </c>
      <c r="H83" s="216">
        <f>H82/$I$82*100</f>
        <v>3.1572164948453616</v>
      </c>
      <c r="I83" s="216"/>
      <c r="J83" s="216">
        <f t="shared" si="13"/>
        <v>0</v>
      </c>
      <c r="K83" s="1519"/>
      <c r="L83"/>
      <c r="M83"/>
      <c r="N83"/>
      <c r="O83"/>
      <c r="P83"/>
    </row>
    <row r="84" spans="1:16" s="1" customFormat="1" ht="29" customHeight="1" x14ac:dyDescent="0.2">
      <c r="A84" s="1629" t="s">
        <v>5</v>
      </c>
      <c r="B84" s="1633" t="s">
        <v>141</v>
      </c>
      <c r="C84" s="1633" t="s">
        <v>115</v>
      </c>
      <c r="D84" s="1640" t="s">
        <v>109</v>
      </c>
      <c r="E84" s="57" t="s">
        <v>21</v>
      </c>
      <c r="F84" s="834">
        <v>14420.16</v>
      </c>
      <c r="G84" s="738">
        <v>72</v>
      </c>
      <c r="H84" s="738">
        <v>506.88</v>
      </c>
      <c r="I84" s="831">
        <f>SUM(F84:H84)</f>
        <v>14999.039999999999</v>
      </c>
      <c r="J84" s="216">
        <f t="shared" si="13"/>
        <v>4.1549821091640178</v>
      </c>
      <c r="K84" s="1519"/>
      <c r="L84"/>
      <c r="M84"/>
      <c r="N84"/>
      <c r="O84"/>
      <c r="P84"/>
    </row>
    <row r="85" spans="1:16" s="1" customFormat="1" ht="29" customHeight="1" x14ac:dyDescent="0.2">
      <c r="A85" s="1629" t="s">
        <v>5</v>
      </c>
      <c r="B85" s="1633" t="s">
        <v>141</v>
      </c>
      <c r="C85" s="1633" t="s">
        <v>115</v>
      </c>
      <c r="D85" s="1642" t="s">
        <v>109</v>
      </c>
      <c r="E85" s="57" t="s">
        <v>22</v>
      </c>
      <c r="F85" s="216">
        <f>F84/$I$84*100</f>
        <v>96.140552995391715</v>
      </c>
      <c r="G85" s="216">
        <f>G84/$I$84*100</f>
        <v>0.48003072196620589</v>
      </c>
      <c r="H85" s="216">
        <f>H84/$I$84*100</f>
        <v>3.3794162826420893</v>
      </c>
      <c r="I85" s="216"/>
      <c r="J85" s="216">
        <f t="shared" si="13"/>
        <v>0</v>
      </c>
      <c r="K85" s="1519"/>
      <c r="L85"/>
      <c r="M85"/>
      <c r="N85"/>
      <c r="O85"/>
      <c r="P85"/>
    </row>
    <row r="86" spans="1:16" s="1" customFormat="1" ht="29" customHeight="1" x14ac:dyDescent="0.2">
      <c r="A86" s="1629" t="s">
        <v>5</v>
      </c>
      <c r="B86" s="1633" t="s">
        <v>141</v>
      </c>
      <c r="C86" s="1633" t="s">
        <v>115</v>
      </c>
      <c r="D86" s="1640" t="s">
        <v>129</v>
      </c>
      <c r="E86" s="57" t="s">
        <v>21</v>
      </c>
      <c r="F86" s="831">
        <v>1752.48</v>
      </c>
      <c r="G86" s="831"/>
      <c r="H86" s="831">
        <v>80.64</v>
      </c>
      <c r="I86" s="831">
        <f>SUM(F86:H86)</f>
        <v>1833.1200000000001</v>
      </c>
      <c r="J86" s="216">
        <f t="shared" si="13"/>
        <v>0.5078045530881139</v>
      </c>
      <c r="K86" s="1519"/>
      <c r="L86"/>
      <c r="M86"/>
      <c r="N86"/>
      <c r="O86"/>
      <c r="P86"/>
    </row>
    <row r="87" spans="1:16" s="1" customFormat="1" ht="29" customHeight="1" x14ac:dyDescent="0.2">
      <c r="A87" s="1629" t="s">
        <v>5</v>
      </c>
      <c r="B87" s="1634" t="s">
        <v>141</v>
      </c>
      <c r="C87" s="1634" t="s">
        <v>115</v>
      </c>
      <c r="D87" s="1642" t="s">
        <v>129</v>
      </c>
      <c r="E87" s="57" t="s">
        <v>22</v>
      </c>
      <c r="F87" s="216">
        <f>F86/$I$86*100</f>
        <v>95.600942655145317</v>
      </c>
      <c r="G87" s="216">
        <f>G86/$I$86*100</f>
        <v>0</v>
      </c>
      <c r="H87" s="216">
        <f>H86/$I$86*100</f>
        <v>4.3990573448546737</v>
      </c>
      <c r="I87" s="216"/>
      <c r="J87" s="216">
        <f t="shared" si="13"/>
        <v>0</v>
      </c>
      <c r="K87" s="1519"/>
      <c r="L87"/>
      <c r="M87"/>
      <c r="N87"/>
      <c r="O87"/>
      <c r="P87"/>
    </row>
    <row r="88" spans="1:16" s="1" customFormat="1" ht="29" customHeight="1" x14ac:dyDescent="0.2">
      <c r="A88" s="1629" t="s">
        <v>5</v>
      </c>
      <c r="B88" s="3258" t="s">
        <v>103</v>
      </c>
      <c r="C88" s="3235"/>
      <c r="D88" s="3236"/>
      <c r="E88" s="414" t="s">
        <v>21</v>
      </c>
      <c r="F88" s="832">
        <f>F80+F82+F84+F86</f>
        <v>51896.159999999996</v>
      </c>
      <c r="G88" s="832">
        <f>G80+G82+G84+G86</f>
        <v>158.4</v>
      </c>
      <c r="H88" s="832">
        <f>H80+H82+H84+H86</f>
        <v>2085.12</v>
      </c>
      <c r="I88" s="832">
        <f>SUM(F88:H88)</f>
        <v>54139.68</v>
      </c>
      <c r="J88" s="718">
        <f t="shared" si="13"/>
        <v>14.997586631935441</v>
      </c>
      <c r="K88" s="1669"/>
      <c r="L88"/>
      <c r="M88"/>
      <c r="N88"/>
      <c r="O88"/>
      <c r="P88"/>
    </row>
    <row r="89" spans="1:16" s="1" customFormat="1" ht="29" customHeight="1" x14ac:dyDescent="0.2">
      <c r="A89" s="1630" t="s">
        <v>5</v>
      </c>
      <c r="B89" s="3238"/>
      <c r="C89" s="3238"/>
      <c r="D89" s="3239"/>
      <c r="E89" s="414" t="s">
        <v>22</v>
      </c>
      <c r="F89" s="417">
        <f>F88/$I$88*100</f>
        <v>95.856052344601963</v>
      </c>
      <c r="G89" s="417">
        <f>G88/$I$88*100</f>
        <v>0.29257653536186401</v>
      </c>
      <c r="H89" s="417">
        <f>H88/$I$88*100</f>
        <v>3.8513711200361724</v>
      </c>
      <c r="I89" s="415"/>
      <c r="J89" s="718">
        <f t="shared" si="13"/>
        <v>0</v>
      </c>
      <c r="K89" s="1669"/>
      <c r="L89"/>
      <c r="M89"/>
      <c r="N89"/>
      <c r="O89"/>
      <c r="P89"/>
    </row>
    <row r="90" spans="1:16" s="1" customFormat="1" ht="39" customHeight="1" x14ac:dyDescent="0.2">
      <c r="A90" s="3364" t="s">
        <v>124</v>
      </c>
      <c r="B90" s="3365"/>
      <c r="C90" s="3365"/>
      <c r="D90" s="3366"/>
      <c r="E90" s="387" t="s">
        <v>21</v>
      </c>
      <c r="F90" s="896">
        <f>F68+F78+F88</f>
        <v>332680.31999999995</v>
      </c>
      <c r="G90" s="896">
        <f>G68+G78+G88</f>
        <v>9512.6399999999976</v>
      </c>
      <c r="H90" s="896">
        <f>H68+H78+H88</f>
        <v>18796.319999999996</v>
      </c>
      <c r="I90" s="896">
        <f>SUM(F90:H90)</f>
        <v>360989.27999999997</v>
      </c>
      <c r="J90" s="549">
        <f t="shared" si="13"/>
        <v>100</v>
      </c>
      <c r="K90" s="1625"/>
      <c r="L90"/>
      <c r="M90"/>
      <c r="N90"/>
      <c r="O90"/>
      <c r="P90"/>
    </row>
    <row r="91" spans="1:16" s="1" customFormat="1" ht="39" customHeight="1" x14ac:dyDescent="0.2">
      <c r="A91" s="3364"/>
      <c r="B91" s="3387"/>
      <c r="C91" s="3387"/>
      <c r="D91" s="3388"/>
      <c r="E91" s="387" t="s">
        <v>22</v>
      </c>
      <c r="F91" s="389">
        <f>F90/$I$90*100</f>
        <v>92.157949953527691</v>
      </c>
      <c r="G91" s="389">
        <f>G90/$I$90*100</f>
        <v>2.6351585842105889</v>
      </c>
      <c r="H91" s="389">
        <f>H90/$I$90*100</f>
        <v>5.2068914622617042</v>
      </c>
      <c r="I91" s="389"/>
      <c r="J91" s="389"/>
      <c r="K91" s="1624"/>
      <c r="L91"/>
      <c r="M91"/>
      <c r="N91"/>
      <c r="O91"/>
      <c r="P91"/>
    </row>
    <row r="92" spans="1:16" s="1" customFormat="1" ht="14" customHeight="1" x14ac:dyDescent="0.2">
      <c r="A92" s="919"/>
      <c r="B92" s="919"/>
      <c r="C92" s="920"/>
      <c r="D92" s="921"/>
      <c r="E92" s="921"/>
      <c r="F92" s="921"/>
      <c r="G92" s="921"/>
      <c r="H92" s="921"/>
      <c r="I92" s="922"/>
      <c r="J92" s="922"/>
      <c r="K92" s="922"/>
      <c r="L92" s="922"/>
      <c r="M92" s="922"/>
      <c r="N92" s="922"/>
    </row>
    <row r="93" spans="1:16" s="1" customFormat="1" ht="29" customHeight="1" x14ac:dyDescent="0.2">
      <c r="A93" s="3207" t="s">
        <v>506</v>
      </c>
      <c r="B93" s="3207"/>
      <c r="C93" s="3207"/>
      <c r="D93" s="3207"/>
      <c r="E93" s="3207"/>
      <c r="F93" s="3207"/>
      <c r="G93" s="3207"/>
      <c r="H93" s="3207"/>
      <c r="I93" s="3207"/>
      <c r="J93" s="3207"/>
      <c r="K93" s="3207"/>
      <c r="L93" s="3207"/>
      <c r="M93" s="3207"/>
      <c r="N93" s="3207"/>
    </row>
    <row r="94" spans="1:16" s="1" customFormat="1" ht="29" customHeight="1" x14ac:dyDescent="0.2">
      <c r="A94" s="221" t="s">
        <v>39</v>
      </c>
      <c r="B94" s="2551" t="s">
        <v>134</v>
      </c>
      <c r="C94" s="2551"/>
      <c r="D94" s="222" t="s">
        <v>6</v>
      </c>
      <c r="E94" s="222" t="s">
        <v>135</v>
      </c>
      <c r="F94" s="222" t="s">
        <v>43</v>
      </c>
      <c r="G94" s="222" t="s">
        <v>10</v>
      </c>
      <c r="H94" s="391" t="s">
        <v>314</v>
      </c>
      <c r="I94" s="2605" t="s">
        <v>47</v>
      </c>
      <c r="J94" s="2605"/>
      <c r="K94" s="2605"/>
      <c r="L94" s="2605"/>
      <c r="M94" s="2605"/>
      <c r="N94" s="2605"/>
    </row>
    <row r="95" spans="1:16" s="1" customFormat="1" ht="29" customHeight="1" x14ac:dyDescent="0.2">
      <c r="A95" s="223">
        <v>1</v>
      </c>
      <c r="B95" s="2599" t="s">
        <v>137</v>
      </c>
      <c r="C95" s="2599"/>
      <c r="D95" s="224" t="s">
        <v>138</v>
      </c>
      <c r="E95" s="735" t="s">
        <v>139</v>
      </c>
      <c r="F95" s="830">
        <f>I68</f>
        <v>272604.96000000002</v>
      </c>
      <c r="G95" s="224">
        <f>F95/$K$11</f>
        <v>18.690230247280478</v>
      </c>
      <c r="H95" s="214">
        <f>F95/$F$98*100</f>
        <v>75.516081807193842</v>
      </c>
      <c r="I95" s="2600"/>
      <c r="J95" s="2600"/>
      <c r="K95" s="2600"/>
      <c r="L95" s="2600"/>
      <c r="M95" s="2600"/>
      <c r="N95" s="2600"/>
    </row>
    <row r="96" spans="1:16" s="1" customFormat="1" ht="29" customHeight="1" x14ac:dyDescent="0.2">
      <c r="A96" s="223">
        <v>2</v>
      </c>
      <c r="B96" s="2599" t="s">
        <v>137</v>
      </c>
      <c r="C96" s="2599"/>
      <c r="D96" s="224" t="s">
        <v>138</v>
      </c>
      <c r="E96" s="224" t="s">
        <v>140</v>
      </c>
      <c r="F96" s="830">
        <f>I78</f>
        <v>34244.639999999999</v>
      </c>
      <c r="G96" s="224">
        <f>F96/$K$11</f>
        <v>2.3478670613155055</v>
      </c>
      <c r="H96" s="214">
        <f>F96/$F$98*100</f>
        <v>9.4863315608707275</v>
      </c>
      <c r="I96" s="2600"/>
      <c r="J96" s="2600"/>
      <c r="K96" s="2600"/>
      <c r="L96" s="2600"/>
      <c r="M96" s="2600"/>
      <c r="N96" s="2600"/>
    </row>
    <row r="97" spans="1:16" s="1" customFormat="1" ht="29" customHeight="1" x14ac:dyDescent="0.2">
      <c r="A97" s="223">
        <v>3</v>
      </c>
      <c r="B97" s="2599" t="s">
        <v>137</v>
      </c>
      <c r="C97" s="2599"/>
      <c r="D97" s="224" t="s">
        <v>138</v>
      </c>
      <c r="E97" s="224" t="s">
        <v>141</v>
      </c>
      <c r="F97" s="830">
        <f>I88</f>
        <v>54139.68</v>
      </c>
      <c r="G97" s="224">
        <f>F97/$K$11</f>
        <v>3.7119026914040227</v>
      </c>
      <c r="H97" s="214">
        <f>F97/$F$98*100</f>
        <v>14.997586631935439</v>
      </c>
      <c r="I97" s="2600"/>
      <c r="J97" s="2600"/>
      <c r="K97" s="2600"/>
      <c r="L97" s="2600"/>
      <c r="M97" s="2600"/>
      <c r="N97" s="2600"/>
    </row>
    <row r="98" spans="1:16" s="1" customFormat="1" ht="29" customHeight="1" x14ac:dyDescent="0.2">
      <c r="A98" s="3377" t="s">
        <v>718</v>
      </c>
      <c r="B98" s="3377"/>
      <c r="C98" s="3377"/>
      <c r="D98" s="225" t="s">
        <v>142</v>
      </c>
      <c r="E98" s="225" t="s">
        <v>142</v>
      </c>
      <c r="F98" s="860">
        <f>SUM(F95:F97)</f>
        <v>360989.28</v>
      </c>
      <c r="G98" s="226">
        <f>SUM(G95:G97)</f>
        <v>24.750000000000007</v>
      </c>
      <c r="H98" s="227">
        <f>SUM(H95:H97)</f>
        <v>100</v>
      </c>
      <c r="I98" s="2603"/>
      <c r="J98" s="2603"/>
      <c r="K98" s="2603"/>
      <c r="L98" s="2603"/>
      <c r="M98" s="2603"/>
      <c r="N98" s="2603"/>
    </row>
    <row r="99" spans="1:16" s="1" customFormat="1" ht="27" customHeight="1" x14ac:dyDescent="0.2">
      <c r="A99" s="42" t="s">
        <v>497</v>
      </c>
      <c r="B99" s="459"/>
      <c r="C99" s="459"/>
      <c r="D99" s="460"/>
      <c r="E99" s="460"/>
      <c r="F99" s="461"/>
      <c r="G99" s="462"/>
      <c r="H99" s="463"/>
      <c r="I99" s="465"/>
      <c r="J99" s="464"/>
      <c r="K99" s="41"/>
      <c r="L99" s="41"/>
      <c r="M99" s="41"/>
      <c r="N99" s="41"/>
    </row>
    <row r="100" spans="1:16" s="1" customFormat="1" ht="23" customHeight="1" x14ac:dyDescent="0.2">
      <c r="A100" s="2665" t="s">
        <v>34</v>
      </c>
      <c r="B100" s="2665" t="s">
        <v>135</v>
      </c>
      <c r="C100" s="2551" t="s">
        <v>6</v>
      </c>
      <c r="D100" s="2551" t="s">
        <v>105</v>
      </c>
      <c r="E100" s="2551" t="s">
        <v>17</v>
      </c>
      <c r="F100" s="3389" t="s">
        <v>106</v>
      </c>
      <c r="G100" s="3390"/>
      <c r="H100" s="3390"/>
      <c r="I100" s="3391"/>
      <c r="J100" s="1659" t="s">
        <v>107</v>
      </c>
      <c r="K100" s="2722" t="s">
        <v>47</v>
      </c>
      <c r="L100"/>
      <c r="M100"/>
      <c r="N100"/>
      <c r="O100"/>
      <c r="P100"/>
    </row>
    <row r="101" spans="1:16" s="1" customFormat="1" ht="34" customHeight="1" x14ac:dyDescent="0.2">
      <c r="A101" s="3223"/>
      <c r="B101" s="3223"/>
      <c r="C101" s="2566"/>
      <c r="D101" s="2551"/>
      <c r="E101" s="2551"/>
      <c r="F101" s="200" t="s">
        <v>18</v>
      </c>
      <c r="G101" s="202" t="s">
        <v>19</v>
      </c>
      <c r="H101" s="202" t="s">
        <v>20</v>
      </c>
      <c r="I101" s="202" t="s">
        <v>108</v>
      </c>
      <c r="J101" s="390" t="s">
        <v>22</v>
      </c>
      <c r="K101" s="2722"/>
      <c r="L101"/>
      <c r="M101"/>
      <c r="N101"/>
      <c r="O101"/>
      <c r="P101"/>
    </row>
    <row r="102" spans="1:16" s="1" customFormat="1" ht="25" customHeight="1" x14ac:dyDescent="0.2">
      <c r="A102" s="1681" t="s">
        <v>25</v>
      </c>
      <c r="B102" s="1593" t="s">
        <v>1028</v>
      </c>
      <c r="C102" s="1593" t="s">
        <v>119</v>
      </c>
      <c r="D102" s="1640" t="s">
        <v>109</v>
      </c>
      <c r="E102" s="57" t="s">
        <v>21</v>
      </c>
      <c r="F102" s="834">
        <v>66667.5</v>
      </c>
      <c r="G102" s="738"/>
      <c r="H102" s="834">
        <v>805.5</v>
      </c>
      <c r="I102" s="831">
        <f>SUM(F102:H102)</f>
        <v>67473</v>
      </c>
      <c r="J102" s="214">
        <f t="shared" ref="J102:J119" si="14">(I102/$I$120*100)</f>
        <v>36.372604512007761</v>
      </c>
      <c r="K102" s="1014" t="s">
        <v>770</v>
      </c>
      <c r="L102"/>
      <c r="M102"/>
      <c r="N102"/>
      <c r="O102"/>
      <c r="P102"/>
    </row>
    <row r="103" spans="1:16" s="1" customFormat="1" ht="25" customHeight="1" x14ac:dyDescent="0.2">
      <c r="A103" s="1682" t="s">
        <v>25</v>
      </c>
      <c r="B103" s="1568" t="s">
        <v>1028</v>
      </c>
      <c r="C103" s="1568" t="s">
        <v>119</v>
      </c>
      <c r="D103" s="1642" t="s">
        <v>109</v>
      </c>
      <c r="E103" s="57" t="s">
        <v>22</v>
      </c>
      <c r="F103" s="739">
        <f>F102/$I$102*100</f>
        <v>98.806189142323603</v>
      </c>
      <c r="G103" s="739"/>
      <c r="H103" s="739">
        <f>H102/$I$102*100</f>
        <v>1.1938108576764039</v>
      </c>
      <c r="I103" s="216"/>
      <c r="J103" s="214">
        <f t="shared" si="14"/>
        <v>0</v>
      </c>
      <c r="K103" s="1014"/>
      <c r="L103"/>
      <c r="M103"/>
      <c r="N103"/>
      <c r="O103"/>
      <c r="P103"/>
    </row>
    <row r="104" spans="1:16" s="1" customFormat="1" ht="25" customHeight="1" x14ac:dyDescent="0.2">
      <c r="A104" s="1682" t="s">
        <v>25</v>
      </c>
      <c r="B104" s="1568" t="s">
        <v>1028</v>
      </c>
      <c r="C104" s="1568" t="s">
        <v>119</v>
      </c>
      <c r="D104" s="1640" t="s">
        <v>129</v>
      </c>
      <c r="E104" s="57" t="s">
        <v>21</v>
      </c>
      <c r="F104" s="831">
        <v>12375</v>
      </c>
      <c r="G104" s="214">
        <v>0</v>
      </c>
      <c r="H104" s="831">
        <v>96</v>
      </c>
      <c r="I104" s="831">
        <f>SUM(F104:H104)</f>
        <v>12471</v>
      </c>
      <c r="J104" s="214">
        <f t="shared" si="14"/>
        <v>6.7227298455567244</v>
      </c>
      <c r="K104" s="1014"/>
      <c r="L104"/>
      <c r="M104"/>
      <c r="N104"/>
      <c r="O104"/>
      <c r="P104"/>
    </row>
    <row r="105" spans="1:16" s="1" customFormat="1" ht="25" customHeight="1" x14ac:dyDescent="0.2">
      <c r="A105" s="1682" t="s">
        <v>25</v>
      </c>
      <c r="B105" s="1568" t="s">
        <v>1028</v>
      </c>
      <c r="C105" s="1568" t="s">
        <v>119</v>
      </c>
      <c r="D105" s="1642" t="s">
        <v>129</v>
      </c>
      <c r="E105" s="57" t="s">
        <v>22</v>
      </c>
      <c r="F105" s="216">
        <f>F104/$I$104*100</f>
        <v>99.230214096704344</v>
      </c>
      <c r="G105" s="216">
        <f>G104/$I$104*100</f>
        <v>0</v>
      </c>
      <c r="H105" s="216">
        <f>H104/$I$104*100</f>
        <v>0.76978590329564589</v>
      </c>
      <c r="I105" s="216"/>
      <c r="J105" s="214">
        <f t="shared" si="14"/>
        <v>0</v>
      </c>
      <c r="K105" s="1014"/>
      <c r="L105"/>
      <c r="M105"/>
      <c r="N105"/>
      <c r="O105"/>
      <c r="P105"/>
    </row>
    <row r="106" spans="1:16" s="1" customFormat="1" ht="25" customHeight="1" x14ac:dyDescent="0.2">
      <c r="A106" s="1682" t="s">
        <v>25</v>
      </c>
      <c r="B106" s="1568" t="s">
        <v>1028</v>
      </c>
      <c r="C106" s="1568" t="s">
        <v>119</v>
      </c>
      <c r="D106" s="1640" t="s">
        <v>146</v>
      </c>
      <c r="E106" s="57" t="s">
        <v>21</v>
      </c>
      <c r="F106" s="831">
        <v>4032</v>
      </c>
      <c r="G106" s="214">
        <v>0</v>
      </c>
      <c r="H106" s="831">
        <v>24</v>
      </c>
      <c r="I106" s="831">
        <f>SUM(F106:H106)</f>
        <v>4056</v>
      </c>
      <c r="J106" s="214">
        <f t="shared" si="14"/>
        <v>2.186463976712218</v>
      </c>
      <c r="K106" s="1014"/>
      <c r="L106"/>
      <c r="M106"/>
      <c r="N106"/>
      <c r="O106"/>
      <c r="P106"/>
    </row>
    <row r="107" spans="1:16" s="1" customFormat="1" ht="25" customHeight="1" x14ac:dyDescent="0.2">
      <c r="A107" s="1682" t="s">
        <v>25</v>
      </c>
      <c r="B107" s="1568" t="s">
        <v>1028</v>
      </c>
      <c r="C107" s="1568" t="s">
        <v>119</v>
      </c>
      <c r="D107" s="1642" t="s">
        <v>146</v>
      </c>
      <c r="E107" s="57" t="s">
        <v>22</v>
      </c>
      <c r="F107" s="216">
        <f>F106/$I$106*100</f>
        <v>99.408284023668642</v>
      </c>
      <c r="G107" s="216">
        <f>G106/$I$106*100</f>
        <v>0</v>
      </c>
      <c r="H107" s="216">
        <f>H106/$I$106*100</f>
        <v>0.59171597633136097</v>
      </c>
      <c r="I107" s="216"/>
      <c r="J107" s="214">
        <f t="shared" si="14"/>
        <v>0</v>
      </c>
      <c r="K107" s="1014"/>
      <c r="L107"/>
      <c r="M107"/>
      <c r="N107"/>
      <c r="O107"/>
      <c r="P107"/>
    </row>
    <row r="108" spans="1:16" s="1" customFormat="1" ht="25" customHeight="1" x14ac:dyDescent="0.2">
      <c r="A108" s="1682" t="s">
        <v>25</v>
      </c>
      <c r="B108" s="1567" t="s">
        <v>1028</v>
      </c>
      <c r="C108" s="1567" t="s">
        <v>119</v>
      </c>
      <c r="D108" s="1640" t="s">
        <v>541</v>
      </c>
      <c r="E108" s="57" t="s">
        <v>21</v>
      </c>
      <c r="F108" s="831">
        <v>57754.5</v>
      </c>
      <c r="G108" s="214">
        <v>0</v>
      </c>
      <c r="H108" s="831">
        <v>547.5</v>
      </c>
      <c r="I108" s="831">
        <f>SUM(F108:H108)</f>
        <v>58302</v>
      </c>
      <c r="J108" s="214">
        <f t="shared" si="14"/>
        <v>31.428802458154763</v>
      </c>
      <c r="K108" s="1014"/>
      <c r="L108"/>
      <c r="M108"/>
      <c r="N108"/>
      <c r="O108"/>
      <c r="P108"/>
    </row>
    <row r="109" spans="1:16" s="1" customFormat="1" ht="25" customHeight="1" x14ac:dyDescent="0.2">
      <c r="A109" s="1682" t="s">
        <v>25</v>
      </c>
      <c r="B109" s="1568" t="s">
        <v>1028</v>
      </c>
      <c r="C109" s="1568" t="s">
        <v>119</v>
      </c>
      <c r="D109" s="1642" t="s">
        <v>541</v>
      </c>
      <c r="E109" s="57" t="s">
        <v>22</v>
      </c>
      <c r="F109" s="216">
        <f>F108/$I$108*100</f>
        <v>99.060924153545344</v>
      </c>
      <c r="G109" s="216">
        <f>G108/$I$108*100</f>
        <v>0</v>
      </c>
      <c r="H109" s="216">
        <f>H108/$I$108*100</f>
        <v>0.93907584645466713</v>
      </c>
      <c r="I109" s="216"/>
      <c r="J109" s="214">
        <f t="shared" si="14"/>
        <v>0</v>
      </c>
      <c r="K109" s="1014"/>
      <c r="L109"/>
      <c r="M109"/>
      <c r="N109"/>
      <c r="O109"/>
      <c r="P109"/>
    </row>
    <row r="110" spans="1:16" s="1" customFormat="1" ht="25" customHeight="1" x14ac:dyDescent="0.2">
      <c r="A110" s="1682" t="s">
        <v>25</v>
      </c>
      <c r="B110" s="1568" t="s">
        <v>1028</v>
      </c>
      <c r="C110" s="1568" t="s">
        <v>119</v>
      </c>
      <c r="D110" s="1640" t="s">
        <v>117</v>
      </c>
      <c r="E110" s="57" t="s">
        <v>21</v>
      </c>
      <c r="F110" s="831">
        <v>13152</v>
      </c>
      <c r="G110" s="214">
        <v>0</v>
      </c>
      <c r="H110" s="831">
        <v>138</v>
      </c>
      <c r="I110" s="831">
        <f t="shared" ref="I110:I116" si="15">SUM(F110:H110)</f>
        <v>13290</v>
      </c>
      <c r="J110" s="214">
        <f t="shared" si="14"/>
        <v>7.1642273793159212</v>
      </c>
      <c r="K110" s="1014"/>
      <c r="L110"/>
      <c r="M110"/>
      <c r="N110"/>
      <c r="O110"/>
      <c r="P110"/>
    </row>
    <row r="111" spans="1:16" s="1" customFormat="1" ht="25" customHeight="1" x14ac:dyDescent="0.2">
      <c r="A111" s="1682" t="s">
        <v>25</v>
      </c>
      <c r="B111" s="1568" t="s">
        <v>1028</v>
      </c>
      <c r="C111" s="1568" t="s">
        <v>119</v>
      </c>
      <c r="D111" s="1642" t="s">
        <v>117</v>
      </c>
      <c r="E111" s="57" t="s">
        <v>22</v>
      </c>
      <c r="F111" s="216">
        <f>F110/$I$110*100</f>
        <v>98.961625282167049</v>
      </c>
      <c r="G111" s="216">
        <f>G110/$I$110*100</f>
        <v>0</v>
      </c>
      <c r="H111" s="216">
        <f>H110/$I$110*100</f>
        <v>1.038374717832957</v>
      </c>
      <c r="I111" s="216"/>
      <c r="J111" s="214">
        <f t="shared" si="14"/>
        <v>0</v>
      </c>
      <c r="K111" s="1014"/>
      <c r="L111"/>
      <c r="M111"/>
      <c r="N111"/>
      <c r="O111"/>
      <c r="P111"/>
    </row>
    <row r="112" spans="1:16" s="1" customFormat="1" ht="25" customHeight="1" x14ac:dyDescent="0.2">
      <c r="A112" s="1682" t="s">
        <v>25</v>
      </c>
      <c r="B112" s="1568" t="s">
        <v>1028</v>
      </c>
      <c r="C112" s="1568" t="s">
        <v>119</v>
      </c>
      <c r="D112" s="1640" t="s">
        <v>322</v>
      </c>
      <c r="E112" s="57" t="s">
        <v>21</v>
      </c>
      <c r="F112" s="831">
        <v>26392.5</v>
      </c>
      <c r="G112" s="214">
        <v>0</v>
      </c>
      <c r="H112" s="831">
        <v>484.5</v>
      </c>
      <c r="I112" s="831">
        <f t="shared" si="15"/>
        <v>26877</v>
      </c>
      <c r="J112" s="214">
        <f t="shared" si="14"/>
        <v>14.488558259885179</v>
      </c>
      <c r="K112" s="1014"/>
      <c r="L112"/>
      <c r="M112"/>
      <c r="N112"/>
      <c r="O112"/>
      <c r="P112"/>
    </row>
    <row r="113" spans="1:16" s="1" customFormat="1" ht="25" customHeight="1" x14ac:dyDescent="0.2">
      <c r="A113" s="1682" t="s">
        <v>25</v>
      </c>
      <c r="B113" s="1568" t="s">
        <v>1028</v>
      </c>
      <c r="C113" s="1568" t="s">
        <v>119</v>
      </c>
      <c r="D113" s="1642" t="s">
        <v>322</v>
      </c>
      <c r="E113" s="57" t="s">
        <v>22</v>
      </c>
      <c r="F113" s="216">
        <f>F112/$I$112*100</f>
        <v>98.197343453510427</v>
      </c>
      <c r="G113" s="216">
        <f>G112/$I$112*100</f>
        <v>0</v>
      </c>
      <c r="H113" s="216">
        <f>H112/$I$112*100</f>
        <v>1.8026565464895636</v>
      </c>
      <c r="I113" s="214"/>
      <c r="J113" s="214">
        <f t="shared" si="14"/>
        <v>0</v>
      </c>
      <c r="K113" s="1014"/>
      <c r="L113"/>
      <c r="M113"/>
      <c r="N113"/>
      <c r="O113"/>
      <c r="P113"/>
    </row>
    <row r="114" spans="1:16" s="1" customFormat="1" ht="23" customHeight="1" x14ac:dyDescent="0.2">
      <c r="A114" s="1682" t="s">
        <v>25</v>
      </c>
      <c r="B114" s="1568" t="s">
        <v>1028</v>
      </c>
      <c r="C114" s="1568" t="s">
        <v>119</v>
      </c>
      <c r="D114" s="1640" t="s">
        <v>125</v>
      </c>
      <c r="E114" s="57" t="s">
        <v>21</v>
      </c>
      <c r="F114" s="831">
        <v>2997</v>
      </c>
      <c r="G114" s="214">
        <v>0</v>
      </c>
      <c r="H114" s="831">
        <v>39</v>
      </c>
      <c r="I114" s="831">
        <f>SUM(F114:H114)</f>
        <v>3036</v>
      </c>
      <c r="J114" s="214">
        <f t="shared" si="14"/>
        <v>1.6366135683674294</v>
      </c>
      <c r="K114" s="1014"/>
      <c r="L114"/>
      <c r="M114"/>
      <c r="N114"/>
      <c r="O114"/>
      <c r="P114"/>
    </row>
    <row r="115" spans="1:16" s="1" customFormat="1" ht="23" customHeight="1" x14ac:dyDescent="0.2">
      <c r="A115" s="1682" t="s">
        <v>25</v>
      </c>
      <c r="B115" s="1584" t="s">
        <v>1028</v>
      </c>
      <c r="C115" s="1584" t="s">
        <v>119</v>
      </c>
      <c r="D115" s="1642" t="s">
        <v>125</v>
      </c>
      <c r="E115" s="57" t="s">
        <v>22</v>
      </c>
      <c r="F115" s="216">
        <f>F114/$I$114*100</f>
        <v>98.715415019762844</v>
      </c>
      <c r="G115" s="216">
        <f>G114/$I$114*100</f>
        <v>0</v>
      </c>
      <c r="H115" s="216">
        <f>H114/$I$114*100</f>
        <v>1.2845849802371543</v>
      </c>
      <c r="I115" s="214"/>
      <c r="J115" s="214">
        <f t="shared" si="14"/>
        <v>0</v>
      </c>
      <c r="K115" s="1014"/>
      <c r="L115"/>
      <c r="M115"/>
      <c r="N115"/>
      <c r="O115"/>
      <c r="P115"/>
    </row>
    <row r="116" spans="1:16" s="1" customFormat="1" ht="23" hidden="1" customHeight="1" x14ac:dyDescent="0.2">
      <c r="A116" s="1678" t="s">
        <v>25</v>
      </c>
      <c r="D116" s="1663" t="s">
        <v>637</v>
      </c>
      <c r="E116" s="57" t="s">
        <v>21</v>
      </c>
      <c r="F116" s="831"/>
      <c r="G116" s="214"/>
      <c r="H116" s="831"/>
      <c r="I116" s="831">
        <f t="shared" si="15"/>
        <v>0</v>
      </c>
      <c r="J116" s="214">
        <f t="shared" si="14"/>
        <v>0</v>
      </c>
      <c r="K116" s="1014" t="s">
        <v>320</v>
      </c>
      <c r="L116"/>
      <c r="M116"/>
      <c r="N116"/>
      <c r="O116"/>
      <c r="P116"/>
    </row>
    <row r="117" spans="1:16" s="1" customFormat="1" ht="23" hidden="1" customHeight="1" x14ac:dyDescent="0.2">
      <c r="A117" s="1678" t="s">
        <v>25</v>
      </c>
      <c r="D117" s="1663"/>
      <c r="E117" s="57" t="s">
        <v>22</v>
      </c>
      <c r="F117" s="216" t="e">
        <f>F116/$I$116*100</f>
        <v>#DIV/0!</v>
      </c>
      <c r="G117" s="216" t="e">
        <f>G116/$I$116*100</f>
        <v>#DIV/0!</v>
      </c>
      <c r="H117" s="216" t="e">
        <f>H116/$I$116*100</f>
        <v>#DIV/0!</v>
      </c>
      <c r="I117" s="214"/>
      <c r="J117" s="214">
        <f t="shared" si="14"/>
        <v>0</v>
      </c>
      <c r="K117" s="1014"/>
      <c r="L117"/>
      <c r="M117"/>
      <c r="N117"/>
      <c r="O117"/>
      <c r="P117"/>
    </row>
    <row r="118" spans="1:16" s="1" customFormat="1" ht="23" hidden="1" customHeight="1" x14ac:dyDescent="0.2">
      <c r="A118" s="1678" t="s">
        <v>25</v>
      </c>
      <c r="D118" s="1663" t="s">
        <v>144</v>
      </c>
      <c r="E118" s="57" t="s">
        <v>21</v>
      </c>
      <c r="F118" s="831"/>
      <c r="G118" s="214"/>
      <c r="H118" s="831"/>
      <c r="I118" s="831"/>
      <c r="J118" s="214">
        <f t="shared" si="14"/>
        <v>0</v>
      </c>
      <c r="K118" s="1014"/>
      <c r="L118"/>
      <c r="M118"/>
      <c r="N118"/>
      <c r="O118"/>
      <c r="P118"/>
    </row>
    <row r="119" spans="1:16" s="1" customFormat="1" ht="23" hidden="1" customHeight="1" x14ac:dyDescent="0.2">
      <c r="A119" s="1678" t="s">
        <v>25</v>
      </c>
      <c r="D119" s="1663"/>
      <c r="E119" s="57" t="s">
        <v>22</v>
      </c>
      <c r="F119" s="216" t="e">
        <f>F118/$I$118*100</f>
        <v>#DIV/0!</v>
      </c>
      <c r="G119" s="216" t="e">
        <f>G118/$I$118*100</f>
        <v>#DIV/0!</v>
      </c>
      <c r="H119" s="216" t="e">
        <f>H118/$I$118*100</f>
        <v>#DIV/0!</v>
      </c>
      <c r="I119" s="214"/>
      <c r="J119" s="214">
        <f t="shared" si="14"/>
        <v>0</v>
      </c>
      <c r="K119" s="1014"/>
      <c r="L119"/>
      <c r="M119"/>
      <c r="N119"/>
      <c r="O119"/>
      <c r="P119"/>
    </row>
    <row r="120" spans="1:16" s="1" customFormat="1" ht="31" customHeight="1" x14ac:dyDescent="0.2">
      <c r="A120" s="1678" t="s">
        <v>25</v>
      </c>
      <c r="B120" s="3258" t="s">
        <v>103</v>
      </c>
      <c r="C120" s="3235"/>
      <c r="D120" s="3236"/>
      <c r="E120" s="1092" t="s">
        <v>21</v>
      </c>
      <c r="F120" s="1112">
        <f>F102+F104+F106+F108+F110+F112+F114+F116+F118</f>
        <v>183370.5</v>
      </c>
      <c r="G120" s="1112">
        <f>G102+G104+G106+G108+G110+G112+G114+G116+G118</f>
        <v>0</v>
      </c>
      <c r="H120" s="1112">
        <f>H102+H104+H106+H108+H110+H112+H114+H116+H118</f>
        <v>2134.5</v>
      </c>
      <c r="I120" s="1112">
        <f>SUM(F120:H120)</f>
        <v>185505</v>
      </c>
      <c r="J120" s="1091"/>
      <c r="K120" s="1667"/>
      <c r="L120"/>
      <c r="M120"/>
      <c r="N120"/>
      <c r="O120"/>
      <c r="P120"/>
    </row>
    <row r="121" spans="1:16" s="1" customFormat="1" ht="31" customHeight="1" x14ac:dyDescent="0.2">
      <c r="A121" s="1678" t="s">
        <v>25</v>
      </c>
      <c r="B121" s="3238"/>
      <c r="C121" s="3238"/>
      <c r="D121" s="3239"/>
      <c r="E121" s="1092" t="s">
        <v>22</v>
      </c>
      <c r="F121" s="1093">
        <f>F120/$I$120*100</f>
        <v>98.849357160184354</v>
      </c>
      <c r="G121" s="1093">
        <f>G120/$I$120*100</f>
        <v>0</v>
      </c>
      <c r="H121" s="1093">
        <f>H120/$I$120*100</f>
        <v>1.1506428398156383</v>
      </c>
      <c r="I121" s="1094"/>
      <c r="J121" s="1091"/>
      <c r="K121" s="1667"/>
      <c r="L121"/>
      <c r="M121"/>
      <c r="N121"/>
      <c r="O121"/>
      <c r="P121"/>
    </row>
    <row r="122" spans="1:16" s="1" customFormat="1" ht="26" customHeight="1" x14ac:dyDescent="0.2">
      <c r="A122" s="1678" t="s">
        <v>25</v>
      </c>
      <c r="B122" s="1593" t="s">
        <v>329</v>
      </c>
      <c r="C122" s="1593" t="s">
        <v>119</v>
      </c>
      <c r="D122" s="1640" t="s">
        <v>129</v>
      </c>
      <c r="E122" s="57" t="s">
        <v>21</v>
      </c>
      <c r="F122" s="834">
        <v>10240.5</v>
      </c>
      <c r="G122" s="738">
        <v>0</v>
      </c>
      <c r="H122" s="834">
        <v>2944.5</v>
      </c>
      <c r="I122" s="831">
        <f>SUM(F122:H122)</f>
        <v>13185</v>
      </c>
      <c r="J122" s="214">
        <f t="shared" ref="J122:J135" si="16">(I122/$I$120*100)</f>
        <v>7.1076251313980752</v>
      </c>
      <c r="K122" s="1014" t="s">
        <v>771</v>
      </c>
      <c r="L122"/>
      <c r="M122"/>
      <c r="N122"/>
      <c r="O122"/>
      <c r="P122"/>
    </row>
    <row r="123" spans="1:16" s="1" customFormat="1" ht="26" customHeight="1" x14ac:dyDescent="0.2">
      <c r="A123" s="1678" t="s">
        <v>25</v>
      </c>
      <c r="B123" s="1568" t="s">
        <v>329</v>
      </c>
      <c r="C123" s="1568" t="s">
        <v>119</v>
      </c>
      <c r="D123" s="1642" t="s">
        <v>129</v>
      </c>
      <c r="E123" s="57" t="s">
        <v>22</v>
      </c>
      <c r="F123" s="739">
        <f>F122/$I$122*100</f>
        <v>77.66780432309443</v>
      </c>
      <c r="G123" s="739">
        <f>G122/$I$122*100</f>
        <v>0</v>
      </c>
      <c r="H123" s="739">
        <f>H122/$I$122*100</f>
        <v>22.332195676905574</v>
      </c>
      <c r="I123" s="216"/>
      <c r="J123" s="214">
        <f t="shared" si="16"/>
        <v>0</v>
      </c>
      <c r="K123" s="1014"/>
      <c r="L123"/>
      <c r="M123"/>
      <c r="N123"/>
      <c r="O123"/>
      <c r="P123"/>
    </row>
    <row r="124" spans="1:16" s="1" customFormat="1" ht="26" customHeight="1" x14ac:dyDescent="0.2">
      <c r="A124" s="1678" t="s">
        <v>25</v>
      </c>
      <c r="B124" s="1568" t="s">
        <v>329</v>
      </c>
      <c r="C124" s="1568" t="s">
        <v>119</v>
      </c>
      <c r="D124" s="1640" t="s">
        <v>109</v>
      </c>
      <c r="E124" s="57" t="s">
        <v>21</v>
      </c>
      <c r="F124" s="831">
        <v>32950.5</v>
      </c>
      <c r="G124" s="214">
        <v>0</v>
      </c>
      <c r="H124" s="831">
        <v>2631</v>
      </c>
      <c r="I124" s="831">
        <f>SUM(F124:H124)</f>
        <v>35581.5</v>
      </c>
      <c r="J124" s="214">
        <f t="shared" si="16"/>
        <v>19.1808846122746</v>
      </c>
      <c r="K124" s="1014"/>
      <c r="L124"/>
      <c r="M124"/>
      <c r="N124"/>
      <c r="O124"/>
      <c r="P124"/>
    </row>
    <row r="125" spans="1:16" s="1" customFormat="1" ht="26" customHeight="1" x14ac:dyDescent="0.2">
      <c r="A125" s="1678" t="s">
        <v>25</v>
      </c>
      <c r="B125" s="1568" t="s">
        <v>329</v>
      </c>
      <c r="C125" s="1568" t="s">
        <v>119</v>
      </c>
      <c r="D125" s="1642" t="s">
        <v>109</v>
      </c>
      <c r="E125" s="57" t="s">
        <v>22</v>
      </c>
      <c r="F125" s="216">
        <f>F124/$I$124*100</f>
        <v>92.605708022427379</v>
      </c>
      <c r="G125" s="216">
        <f>G124/$I$124*100</f>
        <v>0</v>
      </c>
      <c r="H125" s="216">
        <f>H124/$I$124*100</f>
        <v>7.3942919775726148</v>
      </c>
      <c r="I125" s="216"/>
      <c r="J125" s="214">
        <f t="shared" si="16"/>
        <v>0</v>
      </c>
      <c r="K125" s="1014"/>
      <c r="L125"/>
      <c r="M125"/>
      <c r="N125"/>
      <c r="O125"/>
      <c r="P125"/>
    </row>
    <row r="126" spans="1:16" s="1" customFormat="1" ht="26" customHeight="1" x14ac:dyDescent="0.2">
      <c r="A126" s="1678" t="s">
        <v>25</v>
      </c>
      <c r="B126" s="1567" t="s">
        <v>329</v>
      </c>
      <c r="C126" s="1567" t="s">
        <v>119</v>
      </c>
      <c r="D126" s="1640" t="s">
        <v>322</v>
      </c>
      <c r="E126" s="57" t="s">
        <v>21</v>
      </c>
      <c r="F126" s="831">
        <v>4669.5</v>
      </c>
      <c r="G126" s="214">
        <v>0</v>
      </c>
      <c r="H126" s="831">
        <v>582</v>
      </c>
      <c r="I126" s="831">
        <f>SUM(F126:H126)</f>
        <v>5251.5</v>
      </c>
      <c r="J126" s="214">
        <f t="shared" si="16"/>
        <v>2.8309209994339777</v>
      </c>
      <c r="K126" s="1014"/>
      <c r="L126"/>
      <c r="M126"/>
      <c r="N126"/>
      <c r="O126"/>
      <c r="P126"/>
    </row>
    <row r="127" spans="1:16" s="1" customFormat="1" ht="26" customHeight="1" x14ac:dyDescent="0.2">
      <c r="A127" s="1678" t="s">
        <v>25</v>
      </c>
      <c r="B127" s="1568" t="s">
        <v>329</v>
      </c>
      <c r="C127" s="1568" t="s">
        <v>119</v>
      </c>
      <c r="D127" s="1642" t="s">
        <v>322</v>
      </c>
      <c r="E127" s="57" t="s">
        <v>22</v>
      </c>
      <c r="F127" s="216">
        <f>F126/$I$126*100</f>
        <v>88.917452156526707</v>
      </c>
      <c r="G127" s="216">
        <f>G126/$I$126*100</f>
        <v>0</v>
      </c>
      <c r="H127" s="216">
        <f>H126/$I$126*100</f>
        <v>11.082547843473293</v>
      </c>
      <c r="I127" s="216"/>
      <c r="J127" s="214">
        <f t="shared" si="16"/>
        <v>0</v>
      </c>
      <c r="K127" s="1014"/>
      <c r="L127"/>
      <c r="M127"/>
      <c r="N127"/>
      <c r="O127"/>
      <c r="P127"/>
    </row>
    <row r="128" spans="1:16" s="1" customFormat="1" ht="26" customHeight="1" x14ac:dyDescent="0.2">
      <c r="A128" s="1680" t="s">
        <v>25</v>
      </c>
      <c r="B128" s="1568" t="s">
        <v>329</v>
      </c>
      <c r="C128" s="1568" t="s">
        <v>119</v>
      </c>
      <c r="D128" s="1640" t="s">
        <v>117</v>
      </c>
      <c r="E128" s="57" t="s">
        <v>21</v>
      </c>
      <c r="F128" s="831">
        <v>9459</v>
      </c>
      <c r="G128" s="214">
        <v>0</v>
      </c>
      <c r="H128" s="831">
        <v>522</v>
      </c>
      <c r="I128" s="831">
        <f>SUM(F128:H128)</f>
        <v>9981</v>
      </c>
      <c r="J128" s="214">
        <f t="shared" si="16"/>
        <v>5.3804479663620928</v>
      </c>
      <c r="K128" s="1014"/>
      <c r="L128"/>
      <c r="M128"/>
      <c r="N128"/>
      <c r="O128"/>
      <c r="P128"/>
    </row>
    <row r="129" spans="1:16" s="1" customFormat="1" ht="26" customHeight="1" x14ac:dyDescent="0.2">
      <c r="A129" s="1678" t="s">
        <v>25</v>
      </c>
      <c r="B129" s="1568" t="s">
        <v>329</v>
      </c>
      <c r="C129" s="1568" t="s">
        <v>119</v>
      </c>
      <c r="D129" s="1642" t="s">
        <v>117</v>
      </c>
      <c r="E129" s="57" t="s">
        <v>22</v>
      </c>
      <c r="F129" s="216">
        <f>F128/$I$128*100</f>
        <v>94.770063119927855</v>
      </c>
      <c r="G129" s="216">
        <f>G128/$I$128*100</f>
        <v>0</v>
      </c>
      <c r="H129" s="216">
        <f>H128/$I$128*100</f>
        <v>5.2299368800721373</v>
      </c>
      <c r="I129" s="216"/>
      <c r="J129" s="214">
        <f t="shared" si="16"/>
        <v>0</v>
      </c>
      <c r="K129" s="1014"/>
      <c r="L129"/>
      <c r="M129"/>
      <c r="N129"/>
      <c r="O129"/>
      <c r="P129"/>
    </row>
    <row r="130" spans="1:16" s="1" customFormat="1" ht="26" customHeight="1" x14ac:dyDescent="0.2">
      <c r="A130" s="1678" t="s">
        <v>25</v>
      </c>
      <c r="B130" s="1568" t="s">
        <v>329</v>
      </c>
      <c r="C130" s="1568" t="s">
        <v>119</v>
      </c>
      <c r="D130" s="1640" t="s">
        <v>125</v>
      </c>
      <c r="E130" s="57" t="s">
        <v>21</v>
      </c>
      <c r="F130" s="831">
        <v>1074</v>
      </c>
      <c r="G130" s="214">
        <v>0</v>
      </c>
      <c r="H130" s="831">
        <v>22.5</v>
      </c>
      <c r="I130" s="831">
        <f t="shared" ref="I130:I135" si="17">SUM(F130:H130)</f>
        <v>1096.5</v>
      </c>
      <c r="J130" s="214">
        <f t="shared" si="16"/>
        <v>0.59108918897064766</v>
      </c>
      <c r="K130" s="1014"/>
      <c r="L130"/>
      <c r="M130"/>
      <c r="N130"/>
      <c r="O130"/>
      <c r="P130"/>
    </row>
    <row r="131" spans="1:16" s="1" customFormat="1" ht="26" customHeight="1" x14ac:dyDescent="0.2">
      <c r="A131" s="1678" t="s">
        <v>25</v>
      </c>
      <c r="B131" s="1584" t="s">
        <v>329</v>
      </c>
      <c r="C131" s="1584" t="s">
        <v>119</v>
      </c>
      <c r="D131" s="1642" t="s">
        <v>125</v>
      </c>
      <c r="E131" s="57" t="s">
        <v>22</v>
      </c>
      <c r="F131" s="216">
        <f>F130/$I$130*100</f>
        <v>97.948016415868679</v>
      </c>
      <c r="G131" s="216">
        <f>G130/$I$130*100</f>
        <v>0</v>
      </c>
      <c r="H131" s="216">
        <f>H130/$I$130*100</f>
        <v>2.0519835841313268</v>
      </c>
      <c r="I131" s="216"/>
      <c r="J131" s="214">
        <f t="shared" si="16"/>
        <v>0</v>
      </c>
      <c r="K131" s="1014"/>
      <c r="L131"/>
      <c r="M131"/>
      <c r="N131"/>
      <c r="O131"/>
      <c r="P131"/>
    </row>
    <row r="132" spans="1:16" s="1" customFormat="1" ht="26" hidden="1" customHeight="1" x14ac:dyDescent="0.2">
      <c r="A132" s="1678" t="s">
        <v>25</v>
      </c>
      <c r="D132" s="1664" t="s">
        <v>322</v>
      </c>
      <c r="E132" s="57" t="s">
        <v>21</v>
      </c>
      <c r="F132" s="831"/>
      <c r="G132" s="214"/>
      <c r="H132" s="831"/>
      <c r="I132" s="831">
        <f t="shared" si="17"/>
        <v>0</v>
      </c>
      <c r="J132" s="214">
        <f t="shared" si="16"/>
        <v>0</v>
      </c>
      <c r="K132" s="1014"/>
      <c r="L132"/>
      <c r="M132"/>
      <c r="N132"/>
      <c r="O132"/>
      <c r="P132"/>
    </row>
    <row r="133" spans="1:16" s="1" customFormat="1" ht="26" hidden="1" customHeight="1" x14ac:dyDescent="0.2">
      <c r="A133" s="1678" t="s">
        <v>25</v>
      </c>
      <c r="D133" s="1664"/>
      <c r="E133" s="57" t="s">
        <v>22</v>
      </c>
      <c r="F133" s="216" t="e">
        <f>F132/$I$132*100</f>
        <v>#DIV/0!</v>
      </c>
      <c r="G133" s="216" t="e">
        <f>G132/$I$132*100</f>
        <v>#DIV/0!</v>
      </c>
      <c r="H133" s="216" t="e">
        <f>H132/$I$132*100</f>
        <v>#DIV/0!</v>
      </c>
      <c r="I133" s="214"/>
      <c r="J133" s="214">
        <f t="shared" si="16"/>
        <v>0</v>
      </c>
      <c r="K133" s="1014"/>
      <c r="L133"/>
      <c r="M133"/>
      <c r="N133"/>
      <c r="O133"/>
      <c r="P133"/>
    </row>
    <row r="134" spans="1:16" s="1" customFormat="1" ht="26" hidden="1" customHeight="1" x14ac:dyDescent="0.2">
      <c r="A134" s="1678" t="s">
        <v>25</v>
      </c>
      <c r="D134" s="1664" t="s">
        <v>541</v>
      </c>
      <c r="E134" s="57" t="s">
        <v>21</v>
      </c>
      <c r="F134" s="831"/>
      <c r="G134" s="214"/>
      <c r="H134" s="831"/>
      <c r="I134" s="831">
        <f t="shared" si="17"/>
        <v>0</v>
      </c>
      <c r="J134" s="214">
        <f t="shared" si="16"/>
        <v>0</v>
      </c>
      <c r="K134" s="1014"/>
      <c r="L134"/>
      <c r="M134"/>
      <c r="N134"/>
      <c r="O134"/>
      <c r="P134"/>
    </row>
    <row r="135" spans="1:16" s="1" customFormat="1" ht="26" hidden="1" customHeight="1" x14ac:dyDescent="0.2">
      <c r="A135" s="1678" t="s">
        <v>25</v>
      </c>
      <c r="D135" s="1664"/>
      <c r="E135" s="57" t="s">
        <v>22</v>
      </c>
      <c r="F135" s="216" t="e">
        <f>F134/$I$118*100</f>
        <v>#DIV/0!</v>
      </c>
      <c r="G135" s="216" t="e">
        <f>G134/$I$118*100</f>
        <v>#DIV/0!</v>
      </c>
      <c r="H135" s="216" t="e">
        <f>H134/$I$118*100</f>
        <v>#DIV/0!</v>
      </c>
      <c r="I135" s="214" t="e">
        <f t="shared" si="17"/>
        <v>#DIV/0!</v>
      </c>
      <c r="J135" s="214" t="e">
        <f t="shared" si="16"/>
        <v>#DIV/0!</v>
      </c>
      <c r="K135" s="1014"/>
      <c r="L135"/>
      <c r="M135"/>
      <c r="N135"/>
      <c r="O135"/>
      <c r="P135"/>
    </row>
    <row r="136" spans="1:16" s="1" customFormat="1" ht="26" customHeight="1" x14ac:dyDescent="0.2">
      <c r="A136" s="1678" t="s">
        <v>25</v>
      </c>
      <c r="B136" s="3258" t="s">
        <v>103</v>
      </c>
      <c r="C136" s="3235"/>
      <c r="D136" s="3236"/>
      <c r="E136" s="971" t="s">
        <v>21</v>
      </c>
      <c r="F136" s="972">
        <f>F122+F124+F126+F128+F130+F132+F134</f>
        <v>58393.5</v>
      </c>
      <c r="G136" s="972">
        <f>G122+G124+G126+G128+G130+G132+G134</f>
        <v>0</v>
      </c>
      <c r="H136" s="972">
        <f>H122+H124+H126+H128+H130+H132+H134</f>
        <v>6702</v>
      </c>
      <c r="I136" s="972">
        <f>SUM(F136:H136)</f>
        <v>65095.5</v>
      </c>
      <c r="J136" s="214"/>
      <c r="K136" s="1014"/>
      <c r="L136"/>
      <c r="M136"/>
      <c r="N136"/>
      <c r="O136"/>
      <c r="P136"/>
    </row>
    <row r="137" spans="1:16" s="1" customFormat="1" ht="30" customHeight="1" x14ac:dyDescent="0.2">
      <c r="A137" s="1678" t="s">
        <v>25</v>
      </c>
      <c r="B137" s="3258"/>
      <c r="C137" s="3238"/>
      <c r="D137" s="3239"/>
      <c r="E137" s="971" t="s">
        <v>22</v>
      </c>
      <c r="F137" s="973">
        <f>F136/$I$136*100</f>
        <v>89.70435744406295</v>
      </c>
      <c r="G137" s="973">
        <f>G136/$I$136*100</f>
        <v>0</v>
      </c>
      <c r="H137" s="973">
        <f>H136/$I$136*100</f>
        <v>10.295642555937047</v>
      </c>
      <c r="I137" s="974"/>
      <c r="J137" s="214"/>
      <c r="K137" s="1673"/>
      <c r="L137"/>
      <c r="M137"/>
      <c r="N137"/>
      <c r="O137"/>
      <c r="P137"/>
    </row>
    <row r="138" spans="1:16" s="1" customFormat="1" ht="34" customHeight="1" x14ac:dyDescent="0.2">
      <c r="A138" s="1682" t="s">
        <v>25</v>
      </c>
      <c r="B138" s="1632" t="s">
        <v>329</v>
      </c>
      <c r="C138" s="1632" t="s">
        <v>122</v>
      </c>
      <c r="D138" s="1640" t="s">
        <v>109</v>
      </c>
      <c r="E138" s="57" t="s">
        <v>21</v>
      </c>
      <c r="F138" s="834">
        <v>58545</v>
      </c>
      <c r="G138" s="738">
        <v>0</v>
      </c>
      <c r="H138" s="834">
        <v>4089.24</v>
      </c>
      <c r="I138" s="831">
        <f>SUM(F138:H138)</f>
        <v>62634.239999999998</v>
      </c>
      <c r="J138" s="214">
        <f t="shared" ref="J138:J151" si="18">(I138/$I$120*100)</f>
        <v>33.764178863103417</v>
      </c>
      <c r="K138" s="1014" t="s">
        <v>772</v>
      </c>
      <c r="L138"/>
      <c r="M138"/>
      <c r="N138"/>
      <c r="O138"/>
      <c r="P138"/>
    </row>
    <row r="139" spans="1:16" s="1" customFormat="1" ht="34" customHeight="1" x14ac:dyDescent="0.2">
      <c r="A139" s="1682" t="s">
        <v>25</v>
      </c>
      <c r="B139" s="1633" t="s">
        <v>329</v>
      </c>
      <c r="C139" s="1633" t="s">
        <v>122</v>
      </c>
      <c r="D139" s="1642"/>
      <c r="E139" s="57" t="s">
        <v>22</v>
      </c>
      <c r="F139" s="739">
        <f>F138/$I$138*100</f>
        <v>93.471238734596284</v>
      </c>
      <c r="G139" s="739"/>
      <c r="H139" s="739">
        <f>H138/$I$138*100</f>
        <v>6.5287612654037153</v>
      </c>
      <c r="I139" s="216"/>
      <c r="J139" s="214">
        <f t="shared" si="18"/>
        <v>0</v>
      </c>
      <c r="K139" s="1014"/>
      <c r="L139"/>
      <c r="M139"/>
      <c r="N139"/>
      <c r="O139"/>
      <c r="P139"/>
    </row>
    <row r="140" spans="1:16" s="1" customFormat="1" ht="34" customHeight="1" x14ac:dyDescent="0.2">
      <c r="A140" s="1682" t="s">
        <v>25</v>
      </c>
      <c r="B140" s="1633" t="s">
        <v>329</v>
      </c>
      <c r="C140" s="1633" t="s">
        <v>122</v>
      </c>
      <c r="D140" s="1640" t="s">
        <v>117</v>
      </c>
      <c r="E140" s="57" t="s">
        <v>21</v>
      </c>
      <c r="F140" s="831">
        <v>5306.4</v>
      </c>
      <c r="G140" s="214">
        <v>0</v>
      </c>
      <c r="H140" s="831">
        <v>361.44</v>
      </c>
      <c r="I140" s="831">
        <f>SUM(F140:H140)</f>
        <v>5667.8399999999992</v>
      </c>
      <c r="J140" s="214">
        <f t="shared" si="18"/>
        <v>3.0553569984636528</v>
      </c>
      <c r="K140" s="1014"/>
      <c r="L140"/>
      <c r="M140"/>
      <c r="N140"/>
      <c r="O140"/>
      <c r="P140"/>
    </row>
    <row r="141" spans="1:16" s="1" customFormat="1" ht="34" customHeight="1" x14ac:dyDescent="0.2">
      <c r="A141" s="1682" t="s">
        <v>25</v>
      </c>
      <c r="B141" s="1633" t="s">
        <v>329</v>
      </c>
      <c r="C141" s="1633" t="s">
        <v>122</v>
      </c>
      <c r="D141" s="1642"/>
      <c r="E141" s="57" t="s">
        <v>22</v>
      </c>
      <c r="F141" s="216">
        <f>F140/$I$140*100</f>
        <v>93.622967479674799</v>
      </c>
      <c r="G141" s="216">
        <f>G140/$I$140*100</f>
        <v>0</v>
      </c>
      <c r="H141" s="216">
        <f>H140/$I$140*100</f>
        <v>6.3770325203252041</v>
      </c>
      <c r="I141" s="216"/>
      <c r="J141" s="214">
        <f t="shared" si="18"/>
        <v>0</v>
      </c>
      <c r="K141" s="1014"/>
      <c r="L141"/>
      <c r="M141"/>
      <c r="N141"/>
      <c r="O141"/>
      <c r="P141"/>
    </row>
    <row r="142" spans="1:16" s="1" customFormat="1" ht="34" customHeight="1" x14ac:dyDescent="0.2">
      <c r="A142" s="1682" t="s">
        <v>25</v>
      </c>
      <c r="B142" s="1567" t="s">
        <v>329</v>
      </c>
      <c r="C142" s="1567" t="s">
        <v>122</v>
      </c>
      <c r="D142" s="1640" t="s">
        <v>125</v>
      </c>
      <c r="E142" s="57" t="s">
        <v>21</v>
      </c>
      <c r="F142" s="831">
        <v>3603.6</v>
      </c>
      <c r="G142" s="214">
        <v>0</v>
      </c>
      <c r="H142" s="831">
        <v>97.92</v>
      </c>
      <c r="I142" s="831">
        <f>SUM(F142:H142)</f>
        <v>3701.52</v>
      </c>
      <c r="J142" s="214">
        <f t="shared" si="18"/>
        <v>1.9953747877415704</v>
      </c>
      <c r="K142" s="1014"/>
      <c r="L142"/>
      <c r="M142"/>
      <c r="N142"/>
      <c r="O142"/>
      <c r="P142"/>
    </row>
    <row r="143" spans="1:16" s="1" customFormat="1" ht="34" customHeight="1" x14ac:dyDescent="0.2">
      <c r="A143" s="1682" t="s">
        <v>25</v>
      </c>
      <c r="B143" s="1633" t="s">
        <v>329</v>
      </c>
      <c r="C143" s="1633" t="s">
        <v>122</v>
      </c>
      <c r="D143" s="1642"/>
      <c r="E143" s="57" t="s">
        <v>22</v>
      </c>
      <c r="F143" s="216">
        <f>F142/$I$142*100</f>
        <v>97.354600272320553</v>
      </c>
      <c r="G143" s="216">
        <f>G142/$I$142*100</f>
        <v>0</v>
      </c>
      <c r="H143" s="216">
        <f>H142/$I$142*100</f>
        <v>2.6453997276794401</v>
      </c>
      <c r="I143" s="216"/>
      <c r="J143" s="214">
        <f t="shared" si="18"/>
        <v>0</v>
      </c>
      <c r="K143" s="1014"/>
      <c r="L143"/>
      <c r="M143"/>
      <c r="N143"/>
      <c r="O143"/>
      <c r="P143"/>
    </row>
    <row r="144" spans="1:16" s="1" customFormat="1" ht="34" customHeight="1" x14ac:dyDescent="0.2">
      <c r="A144" s="1682" t="s">
        <v>25</v>
      </c>
      <c r="B144" s="1633" t="s">
        <v>329</v>
      </c>
      <c r="C144" s="1633" t="s">
        <v>122</v>
      </c>
      <c r="D144" s="1640" t="s">
        <v>129</v>
      </c>
      <c r="E144" s="57" t="s">
        <v>21</v>
      </c>
      <c r="F144" s="831">
        <v>7218</v>
      </c>
      <c r="G144" s="214">
        <v>0</v>
      </c>
      <c r="H144" s="831">
        <v>260.64</v>
      </c>
      <c r="I144" s="831">
        <f>SUM(F144:H144)</f>
        <v>7478.64</v>
      </c>
      <c r="J144" s="214">
        <f t="shared" si="18"/>
        <v>4.0315031939839905</v>
      </c>
      <c r="K144" s="1014" t="s">
        <v>772</v>
      </c>
      <c r="L144"/>
      <c r="M144"/>
      <c r="N144"/>
      <c r="O144"/>
      <c r="P144"/>
    </row>
    <row r="145" spans="1:16" s="1" customFormat="1" ht="30" customHeight="1" x14ac:dyDescent="0.2">
      <c r="A145" s="1682" t="s">
        <v>25</v>
      </c>
      <c r="B145" s="1633" t="s">
        <v>329</v>
      </c>
      <c r="C145" s="1633" t="s">
        <v>122</v>
      </c>
      <c r="D145" s="1642"/>
      <c r="E145" s="57" t="s">
        <v>22</v>
      </c>
      <c r="F145" s="216">
        <f>F144/$I$144*100</f>
        <v>96.514874362183491</v>
      </c>
      <c r="G145" s="216">
        <f>G144/$I$144*100</f>
        <v>0</v>
      </c>
      <c r="H145" s="216">
        <f>H144/$I$144*100</f>
        <v>3.485125637816501</v>
      </c>
      <c r="I145" s="216"/>
      <c r="J145" s="214">
        <f t="shared" si="18"/>
        <v>0</v>
      </c>
      <c r="K145" s="1014"/>
      <c r="L145"/>
      <c r="M145"/>
      <c r="N145"/>
      <c r="O145"/>
      <c r="P145"/>
    </row>
    <row r="146" spans="1:16" s="1" customFormat="1" ht="30" customHeight="1" x14ac:dyDescent="0.2">
      <c r="A146" s="1682" t="s">
        <v>25</v>
      </c>
      <c r="B146" s="1633" t="s">
        <v>329</v>
      </c>
      <c r="C146" s="1633" t="s">
        <v>122</v>
      </c>
      <c r="D146" s="1640" t="s">
        <v>146</v>
      </c>
      <c r="E146" s="57" t="s">
        <v>21</v>
      </c>
      <c r="F146" s="831">
        <v>19218.599999999999</v>
      </c>
      <c r="G146" s="214">
        <v>0</v>
      </c>
      <c r="H146" s="831">
        <v>537.84</v>
      </c>
      <c r="I146" s="831">
        <f>SUM(F146:H146)</f>
        <v>19756.439999999999</v>
      </c>
      <c r="J146" s="214">
        <f t="shared" si="18"/>
        <v>10.650084903371877</v>
      </c>
      <c r="K146" s="1014"/>
      <c r="L146"/>
      <c r="M146"/>
      <c r="N146"/>
      <c r="O146"/>
      <c r="P146"/>
    </row>
    <row r="147" spans="1:16" s="1" customFormat="1" ht="30" customHeight="1" x14ac:dyDescent="0.2">
      <c r="A147" s="1682" t="s">
        <v>25</v>
      </c>
      <c r="B147" s="1634" t="s">
        <v>329</v>
      </c>
      <c r="C147" s="1634" t="s">
        <v>122</v>
      </c>
      <c r="D147" s="1642"/>
      <c r="E147" s="57" t="s">
        <v>22</v>
      </c>
      <c r="F147" s="216">
        <f>F146/$I$146*100</f>
        <v>97.27764718744875</v>
      </c>
      <c r="G147" s="216">
        <f>G146/$I$146*100</f>
        <v>0</v>
      </c>
      <c r="H147" s="216">
        <f>H146/$I$146*100</f>
        <v>2.7223528125512493</v>
      </c>
      <c r="I147" s="216"/>
      <c r="J147" s="214">
        <f t="shared" si="18"/>
        <v>0</v>
      </c>
      <c r="K147" s="1014"/>
      <c r="L147"/>
      <c r="M147"/>
      <c r="N147"/>
      <c r="O147"/>
      <c r="P147"/>
    </row>
    <row r="148" spans="1:16" s="1" customFormat="1" ht="30" hidden="1" customHeight="1" x14ac:dyDescent="0.2">
      <c r="A148" s="1678" t="s">
        <v>25</v>
      </c>
      <c r="D148" s="1664" t="s">
        <v>146</v>
      </c>
      <c r="E148" s="57" t="s">
        <v>21</v>
      </c>
      <c r="F148" s="831"/>
      <c r="G148" s="214"/>
      <c r="H148" s="831"/>
      <c r="I148" s="831">
        <f>SUM(F148:H148)</f>
        <v>0</v>
      </c>
      <c r="J148" s="214">
        <f t="shared" si="18"/>
        <v>0</v>
      </c>
      <c r="K148" s="1014"/>
      <c r="L148"/>
      <c r="M148"/>
      <c r="N148"/>
      <c r="O148"/>
      <c r="P148"/>
    </row>
    <row r="149" spans="1:16" s="1" customFormat="1" ht="30" hidden="1" customHeight="1" x14ac:dyDescent="0.2">
      <c r="A149" s="1678" t="s">
        <v>25</v>
      </c>
      <c r="D149" s="1664"/>
      <c r="E149" s="57" t="s">
        <v>22</v>
      </c>
      <c r="F149" s="216" t="e">
        <f>F148/$I$132*100</f>
        <v>#DIV/0!</v>
      </c>
      <c r="G149" s="216" t="e">
        <f>G148/$I$132*100</f>
        <v>#DIV/0!</v>
      </c>
      <c r="H149" s="216" t="e">
        <f>H148/$I$132*100</f>
        <v>#DIV/0!</v>
      </c>
      <c r="I149" s="214"/>
      <c r="J149" s="214">
        <f t="shared" si="18"/>
        <v>0</v>
      </c>
      <c r="K149" s="1014"/>
      <c r="L149"/>
      <c r="M149"/>
      <c r="N149"/>
      <c r="O149"/>
      <c r="P149"/>
    </row>
    <row r="150" spans="1:16" s="1" customFormat="1" ht="30" hidden="1" customHeight="1" x14ac:dyDescent="0.2">
      <c r="A150" s="1678" t="s">
        <v>25</v>
      </c>
      <c r="D150" s="1664" t="s">
        <v>541</v>
      </c>
      <c r="E150" s="57" t="s">
        <v>21</v>
      </c>
      <c r="F150" s="831"/>
      <c r="G150" s="214"/>
      <c r="H150" s="831"/>
      <c r="I150" s="831">
        <f>SUM(F150:H150)</f>
        <v>0</v>
      </c>
      <c r="J150" s="214">
        <f t="shared" si="18"/>
        <v>0</v>
      </c>
      <c r="K150" s="1014"/>
      <c r="L150"/>
      <c r="M150"/>
      <c r="N150"/>
      <c r="O150"/>
      <c r="P150"/>
    </row>
    <row r="151" spans="1:16" s="1" customFormat="1" ht="30" hidden="1" customHeight="1" x14ac:dyDescent="0.2">
      <c r="A151" s="1678" t="s">
        <v>25</v>
      </c>
      <c r="D151" s="1664"/>
      <c r="E151" s="57" t="s">
        <v>22</v>
      </c>
      <c r="F151" s="216" t="e">
        <f>F150/$I$118*100</f>
        <v>#DIV/0!</v>
      </c>
      <c r="G151" s="216" t="e">
        <f>G150/$I$118*100</f>
        <v>#DIV/0!</v>
      </c>
      <c r="H151" s="216" t="e">
        <f>H150/$I$118*100</f>
        <v>#DIV/0!</v>
      </c>
      <c r="I151" s="214" t="e">
        <f>SUM(F151:H151)</f>
        <v>#DIV/0!</v>
      </c>
      <c r="J151" s="214" t="e">
        <f t="shared" si="18"/>
        <v>#DIV/0!</v>
      </c>
      <c r="K151" s="1014"/>
      <c r="L151"/>
      <c r="M151"/>
      <c r="N151"/>
      <c r="O151"/>
      <c r="P151"/>
    </row>
    <row r="152" spans="1:16" s="1" customFormat="1" ht="30" customHeight="1" x14ac:dyDescent="0.2">
      <c r="A152" s="1678" t="s">
        <v>25</v>
      </c>
      <c r="B152" s="3258" t="s">
        <v>103</v>
      </c>
      <c r="C152" s="3235"/>
      <c r="D152" s="3236"/>
      <c r="E152" s="971" t="s">
        <v>21</v>
      </c>
      <c r="F152" s="972">
        <f>F138+F140+F142+F144+F146+F148+F150</f>
        <v>93891.6</v>
      </c>
      <c r="G152" s="972">
        <f>G138+G140+G142+G144+G146+G148+G150</f>
        <v>0</v>
      </c>
      <c r="H152" s="972">
        <f>H138+H140+H142+H144+H146+H148+H150</f>
        <v>5347.08</v>
      </c>
      <c r="I152" s="972">
        <f>SUM(F152:H152)</f>
        <v>99238.680000000008</v>
      </c>
      <c r="J152" s="1095"/>
      <c r="K152" s="1014"/>
      <c r="L152"/>
      <c r="M152"/>
      <c r="N152"/>
      <c r="O152"/>
      <c r="P152"/>
    </row>
    <row r="153" spans="1:16" s="1" customFormat="1" ht="30" customHeight="1" x14ac:dyDescent="0.2">
      <c r="A153" s="1678" t="s">
        <v>25</v>
      </c>
      <c r="B153" s="3238"/>
      <c r="C153" s="3238"/>
      <c r="D153" s="3239"/>
      <c r="E153" s="971" t="s">
        <v>22</v>
      </c>
      <c r="F153" s="973">
        <f>F152/$I$152*100</f>
        <v>94.611899311840915</v>
      </c>
      <c r="G153" s="973">
        <f>G152/$I$152*100</f>
        <v>0</v>
      </c>
      <c r="H153" s="973">
        <f>H152/$I$152*100</f>
        <v>5.388100688159092</v>
      </c>
      <c r="I153" s="974"/>
      <c r="J153" s="1095"/>
      <c r="K153" s="1014"/>
      <c r="L153"/>
      <c r="M153"/>
      <c r="N153"/>
      <c r="O153"/>
      <c r="P153"/>
    </row>
    <row r="154" spans="1:16" s="1" customFormat="1" ht="26" customHeight="1" x14ac:dyDescent="0.2">
      <c r="A154" s="1678" t="s">
        <v>25</v>
      </c>
      <c r="B154" s="1593" t="s">
        <v>141</v>
      </c>
      <c r="C154" s="1593" t="s">
        <v>122</v>
      </c>
      <c r="D154" s="1640" t="s">
        <v>109</v>
      </c>
      <c r="E154" s="57" t="s">
        <v>21</v>
      </c>
      <c r="F154" s="834">
        <v>7331.4</v>
      </c>
      <c r="G154" s="738">
        <v>0</v>
      </c>
      <c r="H154" s="834">
        <v>192.96</v>
      </c>
      <c r="I154" s="831">
        <f>SUM(F154:H154)</f>
        <v>7524.36</v>
      </c>
      <c r="J154" s="214">
        <f t="shared" ref="J154:J167" si="19">(I154/$I$120*100)</f>
        <v>4.0561494299345036</v>
      </c>
      <c r="K154" s="1014" t="s">
        <v>773</v>
      </c>
      <c r="L154"/>
      <c r="M154"/>
      <c r="N154"/>
      <c r="O154"/>
      <c r="P154"/>
    </row>
    <row r="155" spans="1:16" s="1" customFormat="1" ht="26" customHeight="1" x14ac:dyDescent="0.2">
      <c r="A155" s="1678" t="s">
        <v>25</v>
      </c>
      <c r="B155" s="1568" t="s">
        <v>141</v>
      </c>
      <c r="C155" s="1568" t="s">
        <v>122</v>
      </c>
      <c r="D155" s="1642"/>
      <c r="E155" s="57" t="s">
        <v>22</v>
      </c>
      <c r="F155" s="739">
        <f>F154/$I$154*100</f>
        <v>97.43552940050715</v>
      </c>
      <c r="G155" s="739"/>
      <c r="H155" s="739">
        <f>H154/$I$154*100</f>
        <v>2.5644705994928474</v>
      </c>
      <c r="I155" s="216"/>
      <c r="J155" s="214">
        <f t="shared" si="19"/>
        <v>0</v>
      </c>
      <c r="K155" s="1014"/>
      <c r="L155"/>
      <c r="M155"/>
      <c r="N155"/>
      <c r="O155"/>
      <c r="P155"/>
    </row>
    <row r="156" spans="1:16" s="1" customFormat="1" ht="26" customHeight="1" x14ac:dyDescent="0.2">
      <c r="A156" s="1678" t="s">
        <v>25</v>
      </c>
      <c r="B156" s="1568" t="s">
        <v>141</v>
      </c>
      <c r="C156" s="1568" t="s">
        <v>122</v>
      </c>
      <c r="D156" s="1640" t="s">
        <v>117</v>
      </c>
      <c r="E156" s="57" t="s">
        <v>21</v>
      </c>
      <c r="F156" s="831">
        <v>2476.8000000000002</v>
      </c>
      <c r="G156" s="214">
        <v>0</v>
      </c>
      <c r="H156" s="831">
        <v>38.880000000000003</v>
      </c>
      <c r="I156" s="831">
        <f>SUM(F156:H156)</f>
        <v>2515.6800000000003</v>
      </c>
      <c r="J156" s="214">
        <f t="shared" si="19"/>
        <v>1.3561251718282528</v>
      </c>
      <c r="K156" s="1014"/>
      <c r="L156"/>
      <c r="M156"/>
      <c r="N156"/>
      <c r="O156"/>
      <c r="P156"/>
    </row>
    <row r="157" spans="1:16" s="1" customFormat="1" ht="26" customHeight="1" x14ac:dyDescent="0.2">
      <c r="A157" s="1678" t="s">
        <v>25</v>
      </c>
      <c r="B157" s="1567" t="s">
        <v>141</v>
      </c>
      <c r="C157" s="1567" t="s">
        <v>122</v>
      </c>
      <c r="D157" s="1642"/>
      <c r="E157" s="57" t="s">
        <v>22</v>
      </c>
      <c r="F157" s="216">
        <f>F156/$I$156*100</f>
        <v>98.45449341728677</v>
      </c>
      <c r="G157" s="216">
        <f>G156/$I$156*100</f>
        <v>0</v>
      </c>
      <c r="H157" s="216">
        <f>H156/$I$156*100</f>
        <v>1.5455065827132226</v>
      </c>
      <c r="I157" s="216"/>
      <c r="J157" s="214">
        <f t="shared" si="19"/>
        <v>0</v>
      </c>
      <c r="K157" s="1014"/>
      <c r="L157"/>
      <c r="M157"/>
      <c r="N157"/>
      <c r="O157"/>
      <c r="P157"/>
    </row>
    <row r="158" spans="1:16" s="1" customFormat="1" ht="26" customHeight="1" x14ac:dyDescent="0.2">
      <c r="A158" s="1678" t="s">
        <v>25</v>
      </c>
      <c r="B158" s="1568" t="s">
        <v>141</v>
      </c>
      <c r="C158" s="1568" t="s">
        <v>122</v>
      </c>
      <c r="D158" s="1640" t="s">
        <v>125</v>
      </c>
      <c r="E158" s="57" t="s">
        <v>21</v>
      </c>
      <c r="F158" s="831">
        <v>4341.6000000000004</v>
      </c>
      <c r="G158" s="214">
        <v>0</v>
      </c>
      <c r="H158" s="831">
        <v>140.04</v>
      </c>
      <c r="I158" s="831">
        <f>SUM(F158:H158)</f>
        <v>4481.6400000000003</v>
      </c>
      <c r="J158" s="214">
        <f t="shared" si="19"/>
        <v>2.4159133177003316</v>
      </c>
      <c r="K158" s="1014"/>
      <c r="L158"/>
      <c r="M158"/>
      <c r="N158"/>
      <c r="O158"/>
      <c r="P158"/>
    </row>
    <row r="159" spans="1:16" s="1" customFormat="1" ht="26" customHeight="1" x14ac:dyDescent="0.2">
      <c r="A159" s="1678" t="s">
        <v>25</v>
      </c>
      <c r="B159" s="1568" t="s">
        <v>141</v>
      </c>
      <c r="C159" s="1568" t="s">
        <v>122</v>
      </c>
      <c r="D159" s="1642"/>
      <c r="E159" s="57" t="s">
        <v>22</v>
      </c>
      <c r="F159" s="216">
        <f>F158/$I$158*100</f>
        <v>96.875251024178652</v>
      </c>
      <c r="G159" s="216">
        <f>G158/$I$158*100</f>
        <v>0</v>
      </c>
      <c r="H159" s="216">
        <f>H158/$I$158*100</f>
        <v>3.1247489758213507</v>
      </c>
      <c r="I159" s="216"/>
      <c r="J159" s="214">
        <f t="shared" si="19"/>
        <v>0</v>
      </c>
      <c r="K159" s="1014"/>
      <c r="L159"/>
      <c r="M159"/>
      <c r="N159"/>
      <c r="O159"/>
      <c r="P159"/>
    </row>
    <row r="160" spans="1:16" s="1" customFormat="1" ht="26" customHeight="1" x14ac:dyDescent="0.2">
      <c r="A160" s="1678" t="s">
        <v>25</v>
      </c>
      <c r="B160" s="1568" t="s">
        <v>141</v>
      </c>
      <c r="C160" s="1568" t="s">
        <v>122</v>
      </c>
      <c r="D160" s="1640" t="s">
        <v>129</v>
      </c>
      <c r="E160" s="57" t="s">
        <v>21</v>
      </c>
      <c r="F160" s="831">
        <v>2768.4</v>
      </c>
      <c r="G160" s="214">
        <v>0</v>
      </c>
      <c r="H160" s="831">
        <v>30.24</v>
      </c>
      <c r="I160" s="831">
        <f>SUM(F160:H160)</f>
        <v>2798.64</v>
      </c>
      <c r="J160" s="214">
        <f t="shared" si="19"/>
        <v>1.5086601439314304</v>
      </c>
      <c r="K160" s="1014"/>
      <c r="L160"/>
      <c r="M160"/>
      <c r="N160"/>
      <c r="O160"/>
      <c r="P160"/>
    </row>
    <row r="161" spans="1:16" s="1" customFormat="1" ht="26" customHeight="1" x14ac:dyDescent="0.2">
      <c r="A161" s="1678" t="s">
        <v>25</v>
      </c>
      <c r="B161" s="1584" t="s">
        <v>141</v>
      </c>
      <c r="C161" s="1584" t="s">
        <v>122</v>
      </c>
      <c r="D161" s="1642"/>
      <c r="E161" s="57" t="s">
        <v>22</v>
      </c>
      <c r="F161" s="216">
        <f>F160/$I$160*100</f>
        <v>98.919475173655783</v>
      </c>
      <c r="G161" s="216">
        <f>G160/$I$160*100</f>
        <v>0</v>
      </c>
      <c r="H161" s="216">
        <f>H160/$I$160*100</f>
        <v>1.0805248263442244</v>
      </c>
      <c r="I161" s="216"/>
      <c r="J161" s="214">
        <f t="shared" si="19"/>
        <v>0</v>
      </c>
      <c r="K161" s="1014"/>
      <c r="L161"/>
      <c r="M161"/>
      <c r="N161"/>
      <c r="O161"/>
      <c r="P161"/>
    </row>
    <row r="162" spans="1:16" s="1" customFormat="1" ht="26" hidden="1" customHeight="1" x14ac:dyDescent="0.2">
      <c r="A162" s="1678" t="s">
        <v>25</v>
      </c>
      <c r="D162" s="1671" t="s">
        <v>129</v>
      </c>
      <c r="E162" s="57" t="s">
        <v>21</v>
      </c>
      <c r="F162" s="831"/>
      <c r="G162" s="214"/>
      <c r="H162" s="831"/>
      <c r="I162" s="831">
        <f>SUM(F162:H162)</f>
        <v>0</v>
      </c>
      <c r="J162" s="214">
        <f t="shared" si="19"/>
        <v>0</v>
      </c>
      <c r="K162" s="1014"/>
      <c r="L162"/>
      <c r="M162"/>
      <c r="N162"/>
      <c r="O162"/>
      <c r="P162"/>
    </row>
    <row r="163" spans="1:16" s="1" customFormat="1" ht="26" hidden="1" customHeight="1" x14ac:dyDescent="0.2">
      <c r="A163" s="1678" t="s">
        <v>25</v>
      </c>
      <c r="D163" s="1672"/>
      <c r="E163" s="57" t="s">
        <v>22</v>
      </c>
      <c r="F163" s="216" t="e">
        <f>F162/$I$162*100</f>
        <v>#DIV/0!</v>
      </c>
      <c r="G163" s="216" t="e">
        <f>G162/$I$162*100</f>
        <v>#DIV/0!</v>
      </c>
      <c r="H163" s="216" t="e">
        <f>H162/$I$162*100</f>
        <v>#DIV/0!</v>
      </c>
      <c r="I163" s="216"/>
      <c r="J163" s="214">
        <f t="shared" si="19"/>
        <v>0</v>
      </c>
      <c r="K163" s="1014"/>
      <c r="L163"/>
      <c r="M163"/>
      <c r="N163"/>
      <c r="O163"/>
      <c r="P163"/>
    </row>
    <row r="164" spans="1:16" s="1" customFormat="1" ht="26" hidden="1" customHeight="1" x14ac:dyDescent="0.2">
      <c r="A164" s="1678" t="s">
        <v>25</v>
      </c>
      <c r="D164" s="1664" t="s">
        <v>146</v>
      </c>
      <c r="E164" s="57" t="s">
        <v>21</v>
      </c>
      <c r="F164" s="831"/>
      <c r="G164" s="214"/>
      <c r="H164" s="831"/>
      <c r="I164" s="831">
        <f>SUM(F164:H164)</f>
        <v>0</v>
      </c>
      <c r="J164" s="214">
        <f t="shared" si="19"/>
        <v>0</v>
      </c>
      <c r="K164" s="1014"/>
      <c r="L164"/>
      <c r="M164"/>
      <c r="N164"/>
      <c r="O164"/>
      <c r="P164"/>
    </row>
    <row r="165" spans="1:16" s="1" customFormat="1" ht="26" hidden="1" customHeight="1" x14ac:dyDescent="0.2">
      <c r="A165" s="1678" t="s">
        <v>25</v>
      </c>
      <c r="D165" s="1664"/>
      <c r="E165" s="57" t="s">
        <v>22</v>
      </c>
      <c r="F165" s="216" t="e">
        <f>F164/$I$164*100</f>
        <v>#DIV/0!</v>
      </c>
      <c r="G165" s="216" t="e">
        <f>G164/$I$164*100</f>
        <v>#DIV/0!</v>
      </c>
      <c r="H165" s="216" t="e">
        <f>H164/$I$164*100</f>
        <v>#DIV/0!</v>
      </c>
      <c r="I165" s="214"/>
      <c r="J165" s="214">
        <f t="shared" si="19"/>
        <v>0</v>
      </c>
      <c r="K165" s="1014"/>
      <c r="L165"/>
      <c r="M165"/>
      <c r="N165"/>
      <c r="O165"/>
      <c r="P165"/>
    </row>
    <row r="166" spans="1:16" s="1" customFormat="1" ht="26" hidden="1" customHeight="1" x14ac:dyDescent="0.2">
      <c r="A166" s="1678" t="s">
        <v>25</v>
      </c>
      <c r="D166" s="1664" t="s">
        <v>541</v>
      </c>
      <c r="E166" s="57" t="s">
        <v>21</v>
      </c>
      <c r="F166" s="831"/>
      <c r="G166" s="214"/>
      <c r="H166" s="831"/>
      <c r="I166" s="831">
        <f>SUM(F166:H166)</f>
        <v>0</v>
      </c>
      <c r="J166" s="214">
        <f t="shared" si="19"/>
        <v>0</v>
      </c>
      <c r="K166" s="1014"/>
      <c r="L166"/>
      <c r="M166"/>
      <c r="N166"/>
      <c r="O166"/>
      <c r="P166"/>
    </row>
    <row r="167" spans="1:16" s="1" customFormat="1" ht="26" hidden="1" customHeight="1" x14ac:dyDescent="0.2">
      <c r="A167" s="1678" t="s">
        <v>25</v>
      </c>
      <c r="D167" s="1664"/>
      <c r="E167" s="57" t="s">
        <v>22</v>
      </c>
      <c r="F167" s="216" t="e">
        <f>F166/$I$166*100</f>
        <v>#DIV/0!</v>
      </c>
      <c r="G167" s="216" t="e">
        <f>G166/$I$166*100</f>
        <v>#DIV/0!</v>
      </c>
      <c r="H167" s="216" t="e">
        <f>H166/$I$166*100</f>
        <v>#DIV/0!</v>
      </c>
      <c r="I167" s="214" t="e">
        <f>SUM(F167:H167)</f>
        <v>#DIV/0!</v>
      </c>
      <c r="J167" s="214" t="e">
        <f t="shared" si="19"/>
        <v>#DIV/0!</v>
      </c>
      <c r="K167" s="1014"/>
      <c r="L167"/>
      <c r="M167"/>
      <c r="N167"/>
      <c r="O167"/>
      <c r="P167"/>
    </row>
    <row r="168" spans="1:16" s="1" customFormat="1" ht="31" customHeight="1" x14ac:dyDescent="0.2">
      <c r="A168" s="1678" t="s">
        <v>25</v>
      </c>
      <c r="B168" s="3258" t="s">
        <v>103</v>
      </c>
      <c r="C168" s="3235"/>
      <c r="D168" s="3236"/>
      <c r="E168" s="971" t="s">
        <v>21</v>
      </c>
      <c r="F168" s="972">
        <f>F154+F156+F158+F160+F162+F164+F166</f>
        <v>16918.2</v>
      </c>
      <c r="G168" s="972">
        <f>G154+G156+G158+G160+G162+G164+G166</f>
        <v>0</v>
      </c>
      <c r="H168" s="972">
        <f>H154+H156+H158+H160+H162+H164+H166</f>
        <v>402.12</v>
      </c>
      <c r="I168" s="972">
        <f>SUM(F168:H168)</f>
        <v>17320.32</v>
      </c>
      <c r="J168" s="1095"/>
      <c r="K168" s="1014"/>
      <c r="L168"/>
      <c r="M168"/>
      <c r="N168"/>
      <c r="O168"/>
      <c r="P168"/>
    </row>
    <row r="169" spans="1:16" s="1" customFormat="1" ht="31" customHeight="1" x14ac:dyDescent="0.2">
      <c r="A169" s="1678" t="s">
        <v>25</v>
      </c>
      <c r="B169" s="3238"/>
      <c r="C169" s="3238"/>
      <c r="D169" s="3239"/>
      <c r="E169" s="971" t="s">
        <v>22</v>
      </c>
      <c r="F169" s="973">
        <f>F168/$I$168*100</f>
        <v>97.678333887595613</v>
      </c>
      <c r="G169" s="973">
        <f>G168/$I$168*100</f>
        <v>0</v>
      </c>
      <c r="H169" s="973">
        <f>H168/$I$168*100</f>
        <v>2.3216661124043898</v>
      </c>
      <c r="I169" s="974"/>
      <c r="J169" s="1095"/>
      <c r="K169" s="1014"/>
      <c r="L169"/>
      <c r="M169"/>
      <c r="N169"/>
      <c r="O169"/>
      <c r="P169"/>
    </row>
    <row r="170" spans="1:16" s="1" customFormat="1" ht="31" customHeight="1" x14ac:dyDescent="0.2">
      <c r="A170" s="1678" t="s">
        <v>25</v>
      </c>
      <c r="B170" s="1593" t="s">
        <v>140</v>
      </c>
      <c r="C170" s="1593" t="s">
        <v>116</v>
      </c>
      <c r="D170" s="1640" t="s">
        <v>109</v>
      </c>
      <c r="E170" s="57" t="s">
        <v>21</v>
      </c>
      <c r="F170" s="834">
        <v>6464</v>
      </c>
      <c r="G170" s="738">
        <v>0</v>
      </c>
      <c r="H170" s="834">
        <v>1728</v>
      </c>
      <c r="I170" s="831">
        <f>SUM(F170:H170)</f>
        <v>8192</v>
      </c>
      <c r="J170" s="214">
        <f t="shared" ref="J170:J183" si="20">(I170/$I$120*100)</f>
        <v>4.4160534756475567</v>
      </c>
      <c r="K170" s="1014" t="s">
        <v>774</v>
      </c>
      <c r="L170"/>
      <c r="M170"/>
      <c r="N170"/>
      <c r="O170"/>
      <c r="P170"/>
    </row>
    <row r="171" spans="1:16" s="1" customFormat="1" ht="31" customHeight="1" x14ac:dyDescent="0.2">
      <c r="A171" s="1678" t="s">
        <v>25</v>
      </c>
      <c r="B171" s="1568" t="s">
        <v>140</v>
      </c>
      <c r="C171" s="1568" t="s">
        <v>116</v>
      </c>
      <c r="D171" s="1642"/>
      <c r="E171" s="57" t="s">
        <v>22</v>
      </c>
      <c r="F171" s="739">
        <f>F170/$I$170*100</f>
        <v>78.90625</v>
      </c>
      <c r="G171" s="739"/>
      <c r="H171" s="739">
        <f>H170/$I$170*100</f>
        <v>21.09375</v>
      </c>
      <c r="I171" s="216"/>
      <c r="J171" s="214">
        <f t="shared" si="20"/>
        <v>0</v>
      </c>
      <c r="K171" s="1014"/>
      <c r="L171"/>
      <c r="M171"/>
      <c r="N171"/>
      <c r="O171"/>
      <c r="P171"/>
    </row>
    <row r="172" spans="1:16" s="1" customFormat="1" ht="31" customHeight="1" x14ac:dyDescent="0.2">
      <c r="A172" s="1678" t="s">
        <v>25</v>
      </c>
      <c r="B172" s="1567" t="s">
        <v>140</v>
      </c>
      <c r="C172" s="1567" t="s">
        <v>116</v>
      </c>
      <c r="D172" s="1640" t="s">
        <v>125</v>
      </c>
      <c r="E172" s="57" t="s">
        <v>21</v>
      </c>
      <c r="F172" s="831">
        <v>4672</v>
      </c>
      <c r="G172" s="214">
        <v>0</v>
      </c>
      <c r="H172" s="831">
        <v>640</v>
      </c>
      <c r="I172" s="831">
        <f>SUM(F172:H172)</f>
        <v>5312</v>
      </c>
      <c r="J172" s="214">
        <f t="shared" si="20"/>
        <v>2.8635346756152127</v>
      </c>
      <c r="K172" s="1014"/>
      <c r="L172"/>
      <c r="M172"/>
      <c r="N172"/>
      <c r="O172"/>
      <c r="P172"/>
    </row>
    <row r="173" spans="1:16" s="1" customFormat="1" ht="31" customHeight="1" x14ac:dyDescent="0.2">
      <c r="A173" s="1678" t="s">
        <v>25</v>
      </c>
      <c r="B173" s="1568" t="s">
        <v>140</v>
      </c>
      <c r="C173" s="1568" t="s">
        <v>116</v>
      </c>
      <c r="D173" s="1642"/>
      <c r="E173" s="57" t="s">
        <v>22</v>
      </c>
      <c r="F173" s="216">
        <f>F172/$I$172*100</f>
        <v>87.951807228915655</v>
      </c>
      <c r="G173" s="216">
        <f>G172/$I$172*100</f>
        <v>0</v>
      </c>
      <c r="H173" s="216">
        <f>H172/$I$172*100</f>
        <v>12.048192771084338</v>
      </c>
      <c r="I173" s="216"/>
      <c r="J173" s="214">
        <f t="shared" si="20"/>
        <v>0</v>
      </c>
      <c r="K173" s="1014"/>
      <c r="L173"/>
      <c r="M173"/>
      <c r="N173"/>
      <c r="O173"/>
      <c r="P173"/>
    </row>
    <row r="174" spans="1:16" s="1" customFormat="1" ht="31" customHeight="1" x14ac:dyDescent="0.2">
      <c r="A174" s="1678" t="s">
        <v>25</v>
      </c>
      <c r="B174" s="1568" t="s">
        <v>140</v>
      </c>
      <c r="C174" s="1568" t="s">
        <v>116</v>
      </c>
      <c r="D174" s="1640" t="s">
        <v>129</v>
      </c>
      <c r="E174" s="57" t="s">
        <v>21</v>
      </c>
      <c r="F174" s="831">
        <v>5598.4</v>
      </c>
      <c r="G174" s="214">
        <v>0</v>
      </c>
      <c r="H174" s="831">
        <v>64</v>
      </c>
      <c r="I174" s="831">
        <f>SUM(F174:H174)</f>
        <v>5662.4</v>
      </c>
      <c r="J174" s="214">
        <f t="shared" si="20"/>
        <v>3.052424462952481</v>
      </c>
      <c r="K174" s="1014" t="s">
        <v>774</v>
      </c>
      <c r="L174"/>
      <c r="M174"/>
      <c r="N174"/>
      <c r="O174"/>
      <c r="P174"/>
    </row>
    <row r="175" spans="1:16" s="1" customFormat="1" ht="31" customHeight="1" x14ac:dyDescent="0.2">
      <c r="A175" s="1678" t="s">
        <v>25</v>
      </c>
      <c r="B175" s="1584" t="s">
        <v>140</v>
      </c>
      <c r="C175" s="1584" t="s">
        <v>116</v>
      </c>
      <c r="D175" s="1642"/>
      <c r="E175" s="57" t="s">
        <v>22</v>
      </c>
      <c r="F175" s="216">
        <f>F174/$I$174*100</f>
        <v>98.869737213902226</v>
      </c>
      <c r="G175" s="216">
        <f>G174/$I$174*100</f>
        <v>0</v>
      </c>
      <c r="H175" s="216">
        <f>H174/$I$174*100</f>
        <v>1.1302627860977679</v>
      </c>
      <c r="I175" s="216"/>
      <c r="J175" s="214">
        <f t="shared" si="20"/>
        <v>0</v>
      </c>
      <c r="K175" s="1014"/>
      <c r="L175"/>
      <c r="M175"/>
      <c r="N175"/>
      <c r="O175"/>
      <c r="P175"/>
    </row>
    <row r="176" spans="1:16" s="1" customFormat="1" ht="26" hidden="1" customHeight="1" x14ac:dyDescent="0.2">
      <c r="A176" s="1678" t="s">
        <v>25</v>
      </c>
      <c r="D176" s="1357" t="s">
        <v>129</v>
      </c>
      <c r="E176" s="57" t="s">
        <v>21</v>
      </c>
      <c r="F176" s="831"/>
      <c r="G176" s="214"/>
      <c r="H176" s="831"/>
      <c r="I176" s="831">
        <f>SUM(F176:H176)</f>
        <v>0</v>
      </c>
      <c r="J176" s="214">
        <f t="shared" si="20"/>
        <v>0</v>
      </c>
      <c r="K176" s="1014"/>
      <c r="L176"/>
      <c r="M176"/>
      <c r="N176"/>
      <c r="O176"/>
      <c r="P176"/>
    </row>
    <row r="177" spans="1:16" s="1" customFormat="1" ht="26" hidden="1" customHeight="1" x14ac:dyDescent="0.2">
      <c r="A177" s="1678" t="s">
        <v>25</v>
      </c>
      <c r="D177" s="1357"/>
      <c r="E177" s="57" t="s">
        <v>22</v>
      </c>
      <c r="F177" s="216">
        <f>F176/$I$160*100</f>
        <v>0</v>
      </c>
      <c r="G177" s="216">
        <f>G176/$I$160*100</f>
        <v>0</v>
      </c>
      <c r="H177" s="216">
        <f>H176/$I$160*100</f>
        <v>0</v>
      </c>
      <c r="I177" s="216"/>
      <c r="J177" s="214">
        <f t="shared" si="20"/>
        <v>0</v>
      </c>
      <c r="K177" s="1014"/>
      <c r="L177"/>
      <c r="M177"/>
      <c r="N177"/>
      <c r="O177"/>
      <c r="P177"/>
    </row>
    <row r="178" spans="1:16" s="1" customFormat="1" ht="26" hidden="1" customHeight="1" x14ac:dyDescent="0.2">
      <c r="A178" s="1678" t="s">
        <v>25</v>
      </c>
      <c r="D178" s="1357" t="s">
        <v>129</v>
      </c>
      <c r="E178" s="57" t="s">
        <v>21</v>
      </c>
      <c r="F178" s="831"/>
      <c r="G178" s="214"/>
      <c r="H178" s="831"/>
      <c r="I178" s="831">
        <f>SUM(F178:H178)</f>
        <v>0</v>
      </c>
      <c r="J178" s="214">
        <f t="shared" si="20"/>
        <v>0</v>
      </c>
      <c r="K178" s="1014"/>
      <c r="L178"/>
      <c r="M178"/>
      <c r="N178"/>
      <c r="O178"/>
      <c r="P178"/>
    </row>
    <row r="179" spans="1:16" s="1" customFormat="1" ht="26" hidden="1" customHeight="1" x14ac:dyDescent="0.2">
      <c r="A179" s="1678" t="s">
        <v>25</v>
      </c>
      <c r="D179" s="1357"/>
      <c r="E179" s="57" t="s">
        <v>22</v>
      </c>
      <c r="F179" s="216" t="e">
        <f>F178/$I$162*100</f>
        <v>#DIV/0!</v>
      </c>
      <c r="G179" s="216" t="e">
        <f>G178/$I$162*100</f>
        <v>#DIV/0!</v>
      </c>
      <c r="H179" s="216" t="e">
        <f>H178/$I$162*100</f>
        <v>#DIV/0!</v>
      </c>
      <c r="I179" s="216"/>
      <c r="J179" s="214">
        <f t="shared" si="20"/>
        <v>0</v>
      </c>
      <c r="K179" s="1014"/>
      <c r="L179"/>
      <c r="M179"/>
      <c r="N179"/>
      <c r="O179"/>
      <c r="P179"/>
    </row>
    <row r="180" spans="1:16" s="1" customFormat="1" ht="26" hidden="1" customHeight="1" x14ac:dyDescent="0.2">
      <c r="A180" s="1678" t="s">
        <v>25</v>
      </c>
      <c r="D180" s="1664" t="s">
        <v>146</v>
      </c>
      <c r="E180" s="57" t="s">
        <v>21</v>
      </c>
      <c r="F180" s="831"/>
      <c r="G180" s="214"/>
      <c r="H180" s="831"/>
      <c r="I180" s="831">
        <f>SUM(F180:H180)</f>
        <v>0</v>
      </c>
      <c r="J180" s="214">
        <f t="shared" si="20"/>
        <v>0</v>
      </c>
      <c r="K180" s="1014"/>
      <c r="L180"/>
      <c r="M180"/>
      <c r="N180"/>
      <c r="O180"/>
      <c r="P180"/>
    </row>
    <row r="181" spans="1:16" s="1" customFormat="1" ht="26" hidden="1" customHeight="1" x14ac:dyDescent="0.2">
      <c r="A181" s="1678" t="s">
        <v>25</v>
      </c>
      <c r="D181" s="1664"/>
      <c r="E181" s="57" t="s">
        <v>22</v>
      </c>
      <c r="F181" s="216" t="e">
        <f>F180/$I$164*100</f>
        <v>#DIV/0!</v>
      </c>
      <c r="G181" s="216" t="e">
        <f>G180/$I$164*100</f>
        <v>#DIV/0!</v>
      </c>
      <c r="H181" s="216" t="e">
        <f>H180/$I$164*100</f>
        <v>#DIV/0!</v>
      </c>
      <c r="I181" s="214"/>
      <c r="J181" s="214">
        <f t="shared" si="20"/>
        <v>0</v>
      </c>
      <c r="K181" s="1014"/>
      <c r="L181"/>
      <c r="M181"/>
      <c r="N181"/>
      <c r="O181"/>
      <c r="P181"/>
    </row>
    <row r="182" spans="1:16" s="1" customFormat="1" ht="26" hidden="1" customHeight="1" x14ac:dyDescent="0.2">
      <c r="A182" s="1678" t="s">
        <v>25</v>
      </c>
      <c r="D182" s="1664" t="s">
        <v>541</v>
      </c>
      <c r="E182" s="57" t="s">
        <v>21</v>
      </c>
      <c r="F182" s="831"/>
      <c r="G182" s="214"/>
      <c r="H182" s="831"/>
      <c r="I182" s="831">
        <f>SUM(F182:H182)</f>
        <v>0</v>
      </c>
      <c r="J182" s="214">
        <f t="shared" si="20"/>
        <v>0</v>
      </c>
      <c r="K182" s="1014"/>
      <c r="L182"/>
      <c r="M182"/>
      <c r="N182"/>
      <c r="O182"/>
      <c r="P182"/>
    </row>
    <row r="183" spans="1:16" s="1" customFormat="1" ht="26" hidden="1" customHeight="1" x14ac:dyDescent="0.2">
      <c r="A183" s="1678" t="s">
        <v>25</v>
      </c>
      <c r="D183" s="1664"/>
      <c r="E183" s="57" t="s">
        <v>22</v>
      </c>
      <c r="F183" s="216" t="e">
        <f>F182/$I$166*100</f>
        <v>#DIV/0!</v>
      </c>
      <c r="G183" s="216" t="e">
        <f>G182/$I$166*100</f>
        <v>#DIV/0!</v>
      </c>
      <c r="H183" s="216" t="e">
        <f>H182/$I$166*100</f>
        <v>#DIV/0!</v>
      </c>
      <c r="I183" s="214" t="e">
        <f>SUM(F183:H183)</f>
        <v>#DIV/0!</v>
      </c>
      <c r="J183" s="214" t="e">
        <f t="shared" si="20"/>
        <v>#DIV/0!</v>
      </c>
      <c r="K183" s="1014"/>
      <c r="L183"/>
      <c r="M183"/>
      <c r="N183"/>
      <c r="O183"/>
      <c r="P183"/>
    </row>
    <row r="184" spans="1:16" s="1" customFormat="1" ht="26" customHeight="1" x14ac:dyDescent="0.2">
      <c r="A184" s="1678" t="s">
        <v>25</v>
      </c>
      <c r="B184" s="3258" t="s">
        <v>103</v>
      </c>
      <c r="C184" s="3235"/>
      <c r="D184" s="3236"/>
      <c r="E184" s="971" t="s">
        <v>21</v>
      </c>
      <c r="F184" s="972">
        <f>F170+F172+F174+F176+F178+F180+F182</f>
        <v>16734.400000000001</v>
      </c>
      <c r="G184" s="972">
        <f>G170+G172+G174+G176+G178+G180+G182</f>
        <v>0</v>
      </c>
      <c r="H184" s="972">
        <f>H170+H172+H174+H176+H178+H180+H182</f>
        <v>2432</v>
      </c>
      <c r="I184" s="972">
        <f>SUM(F184:H184)</f>
        <v>19166.400000000001</v>
      </c>
      <c r="J184" s="1095"/>
      <c r="K184" s="1014"/>
      <c r="L184"/>
      <c r="M184"/>
      <c r="N184"/>
      <c r="O184"/>
      <c r="P184"/>
    </row>
    <row r="185" spans="1:16" s="1" customFormat="1" ht="26" customHeight="1" x14ac:dyDescent="0.2">
      <c r="A185" s="1679" t="s">
        <v>25</v>
      </c>
      <c r="B185" s="3238"/>
      <c r="C185" s="3238"/>
      <c r="D185" s="3239"/>
      <c r="E185" s="971" t="s">
        <v>22</v>
      </c>
      <c r="F185" s="973">
        <f>F184/$I$184*100</f>
        <v>87.311127806995586</v>
      </c>
      <c r="G185" s="973">
        <f>G184/$I$184*100</f>
        <v>0</v>
      </c>
      <c r="H185" s="973">
        <f>H184/$I$184*100</f>
        <v>12.688872193004425</v>
      </c>
      <c r="I185" s="974"/>
      <c r="J185" s="1095"/>
      <c r="K185" s="1014"/>
      <c r="L185"/>
      <c r="M185"/>
      <c r="N185"/>
      <c r="O185"/>
      <c r="P185"/>
    </row>
    <row r="186" spans="1:16" customFormat="1" ht="26" customHeight="1" x14ac:dyDescent="0.2"/>
    <row r="187" spans="1:16" s="1" customFormat="1" ht="38" customHeight="1" x14ac:dyDescent="0.2">
      <c r="A187" s="221" t="s">
        <v>39</v>
      </c>
      <c r="B187" s="1548" t="s">
        <v>134</v>
      </c>
      <c r="C187" s="1548"/>
      <c r="D187" s="222" t="s">
        <v>6</v>
      </c>
      <c r="E187" s="222" t="s">
        <v>135</v>
      </c>
      <c r="F187" s="222" t="s">
        <v>43</v>
      </c>
      <c r="G187" s="222" t="s">
        <v>10</v>
      </c>
      <c r="H187" s="391" t="s">
        <v>314</v>
      </c>
      <c r="I187" s="3424" t="s">
        <v>47</v>
      </c>
      <c r="J187" s="3425"/>
      <c r="K187" s="3425"/>
      <c r="L187" s="3425"/>
      <c r="M187" s="3425"/>
      <c r="N187" s="3426"/>
    </row>
    <row r="188" spans="1:16" s="1" customFormat="1" ht="38" customHeight="1" x14ac:dyDescent="0.2">
      <c r="A188" s="1676">
        <v>1</v>
      </c>
      <c r="B188" s="2647" t="s">
        <v>323</v>
      </c>
      <c r="C188" s="2649"/>
      <c r="D188" s="3422" t="s">
        <v>327</v>
      </c>
      <c r="E188" s="224" t="s">
        <v>583</v>
      </c>
      <c r="F188" s="830">
        <f>I120</f>
        <v>185505</v>
      </c>
      <c r="G188" s="224">
        <f>F188/$K$17</f>
        <v>14.064596838394177</v>
      </c>
      <c r="H188" s="214">
        <f>F188/$F$193*100</f>
        <v>48.017748745295094</v>
      </c>
      <c r="I188" s="3427"/>
      <c r="J188" s="3428"/>
      <c r="K188" s="3428"/>
      <c r="L188" s="3428"/>
      <c r="M188" s="3428"/>
      <c r="N188" s="3429"/>
    </row>
    <row r="189" spans="1:16" s="1" customFormat="1" ht="38" customHeight="1" x14ac:dyDescent="0.2">
      <c r="A189" s="1677"/>
      <c r="B189" s="2652"/>
      <c r="C189" s="2653"/>
      <c r="D189" s="3423"/>
      <c r="E189" s="224" t="s">
        <v>727</v>
      </c>
      <c r="F189" s="830">
        <f>I136</f>
        <v>65095.5</v>
      </c>
      <c r="G189" s="224">
        <f>F189/$K$17</f>
        <v>4.9354031616058229</v>
      </c>
      <c r="H189" s="214">
        <f>F189/$F$193*100</f>
        <v>16.849892797764788</v>
      </c>
      <c r="I189" s="3427"/>
      <c r="J189" s="3428"/>
      <c r="K189" s="3428"/>
      <c r="L189" s="3428"/>
      <c r="M189" s="3428"/>
      <c r="N189" s="3429"/>
    </row>
    <row r="190" spans="1:16" s="1" customFormat="1" ht="38" customHeight="1" x14ac:dyDescent="0.2">
      <c r="A190" s="1676">
        <v>2</v>
      </c>
      <c r="B190" s="2647" t="s">
        <v>323</v>
      </c>
      <c r="C190" s="2649"/>
      <c r="D190" s="3422" t="s">
        <v>328</v>
      </c>
      <c r="E190" s="224" t="s">
        <v>727</v>
      </c>
      <c r="F190" s="830">
        <f>I152</f>
        <v>99238.680000000008</v>
      </c>
      <c r="G190" s="224">
        <f>F190/$K$23</f>
        <v>8.0883283144158753</v>
      </c>
      <c r="H190" s="214">
        <f>F190/$F$193*100</f>
        <v>25.68781435570331</v>
      </c>
      <c r="I190" s="3427"/>
      <c r="J190" s="3428"/>
      <c r="K190" s="3428"/>
      <c r="L190" s="3428"/>
      <c r="M190" s="3428"/>
      <c r="N190" s="3429"/>
    </row>
    <row r="191" spans="1:16" s="1" customFormat="1" ht="38" customHeight="1" x14ac:dyDescent="0.2">
      <c r="A191" s="1677"/>
      <c r="B191" s="2652"/>
      <c r="C191" s="2653"/>
      <c r="D191" s="3423"/>
      <c r="E191" s="224" t="s">
        <v>728</v>
      </c>
      <c r="F191" s="830">
        <f>I168</f>
        <v>17320.32</v>
      </c>
      <c r="G191" s="224">
        <f>F191/$K$23</f>
        <v>1.4116716855841247</v>
      </c>
      <c r="H191" s="214">
        <f>F191/$F$193*100</f>
        <v>4.4833442438107305</v>
      </c>
      <c r="I191" s="3427"/>
      <c r="J191" s="3428"/>
      <c r="K191" s="3428"/>
      <c r="L191" s="3428"/>
      <c r="M191" s="3428"/>
      <c r="N191" s="3429"/>
    </row>
    <row r="192" spans="1:16" s="1" customFormat="1" ht="38" customHeight="1" x14ac:dyDescent="0.2">
      <c r="A192" s="223">
        <v>3</v>
      </c>
      <c r="B192" s="2676" t="s">
        <v>324</v>
      </c>
      <c r="C192" s="2677"/>
      <c r="D192" s="224" t="s">
        <v>325</v>
      </c>
      <c r="E192" s="224" t="s">
        <v>140</v>
      </c>
      <c r="F192" s="830">
        <f>I184</f>
        <v>19166.400000000001</v>
      </c>
      <c r="G192" s="224">
        <f>F192/$K$29</f>
        <v>1.35</v>
      </c>
      <c r="H192" s="214">
        <f>F192/$F$193*100</f>
        <v>4.9611998574260747</v>
      </c>
      <c r="I192" s="3427"/>
      <c r="J192" s="3428"/>
      <c r="K192" s="3428"/>
      <c r="L192" s="3428"/>
      <c r="M192" s="3428"/>
      <c r="N192" s="3429"/>
    </row>
    <row r="193" spans="1:18" s="1" customFormat="1" ht="38" customHeight="1" x14ac:dyDescent="0.2">
      <c r="A193" s="1674" t="s">
        <v>729</v>
      </c>
      <c r="B193" s="1674"/>
      <c r="C193" s="1674"/>
      <c r="D193" s="225" t="s">
        <v>142</v>
      </c>
      <c r="E193" s="225" t="s">
        <v>142</v>
      </c>
      <c r="F193" s="860">
        <f>SUM(F188:F192)</f>
        <v>386325.9</v>
      </c>
      <c r="G193" s="226">
        <f>SUM(G188:G192)</f>
        <v>29.85</v>
      </c>
      <c r="H193" s="227">
        <f>SUM(H188:H192)</f>
        <v>100</v>
      </c>
      <c r="I193" s="1675"/>
      <c r="J193" s="1675"/>
      <c r="K193" s="1675"/>
      <c r="L193" s="1675"/>
      <c r="M193" s="1675"/>
      <c r="N193" s="1675"/>
    </row>
    <row r="194" spans="1:18" s="1" customFormat="1" ht="28" customHeight="1" x14ac:dyDescent="0.2">
      <c r="A194" s="3161" t="s">
        <v>709</v>
      </c>
      <c r="B194" s="3161"/>
      <c r="C194" s="3161"/>
      <c r="D194" s="3161"/>
      <c r="E194" s="3161"/>
      <c r="F194" s="3161"/>
      <c r="G194" s="3161"/>
      <c r="H194" s="3161"/>
      <c r="I194" s="3161"/>
      <c r="J194" s="3161"/>
      <c r="K194" s="3161"/>
      <c r="L194" s="3161"/>
      <c r="M194" s="3161"/>
      <c r="N194" s="3161"/>
    </row>
    <row r="195" spans="1:18" s="1" customFormat="1" ht="27" customHeight="1" x14ac:dyDescent="0.2">
      <c r="A195" s="3162" t="s">
        <v>147</v>
      </c>
      <c r="B195" s="3162"/>
      <c r="C195" s="3162"/>
      <c r="D195" s="3162"/>
      <c r="E195" s="3162"/>
      <c r="F195" s="3162"/>
      <c r="G195" s="3162"/>
      <c r="H195" s="3162"/>
      <c r="I195" s="3162"/>
      <c r="J195" s="3162"/>
      <c r="K195" s="3162"/>
      <c r="L195" s="3162"/>
      <c r="M195" s="3162"/>
      <c r="N195" s="3162"/>
    </row>
    <row r="196" spans="1:18" s="1" customFormat="1" ht="41" customHeight="1" x14ac:dyDescent="0.2">
      <c r="A196" s="238" t="s">
        <v>39</v>
      </c>
      <c r="B196" s="1724" t="s">
        <v>34</v>
      </c>
      <c r="C196" s="241" t="s">
        <v>6</v>
      </c>
      <c r="D196" s="1712" t="s">
        <v>148</v>
      </c>
      <c r="E196" s="1689"/>
      <c r="F196" s="239" t="s">
        <v>17</v>
      </c>
      <c r="G196" s="240" t="s">
        <v>149</v>
      </c>
      <c r="H196" s="240" t="s">
        <v>150</v>
      </c>
      <c r="I196" s="241" t="s">
        <v>151</v>
      </c>
      <c r="J196" s="392" t="s">
        <v>1029</v>
      </c>
      <c r="K196" s="242" t="s">
        <v>1030</v>
      </c>
      <c r="L196" s="3051" t="s">
        <v>47</v>
      </c>
      <c r="M196" s="3052"/>
      <c r="N196" s="3052"/>
      <c r="O196" s="3052"/>
      <c r="P196" s="3053"/>
    </row>
    <row r="197" spans="1:18" s="1" customFormat="1" ht="26" customHeight="1" x14ac:dyDescent="0.15">
      <c r="A197" s="1530">
        <v>1</v>
      </c>
      <c r="B197" s="1593" t="s">
        <v>5</v>
      </c>
      <c r="C197" s="1593" t="s">
        <v>115</v>
      </c>
      <c r="D197" s="3375" t="s">
        <v>163</v>
      </c>
      <c r="E197" s="3376"/>
      <c r="F197" s="243" t="s">
        <v>164</v>
      </c>
      <c r="G197" s="1071">
        <v>18.760000000000002</v>
      </c>
      <c r="H197" s="1073">
        <f>I197/O197</f>
        <v>18.327519310268713</v>
      </c>
      <c r="I197" s="425">
        <v>6616038</v>
      </c>
      <c r="J197" s="285">
        <f>-(H197-G197)*O197</f>
        <v>156120.8928000014</v>
      </c>
      <c r="K197" s="866">
        <v>0</v>
      </c>
      <c r="L197" s="3065" t="s">
        <v>165</v>
      </c>
      <c r="M197" s="3066"/>
      <c r="N197" s="3067"/>
      <c r="O197" s="3320">
        <f>F98</f>
        <v>360989.28</v>
      </c>
      <c r="P197" s="3322"/>
    </row>
    <row r="198" spans="1:18" s="1" customFormat="1" ht="26" customHeight="1" x14ac:dyDescent="0.15">
      <c r="A198" s="1530">
        <v>2</v>
      </c>
      <c r="B198" s="1568" t="s">
        <v>5</v>
      </c>
      <c r="C198" s="1568" t="s">
        <v>115</v>
      </c>
      <c r="D198" s="1061" t="s">
        <v>168</v>
      </c>
      <c r="E198" s="1062"/>
      <c r="F198" s="243" t="s">
        <v>164</v>
      </c>
      <c r="G198" s="1072">
        <v>0.48599999999999999</v>
      </c>
      <c r="H198" s="1074">
        <f>I198/O199</f>
        <v>0.48542403630513542</v>
      </c>
      <c r="I198" s="245">
        <v>132329</v>
      </c>
      <c r="J198" s="533">
        <f>-(H198-G198)*O199</f>
        <v>157.01056000000762</v>
      </c>
      <c r="K198" s="720">
        <v>0</v>
      </c>
      <c r="L198" s="2738" t="s">
        <v>167</v>
      </c>
      <c r="M198" s="3386"/>
      <c r="N198" s="2739"/>
      <c r="O198" s="3072">
        <f>F96</f>
        <v>34244.639999999999</v>
      </c>
      <c r="P198" s="3073"/>
      <c r="R198" s="1">
        <f>I198/O199</f>
        <v>0.48542403630513542</v>
      </c>
    </row>
    <row r="199" spans="1:18" s="1" customFormat="1" ht="26" customHeight="1" x14ac:dyDescent="0.15">
      <c r="A199" s="1531">
        <v>3</v>
      </c>
      <c r="B199" s="1568" t="s">
        <v>5</v>
      </c>
      <c r="C199" s="1568" t="s">
        <v>115</v>
      </c>
      <c r="D199" s="3361" t="s">
        <v>171</v>
      </c>
      <c r="E199" s="2525"/>
      <c r="F199" s="254" t="s">
        <v>169</v>
      </c>
      <c r="G199" s="1114">
        <v>0.38300000000000001</v>
      </c>
      <c r="H199" s="1115">
        <f>I199/O200</f>
        <v>0.38334175599116949</v>
      </c>
      <c r="I199" s="257">
        <v>20754</v>
      </c>
      <c r="J199" s="1116"/>
      <c r="K199" s="1107">
        <v>0</v>
      </c>
      <c r="L199" s="2738" t="s">
        <v>170</v>
      </c>
      <c r="M199" s="3386"/>
      <c r="N199" s="2739"/>
      <c r="O199" s="3072">
        <f>F95</f>
        <v>272604.96000000002</v>
      </c>
      <c r="P199" s="3073"/>
    </row>
    <row r="200" spans="1:18" s="1" customFormat="1" ht="26" customHeight="1" x14ac:dyDescent="0.15">
      <c r="A200" s="1533">
        <v>4</v>
      </c>
      <c r="B200" s="1568" t="s">
        <v>5</v>
      </c>
      <c r="C200" s="1568" t="s">
        <v>115</v>
      </c>
      <c r="D200" s="2880" t="s">
        <v>166</v>
      </c>
      <c r="E200" s="2915"/>
      <c r="F200" s="51" t="s">
        <v>164</v>
      </c>
      <c r="G200" s="1072">
        <v>0.53800000000000003</v>
      </c>
      <c r="H200" s="1019">
        <f>I200/O198</f>
        <v>0.5382740189413584</v>
      </c>
      <c r="I200" s="260">
        <v>18433</v>
      </c>
      <c r="J200" s="64">
        <f>-(H200-G200)*N200</f>
        <v>0</v>
      </c>
      <c r="K200" s="261"/>
      <c r="L200" s="2738" t="s">
        <v>172</v>
      </c>
      <c r="M200" s="3386"/>
      <c r="N200" s="2739"/>
      <c r="O200" s="3072">
        <f>F97</f>
        <v>54139.68</v>
      </c>
      <c r="P200" s="3073"/>
    </row>
    <row r="201" spans="1:18" s="1" customFormat="1" ht="26" customHeight="1" x14ac:dyDescent="0.15">
      <c r="A201" s="1533">
        <v>5</v>
      </c>
      <c r="B201" s="1568" t="s">
        <v>5</v>
      </c>
      <c r="C201" s="1568" t="s">
        <v>115</v>
      </c>
      <c r="D201" s="2880" t="s">
        <v>175</v>
      </c>
      <c r="E201" s="2915"/>
      <c r="F201" s="51" t="s">
        <v>164</v>
      </c>
      <c r="G201" s="1072">
        <v>0.57199999999999995</v>
      </c>
      <c r="H201" s="1019">
        <f>I201/O199</f>
        <v>0.57079298923981425</v>
      </c>
      <c r="I201" s="260">
        <v>155601</v>
      </c>
      <c r="J201" s="531">
        <f>-(H201-G201)*O199</f>
        <v>329.03711999999251</v>
      </c>
      <c r="K201" s="56">
        <f>--(H201-G201)*N198</f>
        <v>0</v>
      </c>
      <c r="L201" s="2738" t="s">
        <v>174</v>
      </c>
      <c r="M201" s="3386"/>
      <c r="N201" s="2739"/>
      <c r="O201" s="3072">
        <f>O197+M11</f>
        <v>362678.4</v>
      </c>
      <c r="P201" s="3073"/>
    </row>
    <row r="202" spans="1:18" s="1" customFormat="1" ht="26" customHeight="1" x14ac:dyDescent="0.15">
      <c r="A202" s="1533">
        <v>6</v>
      </c>
      <c r="B202" s="1568" t="s">
        <v>5</v>
      </c>
      <c r="C202" s="1568" t="s">
        <v>115</v>
      </c>
      <c r="D202" s="2880" t="s">
        <v>173</v>
      </c>
      <c r="E202" s="2915"/>
      <c r="F202" s="51" t="s">
        <v>164</v>
      </c>
      <c r="G202" s="1072">
        <v>0.624</v>
      </c>
      <c r="H202" s="1019">
        <f>I202/O198</f>
        <v>0.64737138425166685</v>
      </c>
      <c r="I202" s="260">
        <v>22169</v>
      </c>
      <c r="J202" s="531"/>
      <c r="K202" s="260">
        <f>--(H202-G202)*O198</f>
        <v>800.3446400000006</v>
      </c>
      <c r="L202" s="2670"/>
      <c r="M202" s="2671"/>
      <c r="N202" s="2671"/>
      <c r="O202" s="2671"/>
      <c r="P202" s="2672"/>
    </row>
    <row r="203" spans="1:18" s="1" customFormat="1" ht="26" customHeight="1" x14ac:dyDescent="0.15">
      <c r="A203" s="1533">
        <v>7</v>
      </c>
      <c r="B203" s="1568" t="s">
        <v>5</v>
      </c>
      <c r="C203" s="1568" t="s">
        <v>115</v>
      </c>
      <c r="D203" s="2880" t="s">
        <v>130</v>
      </c>
      <c r="E203" s="2915"/>
      <c r="F203" s="51" t="s">
        <v>164</v>
      </c>
      <c r="G203" s="1072">
        <v>0.434</v>
      </c>
      <c r="H203" s="1019">
        <f>I203/O200</f>
        <v>0.46265511728181624</v>
      </c>
      <c r="I203" s="260">
        <v>25048</v>
      </c>
      <c r="J203" s="1121"/>
      <c r="K203" s="260">
        <f>--(H203-G203)*O200</f>
        <v>1551.3788800000013</v>
      </c>
      <c r="L203" s="2670"/>
      <c r="M203" s="2671"/>
      <c r="N203" s="2671"/>
      <c r="O203" s="2671"/>
      <c r="P203" s="2672"/>
    </row>
    <row r="204" spans="1:18" s="1" customFormat="1" ht="26" customHeight="1" x14ac:dyDescent="0.15">
      <c r="A204" s="1533">
        <v>8</v>
      </c>
      <c r="B204" s="1567" t="s">
        <v>5</v>
      </c>
      <c r="C204" s="1567" t="s">
        <v>115</v>
      </c>
      <c r="D204" s="2880" t="s">
        <v>176</v>
      </c>
      <c r="E204" s="2915"/>
      <c r="F204" s="51" t="s">
        <v>169</v>
      </c>
      <c r="G204" s="259">
        <v>0.69699999999999995</v>
      </c>
      <c r="H204" s="1019">
        <f>I204/O197</f>
        <v>0.69664118557758825</v>
      </c>
      <c r="I204" s="260">
        <v>251480</v>
      </c>
      <c r="J204" s="531"/>
      <c r="K204" s="1122">
        <v>0</v>
      </c>
      <c r="L204" s="2670"/>
      <c r="M204" s="2671"/>
      <c r="N204" s="2671"/>
      <c r="O204" s="2671"/>
      <c r="P204" s="2672"/>
    </row>
    <row r="205" spans="1:18" s="1" customFormat="1" ht="26" customHeight="1" x14ac:dyDescent="0.15">
      <c r="A205" s="1533">
        <v>9</v>
      </c>
      <c r="B205" s="1568" t="s">
        <v>5</v>
      </c>
      <c r="C205" s="1568" t="s">
        <v>115</v>
      </c>
      <c r="D205" s="2880" t="s">
        <v>177</v>
      </c>
      <c r="E205" s="2915"/>
      <c r="F205" s="51" t="s">
        <v>164</v>
      </c>
      <c r="G205" s="262">
        <v>3.7100000000000001E-2</v>
      </c>
      <c r="H205" s="1018">
        <f>I205/O201</f>
        <v>3.5375693727555869E-2</v>
      </c>
      <c r="I205" s="260">
        <v>12830</v>
      </c>
      <c r="J205" s="531">
        <f>-(H205-G205)*O197</f>
        <v>622.45607978909095</v>
      </c>
      <c r="K205" s="64">
        <v>0</v>
      </c>
      <c r="L205" s="2670"/>
      <c r="M205" s="2671"/>
      <c r="N205" s="2671"/>
      <c r="O205" s="2671"/>
      <c r="P205" s="2672"/>
    </row>
    <row r="206" spans="1:18" s="1" customFormat="1" ht="26" customHeight="1" x14ac:dyDescent="0.15">
      <c r="A206" s="1533">
        <v>10</v>
      </c>
      <c r="B206" s="1568" t="s">
        <v>5</v>
      </c>
      <c r="C206" s="1568" t="s">
        <v>115</v>
      </c>
      <c r="D206" s="2880" t="s">
        <v>178</v>
      </c>
      <c r="E206" s="2915"/>
      <c r="F206" s="51" t="s">
        <v>164</v>
      </c>
      <c r="G206" s="262">
        <v>8.2000000000000007E-3</v>
      </c>
      <c r="H206" s="1018">
        <f>I206/O201</f>
        <v>6.4795697786248089E-3</v>
      </c>
      <c r="I206" s="260">
        <v>2350</v>
      </c>
      <c r="J206" s="531">
        <f>-(H206-G206)*O197</f>
        <v>621.05686690447112</v>
      </c>
      <c r="K206" s="1023"/>
      <c r="L206" s="2670"/>
      <c r="M206" s="2671"/>
      <c r="N206" s="2671"/>
      <c r="O206" s="2671"/>
      <c r="P206" s="2672"/>
    </row>
    <row r="207" spans="1:18" s="1" customFormat="1" ht="26" customHeight="1" x14ac:dyDescent="0.15">
      <c r="A207" s="1533">
        <v>11</v>
      </c>
      <c r="B207" s="1568" t="s">
        <v>5</v>
      </c>
      <c r="C207" s="1568" t="s">
        <v>115</v>
      </c>
      <c r="D207" s="2880" t="s">
        <v>179</v>
      </c>
      <c r="E207" s="2915"/>
      <c r="F207" s="51" t="s">
        <v>164</v>
      </c>
      <c r="G207" s="262">
        <v>4.6100000000000002E-2</v>
      </c>
      <c r="H207" s="1018">
        <f>I207/O197</f>
        <v>3.6704691064510277E-2</v>
      </c>
      <c r="I207" s="260">
        <v>13250</v>
      </c>
      <c r="J207" s="531">
        <f>-(H207-G207)*O197</f>
        <v>3391.6058080000025</v>
      </c>
      <c r="K207" s="64">
        <f>--(H207-G207)*N204</f>
        <v>0</v>
      </c>
      <c r="L207" s="2670"/>
      <c r="M207" s="2671"/>
      <c r="N207" s="2671"/>
      <c r="O207" s="2671"/>
      <c r="P207" s="2672"/>
    </row>
    <row r="208" spans="1:18" s="1" customFormat="1" ht="26" customHeight="1" x14ac:dyDescent="0.15">
      <c r="A208" s="1728">
        <v>12</v>
      </c>
      <c r="B208" s="1568" t="s">
        <v>5</v>
      </c>
      <c r="C208" s="1568" t="s">
        <v>115</v>
      </c>
      <c r="D208" s="3402" t="s">
        <v>180</v>
      </c>
      <c r="E208" s="3403"/>
      <c r="F208" s="1040" t="s">
        <v>164</v>
      </c>
      <c r="G208" s="1044">
        <v>3.0000000000000001E-3</v>
      </c>
      <c r="H208" s="1117">
        <f>I208/O201</f>
        <v>0</v>
      </c>
      <c r="I208" s="1118">
        <v>0</v>
      </c>
      <c r="J208" s="1119"/>
      <c r="K208" s="1120">
        <f>--(H208-G208)*N205</f>
        <v>0</v>
      </c>
      <c r="L208" s="2670"/>
      <c r="M208" s="2671"/>
      <c r="N208" s="2671"/>
      <c r="O208" s="2671"/>
      <c r="P208" s="2672"/>
    </row>
    <row r="209" spans="1:16" s="1" customFormat="1" ht="26" customHeight="1" x14ac:dyDescent="0.15">
      <c r="A209" s="1533">
        <v>13</v>
      </c>
      <c r="B209" s="1568" t="s">
        <v>5</v>
      </c>
      <c r="C209" s="1568" t="s">
        <v>115</v>
      </c>
      <c r="D209" s="2880" t="s">
        <v>181</v>
      </c>
      <c r="E209" s="2915"/>
      <c r="F209" s="51" t="s">
        <v>164</v>
      </c>
      <c r="G209" s="258">
        <v>3.0899999999999999E-3</v>
      </c>
      <c r="H209" s="1019"/>
      <c r="I209" s="260">
        <f>AA209</f>
        <v>0</v>
      </c>
      <c r="J209" s="1020" t="s">
        <v>142</v>
      </c>
      <c r="K209" s="64">
        <f>--(H209-G209)*N206</f>
        <v>0</v>
      </c>
      <c r="L209" s="2670"/>
      <c r="M209" s="2671"/>
      <c r="N209" s="2671"/>
      <c r="O209" s="2671"/>
      <c r="P209" s="2672"/>
    </row>
    <row r="210" spans="1:16" s="1" customFormat="1" ht="26" customHeight="1" x14ac:dyDescent="0.15">
      <c r="A210" s="1533">
        <v>14</v>
      </c>
      <c r="B210" s="1568" t="s">
        <v>5</v>
      </c>
      <c r="C210" s="1568" t="s">
        <v>115</v>
      </c>
      <c r="D210" s="2880" t="s">
        <v>182</v>
      </c>
      <c r="E210" s="2915"/>
      <c r="F210" s="1021" t="s">
        <v>164</v>
      </c>
      <c r="G210" s="1022">
        <v>1.6259999999999999</v>
      </c>
      <c r="H210" s="1019">
        <f>I210/O197</f>
        <v>1.5716588592326064</v>
      </c>
      <c r="I210" s="260">
        <v>567352</v>
      </c>
      <c r="J210" s="531">
        <f>-(H210-G210)*O197</f>
        <v>19616.569280000025</v>
      </c>
      <c r="K210" s="64">
        <f>--(H210-G210)*N207</f>
        <v>0</v>
      </c>
      <c r="L210" s="2670"/>
      <c r="M210" s="2671"/>
      <c r="N210" s="2671"/>
      <c r="O210" s="2671"/>
      <c r="P210" s="2672"/>
    </row>
    <row r="211" spans="1:16" s="1" customFormat="1" ht="26" customHeight="1" x14ac:dyDescent="0.15">
      <c r="A211" s="1533">
        <v>15</v>
      </c>
      <c r="B211" s="1568" t="s">
        <v>5</v>
      </c>
      <c r="C211" s="1568" t="s">
        <v>115</v>
      </c>
      <c r="D211" s="2880" t="s">
        <v>183</v>
      </c>
      <c r="E211" s="2915"/>
      <c r="F211" s="51" t="s">
        <v>164</v>
      </c>
      <c r="G211" s="258">
        <v>6.4099999999999999E-3</v>
      </c>
      <c r="H211" s="933">
        <f>I211/O201</f>
        <v>6.3417065918455577E-3</v>
      </c>
      <c r="I211" s="260">
        <v>2300</v>
      </c>
      <c r="J211" s="531">
        <f>-(H211-G211)*O197</f>
        <v>24.653188238418217</v>
      </c>
      <c r="K211" s="1023"/>
      <c r="L211" s="2670"/>
      <c r="M211" s="2671"/>
      <c r="N211" s="2671"/>
      <c r="O211" s="2671"/>
      <c r="P211" s="2672"/>
    </row>
    <row r="212" spans="1:16" s="1" customFormat="1" ht="26" customHeight="1" x14ac:dyDescent="0.15">
      <c r="A212" s="1533">
        <v>16</v>
      </c>
      <c r="B212" s="1568" t="s">
        <v>5</v>
      </c>
      <c r="C212" s="1568" t="s">
        <v>115</v>
      </c>
      <c r="D212" s="2880" t="s">
        <v>184</v>
      </c>
      <c r="E212" s="2915"/>
      <c r="F212" s="51" t="s">
        <v>169</v>
      </c>
      <c r="G212" s="258">
        <v>4.7239999999999997E-2</v>
      </c>
      <c r="H212" s="933">
        <f>I212/O197</f>
        <v>4.2217320137595216E-2</v>
      </c>
      <c r="I212" s="260">
        <v>15240</v>
      </c>
      <c r="J212" s="531">
        <f>-(H212-G212)*O197</f>
        <v>1813.1335872000013</v>
      </c>
      <c r="K212" s="1023"/>
      <c r="L212" s="2670"/>
      <c r="M212" s="2671"/>
      <c r="N212" s="2671"/>
      <c r="O212" s="2671"/>
      <c r="P212" s="2672"/>
    </row>
    <row r="213" spans="1:16" s="1" customFormat="1" ht="31" customHeight="1" x14ac:dyDescent="0.15">
      <c r="A213" s="1533">
        <v>17</v>
      </c>
      <c r="B213" s="1568" t="s">
        <v>5</v>
      </c>
      <c r="C213" s="1568" t="s">
        <v>115</v>
      </c>
      <c r="D213" s="2880" t="s">
        <v>185</v>
      </c>
      <c r="E213" s="2915"/>
      <c r="F213" s="51" t="s">
        <v>169</v>
      </c>
      <c r="G213" s="258"/>
      <c r="H213" s="1024"/>
      <c r="I213" s="260">
        <v>4575</v>
      </c>
      <c r="J213" s="1025"/>
      <c r="K213" s="64"/>
      <c r="L213" s="2670" t="s">
        <v>710</v>
      </c>
      <c r="M213" s="2671"/>
      <c r="N213" s="2671"/>
      <c r="O213" s="2671"/>
      <c r="P213" s="2672"/>
    </row>
    <row r="214" spans="1:16" s="1" customFormat="1" ht="26" customHeight="1" x14ac:dyDescent="0.15">
      <c r="A214" s="1533">
        <v>18</v>
      </c>
      <c r="B214" s="1584" t="s">
        <v>5</v>
      </c>
      <c r="C214" s="1584" t="s">
        <v>115</v>
      </c>
      <c r="D214" s="2880" t="s">
        <v>188</v>
      </c>
      <c r="E214" s="2915"/>
      <c r="F214" s="51" t="s">
        <v>164</v>
      </c>
      <c r="G214" s="258">
        <v>5.1999999999999998E-3</v>
      </c>
      <c r="H214" s="933">
        <f>I214/O197</f>
        <v>2.9917785924280078E-3</v>
      </c>
      <c r="I214" s="1371">
        <v>1080</v>
      </c>
      <c r="J214" s="531">
        <f>-(H214-G214)*O197</f>
        <v>797.14425600000004</v>
      </c>
      <c r="K214" s="64">
        <f>--(H214-G214)*N212</f>
        <v>0</v>
      </c>
      <c r="L214" s="2670"/>
      <c r="M214" s="2671"/>
      <c r="N214" s="2671"/>
      <c r="O214" s="2671"/>
      <c r="P214" s="2672"/>
    </row>
    <row r="215" spans="1:16" s="1" customFormat="1" ht="17" customHeight="1" x14ac:dyDescent="0.15">
      <c r="A215" s="2"/>
      <c r="B215" s="4"/>
      <c r="C215" s="479"/>
      <c r="D215" s="68"/>
      <c r="E215" s="925"/>
      <c r="F215" s="926"/>
      <c r="G215" s="927"/>
      <c r="H215" s="928"/>
      <c r="I215" s="929"/>
      <c r="J215" s="2"/>
      <c r="K215" s="2"/>
      <c r="L215" s="2"/>
      <c r="M215" s="2"/>
      <c r="N215" s="2"/>
    </row>
    <row r="216" spans="1:16" s="1" customFormat="1" ht="26" customHeight="1" x14ac:dyDescent="0.2">
      <c r="A216" s="3061" t="s">
        <v>354</v>
      </c>
      <c r="B216" s="3061"/>
      <c r="C216" s="3061"/>
      <c r="D216" s="3061"/>
      <c r="E216" s="3061"/>
      <c r="F216" s="3061"/>
      <c r="G216" s="3061"/>
      <c r="H216" s="3061"/>
      <c r="I216" s="3061"/>
      <c r="J216" s="3061"/>
      <c r="K216" s="3061"/>
      <c r="L216" s="3061"/>
      <c r="M216" s="3061"/>
      <c r="N216" s="3061"/>
    </row>
    <row r="217" spans="1:16" s="1" customFormat="1" ht="30" customHeight="1" x14ac:dyDescent="0.2">
      <c r="A217" s="238" t="s">
        <v>39</v>
      </c>
      <c r="B217" s="1724" t="s">
        <v>34</v>
      </c>
      <c r="C217" s="241" t="s">
        <v>6</v>
      </c>
      <c r="D217" s="1712" t="s">
        <v>148</v>
      </c>
      <c r="E217" s="1689"/>
      <c r="F217" s="239" t="s">
        <v>17</v>
      </c>
      <c r="G217" s="240" t="s">
        <v>149</v>
      </c>
      <c r="H217" s="240" t="s">
        <v>150</v>
      </c>
      <c r="I217" s="241" t="s">
        <v>151</v>
      </c>
      <c r="J217" s="392" t="s">
        <v>1029</v>
      </c>
      <c r="K217" s="242" t="s">
        <v>1030</v>
      </c>
      <c r="L217" s="3051" t="s">
        <v>47</v>
      </c>
      <c r="M217" s="3052"/>
      <c r="N217" s="3052"/>
      <c r="O217" s="3052"/>
      <c r="P217" s="3053"/>
    </row>
    <row r="218" spans="1:16" s="1" customFormat="1" ht="32" customHeight="1" x14ac:dyDescent="0.15">
      <c r="A218" s="1536">
        <v>1</v>
      </c>
      <c r="B218" s="1593" t="s">
        <v>25</v>
      </c>
      <c r="C218" s="1593" t="s">
        <v>119</v>
      </c>
      <c r="D218" s="2880" t="s">
        <v>730</v>
      </c>
      <c r="E218" s="2915"/>
      <c r="F218" s="633" t="s">
        <v>49</v>
      </c>
      <c r="G218" s="1101">
        <v>21.26</v>
      </c>
      <c r="H218" s="261">
        <f>I218/$N$218</f>
        <v>20.19810415382252</v>
      </c>
      <c r="I218" s="269">
        <v>5061655</v>
      </c>
      <c r="J218" s="531">
        <f>-(H218-G218)*N218</f>
        <v>266111.63</v>
      </c>
      <c r="K218" s="445">
        <f>(H218-G218)*N218</f>
        <v>-266111.63</v>
      </c>
      <c r="L218" s="3018" t="s">
        <v>165</v>
      </c>
      <c r="M218" s="3020"/>
      <c r="N218" s="3372">
        <f>F188+F189</f>
        <v>250600.5</v>
      </c>
      <c r="O218" s="3373"/>
      <c r="P218" s="3374"/>
    </row>
    <row r="219" spans="1:16" s="1" customFormat="1" ht="32" customHeight="1" x14ac:dyDescent="0.15">
      <c r="A219" s="1536">
        <v>2</v>
      </c>
      <c r="B219" s="1568" t="s">
        <v>25</v>
      </c>
      <c r="C219" s="1568" t="s">
        <v>119</v>
      </c>
      <c r="D219" s="2880" t="s">
        <v>731</v>
      </c>
      <c r="E219" s="2915"/>
      <c r="F219" s="633" t="s">
        <v>49</v>
      </c>
      <c r="G219" s="1098">
        <v>0.28000000000000003</v>
      </c>
      <c r="H219" s="268">
        <f>I219/$N$219</f>
        <v>0.27851163041427457</v>
      </c>
      <c r="I219" s="269">
        <v>51665.3</v>
      </c>
      <c r="J219" s="531"/>
      <c r="K219" s="445"/>
      <c r="L219" s="2670" t="s">
        <v>734</v>
      </c>
      <c r="M219" s="2672"/>
      <c r="N219" s="3372">
        <f>F188</f>
        <v>185505</v>
      </c>
      <c r="O219" s="3373"/>
      <c r="P219" s="3374"/>
    </row>
    <row r="220" spans="1:16" s="1" customFormat="1" ht="32" customHeight="1" x14ac:dyDescent="0.15">
      <c r="A220" s="1536">
        <v>3</v>
      </c>
      <c r="B220" s="1568" t="s">
        <v>25</v>
      </c>
      <c r="C220" s="1568" t="s">
        <v>119</v>
      </c>
      <c r="D220" s="2880" t="s">
        <v>732</v>
      </c>
      <c r="E220" s="2915"/>
      <c r="F220" s="633" t="s">
        <v>49</v>
      </c>
      <c r="G220" s="1098">
        <v>0.39</v>
      </c>
      <c r="H220" s="268">
        <f>I220/$N$220</f>
        <v>0.3904878217388299</v>
      </c>
      <c r="I220" s="269">
        <v>25419</v>
      </c>
      <c r="J220" s="531"/>
      <c r="K220" s="445"/>
      <c r="L220" s="2670" t="s">
        <v>735</v>
      </c>
      <c r="M220" s="2672"/>
      <c r="N220" s="3372">
        <f>F189</f>
        <v>65095.5</v>
      </c>
      <c r="O220" s="3373"/>
      <c r="P220" s="3374"/>
    </row>
    <row r="221" spans="1:16" s="1" customFormat="1" ht="32" customHeight="1" x14ac:dyDescent="0.2">
      <c r="A221" s="1536">
        <v>4</v>
      </c>
      <c r="B221" s="1568" t="s">
        <v>25</v>
      </c>
      <c r="C221" s="1568" t="s">
        <v>119</v>
      </c>
      <c r="D221" s="3412" t="s">
        <v>733</v>
      </c>
      <c r="E221" s="3412"/>
      <c r="F221" s="633" t="s">
        <v>49</v>
      </c>
      <c r="G221" s="1098">
        <v>9.2999999999999999E-2</v>
      </c>
      <c r="H221" s="268">
        <f>I221/N219</f>
        <v>0.10154443276461551</v>
      </c>
      <c r="I221" s="269">
        <v>18837</v>
      </c>
      <c r="J221" s="531"/>
      <c r="K221" s="531">
        <f>(H221-G221)*N219</f>
        <v>1585.035000000001</v>
      </c>
      <c r="L221" s="2670" t="s">
        <v>362</v>
      </c>
      <c r="M221" s="2672"/>
      <c r="N221" s="3372">
        <f>N218+M17</f>
        <v>251809.5</v>
      </c>
      <c r="O221" s="3373"/>
      <c r="P221" s="3374"/>
    </row>
    <row r="222" spans="1:16" s="1" customFormat="1" ht="32" customHeight="1" x14ac:dyDescent="0.2">
      <c r="A222" s="1536">
        <v>5</v>
      </c>
      <c r="B222" s="1568" t="s">
        <v>25</v>
      </c>
      <c r="C222" s="1568" t="s">
        <v>119</v>
      </c>
      <c r="D222" s="3412" t="s">
        <v>204</v>
      </c>
      <c r="E222" s="3412"/>
      <c r="F222" s="633" t="s">
        <v>49</v>
      </c>
      <c r="G222" s="1098">
        <v>0.39</v>
      </c>
      <c r="H222" s="268">
        <f>I222/N220</f>
        <v>0.3904878217388299</v>
      </c>
      <c r="I222" s="269">
        <v>25419</v>
      </c>
      <c r="J222" s="531"/>
      <c r="K222" s="445"/>
      <c r="L222" s="2670"/>
      <c r="M222" s="2671"/>
      <c r="N222" s="2671"/>
      <c r="O222" s="2671"/>
      <c r="P222" s="2672"/>
    </row>
    <row r="223" spans="1:16" s="1" customFormat="1" ht="28" customHeight="1" x14ac:dyDescent="0.2">
      <c r="A223" s="1536">
        <v>6</v>
      </c>
      <c r="B223" s="1567" t="s">
        <v>25</v>
      </c>
      <c r="C223" s="1567" t="s">
        <v>119</v>
      </c>
      <c r="D223" s="3412" t="s">
        <v>196</v>
      </c>
      <c r="E223" s="3412"/>
      <c r="F223" s="633" t="s">
        <v>49</v>
      </c>
      <c r="G223" s="1099">
        <v>0.11700000000000001</v>
      </c>
      <c r="H223" s="270">
        <f>I223/$N$219</f>
        <v>0.12213040079782216</v>
      </c>
      <c r="I223" s="269">
        <v>22655.8</v>
      </c>
      <c r="J223" s="531"/>
      <c r="K223" s="531">
        <f>(H223-G223)*N219</f>
        <v>951.71499999999776</v>
      </c>
      <c r="L223" s="2670"/>
      <c r="M223" s="2671"/>
      <c r="N223" s="2671"/>
      <c r="O223" s="2671"/>
      <c r="P223" s="2672"/>
    </row>
    <row r="224" spans="1:16" s="1" customFormat="1" ht="28" customHeight="1" x14ac:dyDescent="0.2">
      <c r="A224" s="1536">
        <v>7</v>
      </c>
      <c r="B224" s="1568" t="s">
        <v>25</v>
      </c>
      <c r="C224" s="1568" t="s">
        <v>119</v>
      </c>
      <c r="D224" s="3412" t="s">
        <v>176</v>
      </c>
      <c r="E224" s="3412"/>
      <c r="F224" s="633" t="s">
        <v>195</v>
      </c>
      <c r="G224" s="1100">
        <v>0.66900000000000004</v>
      </c>
      <c r="H224" s="270">
        <f>I224/$N$218</f>
        <v>0.66899307862514246</v>
      </c>
      <c r="I224" s="269">
        <v>167650</v>
      </c>
      <c r="J224" s="1008"/>
      <c r="K224" s="445"/>
      <c r="L224" s="2670"/>
      <c r="M224" s="2671"/>
      <c r="N224" s="2671"/>
      <c r="O224" s="2671"/>
      <c r="P224" s="2672"/>
    </row>
    <row r="225" spans="1:16" s="1" customFormat="1" ht="28" customHeight="1" x14ac:dyDescent="0.2">
      <c r="A225" s="1536">
        <v>8</v>
      </c>
      <c r="B225" s="1568" t="s">
        <v>25</v>
      </c>
      <c r="C225" s="1568" t="s">
        <v>119</v>
      </c>
      <c r="D225" s="3420" t="s">
        <v>177</v>
      </c>
      <c r="E225" s="3421"/>
      <c r="F225" s="633" t="s">
        <v>49</v>
      </c>
      <c r="G225" s="1098">
        <v>0.02</v>
      </c>
      <c r="H225" s="268">
        <f>I225/$N$218</f>
        <v>1.999996009584977E-2</v>
      </c>
      <c r="I225" s="269">
        <v>5012</v>
      </c>
      <c r="J225" s="531"/>
      <c r="K225" s="445"/>
      <c r="L225" s="2670"/>
      <c r="M225" s="2671"/>
      <c r="N225" s="2671"/>
      <c r="O225" s="2671"/>
      <c r="P225" s="2672"/>
    </row>
    <row r="226" spans="1:16" s="1" customFormat="1" ht="28" customHeight="1" x14ac:dyDescent="0.2">
      <c r="A226" s="1536">
        <v>9</v>
      </c>
      <c r="B226" s="1568" t="s">
        <v>25</v>
      </c>
      <c r="C226" s="1568" t="s">
        <v>119</v>
      </c>
      <c r="D226" s="3420" t="s">
        <v>178</v>
      </c>
      <c r="E226" s="3421"/>
      <c r="F226" s="633" t="s">
        <v>49</v>
      </c>
      <c r="G226" s="1100">
        <v>1.9599999999999999E-2</v>
      </c>
      <c r="H226" s="270">
        <f>I226/$N$218</f>
        <v>1.0774120562409093E-2</v>
      </c>
      <c r="I226" s="269">
        <v>2700</v>
      </c>
      <c r="J226" s="531">
        <f>-(H226-G226)*N218</f>
        <v>2211.7698</v>
      </c>
      <c r="K226" s="445"/>
      <c r="L226" s="2670"/>
      <c r="M226" s="2671"/>
      <c r="N226" s="2671"/>
      <c r="O226" s="2671"/>
      <c r="P226" s="2672"/>
    </row>
    <row r="227" spans="1:16" s="1" customFormat="1" ht="28" customHeight="1" x14ac:dyDescent="0.2">
      <c r="A227" s="1536">
        <v>10</v>
      </c>
      <c r="B227" s="1568" t="s">
        <v>25</v>
      </c>
      <c r="C227" s="1568" t="s">
        <v>119</v>
      </c>
      <c r="D227" s="3420" t="s">
        <v>197</v>
      </c>
      <c r="E227" s="3421"/>
      <c r="F227" s="633" t="s">
        <v>49</v>
      </c>
      <c r="G227" s="1101">
        <v>1.82</v>
      </c>
      <c r="H227" s="261">
        <f>I227/$N$218</f>
        <v>1.8643139179690384</v>
      </c>
      <c r="I227" s="269">
        <v>467198</v>
      </c>
      <c r="J227" s="531"/>
      <c r="K227" s="445">
        <f>(H227-G227)*N218</f>
        <v>11105.090000000004</v>
      </c>
      <c r="L227" s="2670"/>
      <c r="M227" s="2671"/>
      <c r="N227" s="2671"/>
      <c r="O227" s="2671"/>
      <c r="P227" s="2672"/>
    </row>
    <row r="228" spans="1:16" s="1" customFormat="1" ht="28" customHeight="1" x14ac:dyDescent="0.2">
      <c r="A228" s="1536">
        <v>11</v>
      </c>
      <c r="B228" s="1568" t="s">
        <v>25</v>
      </c>
      <c r="C228" s="1568" t="s">
        <v>119</v>
      </c>
      <c r="D228" s="3420" t="s">
        <v>198</v>
      </c>
      <c r="E228" s="3421"/>
      <c r="F228" s="633" t="s">
        <v>49</v>
      </c>
      <c r="G228" s="1100">
        <v>7.6E-3</v>
      </c>
      <c r="H228" s="270">
        <f>I228/$N$218</f>
        <v>7.4221719429929311E-3</v>
      </c>
      <c r="I228" s="269">
        <v>1860</v>
      </c>
      <c r="J228" s="531">
        <f>-(H228-G228)*N218</f>
        <v>44.563799999999965</v>
      </c>
      <c r="K228" s="445"/>
      <c r="L228" s="2670"/>
      <c r="M228" s="2671"/>
      <c r="N228" s="2671"/>
      <c r="O228" s="2671"/>
      <c r="P228" s="2672"/>
    </row>
    <row r="229" spans="1:16" s="1" customFormat="1" ht="28" customHeight="1" x14ac:dyDescent="0.2">
      <c r="A229" s="1536">
        <v>12</v>
      </c>
      <c r="B229" s="1568" t="s">
        <v>25</v>
      </c>
      <c r="C229" s="1568" t="s">
        <v>119</v>
      </c>
      <c r="D229" s="3420" t="s">
        <v>185</v>
      </c>
      <c r="E229" s="3421"/>
      <c r="F229" s="633" t="s">
        <v>195</v>
      </c>
      <c r="G229" s="1100"/>
      <c r="H229" s="270"/>
      <c r="I229" s="269">
        <v>2760</v>
      </c>
      <c r="J229" s="531">
        <f>-(H229-G229)*N218</f>
        <v>0</v>
      </c>
      <c r="K229" s="445"/>
      <c r="L229" s="2670" t="s">
        <v>736</v>
      </c>
      <c r="M229" s="2671"/>
      <c r="N229" s="2671"/>
      <c r="O229" s="2671"/>
      <c r="P229" s="2672"/>
    </row>
    <row r="230" spans="1:16" s="1" customFormat="1" ht="28" customHeight="1" x14ac:dyDescent="0.2">
      <c r="A230" s="1536">
        <v>13</v>
      </c>
      <c r="B230" s="1584" t="s">
        <v>25</v>
      </c>
      <c r="C230" s="1584" t="s">
        <v>119</v>
      </c>
      <c r="D230" s="3420" t="s">
        <v>179</v>
      </c>
      <c r="E230" s="3421"/>
      <c r="F230" s="633" t="s">
        <v>49</v>
      </c>
      <c r="G230" s="1103">
        <v>2.7E-2</v>
      </c>
      <c r="H230" s="268">
        <f>I230/$N$218</f>
        <v>7.353536804595362E-2</v>
      </c>
      <c r="I230" s="269">
        <v>18428</v>
      </c>
      <c r="J230" s="531"/>
      <c r="K230" s="445">
        <f>(H230-G230)*N218</f>
        <v>11661.7865</v>
      </c>
      <c r="L230" s="2670" t="s">
        <v>653</v>
      </c>
      <c r="M230" s="2671"/>
      <c r="N230" s="2671"/>
      <c r="O230" s="2671"/>
      <c r="P230" s="2672"/>
    </row>
    <row r="231" spans="1:16" s="1" customFormat="1" ht="26" customHeight="1" x14ac:dyDescent="0.2">
      <c r="A231" s="3061" t="s">
        <v>737</v>
      </c>
      <c r="B231" s="3061"/>
      <c r="C231" s="3061"/>
      <c r="D231" s="3061"/>
      <c r="E231" s="3061"/>
      <c r="F231" s="3061"/>
      <c r="G231" s="3061"/>
      <c r="H231" s="3061"/>
      <c r="I231" s="3061"/>
      <c r="J231" s="3061"/>
      <c r="K231" s="3061"/>
      <c r="L231" s="3061"/>
      <c r="M231" s="3061"/>
      <c r="N231" s="3061"/>
    </row>
    <row r="232" spans="1:16" s="1" customFormat="1" ht="31" customHeight="1" x14ac:dyDescent="0.2">
      <c r="A232" s="238" t="s">
        <v>39</v>
      </c>
      <c r="B232" s="1724" t="s">
        <v>34</v>
      </c>
      <c r="C232" s="241" t="s">
        <v>6</v>
      </c>
      <c r="D232" s="1712" t="s">
        <v>148</v>
      </c>
      <c r="E232" s="1689"/>
      <c r="F232" s="239" t="s">
        <v>17</v>
      </c>
      <c r="G232" s="240" t="s">
        <v>149</v>
      </c>
      <c r="H232" s="240" t="s">
        <v>150</v>
      </c>
      <c r="I232" s="241" t="s">
        <v>151</v>
      </c>
      <c r="J232" s="392" t="s">
        <v>1029</v>
      </c>
      <c r="K232" s="242" t="s">
        <v>1030</v>
      </c>
      <c r="L232" s="3051" t="s">
        <v>47</v>
      </c>
      <c r="M232" s="3052"/>
      <c r="N232" s="3052"/>
      <c r="O232" s="3052"/>
      <c r="P232" s="3053"/>
    </row>
    <row r="233" spans="1:16" s="1" customFormat="1" ht="28" customHeight="1" x14ac:dyDescent="0.2">
      <c r="A233" s="1536">
        <v>1</v>
      </c>
      <c r="B233" s="1632" t="s">
        <v>25</v>
      </c>
      <c r="C233" s="1632" t="s">
        <v>122</v>
      </c>
      <c r="D233" s="3412" t="s">
        <v>730</v>
      </c>
      <c r="E233" s="3412"/>
      <c r="F233" s="223" t="s">
        <v>49</v>
      </c>
      <c r="G233" s="1102">
        <v>21.65</v>
      </c>
      <c r="H233" s="261">
        <f>I233/$N$233</f>
        <v>21.218430151253873</v>
      </c>
      <c r="I233" s="269">
        <v>2473199</v>
      </c>
      <c r="J233" s="531">
        <f>-(H233-G233)*N233</f>
        <v>50303.349999999642</v>
      </c>
      <c r="K233" s="445"/>
      <c r="L233" s="3393" t="s">
        <v>165</v>
      </c>
      <c r="M233" s="3394"/>
      <c r="N233" s="3372">
        <f>F190+F191</f>
        <v>116559</v>
      </c>
      <c r="O233" s="3373"/>
      <c r="P233" s="3374"/>
    </row>
    <row r="234" spans="1:16" s="1" customFormat="1" ht="28" customHeight="1" x14ac:dyDescent="0.2">
      <c r="A234" s="1536">
        <v>2</v>
      </c>
      <c r="B234" s="1633" t="s">
        <v>25</v>
      </c>
      <c r="C234" s="1633" t="s">
        <v>122</v>
      </c>
      <c r="D234" s="3412" t="s">
        <v>738</v>
      </c>
      <c r="E234" s="3412"/>
      <c r="F234" s="223" t="s">
        <v>49</v>
      </c>
      <c r="G234" s="1096">
        <v>0.436</v>
      </c>
      <c r="H234" s="268">
        <f>I234/$N$235</f>
        <v>0.43568294136923219</v>
      </c>
      <c r="I234" s="269">
        <v>43236.6</v>
      </c>
      <c r="J234" s="70"/>
      <c r="K234" s="531"/>
      <c r="L234" s="2738" t="s">
        <v>741</v>
      </c>
      <c r="M234" s="2739"/>
      <c r="N234" s="3372">
        <f>F191</f>
        <v>17320.32</v>
      </c>
      <c r="O234" s="3373"/>
      <c r="P234" s="3374"/>
    </row>
    <row r="235" spans="1:16" s="1" customFormat="1" ht="28" customHeight="1" x14ac:dyDescent="0.2">
      <c r="A235" s="1536">
        <v>3</v>
      </c>
      <c r="B235" s="1633" t="s">
        <v>25</v>
      </c>
      <c r="C235" s="1633" t="s">
        <v>122</v>
      </c>
      <c r="D235" s="3412" t="s">
        <v>739</v>
      </c>
      <c r="E235" s="3412"/>
      <c r="F235" s="223" t="s">
        <v>49</v>
      </c>
      <c r="G235" s="1096">
        <v>0.31900000000000001</v>
      </c>
      <c r="H235" s="268">
        <f>I235/$N$234</f>
        <v>0.3150923308576285</v>
      </c>
      <c r="I235" s="269">
        <v>5457.5</v>
      </c>
      <c r="J235" s="531">
        <f>-(H235-G235)*N234</f>
        <v>67.682080000000042</v>
      </c>
      <c r="K235" s="445"/>
      <c r="L235" s="2738" t="s">
        <v>735</v>
      </c>
      <c r="M235" s="2739"/>
      <c r="N235" s="3372">
        <f>F190</f>
        <v>99238.680000000008</v>
      </c>
      <c r="O235" s="3373"/>
      <c r="P235" s="3374"/>
    </row>
    <row r="236" spans="1:16" s="1" customFormat="1" ht="28" customHeight="1" x14ac:dyDescent="0.2">
      <c r="A236" s="1536">
        <v>4</v>
      </c>
      <c r="B236" s="1633" t="s">
        <v>25</v>
      </c>
      <c r="C236" s="1633" t="s">
        <v>122</v>
      </c>
      <c r="D236" s="3412" t="s">
        <v>204</v>
      </c>
      <c r="E236" s="3412"/>
      <c r="F236" s="223" t="s">
        <v>49</v>
      </c>
      <c r="G236" s="1096">
        <v>0.38900000000000001</v>
      </c>
      <c r="H236" s="268">
        <f>I236/$N$235</f>
        <v>0.42139617334692481</v>
      </c>
      <c r="I236" s="269">
        <v>41818.800000000003</v>
      </c>
      <c r="J236" s="531"/>
      <c r="K236" s="445">
        <f>(H236-G236)*N235</f>
        <v>3214.9534799999988</v>
      </c>
      <c r="L236" s="2738" t="s">
        <v>362</v>
      </c>
      <c r="M236" s="2739"/>
      <c r="N236" s="3372">
        <f>N233+M23</f>
        <v>117271.8</v>
      </c>
      <c r="O236" s="3373"/>
      <c r="P236" s="3374"/>
    </row>
    <row r="237" spans="1:16" s="1" customFormat="1" ht="28" customHeight="1" x14ac:dyDescent="0.15">
      <c r="A237" s="1727">
        <v>5</v>
      </c>
      <c r="B237" s="1633" t="s">
        <v>25</v>
      </c>
      <c r="C237" s="1633" t="s">
        <v>122</v>
      </c>
      <c r="D237" s="3412" t="s">
        <v>740</v>
      </c>
      <c r="E237" s="3412"/>
      <c r="F237" s="223" t="s">
        <v>49</v>
      </c>
      <c r="G237" s="1096">
        <v>0.31900000000000001</v>
      </c>
      <c r="H237" s="1104">
        <f>I237/$N$234</f>
        <v>0.40151105753242439</v>
      </c>
      <c r="I237" s="1041">
        <v>6954.3</v>
      </c>
      <c r="J237" s="531"/>
      <c r="K237" s="1042">
        <f>(H237-G237)*N234</f>
        <v>1429.1179200000006</v>
      </c>
      <c r="L237" s="3395"/>
      <c r="M237" s="3396"/>
      <c r="N237" s="3396"/>
      <c r="O237" s="3396"/>
      <c r="P237" s="3397"/>
    </row>
    <row r="238" spans="1:16" s="1" customFormat="1" ht="28" customHeight="1" x14ac:dyDescent="0.15">
      <c r="A238" s="1705">
        <v>6</v>
      </c>
      <c r="B238" s="1567" t="s">
        <v>25</v>
      </c>
      <c r="C238" s="1567" t="s">
        <v>122</v>
      </c>
      <c r="D238" s="3413" t="s">
        <v>176</v>
      </c>
      <c r="E238" s="3413"/>
      <c r="F238" s="1108" t="s">
        <v>195</v>
      </c>
      <c r="G238" s="1123">
        <v>0.55700000000000005</v>
      </c>
      <c r="H238" s="287">
        <f>I238/$N$233</f>
        <v>0.56424643313686629</v>
      </c>
      <c r="I238" s="1038">
        <v>65768</v>
      </c>
      <c r="J238" s="1124">
        <f t="shared" ref="J238:J243" si="21">-(H238-G238)*N237</f>
        <v>0</v>
      </c>
      <c r="K238" s="1039">
        <f>(H238-G238)*N233</f>
        <v>844.63699999999176</v>
      </c>
      <c r="L238" s="3395"/>
      <c r="M238" s="3396"/>
      <c r="N238" s="3396"/>
      <c r="O238" s="3396"/>
      <c r="P238" s="3397"/>
    </row>
    <row r="239" spans="1:16" s="1" customFormat="1" ht="28" customHeight="1" x14ac:dyDescent="0.15">
      <c r="A239" s="1536">
        <v>7</v>
      </c>
      <c r="B239" s="1633" t="s">
        <v>25</v>
      </c>
      <c r="C239" s="1633" t="s">
        <v>122</v>
      </c>
      <c r="D239" s="3412" t="s">
        <v>177</v>
      </c>
      <c r="E239" s="3412"/>
      <c r="F239" s="223" t="s">
        <v>49</v>
      </c>
      <c r="G239" s="1096">
        <v>2.1999999999999999E-2</v>
      </c>
      <c r="H239" s="268">
        <f>I239/$N$233</f>
        <v>2.2091816161772151E-2</v>
      </c>
      <c r="I239" s="269">
        <v>2575</v>
      </c>
      <c r="J239" s="531">
        <f t="shared" si="21"/>
        <v>0</v>
      </c>
      <c r="K239" s="445"/>
      <c r="L239" s="3395"/>
      <c r="M239" s="3396"/>
      <c r="N239" s="3396"/>
      <c r="O239" s="3396"/>
      <c r="P239" s="3397"/>
    </row>
    <row r="240" spans="1:16" s="1" customFormat="1" ht="28" customHeight="1" x14ac:dyDescent="0.15">
      <c r="A240" s="1536">
        <v>8</v>
      </c>
      <c r="B240" s="1633" t="s">
        <v>25</v>
      </c>
      <c r="C240" s="1633" t="s">
        <v>122</v>
      </c>
      <c r="D240" s="3412" t="s">
        <v>178</v>
      </c>
      <c r="E240" s="3412"/>
      <c r="F240" s="223" t="s">
        <v>49</v>
      </c>
      <c r="G240" s="1097">
        <v>1.09E-2</v>
      </c>
      <c r="H240" s="270">
        <f>I240/$N$236</f>
        <v>1.0914814985358798E-2</v>
      </c>
      <c r="I240" s="269">
        <v>1280</v>
      </c>
      <c r="J240" s="531">
        <f t="shared" si="21"/>
        <v>0</v>
      </c>
      <c r="K240" s="445"/>
      <c r="L240" s="3395"/>
      <c r="M240" s="3396"/>
      <c r="N240" s="3396"/>
      <c r="O240" s="3396"/>
      <c r="P240" s="3397"/>
    </row>
    <row r="241" spans="1:16" s="1" customFormat="1" ht="28" customHeight="1" x14ac:dyDescent="0.15">
      <c r="A241" s="1536">
        <v>9</v>
      </c>
      <c r="B241" s="1633" t="s">
        <v>25</v>
      </c>
      <c r="C241" s="1633" t="s">
        <v>122</v>
      </c>
      <c r="D241" s="3412" t="s">
        <v>197</v>
      </c>
      <c r="E241" s="3412"/>
      <c r="F241" s="223" t="s">
        <v>49</v>
      </c>
      <c r="G241" s="1102">
        <v>1.84</v>
      </c>
      <c r="H241" s="261">
        <f>I241/$N$233</f>
        <v>1.9136651824397943</v>
      </c>
      <c r="I241" s="269">
        <v>223054.9</v>
      </c>
      <c r="J241" s="531">
        <f>-(H241-G241)*N244</f>
        <v>0</v>
      </c>
      <c r="K241" s="445">
        <f>(H241-G241)*N233</f>
        <v>8586.3399999999783</v>
      </c>
      <c r="L241" s="3395"/>
      <c r="M241" s="3396"/>
      <c r="N241" s="3396"/>
      <c r="O241" s="3396"/>
      <c r="P241" s="3397"/>
    </row>
    <row r="242" spans="1:16" s="1" customFormat="1" ht="28" customHeight="1" x14ac:dyDescent="0.15">
      <c r="A242" s="1536">
        <v>10</v>
      </c>
      <c r="B242" s="1633" t="s">
        <v>25</v>
      </c>
      <c r="C242" s="1633" t="s">
        <v>122</v>
      </c>
      <c r="D242" s="3412" t="s">
        <v>198</v>
      </c>
      <c r="E242" s="3412"/>
      <c r="F242" s="223" t="s">
        <v>49</v>
      </c>
      <c r="G242" s="1097">
        <v>5.3E-3</v>
      </c>
      <c r="H242" s="270">
        <f>I242/$N$233</f>
        <v>5.1476076493449669E-3</v>
      </c>
      <c r="I242" s="269">
        <v>600</v>
      </c>
      <c r="J242" s="531">
        <f>-(H242-G242)*N233</f>
        <v>17.762700000000006</v>
      </c>
      <c r="K242" s="445"/>
      <c r="L242" s="3395"/>
      <c r="M242" s="3396"/>
      <c r="N242" s="3396"/>
      <c r="O242" s="3396"/>
      <c r="P242" s="3397"/>
    </row>
    <row r="243" spans="1:16" s="1" customFormat="1" ht="28" customHeight="1" x14ac:dyDescent="0.15">
      <c r="A243" s="1536">
        <v>11</v>
      </c>
      <c r="B243" s="1633" t="s">
        <v>25</v>
      </c>
      <c r="C243" s="1633" t="s">
        <v>122</v>
      </c>
      <c r="D243" s="3412" t="s">
        <v>185</v>
      </c>
      <c r="E243" s="3412"/>
      <c r="F243" s="223" t="s">
        <v>195</v>
      </c>
      <c r="G243" s="1097"/>
      <c r="H243" s="270"/>
      <c r="I243" s="269">
        <v>1880</v>
      </c>
      <c r="J243" s="531">
        <f t="shared" si="21"/>
        <v>0</v>
      </c>
      <c r="K243" s="445"/>
      <c r="L243" s="3395" t="s">
        <v>742</v>
      </c>
      <c r="M243" s="3396"/>
      <c r="N243" s="3396"/>
      <c r="O243" s="3396"/>
      <c r="P243" s="3397"/>
    </row>
    <row r="244" spans="1:16" s="1" customFormat="1" ht="28" customHeight="1" x14ac:dyDescent="0.15">
      <c r="A244" s="1536">
        <v>12</v>
      </c>
      <c r="B244" s="1634" t="s">
        <v>25</v>
      </c>
      <c r="C244" s="1634" t="s">
        <v>122</v>
      </c>
      <c r="D244" s="3412" t="s">
        <v>179</v>
      </c>
      <c r="E244" s="3412"/>
      <c r="F244" s="223" t="s">
        <v>49</v>
      </c>
      <c r="G244" s="1096">
        <v>2.7E-2</v>
      </c>
      <c r="H244" s="270">
        <f>I244/$N$233</f>
        <v>7.3542154616975094E-2</v>
      </c>
      <c r="I244" s="269">
        <v>8572</v>
      </c>
      <c r="J244" s="531" t="e">
        <f>-(H244-G244)*#REF!</f>
        <v>#REF!</v>
      </c>
      <c r="K244" s="445">
        <f>(H244-G244)*N233</f>
        <v>5424.9070000000002</v>
      </c>
      <c r="L244" s="3395" t="s">
        <v>653</v>
      </c>
      <c r="M244" s="3396"/>
      <c r="N244" s="3396"/>
      <c r="O244" s="3396"/>
      <c r="P244" s="3397"/>
    </row>
    <row r="245" spans="1:16" s="1" customFormat="1" ht="26" customHeight="1" x14ac:dyDescent="0.2">
      <c r="A245" s="3061" t="s">
        <v>743</v>
      </c>
      <c r="B245" s="3061"/>
      <c r="C245" s="3061"/>
      <c r="D245" s="3061"/>
      <c r="E245" s="3061"/>
      <c r="F245" s="3061"/>
      <c r="G245" s="3061"/>
      <c r="H245" s="3061"/>
      <c r="I245" s="3061"/>
      <c r="J245" s="3061"/>
      <c r="K245" s="3061"/>
      <c r="L245" s="3061"/>
      <c r="M245" s="3061"/>
      <c r="N245" s="3061"/>
    </row>
    <row r="246" spans="1:16" s="1" customFormat="1" ht="37" customHeight="1" x14ac:dyDescent="0.2">
      <c r="A246" s="238" t="s">
        <v>39</v>
      </c>
      <c r="B246" s="1724" t="s">
        <v>34</v>
      </c>
      <c r="C246" s="241" t="s">
        <v>6</v>
      </c>
      <c r="D246" s="1712" t="s">
        <v>148</v>
      </c>
      <c r="E246" s="1689"/>
      <c r="F246" s="239" t="s">
        <v>17</v>
      </c>
      <c r="G246" s="240" t="s">
        <v>149</v>
      </c>
      <c r="H246" s="240" t="s">
        <v>150</v>
      </c>
      <c r="I246" s="241" t="s">
        <v>151</v>
      </c>
      <c r="J246" s="392" t="s">
        <v>1029</v>
      </c>
      <c r="K246" s="242" t="s">
        <v>1030</v>
      </c>
      <c r="L246" s="3051" t="s">
        <v>47</v>
      </c>
      <c r="M246" s="3052"/>
      <c r="N246" s="3052"/>
      <c r="O246" s="3052"/>
      <c r="P246" s="3053"/>
    </row>
    <row r="247" spans="1:16" s="1" customFormat="1" ht="26" customHeight="1" x14ac:dyDescent="0.2">
      <c r="A247" s="1536">
        <v>1</v>
      </c>
      <c r="B247" s="1593" t="s">
        <v>25</v>
      </c>
      <c r="C247" s="1593" t="s">
        <v>116</v>
      </c>
      <c r="D247" s="3412" t="s">
        <v>163</v>
      </c>
      <c r="E247" s="3412"/>
      <c r="F247" s="223" t="s">
        <v>49</v>
      </c>
      <c r="G247" s="1102">
        <v>21.12</v>
      </c>
      <c r="H247" s="261">
        <f>I247/N247</f>
        <v>23.033276984723265</v>
      </c>
      <c r="I247" s="269">
        <v>441465</v>
      </c>
      <c r="J247" s="531"/>
      <c r="K247" s="445">
        <f>(H247-G247)*$N$247</f>
        <v>36670.631999999976</v>
      </c>
      <c r="L247" s="3393" t="s">
        <v>165</v>
      </c>
      <c r="M247" s="3394"/>
      <c r="N247" s="3372">
        <f>F192</f>
        <v>19166.400000000001</v>
      </c>
      <c r="O247" s="3373"/>
      <c r="P247" s="3374"/>
    </row>
    <row r="248" spans="1:16" s="1" customFormat="1" ht="26" customHeight="1" x14ac:dyDescent="0.2">
      <c r="A248" s="1536">
        <v>2</v>
      </c>
      <c r="B248" s="1568" t="s">
        <v>25</v>
      </c>
      <c r="C248" s="1568" t="s">
        <v>116</v>
      </c>
      <c r="D248" s="3412" t="s">
        <v>166</v>
      </c>
      <c r="E248" s="3412"/>
      <c r="F248" s="223" t="s">
        <v>49</v>
      </c>
      <c r="G248" s="1096">
        <v>0.50900000000000001</v>
      </c>
      <c r="H248" s="268">
        <f t="shared" ref="H248:H255" si="22">I248/$N$247</f>
        <v>0.53586484681526003</v>
      </c>
      <c r="I248" s="269">
        <v>10270.6</v>
      </c>
      <c r="J248" s="531"/>
      <c r="K248" s="445">
        <f>(H248-G248)*$N$247</f>
        <v>514.90239999999972</v>
      </c>
      <c r="L248" s="3068" t="s">
        <v>362</v>
      </c>
      <c r="M248" s="3430"/>
      <c r="N248" s="3372">
        <f>N247+M29</f>
        <v>19406.400000000001</v>
      </c>
      <c r="O248" s="3373"/>
      <c r="P248" s="3374"/>
    </row>
    <row r="249" spans="1:16" s="1" customFormat="1" ht="26" customHeight="1" x14ac:dyDescent="0.2">
      <c r="A249" s="1536">
        <v>3</v>
      </c>
      <c r="B249" s="1568" t="s">
        <v>25</v>
      </c>
      <c r="C249" s="1568" t="s">
        <v>116</v>
      </c>
      <c r="D249" s="3412" t="s">
        <v>744</v>
      </c>
      <c r="E249" s="3412"/>
      <c r="F249" s="223" t="s">
        <v>49</v>
      </c>
      <c r="G249" s="1096">
        <v>0.59299999999999997</v>
      </c>
      <c r="H249" s="268">
        <f t="shared" si="22"/>
        <v>0.6747902579514149</v>
      </c>
      <c r="I249" s="269">
        <v>12933.3</v>
      </c>
      <c r="J249" s="531"/>
      <c r="K249" s="445">
        <f>(H249-G249)*$N$247</f>
        <v>1567.6247999999991</v>
      </c>
      <c r="L249" s="3178"/>
      <c r="M249" s="3179"/>
      <c r="N249" s="3179"/>
      <c r="O249" s="3179"/>
      <c r="P249" s="3180"/>
    </row>
    <row r="250" spans="1:16" s="1" customFormat="1" ht="26" customHeight="1" x14ac:dyDescent="0.2">
      <c r="A250" s="1536">
        <v>4</v>
      </c>
      <c r="B250" s="1568" t="s">
        <v>25</v>
      </c>
      <c r="C250" s="1568" t="s">
        <v>116</v>
      </c>
      <c r="D250" s="3412" t="s">
        <v>176</v>
      </c>
      <c r="E250" s="3412"/>
      <c r="F250" s="223" t="s">
        <v>195</v>
      </c>
      <c r="G250" s="1096">
        <v>0.78400000000000003</v>
      </c>
      <c r="H250" s="268">
        <f t="shared" si="22"/>
        <v>0.64174805910343091</v>
      </c>
      <c r="I250" s="269">
        <v>12300</v>
      </c>
      <c r="J250" s="531">
        <f>-(H250-G250)*$N$247</f>
        <v>2726.4576000000025</v>
      </c>
      <c r="K250" s="445"/>
      <c r="L250" s="3178"/>
      <c r="M250" s="3179"/>
      <c r="N250" s="3179"/>
      <c r="O250" s="3179"/>
      <c r="P250" s="3180"/>
    </row>
    <row r="251" spans="1:16" s="1" customFormat="1" ht="26" customHeight="1" x14ac:dyDescent="0.2">
      <c r="A251" s="1727">
        <v>5</v>
      </c>
      <c r="B251" s="1567" t="s">
        <v>25</v>
      </c>
      <c r="C251" s="1567" t="s">
        <v>116</v>
      </c>
      <c r="D251" s="3412" t="s">
        <v>177</v>
      </c>
      <c r="E251" s="3412"/>
      <c r="F251" s="223" t="s">
        <v>49</v>
      </c>
      <c r="G251" s="1096">
        <v>2.8000000000000001E-2</v>
      </c>
      <c r="H251" s="268">
        <f t="shared" si="22"/>
        <v>2.4782953501961764E-2</v>
      </c>
      <c r="I251" s="1041">
        <v>475</v>
      </c>
      <c r="J251" s="531">
        <f>-(H251-G251)*$N$247</f>
        <v>61.65920000000007</v>
      </c>
      <c r="K251" s="445"/>
      <c r="L251" s="3178"/>
      <c r="M251" s="3179"/>
      <c r="N251" s="3179"/>
      <c r="O251" s="3179"/>
      <c r="P251" s="3180"/>
    </row>
    <row r="252" spans="1:16" s="1" customFormat="1" ht="26" customHeight="1" x14ac:dyDescent="0.2">
      <c r="A252" s="1536">
        <v>6</v>
      </c>
      <c r="B252" s="1568" t="s">
        <v>25</v>
      </c>
      <c r="C252" s="1568" t="s">
        <v>116</v>
      </c>
      <c r="D252" s="3412" t="s">
        <v>178</v>
      </c>
      <c r="E252" s="3412"/>
      <c r="F252" s="223" t="s">
        <v>49</v>
      </c>
      <c r="G252" s="1097">
        <v>1.2999999999999999E-2</v>
      </c>
      <c r="H252" s="268">
        <f t="shared" si="22"/>
        <v>8.3479422322397523E-3</v>
      </c>
      <c r="I252" s="269">
        <v>160</v>
      </c>
      <c r="J252" s="531">
        <f>-(H252-G252)*$N$247</f>
        <v>89.163200000000003</v>
      </c>
      <c r="K252" s="445"/>
      <c r="L252" s="3178"/>
      <c r="M252" s="3179"/>
      <c r="N252" s="3179"/>
      <c r="O252" s="3179"/>
      <c r="P252" s="3180"/>
    </row>
    <row r="253" spans="1:16" s="1" customFormat="1" ht="26" customHeight="1" x14ac:dyDescent="0.2">
      <c r="A253" s="1693">
        <v>7</v>
      </c>
      <c r="B253" s="1568" t="s">
        <v>25</v>
      </c>
      <c r="C253" s="1568" t="s">
        <v>116</v>
      </c>
      <c r="D253" s="3412" t="s">
        <v>197</v>
      </c>
      <c r="E253" s="3412"/>
      <c r="F253" s="223" t="s">
        <v>49</v>
      </c>
      <c r="G253" s="1102">
        <v>1.8</v>
      </c>
      <c r="H253" s="261">
        <f t="shared" si="22"/>
        <v>2.1062379998330409</v>
      </c>
      <c r="I253" s="269">
        <v>40369</v>
      </c>
      <c r="J253" s="531"/>
      <c r="K253" s="445">
        <f>(H253-G253)*$N$247</f>
        <v>5869.4799999999959</v>
      </c>
      <c r="L253" s="3178"/>
      <c r="M253" s="3179"/>
      <c r="N253" s="3179"/>
      <c r="O253" s="3179"/>
      <c r="P253" s="3180"/>
    </row>
    <row r="254" spans="1:16" s="1" customFormat="1" ht="26" customHeight="1" x14ac:dyDescent="0.2">
      <c r="A254" s="1536">
        <v>8</v>
      </c>
      <c r="B254" s="1568" t="s">
        <v>25</v>
      </c>
      <c r="C254" s="1568" t="s">
        <v>116</v>
      </c>
      <c r="D254" s="3412" t="s">
        <v>198</v>
      </c>
      <c r="E254" s="3412"/>
      <c r="F254" s="223" t="s">
        <v>49</v>
      </c>
      <c r="G254" s="1097">
        <v>1.0200000000000001E-2</v>
      </c>
      <c r="H254" s="270">
        <f t="shared" si="22"/>
        <v>9.3914350112697213E-3</v>
      </c>
      <c r="I254" s="269">
        <v>180</v>
      </c>
      <c r="J254" s="531">
        <f>-(H254-G254)*$N$247</f>
        <v>15.497280000000028</v>
      </c>
      <c r="K254" s="445"/>
      <c r="L254" s="3178"/>
      <c r="M254" s="3179"/>
      <c r="N254" s="3179"/>
      <c r="O254" s="3179"/>
      <c r="P254" s="3180"/>
    </row>
    <row r="255" spans="1:16" s="1" customFormat="1" ht="26" customHeight="1" x14ac:dyDescent="0.2">
      <c r="A255" s="1536">
        <v>9</v>
      </c>
      <c r="B255" s="1568" t="s">
        <v>25</v>
      </c>
      <c r="C255" s="1568" t="s">
        <v>116</v>
      </c>
      <c r="D255" s="3412" t="s">
        <v>199</v>
      </c>
      <c r="E255" s="3412"/>
      <c r="F255" s="223" t="s">
        <v>195</v>
      </c>
      <c r="G255" s="1096">
        <v>6.5000000000000002E-2</v>
      </c>
      <c r="H255" s="268">
        <f t="shared" si="22"/>
        <v>6.2609566741798142E-2</v>
      </c>
      <c r="I255" s="269">
        <v>1200</v>
      </c>
      <c r="J255" s="531">
        <f>-(H255-G255)*$N$247</f>
        <v>45.81600000000013</v>
      </c>
      <c r="K255" s="445"/>
      <c r="L255" s="3178"/>
      <c r="M255" s="3179"/>
      <c r="N255" s="3179"/>
      <c r="O255" s="3179"/>
      <c r="P255" s="3180"/>
    </row>
    <row r="256" spans="1:16" s="1" customFormat="1" ht="26" customHeight="1" x14ac:dyDescent="0.2">
      <c r="A256" s="1536">
        <v>10</v>
      </c>
      <c r="B256" s="1568" t="s">
        <v>25</v>
      </c>
      <c r="C256" s="1568" t="s">
        <v>116</v>
      </c>
      <c r="D256" s="3412" t="s">
        <v>185</v>
      </c>
      <c r="E256" s="3412"/>
      <c r="F256" s="223" t="s">
        <v>195</v>
      </c>
      <c r="G256" s="1097"/>
      <c r="H256" s="261"/>
      <c r="I256" s="269">
        <v>315</v>
      </c>
      <c r="J256" s="531">
        <f>(H256-G256)*$N$247</f>
        <v>0</v>
      </c>
      <c r="K256" s="445">
        <f>(H256-G256)*$N$247</f>
        <v>0</v>
      </c>
      <c r="L256" s="3178" t="s">
        <v>745</v>
      </c>
      <c r="M256" s="3179"/>
      <c r="N256" s="3179"/>
      <c r="O256" s="3179"/>
      <c r="P256" s="3180"/>
    </row>
    <row r="257" spans="1:17" s="1" customFormat="1" ht="26" customHeight="1" x14ac:dyDescent="0.2">
      <c r="A257" s="1536">
        <v>11</v>
      </c>
      <c r="B257" s="1584" t="s">
        <v>25</v>
      </c>
      <c r="C257" s="1584" t="s">
        <v>116</v>
      </c>
      <c r="D257" s="3412" t="s">
        <v>179</v>
      </c>
      <c r="E257" s="3412"/>
      <c r="F257" s="223" t="s">
        <v>49</v>
      </c>
      <c r="G257" s="1096">
        <v>2.5999999999999999E-2</v>
      </c>
      <c r="H257" s="268">
        <f>I257/$N$247</f>
        <v>0.96262208865514642</v>
      </c>
      <c r="I257" s="269">
        <v>18450</v>
      </c>
      <c r="J257" s="531"/>
      <c r="K257" s="445">
        <f>(H257-G257)*$N$247</f>
        <v>17951.673599999998</v>
      </c>
      <c r="L257" s="3178" t="s">
        <v>653</v>
      </c>
      <c r="M257" s="3179"/>
      <c r="N257" s="3179"/>
      <c r="O257" s="3179"/>
      <c r="P257" s="3180"/>
    </row>
    <row r="258" spans="1:17" s="1" customFormat="1" ht="29" customHeight="1" x14ac:dyDescent="0.2">
      <c r="A258" s="42" t="s">
        <v>691</v>
      </c>
      <c r="H258" s="78"/>
      <c r="I258" s="447"/>
      <c r="J258" s="71"/>
      <c r="K258" s="71"/>
      <c r="N258" s="209"/>
    </row>
    <row r="259" spans="1:17" s="1" customFormat="1" ht="30" customHeight="1" x14ac:dyDescent="0.2">
      <c r="A259" s="42" t="s">
        <v>723</v>
      </c>
      <c r="H259" s="78"/>
      <c r="I259" s="447"/>
      <c r="J259" s="71"/>
      <c r="K259" s="71"/>
      <c r="N259" s="209"/>
    </row>
    <row r="260" spans="1:17" s="1" customFormat="1" ht="41" customHeight="1" x14ac:dyDescent="0.2">
      <c r="A260" s="3224" t="s">
        <v>39</v>
      </c>
      <c r="B260" s="3224" t="s">
        <v>34</v>
      </c>
      <c r="C260" s="3224" t="s">
        <v>6</v>
      </c>
      <c r="D260" s="3224" t="s">
        <v>40</v>
      </c>
      <c r="E260" s="3224" t="s">
        <v>1034</v>
      </c>
      <c r="F260" s="3226" t="s">
        <v>41</v>
      </c>
      <c r="G260" s="3227"/>
      <c r="H260" s="3228"/>
      <c r="I260" s="50" t="s">
        <v>42</v>
      </c>
      <c r="J260" s="1732" t="s">
        <v>43</v>
      </c>
      <c r="K260" s="406" t="s">
        <v>44</v>
      </c>
      <c r="L260" s="1732" t="s">
        <v>535</v>
      </c>
      <c r="M260" s="1732"/>
      <c r="N260" s="1731" t="s">
        <v>45</v>
      </c>
      <c r="O260" s="1732" t="s">
        <v>46</v>
      </c>
      <c r="P260" s="3229" t="s">
        <v>531</v>
      </c>
      <c r="Q260" s="3229" t="s">
        <v>47</v>
      </c>
    </row>
    <row r="261" spans="1:17" s="2" customFormat="1" ht="33" customHeight="1" x14ac:dyDescent="0.2">
      <c r="A261" s="3225"/>
      <c r="B261" s="3225"/>
      <c r="C261" s="3225" t="s">
        <v>6</v>
      </c>
      <c r="D261" s="3225"/>
      <c r="E261" s="3225"/>
      <c r="F261" s="50" t="s">
        <v>48</v>
      </c>
      <c r="G261" s="69" t="s">
        <v>527</v>
      </c>
      <c r="H261" s="69" t="s">
        <v>528</v>
      </c>
      <c r="I261" s="50" t="s">
        <v>164</v>
      </c>
      <c r="J261" s="50" t="s">
        <v>530</v>
      </c>
      <c r="K261" s="537" t="s">
        <v>529</v>
      </c>
      <c r="L261" s="50" t="s">
        <v>164</v>
      </c>
      <c r="M261" s="69" t="s">
        <v>532</v>
      </c>
      <c r="N261" s="406" t="s">
        <v>529</v>
      </c>
      <c r="O261" s="1732" t="s">
        <v>164</v>
      </c>
      <c r="P261" s="3230"/>
      <c r="Q261" s="3230"/>
    </row>
    <row r="262" spans="1:17" ht="57" customHeight="1" x14ac:dyDescent="0.2">
      <c r="A262" s="51">
        <v>1</v>
      </c>
      <c r="B262" s="51" t="s">
        <v>5</v>
      </c>
      <c r="C262" s="51" t="s">
        <v>115</v>
      </c>
      <c r="D262" s="894" t="s">
        <v>680</v>
      </c>
      <c r="E262" s="723" t="s">
        <v>1036</v>
      </c>
      <c r="F262" s="53">
        <v>7555</v>
      </c>
      <c r="G262" s="54" t="s">
        <v>681</v>
      </c>
      <c r="H262" s="54" t="s">
        <v>682</v>
      </c>
      <c r="I262" s="61">
        <v>906891</v>
      </c>
      <c r="J262" s="66">
        <f>F98</f>
        <v>360989.28</v>
      </c>
      <c r="K262" s="70">
        <f>I262/J262</f>
        <v>2.5122380365422483</v>
      </c>
      <c r="L262" s="66">
        <v>184210</v>
      </c>
      <c r="M262" s="870">
        <f>L262/(L262+I262)*100</f>
        <v>16.882946674964096</v>
      </c>
      <c r="N262" s="722">
        <f>(I262+L262)/J262</f>
        <v>3.0225301981266588</v>
      </c>
      <c r="O262" s="66"/>
      <c r="P262" s="70">
        <f>(I262+L262+O262)/J262</f>
        <v>3.0225301981266588</v>
      </c>
      <c r="Q262" s="893" t="s">
        <v>683</v>
      </c>
    </row>
    <row r="263" spans="1:17" ht="49" hidden="1" customHeight="1" x14ac:dyDescent="0.2">
      <c r="A263" s="51"/>
      <c r="B263" s="1661"/>
      <c r="C263" s="1661"/>
      <c r="D263" s="1026"/>
      <c r="E263" s="723"/>
      <c r="F263" s="66"/>
      <c r="G263" s="870"/>
      <c r="H263" s="870"/>
      <c r="I263" s="55"/>
      <c r="J263" s="66"/>
      <c r="K263" s="70" t="e">
        <f>I263/J263</f>
        <v>#DIV/0!</v>
      </c>
      <c r="L263" s="66"/>
      <c r="M263" s="870" t="e">
        <f>L263/(L263+I263)*100</f>
        <v>#DIV/0!</v>
      </c>
      <c r="N263" s="722" t="e">
        <f>(I263+L263)/J263</f>
        <v>#DIV/0!</v>
      </c>
      <c r="O263" s="66"/>
      <c r="P263" s="70" t="e">
        <f>(I263+L263+O263)/J263</f>
        <v>#DIV/0!</v>
      </c>
      <c r="Q263" s="1046"/>
    </row>
    <row r="264" spans="1:17" ht="49" hidden="1" customHeight="1" x14ac:dyDescent="0.2">
      <c r="A264" s="51"/>
      <c r="B264" s="1661"/>
      <c r="C264" s="1661"/>
      <c r="D264" s="1026"/>
      <c r="E264" s="723"/>
      <c r="F264" s="66"/>
      <c r="G264" s="870"/>
      <c r="H264" s="870"/>
      <c r="I264" s="55"/>
      <c r="J264" s="66"/>
      <c r="K264" s="56" t="e">
        <f>I264/J264</f>
        <v>#DIV/0!</v>
      </c>
      <c r="L264" s="66"/>
      <c r="M264" s="870" t="e">
        <f>L264/(L264+I264)*100</f>
        <v>#DIV/0!</v>
      </c>
      <c r="N264" s="722" t="e">
        <f>(I264+L264)/J264</f>
        <v>#DIV/0!</v>
      </c>
      <c r="O264" s="993">
        <v>0</v>
      </c>
      <c r="P264" s="70" t="e">
        <f>(I264+L264+O264)/J264</f>
        <v>#DIV/0!</v>
      </c>
      <c r="Q264" s="1046"/>
    </row>
    <row r="265" spans="1:17" s="1" customFormat="1" ht="27" customHeight="1" x14ac:dyDescent="0.2">
      <c r="A265" s="3335" t="s">
        <v>54</v>
      </c>
      <c r="B265" s="3335"/>
      <c r="C265" s="3335"/>
      <c r="D265" s="3335"/>
      <c r="E265" s="3335"/>
      <c r="F265" s="3335"/>
      <c r="G265" s="3335"/>
      <c r="H265" s="3335"/>
      <c r="I265" s="58">
        <f>SUM(I262:I264)</f>
        <v>906891</v>
      </c>
      <c r="J265" s="60">
        <f>SUM(J262:J264)</f>
        <v>360989.28</v>
      </c>
      <c r="K265" s="59">
        <f>I265/J265</f>
        <v>2.5122380365422483</v>
      </c>
      <c r="L265" s="859">
        <f>SUM(L262:L264)</f>
        <v>184210</v>
      </c>
      <c r="M265" s="360">
        <f>L265/(L265+I265)*100</f>
        <v>16.882946674964096</v>
      </c>
      <c r="N265" s="360">
        <f>(I265+L265)/J265</f>
        <v>3.0225301981266588</v>
      </c>
      <c r="O265" s="60">
        <f>SUM(O262:O264)</f>
        <v>0</v>
      </c>
      <c r="P265" s="59">
        <f>(I265+L265+O265)/J265</f>
        <v>3.0225301981266588</v>
      </c>
      <c r="Q265" s="264"/>
    </row>
    <row r="266" spans="1:17" s="1" customFormat="1" ht="18" customHeight="1" x14ac:dyDescent="0.2">
      <c r="A266" s="67"/>
      <c r="B266" s="67"/>
      <c r="C266" s="67"/>
      <c r="D266" s="67"/>
      <c r="E266" s="67"/>
      <c r="F266" s="1125"/>
      <c r="G266" s="1126"/>
      <c r="H266" s="1127"/>
      <c r="I266" s="1128"/>
      <c r="J266" s="1129"/>
      <c r="K266" s="1129"/>
      <c r="L266" s="1126"/>
      <c r="M266" s="1127"/>
      <c r="N266" s="272"/>
    </row>
    <row r="267" spans="1:17" s="1" customFormat="1" ht="24" customHeight="1" x14ac:dyDescent="0.2">
      <c r="A267" s="42" t="s">
        <v>685</v>
      </c>
      <c r="H267" s="78"/>
      <c r="I267" s="447"/>
      <c r="J267" s="71"/>
      <c r="K267" s="71"/>
      <c r="N267" s="209"/>
    </row>
    <row r="268" spans="1:17" ht="39" customHeight="1" x14ac:dyDescent="0.2">
      <c r="A268" s="3224" t="s">
        <v>39</v>
      </c>
      <c r="B268" s="3224" t="s">
        <v>34</v>
      </c>
      <c r="C268" s="3224" t="s">
        <v>6</v>
      </c>
      <c r="D268" s="3224" t="s">
        <v>40</v>
      </c>
      <c r="E268" s="3224" t="s">
        <v>1034</v>
      </c>
      <c r="F268" s="3226" t="s">
        <v>41</v>
      </c>
      <c r="G268" s="3227"/>
      <c r="H268" s="3228"/>
      <c r="I268" s="50" t="s">
        <v>42</v>
      </c>
      <c r="J268" s="1732" t="s">
        <v>43</v>
      </c>
      <c r="K268" s="406" t="s">
        <v>44</v>
      </c>
      <c r="L268" s="1732" t="s">
        <v>535</v>
      </c>
      <c r="M268" s="1732"/>
      <c r="N268" s="1731" t="s">
        <v>45</v>
      </c>
      <c r="O268" s="1732" t="s">
        <v>46</v>
      </c>
      <c r="P268" s="3229" t="s">
        <v>531</v>
      </c>
      <c r="Q268" s="3229" t="s">
        <v>47</v>
      </c>
    </row>
    <row r="269" spans="1:17" ht="37" customHeight="1" x14ac:dyDescent="0.2">
      <c r="A269" s="3225"/>
      <c r="B269" s="3225"/>
      <c r="C269" s="3225" t="s">
        <v>6</v>
      </c>
      <c r="D269" s="3225"/>
      <c r="E269" s="3225"/>
      <c r="F269" s="50" t="s">
        <v>48</v>
      </c>
      <c r="G269" s="69" t="s">
        <v>527</v>
      </c>
      <c r="H269" s="69" t="s">
        <v>528</v>
      </c>
      <c r="I269" s="50" t="s">
        <v>164</v>
      </c>
      <c r="J269" s="50" t="s">
        <v>530</v>
      </c>
      <c r="K269" s="537" t="s">
        <v>529</v>
      </c>
      <c r="L269" s="50" t="s">
        <v>164</v>
      </c>
      <c r="M269" s="69" t="s">
        <v>532</v>
      </c>
      <c r="N269" s="406" t="s">
        <v>529</v>
      </c>
      <c r="O269" s="1732" t="s">
        <v>164</v>
      </c>
      <c r="P269" s="3230"/>
      <c r="Q269" s="3230"/>
    </row>
    <row r="270" spans="1:17" ht="63" customHeight="1" x14ac:dyDescent="0.2">
      <c r="A270" s="51">
        <v>1</v>
      </c>
      <c r="B270" s="51" t="s">
        <v>25</v>
      </c>
      <c r="C270" s="51" t="s">
        <v>119</v>
      </c>
      <c r="D270" s="868" t="s">
        <v>680</v>
      </c>
      <c r="E270" s="723" t="s">
        <v>1036</v>
      </c>
      <c r="F270" s="1048">
        <v>7555</v>
      </c>
      <c r="G270" s="1047" t="s">
        <v>681</v>
      </c>
      <c r="H270" s="1047" t="s">
        <v>682</v>
      </c>
      <c r="I270" s="1064">
        <v>555435</v>
      </c>
      <c r="J270" s="61">
        <v>250600.5</v>
      </c>
      <c r="K270" s="70">
        <f>I270/J270</f>
        <v>2.2164161683635908</v>
      </c>
      <c r="L270" s="872">
        <v>97967</v>
      </c>
      <c r="M270" s="870">
        <f>L270/(L270+I270)*100</f>
        <v>14.993373145475527</v>
      </c>
      <c r="N270" s="722">
        <f>(I270+L270)/J270</f>
        <v>2.607345156933047</v>
      </c>
      <c r="O270" s="66"/>
      <c r="P270" s="70">
        <f>(I270+L270+O270)/J270</f>
        <v>2.607345156933047</v>
      </c>
      <c r="Q270" s="871" t="s">
        <v>684</v>
      </c>
    </row>
    <row r="271" spans="1:17" ht="63" hidden="1" customHeight="1" x14ac:dyDescent="0.2">
      <c r="A271" s="1037"/>
      <c r="D271" s="868"/>
      <c r="F271" s="52"/>
      <c r="G271" s="869"/>
      <c r="H271" s="869"/>
      <c r="I271" s="55"/>
      <c r="J271" s="66"/>
      <c r="K271" s="70" t="e">
        <f>I271/J271</f>
        <v>#DIV/0!</v>
      </c>
      <c r="L271" s="66"/>
      <c r="M271" s="870" t="e">
        <f>L271/(L271+I271)*100</f>
        <v>#DIV/0!</v>
      </c>
      <c r="N271" s="722" t="e">
        <f>(I271+L271)/J271</f>
        <v>#DIV/0!</v>
      </c>
      <c r="O271" s="66"/>
      <c r="P271" s="70" t="e">
        <f>(I271+L271+O271)/J271</f>
        <v>#DIV/0!</v>
      </c>
      <c r="Q271" s="893"/>
    </row>
    <row r="272" spans="1:17" ht="27" customHeight="1" x14ac:dyDescent="0.2">
      <c r="A272" s="3380" t="s">
        <v>54</v>
      </c>
      <c r="B272" s="3381"/>
      <c r="C272" s="3381"/>
      <c r="D272" s="3381"/>
      <c r="E272" s="3381"/>
      <c r="F272" s="3381"/>
      <c r="G272" s="3381"/>
      <c r="H272" s="3382"/>
      <c r="I272" s="888">
        <f>I270+I271</f>
        <v>555435</v>
      </c>
      <c r="J272" s="888">
        <f>J270+J271</f>
        <v>250600.5</v>
      </c>
      <c r="K272" s="59">
        <f>I272/J272</f>
        <v>2.2164161683635908</v>
      </c>
      <c r="L272" s="859">
        <f>L270+L271</f>
        <v>97967</v>
      </c>
      <c r="M272" s="360">
        <f>L272/(L272+I272)*100</f>
        <v>14.993373145475527</v>
      </c>
      <c r="N272" s="360">
        <f>(I272+L272)/J272</f>
        <v>2.607345156933047</v>
      </c>
      <c r="O272" s="60">
        <f>O270+O271</f>
        <v>0</v>
      </c>
      <c r="P272" s="59">
        <f>(I272+L272+O272)/J272</f>
        <v>2.607345156933047</v>
      </c>
      <c r="Q272" s="893"/>
    </row>
    <row r="273" spans="1:17" s="1" customFormat="1" ht="27" customHeight="1" x14ac:dyDescent="0.2">
      <c r="A273" s="42" t="s">
        <v>686</v>
      </c>
      <c r="H273" s="78"/>
      <c r="I273" s="447"/>
      <c r="J273" s="71"/>
      <c r="K273" s="71"/>
      <c r="N273" s="209"/>
    </row>
    <row r="274" spans="1:17" s="1" customFormat="1" ht="41" customHeight="1" x14ac:dyDescent="0.2">
      <c r="A274" s="3224" t="s">
        <v>39</v>
      </c>
      <c r="B274" s="3224" t="s">
        <v>34</v>
      </c>
      <c r="C274" s="3224" t="s">
        <v>6</v>
      </c>
      <c r="D274" s="3224" t="s">
        <v>40</v>
      </c>
      <c r="E274" s="3224" t="s">
        <v>1034</v>
      </c>
      <c r="F274" s="3226" t="s">
        <v>41</v>
      </c>
      <c r="G274" s="3227"/>
      <c r="H274" s="3228"/>
      <c r="I274" s="50" t="s">
        <v>42</v>
      </c>
      <c r="J274" s="1732" t="s">
        <v>43</v>
      </c>
      <c r="K274" s="406" t="s">
        <v>44</v>
      </c>
      <c r="L274" s="1732" t="s">
        <v>535</v>
      </c>
      <c r="M274" s="1732"/>
      <c r="N274" s="1731" t="s">
        <v>45</v>
      </c>
      <c r="O274" s="1732" t="s">
        <v>46</v>
      </c>
      <c r="P274" s="3229" t="s">
        <v>531</v>
      </c>
      <c r="Q274" s="3229" t="s">
        <v>47</v>
      </c>
    </row>
    <row r="275" spans="1:17" s="1" customFormat="1" ht="41" customHeight="1" x14ac:dyDescent="0.2">
      <c r="A275" s="3225"/>
      <c r="B275" s="3225"/>
      <c r="C275" s="3225" t="s">
        <v>6</v>
      </c>
      <c r="D275" s="3225"/>
      <c r="E275" s="3225"/>
      <c r="F275" s="50" t="s">
        <v>48</v>
      </c>
      <c r="G275" s="69" t="s">
        <v>527</v>
      </c>
      <c r="H275" s="69" t="s">
        <v>528</v>
      </c>
      <c r="I275" s="50" t="s">
        <v>164</v>
      </c>
      <c r="J275" s="50" t="s">
        <v>530</v>
      </c>
      <c r="K275" s="537" t="s">
        <v>529</v>
      </c>
      <c r="L275" s="50" t="s">
        <v>164</v>
      </c>
      <c r="M275" s="69" t="s">
        <v>532</v>
      </c>
      <c r="N275" s="406" t="s">
        <v>529</v>
      </c>
      <c r="O275" s="1732" t="s">
        <v>164</v>
      </c>
      <c r="P275" s="3230"/>
      <c r="Q275" s="3230"/>
    </row>
    <row r="276" spans="1:17" ht="64" customHeight="1" x14ac:dyDescent="0.2">
      <c r="A276" s="51">
        <v>1</v>
      </c>
      <c r="B276" s="51" t="s">
        <v>25</v>
      </c>
      <c r="C276" s="51" t="s">
        <v>122</v>
      </c>
      <c r="D276" s="894" t="s">
        <v>680</v>
      </c>
      <c r="E276" s="723" t="s">
        <v>1036</v>
      </c>
      <c r="F276" s="53">
        <v>7555</v>
      </c>
      <c r="G276" s="54" t="s">
        <v>681</v>
      </c>
      <c r="H276" s="54" t="s">
        <v>682</v>
      </c>
      <c r="I276" s="55">
        <v>224692</v>
      </c>
      <c r="J276" s="66">
        <v>116559</v>
      </c>
      <c r="K276" s="70">
        <f>I276/J276</f>
        <v>1.9277104299110321</v>
      </c>
      <c r="L276" s="66">
        <v>39187</v>
      </c>
      <c r="M276" s="870">
        <f>L276/(L276+I276)*100</f>
        <v>14.850367024280068</v>
      </c>
      <c r="N276" s="722">
        <f>(I276+L276)/J276</f>
        <v>2.2639092648358341</v>
      </c>
      <c r="O276" s="66"/>
      <c r="P276" s="70">
        <f>(I276+L276+O276)/J276</f>
        <v>2.2639092648358341</v>
      </c>
      <c r="Q276" s="893" t="s">
        <v>687</v>
      </c>
    </row>
    <row r="277" spans="1:17" s="1" customFormat="1" ht="64" hidden="1" customHeight="1" x14ac:dyDescent="0.2">
      <c r="A277" s="1037"/>
      <c r="D277" s="868"/>
      <c r="F277" s="52"/>
      <c r="G277" s="869"/>
      <c r="H277" s="869"/>
      <c r="I277" s="55"/>
      <c r="J277" s="66"/>
      <c r="K277" s="70" t="e">
        <f>I277/J277</f>
        <v>#DIV/0!</v>
      </c>
      <c r="L277" s="66"/>
      <c r="M277" s="870" t="e">
        <f>L277/(L277+I277)*100</f>
        <v>#DIV/0!</v>
      </c>
      <c r="N277" s="722" t="e">
        <f>(I277+L277)/J277</f>
        <v>#DIV/0!</v>
      </c>
      <c r="O277" s="993">
        <v>0</v>
      </c>
      <c r="P277" s="70" t="e">
        <f>(I277+L277+O277)/J277</f>
        <v>#DIV/0!</v>
      </c>
      <c r="Q277" s="893"/>
    </row>
    <row r="278" spans="1:17" s="1" customFormat="1" ht="32" customHeight="1" x14ac:dyDescent="0.2">
      <c r="A278" s="3336" t="s">
        <v>54</v>
      </c>
      <c r="B278" s="3336"/>
      <c r="C278" s="3336"/>
      <c r="D278" s="3336"/>
      <c r="E278" s="3336"/>
      <c r="F278" s="3336"/>
      <c r="G278" s="3336"/>
      <c r="H278" s="3336"/>
      <c r="I278" s="888">
        <f>I276+I277</f>
        <v>224692</v>
      </c>
      <c r="J278" s="888">
        <f>J276+J277</f>
        <v>116559</v>
      </c>
      <c r="K278" s="59">
        <f>I278/J278</f>
        <v>1.9277104299110321</v>
      </c>
      <c r="L278" s="859">
        <f>L276+L277</f>
        <v>39187</v>
      </c>
      <c r="M278" s="360">
        <f>L278/(L278+I278)*100</f>
        <v>14.850367024280068</v>
      </c>
      <c r="N278" s="360">
        <f>(I278+L278)/J278</f>
        <v>2.2639092648358341</v>
      </c>
      <c r="O278" s="60">
        <f>O276+O277</f>
        <v>0</v>
      </c>
      <c r="P278" s="59">
        <f>(I278+L278+O278)/J278</f>
        <v>2.2639092648358341</v>
      </c>
      <c r="Q278" s="893"/>
    </row>
    <row r="279" spans="1:17" s="1" customFormat="1" ht="27" customHeight="1" x14ac:dyDescent="0.2">
      <c r="A279" s="42" t="s">
        <v>688</v>
      </c>
      <c r="H279" s="78"/>
      <c r="I279" s="447"/>
      <c r="J279" s="71"/>
      <c r="K279" s="71"/>
      <c r="N279" s="209"/>
    </row>
    <row r="280" spans="1:17" s="1" customFormat="1" ht="38" customHeight="1" x14ac:dyDescent="0.2">
      <c r="A280" s="3224" t="s">
        <v>39</v>
      </c>
      <c r="B280" s="3224" t="s">
        <v>34</v>
      </c>
      <c r="C280" s="3224" t="s">
        <v>6</v>
      </c>
      <c r="D280" s="3224" t="s">
        <v>40</v>
      </c>
      <c r="E280" s="3224" t="s">
        <v>1034</v>
      </c>
      <c r="F280" s="3226" t="s">
        <v>41</v>
      </c>
      <c r="G280" s="3227"/>
      <c r="H280" s="3228"/>
      <c r="I280" s="50" t="s">
        <v>42</v>
      </c>
      <c r="J280" s="1732" t="s">
        <v>43</v>
      </c>
      <c r="K280" s="406" t="s">
        <v>44</v>
      </c>
      <c r="L280" s="1732" t="s">
        <v>535</v>
      </c>
      <c r="M280" s="1732"/>
      <c r="N280" s="1731" t="s">
        <v>45</v>
      </c>
      <c r="O280" s="1732" t="s">
        <v>46</v>
      </c>
      <c r="P280" s="3229" t="s">
        <v>531</v>
      </c>
      <c r="Q280" s="3229" t="s">
        <v>47</v>
      </c>
    </row>
    <row r="281" spans="1:17" s="1" customFormat="1" ht="32" customHeight="1" x14ac:dyDescent="0.2">
      <c r="A281" s="3225"/>
      <c r="B281" s="3225"/>
      <c r="C281" s="3225" t="s">
        <v>6</v>
      </c>
      <c r="D281" s="3225"/>
      <c r="E281" s="3225"/>
      <c r="F281" s="50" t="s">
        <v>48</v>
      </c>
      <c r="G281" s="69" t="s">
        <v>527</v>
      </c>
      <c r="H281" s="69" t="s">
        <v>528</v>
      </c>
      <c r="I281" s="50" t="s">
        <v>164</v>
      </c>
      <c r="J281" s="50" t="s">
        <v>530</v>
      </c>
      <c r="K281" s="537" t="s">
        <v>529</v>
      </c>
      <c r="L281" s="50" t="s">
        <v>164</v>
      </c>
      <c r="M281" s="69" t="s">
        <v>532</v>
      </c>
      <c r="N281" s="406" t="s">
        <v>529</v>
      </c>
      <c r="O281" s="1732" t="s">
        <v>164</v>
      </c>
      <c r="P281" s="3230"/>
      <c r="Q281" s="3230"/>
    </row>
    <row r="282" spans="1:17" ht="62" customHeight="1" x14ac:dyDescent="0.2">
      <c r="A282" s="51">
        <v>1</v>
      </c>
      <c r="B282" s="51" t="s">
        <v>25</v>
      </c>
      <c r="C282" s="51" t="s">
        <v>116</v>
      </c>
      <c r="D282" s="894" t="s">
        <v>680</v>
      </c>
      <c r="E282" s="723" t="s">
        <v>1036</v>
      </c>
      <c r="F282" s="53">
        <v>7555</v>
      </c>
      <c r="G282" s="54" t="s">
        <v>681</v>
      </c>
      <c r="H282" s="54" t="s">
        <v>682</v>
      </c>
      <c r="I282" s="55">
        <v>70279</v>
      </c>
      <c r="J282" s="1130">
        <v>19166.400000000001</v>
      </c>
      <c r="K282" s="70">
        <f>I282/J282</f>
        <v>3.6667814508723597</v>
      </c>
      <c r="L282" s="66">
        <v>13564</v>
      </c>
      <c r="M282" s="870">
        <f>L282/(L282+I282)*100</f>
        <v>16.177856231289432</v>
      </c>
      <c r="N282" s="722">
        <f>(I282+L282)/J282</f>
        <v>4.3744782536104845</v>
      </c>
      <c r="O282" s="66"/>
      <c r="P282" s="70">
        <f>(I282+L282+O282)/J282</f>
        <v>4.3744782536104845</v>
      </c>
      <c r="Q282" s="893" t="s">
        <v>689</v>
      </c>
    </row>
    <row r="283" spans="1:17" ht="54" hidden="1" customHeight="1" x14ac:dyDescent="0.2">
      <c r="A283" s="51">
        <v>2</v>
      </c>
      <c r="D283" s="894"/>
      <c r="F283" s="53"/>
      <c r="G283" s="54"/>
      <c r="H283" s="54"/>
      <c r="I283" s="55"/>
      <c r="J283" s="66"/>
      <c r="K283" s="70" t="e">
        <f>I283/J283</f>
        <v>#DIV/0!</v>
      </c>
      <c r="L283" s="66"/>
      <c r="M283" s="870" t="e">
        <f>L283/(L283+I283)*100</f>
        <v>#DIV/0!</v>
      </c>
      <c r="N283" s="722" t="e">
        <f>(I283+L283)/J283</f>
        <v>#DIV/0!</v>
      </c>
      <c r="O283" s="1065">
        <v>0</v>
      </c>
      <c r="P283" s="70" t="e">
        <f>(I283+L283+O283)/J283</f>
        <v>#DIV/0!</v>
      </c>
      <c r="Q283" s="893"/>
    </row>
    <row r="284" spans="1:17" s="1" customFormat="1" ht="27" customHeight="1" x14ac:dyDescent="0.2">
      <c r="A284" s="3409" t="s">
        <v>54</v>
      </c>
      <c r="B284" s="3410"/>
      <c r="C284" s="3410"/>
      <c r="D284" s="3410"/>
      <c r="E284" s="3410"/>
      <c r="F284" s="3410"/>
      <c r="G284" s="3410"/>
      <c r="H284" s="3411"/>
      <c r="I284" s="888">
        <f>I282+I283</f>
        <v>70279</v>
      </c>
      <c r="J284" s="888">
        <f>J282+J283</f>
        <v>19166.400000000001</v>
      </c>
      <c r="K284" s="59">
        <f>I284/J284</f>
        <v>3.6667814508723597</v>
      </c>
      <c r="L284" s="859">
        <f>L282+L283</f>
        <v>13564</v>
      </c>
      <c r="M284" s="360">
        <f>L284/(L284+I284)*100</f>
        <v>16.177856231289432</v>
      </c>
      <c r="N284" s="360">
        <f>(I284+L284)/J284</f>
        <v>4.3744782536104845</v>
      </c>
      <c r="O284" s="60">
        <f>O282+O283</f>
        <v>0</v>
      </c>
      <c r="P284" s="59">
        <f>(I284+L284+O284)/J284</f>
        <v>4.3744782536104845</v>
      </c>
      <c r="Q284" s="893"/>
    </row>
    <row r="285" spans="1:17" s="1" customFormat="1" ht="27" customHeight="1" x14ac:dyDescent="0.2">
      <c r="A285" s="3398" t="s">
        <v>692</v>
      </c>
      <c r="B285" s="3398"/>
      <c r="C285" s="3398"/>
      <c r="D285" s="3398"/>
      <c r="E285" s="3398"/>
      <c r="F285" s="3398"/>
      <c r="G285" s="3398"/>
      <c r="H285" s="3398"/>
      <c r="I285" s="3398"/>
      <c r="J285" s="3398"/>
      <c r="K285" s="3398"/>
      <c r="L285" s="3398"/>
      <c r="M285" s="3398"/>
      <c r="N285" s="3398"/>
    </row>
    <row r="286" spans="1:17" s="1" customFormat="1" ht="35" customHeight="1" x14ac:dyDescent="0.2">
      <c r="A286" s="3301" t="s">
        <v>39</v>
      </c>
      <c r="B286" s="3301" t="s">
        <v>40</v>
      </c>
      <c r="C286" s="3301" t="s">
        <v>41</v>
      </c>
      <c r="D286" s="3301"/>
      <c r="E286" s="3301"/>
      <c r="F286" s="50" t="s">
        <v>42</v>
      </c>
      <c r="G286" s="50" t="s">
        <v>43</v>
      </c>
      <c r="H286" s="537" t="s">
        <v>44</v>
      </c>
      <c r="I286" s="3301" t="s">
        <v>535</v>
      </c>
      <c r="J286" s="3301"/>
      <c r="K286" s="69" t="s">
        <v>45</v>
      </c>
      <c r="L286" s="50" t="s">
        <v>46</v>
      </c>
      <c r="M286" s="3419" t="s">
        <v>531</v>
      </c>
      <c r="N286" s="3419" t="s">
        <v>47</v>
      </c>
    </row>
    <row r="287" spans="1:17" s="1" customFormat="1" ht="32" customHeight="1" x14ac:dyDescent="0.2">
      <c r="A287" s="3301"/>
      <c r="B287" s="3301"/>
      <c r="C287" s="50" t="s">
        <v>48</v>
      </c>
      <c r="D287" s="69" t="s">
        <v>527</v>
      </c>
      <c r="E287" s="69" t="s">
        <v>528</v>
      </c>
      <c r="F287" s="50" t="s">
        <v>164</v>
      </c>
      <c r="G287" s="50" t="s">
        <v>530</v>
      </c>
      <c r="H287" s="537" t="s">
        <v>529</v>
      </c>
      <c r="I287" s="50" t="s">
        <v>164</v>
      </c>
      <c r="J287" s="69" t="s">
        <v>532</v>
      </c>
      <c r="K287" s="537" t="s">
        <v>529</v>
      </c>
      <c r="L287" s="50" t="s">
        <v>164</v>
      </c>
      <c r="M287" s="3419"/>
      <c r="N287" s="3419"/>
    </row>
    <row r="288" spans="1:17" ht="58" customHeight="1" x14ac:dyDescent="0.2">
      <c r="A288" s="51">
        <v>1</v>
      </c>
      <c r="B288" s="868" t="s">
        <v>680</v>
      </c>
      <c r="C288" s="1048">
        <v>7555</v>
      </c>
      <c r="D288" s="1047" t="s">
        <v>681</v>
      </c>
      <c r="E288" s="1047" t="s">
        <v>682</v>
      </c>
      <c r="F288" s="55">
        <f>I270+I276+I282</f>
        <v>850406</v>
      </c>
      <c r="G288" s="55">
        <f>J270+J276+J282</f>
        <v>386325.9</v>
      </c>
      <c r="H288" s="70">
        <f>F288/G288</f>
        <v>2.2012658224571533</v>
      </c>
      <c r="I288" s="991">
        <f>L270+L276+L282</f>
        <v>150718</v>
      </c>
      <c r="J288" s="870">
        <f>I288/(I288+F288)*100</f>
        <v>15.05487831677195</v>
      </c>
      <c r="K288" s="722">
        <f>(F288+I288)/G288</f>
        <v>2.591397573913631</v>
      </c>
      <c r="L288" s="991">
        <f>O270</f>
        <v>0</v>
      </c>
      <c r="M288" s="70">
        <f>(F288+I288+L288)/G288</f>
        <v>2.591397573913631</v>
      </c>
      <c r="N288" s="1066" t="s">
        <v>690</v>
      </c>
    </row>
    <row r="289" spans="1:18" s="1" customFormat="1" ht="58" hidden="1" customHeight="1" x14ac:dyDescent="0.2">
      <c r="A289" s="51"/>
      <c r="B289" s="894"/>
      <c r="C289" s="66"/>
      <c r="D289" s="870"/>
      <c r="E289" s="870"/>
      <c r="F289" s="55"/>
      <c r="G289" s="55"/>
      <c r="H289" s="70" t="e">
        <f>F289/G289</f>
        <v>#DIV/0!</v>
      </c>
      <c r="I289" s="66"/>
      <c r="J289" s="870" t="e">
        <f>I289/(I289+F289)*100</f>
        <v>#DIV/0!</v>
      </c>
      <c r="K289" s="722" t="e">
        <f>(F289+I289)/G289</f>
        <v>#DIV/0!</v>
      </c>
      <c r="L289" s="66">
        <f>O271+O276</f>
        <v>0</v>
      </c>
      <c r="M289" s="70" t="e">
        <f>(F289+I289+L289)/G289</f>
        <v>#DIV/0!</v>
      </c>
      <c r="N289" s="893"/>
    </row>
    <row r="290" spans="1:18" s="1" customFormat="1" ht="58" hidden="1" customHeight="1" x14ac:dyDescent="0.2">
      <c r="A290" s="51"/>
      <c r="B290" s="894"/>
      <c r="C290" s="66"/>
      <c r="D290" s="870"/>
      <c r="E290" s="870"/>
      <c r="F290" s="55"/>
      <c r="G290" s="66"/>
      <c r="H290" s="56" t="e">
        <f>F290/G290</f>
        <v>#DIV/0!</v>
      </c>
      <c r="I290" s="66">
        <f>L277</f>
        <v>0</v>
      </c>
      <c r="J290" s="870" t="e">
        <f>I290/(I290+F290)*100</f>
        <v>#DIV/0!</v>
      </c>
      <c r="K290" s="722" t="e">
        <f>(F290+I290)/G290</f>
        <v>#DIV/0!</v>
      </c>
      <c r="L290" s="993">
        <v>0</v>
      </c>
      <c r="M290" s="70" t="e">
        <f>(F290+I290+L290)/G290</f>
        <v>#DIV/0!</v>
      </c>
      <c r="N290" s="893"/>
    </row>
    <row r="291" spans="1:18" s="1" customFormat="1" ht="27" customHeight="1" x14ac:dyDescent="0.2">
      <c r="A291" s="3335" t="s">
        <v>54</v>
      </c>
      <c r="B291" s="3335"/>
      <c r="C291" s="3335"/>
      <c r="D291" s="3335"/>
      <c r="E291" s="3335"/>
      <c r="F291" s="58">
        <f>SUM(F288:F290)</f>
        <v>850406</v>
      </c>
      <c r="G291" s="60">
        <f>SUM(G288:G290)</f>
        <v>386325.9</v>
      </c>
      <c r="H291" s="59">
        <f>F291/G291</f>
        <v>2.2012658224571533</v>
      </c>
      <c r="I291" s="859">
        <f>SUM(I288:I290)</f>
        <v>150718</v>
      </c>
      <c r="J291" s="360">
        <f>I291/(I291+F291)*100</f>
        <v>15.05487831677195</v>
      </c>
      <c r="K291" s="360">
        <f>(F291+I291)/G291</f>
        <v>2.591397573913631</v>
      </c>
      <c r="L291" s="60">
        <f>SUM(L288:L290)</f>
        <v>0</v>
      </c>
      <c r="M291" s="59">
        <f>(F291+I291+L291)/G291</f>
        <v>2.591397573913631</v>
      </c>
      <c r="N291" s="264"/>
    </row>
    <row r="292" spans="1:18" s="1" customFormat="1" ht="23" customHeight="1" x14ac:dyDescent="0.2">
      <c r="A292" s="42" t="s">
        <v>693</v>
      </c>
      <c r="H292" s="78"/>
      <c r="I292" s="447"/>
      <c r="J292" s="71"/>
      <c r="K292" s="71"/>
      <c r="N292" s="209"/>
    </row>
    <row r="293" spans="1:18" s="1" customFormat="1" ht="34" customHeight="1" x14ac:dyDescent="0.2">
      <c r="A293" s="3407" t="s">
        <v>39</v>
      </c>
      <c r="B293" s="3407" t="s">
        <v>40</v>
      </c>
      <c r="C293" s="3407" t="s">
        <v>41</v>
      </c>
      <c r="D293" s="3407"/>
      <c r="E293" s="3407"/>
      <c r="F293" s="935" t="s">
        <v>42</v>
      </c>
      <c r="G293" s="935" t="s">
        <v>43</v>
      </c>
      <c r="H293" s="936" t="s">
        <v>533</v>
      </c>
      <c r="I293" s="3407" t="s">
        <v>535</v>
      </c>
      <c r="J293" s="3407"/>
      <c r="K293" s="937" t="s">
        <v>45</v>
      </c>
      <c r="L293" s="935" t="s">
        <v>46</v>
      </c>
      <c r="M293" s="3406" t="s">
        <v>531</v>
      </c>
      <c r="N293" s="3406" t="s">
        <v>47</v>
      </c>
    </row>
    <row r="294" spans="1:18" s="1" customFormat="1" ht="35" customHeight="1" x14ac:dyDescent="0.2">
      <c r="A294" s="3407"/>
      <c r="B294" s="3407"/>
      <c r="C294" s="935" t="s">
        <v>48</v>
      </c>
      <c r="D294" s="937" t="s">
        <v>527</v>
      </c>
      <c r="E294" s="937" t="s">
        <v>528</v>
      </c>
      <c r="F294" s="935" t="s">
        <v>164</v>
      </c>
      <c r="G294" s="935" t="s">
        <v>530</v>
      </c>
      <c r="H294" s="936" t="s">
        <v>534</v>
      </c>
      <c r="I294" s="935" t="s">
        <v>164</v>
      </c>
      <c r="J294" s="937" t="s">
        <v>532</v>
      </c>
      <c r="K294" s="936" t="s">
        <v>534</v>
      </c>
      <c r="L294" s="935" t="s">
        <v>164</v>
      </c>
      <c r="M294" s="3406"/>
      <c r="N294" s="3406"/>
    </row>
    <row r="295" spans="1:18" ht="62" customHeight="1" x14ac:dyDescent="0.2">
      <c r="A295" s="51">
        <v>1</v>
      </c>
      <c r="B295" s="894" t="s">
        <v>680</v>
      </c>
      <c r="C295" s="53">
        <v>7555</v>
      </c>
      <c r="D295" s="54" t="s">
        <v>681</v>
      </c>
      <c r="E295" s="54" t="s">
        <v>682</v>
      </c>
      <c r="F295" s="55">
        <f>I265+F291</f>
        <v>1757297</v>
      </c>
      <c r="G295" s="55">
        <f>J265+G291</f>
        <v>747315.18</v>
      </c>
      <c r="H295" s="70">
        <f>F295/G295</f>
        <v>2.3514804021510707</v>
      </c>
      <c r="I295" s="991">
        <f>L262+I288</f>
        <v>334928</v>
      </c>
      <c r="J295" s="992">
        <f>I295/(I295+F295)*100</f>
        <v>16.008220913142708</v>
      </c>
      <c r="K295" s="722">
        <f>(F295+I295)/G295</f>
        <v>2.7996554278477253</v>
      </c>
      <c r="L295" s="991">
        <f>O262+L288</f>
        <v>0</v>
      </c>
      <c r="M295" s="70">
        <f>(F295+I295+L295)/G295</f>
        <v>2.7996554278477253</v>
      </c>
      <c r="N295" s="893" t="s">
        <v>690</v>
      </c>
    </row>
    <row r="296" spans="1:18" ht="62" customHeight="1" x14ac:dyDescent="0.2">
      <c r="A296" s="51">
        <v>2</v>
      </c>
      <c r="B296" s="894" t="s">
        <v>680</v>
      </c>
      <c r="C296" s="53">
        <v>7555</v>
      </c>
      <c r="D296" s="54" t="s">
        <v>681</v>
      </c>
      <c r="E296" s="54" t="s">
        <v>682</v>
      </c>
      <c r="F296" s="1067">
        <v>26219</v>
      </c>
      <c r="G296" s="3418" t="s">
        <v>695</v>
      </c>
      <c r="H296" s="3418"/>
      <c r="I296" s="3418"/>
      <c r="J296" s="3418"/>
      <c r="K296" s="3418"/>
      <c r="L296" s="3418"/>
      <c r="M296" s="3418"/>
      <c r="N296" s="893"/>
    </row>
    <row r="297" spans="1:18" s="1" customFormat="1" ht="62" hidden="1" customHeight="1" x14ac:dyDescent="0.2">
      <c r="A297" s="51"/>
      <c r="B297" s="894"/>
      <c r="C297" s="66"/>
      <c r="D297" s="870"/>
      <c r="E297" s="870"/>
      <c r="F297" s="55">
        <f>I264+F290</f>
        <v>0</v>
      </c>
      <c r="G297" s="66">
        <f>J264+G290</f>
        <v>0</v>
      </c>
      <c r="H297" s="56" t="e">
        <f>F297/G297</f>
        <v>#DIV/0!</v>
      </c>
      <c r="I297" s="66">
        <f>L264+I290</f>
        <v>0</v>
      </c>
      <c r="J297" s="870" t="e">
        <f>I297/(I297+F297)*100</f>
        <v>#DIV/0!</v>
      </c>
      <c r="K297" s="722" t="e">
        <f>(F297+I297)/G297</f>
        <v>#DIV/0!</v>
      </c>
      <c r="L297" s="993">
        <v>0</v>
      </c>
      <c r="M297" s="70" t="e">
        <f>(F297+I297+L297)/G297</f>
        <v>#DIV/0!</v>
      </c>
      <c r="N297" s="893"/>
    </row>
    <row r="298" spans="1:18" s="1" customFormat="1" ht="27" customHeight="1" x14ac:dyDescent="0.2">
      <c r="A298" s="3335" t="s">
        <v>54</v>
      </c>
      <c r="B298" s="3335"/>
      <c r="C298" s="3335"/>
      <c r="D298" s="3335"/>
      <c r="E298" s="3335"/>
      <c r="F298" s="58">
        <f>SUM(F295:F297)</f>
        <v>1783516</v>
      </c>
      <c r="G298" s="58">
        <f>SUM(G295:G297)</f>
        <v>747315.18</v>
      </c>
      <c r="H298" s="59">
        <f>F298/G298</f>
        <v>2.3865646620479457</v>
      </c>
      <c r="I298" s="859">
        <f>SUM(I295:I297)</f>
        <v>334928</v>
      </c>
      <c r="J298" s="360">
        <f>I298/(I298+F298)*100</f>
        <v>15.810094578851269</v>
      </c>
      <c r="K298" s="360">
        <f>(F298+I298)/G298</f>
        <v>2.8347396877446003</v>
      </c>
      <c r="L298" s="60">
        <f>SUM(L295:L297)</f>
        <v>0</v>
      </c>
      <c r="M298" s="59">
        <f>(F298+I298+L298)/G298</f>
        <v>2.8347396877446003</v>
      </c>
      <c r="N298" s="264"/>
    </row>
    <row r="299" spans="1:18" s="1" customFormat="1" ht="26" customHeight="1" x14ac:dyDescent="0.2">
      <c r="A299" s="1001" t="s">
        <v>515</v>
      </c>
      <c r="B299" s="1002"/>
      <c r="C299" s="1002"/>
      <c r="D299" s="1002"/>
      <c r="E299" s="1002"/>
      <c r="F299" s="1002"/>
      <c r="G299" s="1002"/>
      <c r="H299" s="1002"/>
      <c r="I299" s="1003"/>
      <c r="J299" s="1003"/>
      <c r="K299" s="1004"/>
      <c r="L299" s="1004"/>
      <c r="M299" s="1005"/>
      <c r="N299" s="1005"/>
      <c r="O299" s="876"/>
      <c r="P299" s="876"/>
      <c r="Q299" s="876"/>
      <c r="R299" s="876"/>
    </row>
    <row r="300" spans="1:18" s="1" customFormat="1" ht="40" customHeight="1" x14ac:dyDescent="0.2">
      <c r="A300" s="3197" t="s">
        <v>701</v>
      </c>
      <c r="B300" s="3197"/>
      <c r="C300" s="3197"/>
      <c r="D300" s="3197"/>
      <c r="E300" s="3197"/>
      <c r="F300" s="3197"/>
      <c r="G300" s="3197"/>
      <c r="H300" s="3197"/>
      <c r="I300" s="3197"/>
      <c r="J300" s="3197"/>
      <c r="K300" s="3197"/>
      <c r="L300" s="3197"/>
      <c r="M300" s="3197"/>
      <c r="N300" s="3197"/>
      <c r="O300" s="1000"/>
      <c r="P300" s="1000"/>
      <c r="Q300" s="1000"/>
      <c r="R300" s="1000"/>
    </row>
    <row r="301" spans="1:18" s="1" customFormat="1" ht="33" customHeight="1" x14ac:dyDescent="0.2">
      <c r="A301" s="3197" t="s">
        <v>702</v>
      </c>
      <c r="B301" s="3197"/>
      <c r="C301" s="3197"/>
      <c r="D301" s="3197"/>
      <c r="E301" s="3197"/>
      <c r="F301" s="3197"/>
      <c r="G301" s="3197"/>
      <c r="H301" s="3197"/>
      <c r="I301" s="3197"/>
      <c r="J301" s="3197"/>
      <c r="K301" s="3197"/>
      <c r="L301" s="3197"/>
      <c r="M301" s="3197"/>
      <c r="N301" s="3197"/>
      <c r="O301" s="1068"/>
      <c r="P301" s="1068"/>
      <c r="Q301" s="1068"/>
      <c r="R301" s="1068"/>
    </row>
    <row r="302" spans="1:18" s="1" customFormat="1" ht="40" customHeight="1" x14ac:dyDescent="0.2">
      <c r="A302" s="3197" t="s">
        <v>775</v>
      </c>
      <c r="B302" s="3197"/>
      <c r="C302" s="3197"/>
      <c r="D302" s="3197"/>
      <c r="E302" s="3197"/>
      <c r="F302" s="3197"/>
      <c r="G302" s="3197"/>
      <c r="H302" s="3197"/>
      <c r="I302" s="3197"/>
      <c r="J302" s="3197"/>
      <c r="K302" s="3197"/>
      <c r="L302" s="3197"/>
      <c r="M302" s="3197"/>
      <c r="N302" s="3197"/>
      <c r="O302" s="1068"/>
      <c r="P302" s="1068"/>
      <c r="Q302" s="1068"/>
      <c r="R302" s="994"/>
    </row>
    <row r="303" spans="1:18" s="1" customFormat="1" ht="31" customHeight="1" x14ac:dyDescent="0.2">
      <c r="A303" s="1070" t="s">
        <v>703</v>
      </c>
      <c r="B303" s="1070"/>
      <c r="C303" s="1070"/>
      <c r="D303" s="1070"/>
      <c r="E303" s="1070"/>
      <c r="F303" s="1070"/>
      <c r="G303" s="1070"/>
      <c r="H303" s="1070"/>
      <c r="I303" s="1070"/>
      <c r="J303" s="1070"/>
      <c r="K303" s="1070"/>
      <c r="L303" s="1070"/>
      <c r="M303" s="1070"/>
      <c r="N303" s="1070"/>
      <c r="O303" s="1070"/>
      <c r="P303" s="1070"/>
      <c r="Q303" s="1070"/>
      <c r="R303" s="994"/>
    </row>
    <row r="304" spans="1:18" s="1" customFormat="1" ht="40" customHeight="1" x14ac:dyDescent="0.2">
      <c r="A304" s="3186" t="s">
        <v>696</v>
      </c>
      <c r="B304" s="3186"/>
      <c r="C304" s="3186"/>
      <c r="D304" s="3186"/>
      <c r="E304" s="3186"/>
      <c r="F304" s="3186"/>
      <c r="G304" s="3186"/>
      <c r="H304" s="3186"/>
      <c r="I304" s="3186"/>
      <c r="J304" s="3186"/>
      <c r="K304" s="3186"/>
      <c r="L304" s="3186"/>
      <c r="M304" s="3186"/>
      <c r="N304" s="3186"/>
      <c r="O304" s="3186"/>
      <c r="P304" s="3186"/>
      <c r="Q304" s="3186"/>
      <c r="R304" s="995"/>
    </row>
    <row r="305" spans="1:18" s="1" customFormat="1" ht="27" customHeight="1" x14ac:dyDescent="0.2">
      <c r="A305" s="3186" t="s">
        <v>697</v>
      </c>
      <c r="B305" s="3186"/>
      <c r="C305" s="3186"/>
      <c r="D305" s="3186"/>
      <c r="E305" s="3186"/>
      <c r="F305" s="3186"/>
      <c r="G305" s="3186"/>
      <c r="H305" s="3186"/>
      <c r="I305" s="3186"/>
      <c r="J305" s="3186"/>
      <c r="K305" s="3186"/>
      <c r="L305" s="3186"/>
      <c r="M305" s="3186"/>
      <c r="N305" s="3186"/>
      <c r="O305" s="3186"/>
      <c r="P305" s="3186"/>
      <c r="Q305" s="3186"/>
      <c r="R305" s="996"/>
    </row>
    <row r="306" spans="1:18" s="1" customFormat="1" ht="27" customHeight="1" x14ac:dyDescent="0.2">
      <c r="A306" s="3181" t="s">
        <v>698</v>
      </c>
      <c r="B306" s="3181"/>
      <c r="C306" s="3181"/>
      <c r="D306" s="3181"/>
      <c r="E306" s="3181"/>
      <c r="F306" s="3181"/>
      <c r="G306" s="3181"/>
      <c r="H306" s="3181"/>
      <c r="I306" s="3181"/>
      <c r="J306" s="3181"/>
      <c r="K306" s="3181"/>
      <c r="L306" s="3181"/>
      <c r="M306" s="3181"/>
      <c r="N306" s="3181"/>
      <c r="O306" s="3181"/>
      <c r="P306" s="3181"/>
      <c r="Q306" s="996"/>
      <c r="R306" s="996"/>
    </row>
    <row r="307" spans="1:18" s="1" customFormat="1" ht="27" customHeight="1" x14ac:dyDescent="0.2">
      <c r="A307" s="3181" t="s">
        <v>699</v>
      </c>
      <c r="B307" s="3181"/>
      <c r="C307" s="3181"/>
      <c r="D307" s="3181"/>
      <c r="E307" s="3181"/>
      <c r="F307" s="3181"/>
      <c r="G307" s="3181"/>
      <c r="H307" s="3181"/>
      <c r="I307" s="3181"/>
      <c r="J307" s="3181"/>
      <c r="K307" s="3181"/>
      <c r="L307" s="3181"/>
      <c r="M307" s="3181"/>
      <c r="N307" s="1069"/>
      <c r="O307" s="995"/>
      <c r="P307" s="996"/>
      <c r="Q307" s="996"/>
      <c r="R307" s="996"/>
    </row>
    <row r="308" spans="1:18" s="1" customFormat="1" ht="24" customHeight="1" x14ac:dyDescent="0.2">
      <c r="A308" s="3181" t="s">
        <v>700</v>
      </c>
      <c r="B308" s="3181"/>
      <c r="C308" s="3181"/>
      <c r="D308" s="3181"/>
      <c r="E308" s="3181"/>
      <c r="F308" s="3181"/>
      <c r="G308" s="3181"/>
      <c r="H308" s="3181"/>
      <c r="I308" s="3181"/>
      <c r="J308" s="3181"/>
      <c r="K308" s="3181"/>
      <c r="L308" s="3181"/>
      <c r="M308" s="3181"/>
      <c r="N308" s="1069"/>
      <c r="O308" s="995"/>
      <c r="P308" s="996"/>
      <c r="Q308" s="996"/>
      <c r="R308" s="996"/>
    </row>
    <row r="309" spans="1:18" s="1" customFormat="1" ht="24.75" customHeight="1" x14ac:dyDescent="0.2">
      <c r="A309" s="2475" t="s">
        <v>704</v>
      </c>
      <c r="B309" s="2475"/>
      <c r="C309" s="2475"/>
      <c r="D309" s="2475"/>
      <c r="E309" s="2475"/>
      <c r="F309" s="2475"/>
      <c r="G309" s="2475"/>
      <c r="H309" s="2475"/>
      <c r="I309" s="2475"/>
      <c r="J309" s="2475"/>
      <c r="K309" s="2475"/>
      <c r="L309" s="2475"/>
      <c r="M309" s="2475"/>
      <c r="N309" s="2475"/>
      <c r="O309" s="75"/>
    </row>
    <row r="310" spans="1:18" s="1" customFormat="1" ht="42" customHeight="1" x14ac:dyDescent="0.2">
      <c r="A310" s="3017" t="s">
        <v>39</v>
      </c>
      <c r="B310" s="3017" t="s">
        <v>467</v>
      </c>
      <c r="C310" s="3192" t="s">
        <v>262</v>
      </c>
      <c r="D310" s="3192"/>
      <c r="E310" s="3017" t="s">
        <v>263</v>
      </c>
      <c r="F310" s="3017"/>
      <c r="G310" s="3193" t="s">
        <v>468</v>
      </c>
      <c r="H310" s="3193"/>
      <c r="I310" s="3194" t="s">
        <v>264</v>
      </c>
      <c r="J310" s="3194"/>
      <c r="K310" s="3184" t="s">
        <v>720</v>
      </c>
      <c r="L310" s="3184"/>
      <c r="M310" s="3185" t="s">
        <v>564</v>
      </c>
      <c r="N310" s="3185"/>
      <c r="O310" s="3196"/>
      <c r="P310" s="3196"/>
    </row>
    <row r="311" spans="1:18" s="1" customFormat="1" ht="48" customHeight="1" x14ac:dyDescent="0.2">
      <c r="A311" s="3017"/>
      <c r="B311" s="3017"/>
      <c r="C311" s="812" t="s">
        <v>5</v>
      </c>
      <c r="D311" s="812" t="s">
        <v>25</v>
      </c>
      <c r="E311" s="804" t="s">
        <v>5</v>
      </c>
      <c r="F311" s="804" t="s">
        <v>25</v>
      </c>
      <c r="G311" s="990" t="s">
        <v>711</v>
      </c>
      <c r="H311" s="990" t="s">
        <v>640</v>
      </c>
      <c r="I311" s="804" t="s">
        <v>5</v>
      </c>
      <c r="J311" s="804" t="s">
        <v>25</v>
      </c>
      <c r="K311" s="804" t="s">
        <v>5</v>
      </c>
      <c r="L311" s="804" t="s">
        <v>25</v>
      </c>
      <c r="M311" s="808" t="s">
        <v>5</v>
      </c>
      <c r="N311" s="808" t="s">
        <v>25</v>
      </c>
      <c r="O311" s="75"/>
    </row>
    <row r="312" spans="1:18" s="1" customFormat="1" ht="39" customHeight="1" x14ac:dyDescent="0.2">
      <c r="A312" s="51">
        <v>1</v>
      </c>
      <c r="B312" s="51" t="s">
        <v>469</v>
      </c>
      <c r="C312" s="811">
        <v>3</v>
      </c>
      <c r="D312" s="811">
        <v>3</v>
      </c>
      <c r="E312" s="805"/>
      <c r="F312" s="805"/>
      <c r="G312" s="806"/>
      <c r="H312" s="806"/>
      <c r="I312" s="806"/>
      <c r="J312" s="805"/>
      <c r="K312" s="805">
        <v>3</v>
      </c>
      <c r="L312" s="805">
        <v>3</v>
      </c>
      <c r="M312" s="954">
        <f t="shared" ref="M312:N319" si="23">C312-K312</f>
        <v>0</v>
      </c>
      <c r="N312" s="954">
        <f t="shared" si="23"/>
        <v>0</v>
      </c>
      <c r="O312" s="75"/>
    </row>
    <row r="313" spans="1:18" s="1" customFormat="1" ht="39" customHeight="1" x14ac:dyDescent="0.2">
      <c r="A313" s="51">
        <v>2</v>
      </c>
      <c r="B313" s="51" t="s">
        <v>470</v>
      </c>
      <c r="C313" s="811">
        <v>4</v>
      </c>
      <c r="D313" s="811">
        <v>5</v>
      </c>
      <c r="E313" s="805"/>
      <c r="F313" s="805"/>
      <c r="G313" s="806"/>
      <c r="H313" s="806"/>
      <c r="I313" s="806"/>
      <c r="J313" s="805"/>
      <c r="K313" s="805">
        <v>5</v>
      </c>
      <c r="L313" s="805">
        <v>5</v>
      </c>
      <c r="M313" s="954">
        <f t="shared" si="23"/>
        <v>-1</v>
      </c>
      <c r="N313" s="954">
        <f t="shared" si="23"/>
        <v>0</v>
      </c>
      <c r="O313" s="953"/>
    </row>
    <row r="314" spans="1:18" s="1" customFormat="1" ht="39" customHeight="1" x14ac:dyDescent="0.2">
      <c r="A314" s="51">
        <v>3</v>
      </c>
      <c r="B314" s="51" t="s">
        <v>471</v>
      </c>
      <c r="C314" s="811">
        <v>27</v>
      </c>
      <c r="D314" s="811">
        <v>30</v>
      </c>
      <c r="E314" s="805"/>
      <c r="F314" s="805"/>
      <c r="G314" s="806">
        <v>3</v>
      </c>
      <c r="H314" s="806"/>
      <c r="I314" s="806">
        <v>2</v>
      </c>
      <c r="J314" s="805"/>
      <c r="K314" s="805">
        <v>25</v>
      </c>
      <c r="L314" s="805">
        <v>28</v>
      </c>
      <c r="M314" s="954">
        <f t="shared" si="23"/>
        <v>2</v>
      </c>
      <c r="N314" s="954">
        <f t="shared" si="23"/>
        <v>2</v>
      </c>
      <c r="O314" s="953"/>
    </row>
    <row r="315" spans="1:18" s="1" customFormat="1" ht="39" customHeight="1" x14ac:dyDescent="0.2">
      <c r="A315" s="51">
        <v>4</v>
      </c>
      <c r="B315" s="51" t="s">
        <v>472</v>
      </c>
      <c r="C315" s="811">
        <v>15</v>
      </c>
      <c r="D315" s="811">
        <v>23</v>
      </c>
      <c r="E315" s="805"/>
      <c r="F315" s="805"/>
      <c r="G315" s="806">
        <v>1</v>
      </c>
      <c r="H315" s="806"/>
      <c r="I315" s="806"/>
      <c r="J315" s="805"/>
      <c r="K315" s="805">
        <v>15</v>
      </c>
      <c r="L315" s="805">
        <v>21</v>
      </c>
      <c r="M315" s="954">
        <f t="shared" si="23"/>
        <v>0</v>
      </c>
      <c r="N315" s="954">
        <f t="shared" si="23"/>
        <v>2</v>
      </c>
      <c r="O315" s="953"/>
    </row>
    <row r="316" spans="1:18" s="1" customFormat="1" ht="39" customHeight="1" x14ac:dyDescent="0.2">
      <c r="A316" s="51">
        <v>5</v>
      </c>
      <c r="B316" s="51" t="s">
        <v>473</v>
      </c>
      <c r="C316" s="811">
        <v>45</v>
      </c>
      <c r="D316" s="811">
        <v>33</v>
      </c>
      <c r="E316" s="805">
        <v>2</v>
      </c>
      <c r="F316" s="805">
        <v>4</v>
      </c>
      <c r="G316" s="806">
        <v>4</v>
      </c>
      <c r="H316" s="806"/>
      <c r="I316" s="806">
        <v>3</v>
      </c>
      <c r="J316" s="805">
        <v>3</v>
      </c>
      <c r="K316" s="805">
        <v>43</v>
      </c>
      <c r="L316" s="805">
        <v>35</v>
      </c>
      <c r="M316" s="954">
        <f t="shared" si="23"/>
        <v>2</v>
      </c>
      <c r="N316" s="954">
        <f t="shared" si="23"/>
        <v>-2</v>
      </c>
      <c r="O316" s="953"/>
    </row>
    <row r="317" spans="1:18" s="1" customFormat="1" ht="39" customHeight="1" x14ac:dyDescent="0.2">
      <c r="A317" s="51">
        <v>6</v>
      </c>
      <c r="B317" s="51" t="s">
        <v>474</v>
      </c>
      <c r="C317" s="811">
        <v>6</v>
      </c>
      <c r="D317" s="811">
        <v>6</v>
      </c>
      <c r="E317" s="805"/>
      <c r="F317" s="805"/>
      <c r="G317" s="806"/>
      <c r="H317" s="806"/>
      <c r="I317" s="806"/>
      <c r="J317" s="805"/>
      <c r="K317" s="805">
        <v>6</v>
      </c>
      <c r="L317" s="805">
        <v>6</v>
      </c>
      <c r="M317" s="954">
        <f t="shared" si="23"/>
        <v>0</v>
      </c>
      <c r="N317" s="954">
        <f t="shared" si="23"/>
        <v>0</v>
      </c>
      <c r="O317" s="953"/>
    </row>
    <row r="318" spans="1:18" s="1" customFormat="1" ht="39" customHeight="1" x14ac:dyDescent="0.2">
      <c r="A318" s="51">
        <v>7</v>
      </c>
      <c r="B318" s="51" t="s">
        <v>475</v>
      </c>
      <c r="C318" s="811">
        <v>2</v>
      </c>
      <c r="D318" s="811">
        <v>2</v>
      </c>
      <c r="E318" s="805"/>
      <c r="F318" s="805"/>
      <c r="G318" s="806"/>
      <c r="H318" s="806"/>
      <c r="I318" s="806"/>
      <c r="J318" s="805"/>
      <c r="K318" s="805">
        <v>2</v>
      </c>
      <c r="L318" s="805">
        <v>2</v>
      </c>
      <c r="M318" s="954">
        <f t="shared" si="23"/>
        <v>0</v>
      </c>
      <c r="N318" s="954">
        <f t="shared" si="23"/>
        <v>0</v>
      </c>
      <c r="O318" s="953"/>
    </row>
    <row r="319" spans="1:18" s="1" customFormat="1" ht="39" customHeight="1" x14ac:dyDescent="0.2">
      <c r="A319" s="3017" t="s">
        <v>476</v>
      </c>
      <c r="B319" s="3017"/>
      <c r="C319" s="813">
        <f t="shared" ref="C319:L319" si="24">SUM(C312:C318)</f>
        <v>102</v>
      </c>
      <c r="D319" s="813">
        <f t="shared" si="24"/>
        <v>102</v>
      </c>
      <c r="E319" s="807">
        <f t="shared" si="24"/>
        <v>2</v>
      </c>
      <c r="F319" s="807">
        <f t="shared" si="24"/>
        <v>4</v>
      </c>
      <c r="G319" s="807">
        <f t="shared" si="24"/>
        <v>8</v>
      </c>
      <c r="H319" s="807">
        <f t="shared" si="24"/>
        <v>0</v>
      </c>
      <c r="I319" s="807">
        <f t="shared" si="24"/>
        <v>5</v>
      </c>
      <c r="J319" s="807">
        <f t="shared" si="24"/>
        <v>3</v>
      </c>
      <c r="K319" s="813">
        <f t="shared" si="24"/>
        <v>99</v>
      </c>
      <c r="L319" s="813">
        <f t="shared" si="24"/>
        <v>100</v>
      </c>
      <c r="M319" s="814">
        <f t="shared" si="23"/>
        <v>3</v>
      </c>
      <c r="N319" s="814">
        <f t="shared" si="23"/>
        <v>2</v>
      </c>
      <c r="O319" s="953"/>
    </row>
    <row r="320" spans="1:18" s="1" customFormat="1" ht="4" customHeight="1" x14ac:dyDescent="0.2">
      <c r="A320" s="67"/>
      <c r="B320" s="67"/>
      <c r="C320" s="1057"/>
      <c r="D320" s="1057"/>
      <c r="E320" s="1058"/>
      <c r="F320" s="1058"/>
      <c r="G320" s="1058"/>
      <c r="H320" s="1058"/>
      <c r="I320" s="1058"/>
      <c r="J320" s="1058"/>
      <c r="K320" s="1057"/>
      <c r="L320" s="1057"/>
      <c r="M320" s="1059"/>
      <c r="N320" s="1059"/>
      <c r="O320" s="953"/>
    </row>
    <row r="321" spans="1:15" s="1" customFormat="1" ht="41" customHeight="1" x14ac:dyDescent="0.2">
      <c r="A321" s="51">
        <v>8</v>
      </c>
      <c r="B321" s="51" t="s">
        <v>663</v>
      </c>
      <c r="C321" s="805">
        <v>62</v>
      </c>
      <c r="D321" s="805"/>
      <c r="E321" s="805"/>
      <c r="F321" s="805"/>
      <c r="G321" s="806"/>
      <c r="H321" s="806"/>
      <c r="I321" s="806"/>
      <c r="J321" s="805"/>
      <c r="K321" s="805"/>
      <c r="L321" s="805"/>
      <c r="M321" s="1060">
        <v>62</v>
      </c>
      <c r="N321" s="1060">
        <f>C321-M321</f>
        <v>0</v>
      </c>
      <c r="O321" s="953"/>
    </row>
    <row r="322" spans="1:15" s="1" customFormat="1" ht="41" customHeight="1" x14ac:dyDescent="0.2">
      <c r="A322" s="51">
        <v>9</v>
      </c>
      <c r="B322" s="51" t="s">
        <v>665</v>
      </c>
      <c r="C322" s="805">
        <v>26</v>
      </c>
      <c r="D322" s="805"/>
      <c r="E322" s="805"/>
      <c r="F322" s="805"/>
      <c r="G322" s="806"/>
      <c r="H322" s="806"/>
      <c r="I322" s="806"/>
      <c r="J322" s="805"/>
      <c r="K322" s="805"/>
      <c r="L322" s="805"/>
      <c r="M322" s="1060">
        <f>C322-K322</f>
        <v>26</v>
      </c>
      <c r="N322" s="1060">
        <f>C322-M322</f>
        <v>0</v>
      </c>
      <c r="O322" s="953"/>
    </row>
    <row r="323" spans="1:15" s="1" customFormat="1" ht="41" customHeight="1" x14ac:dyDescent="0.2">
      <c r="A323" s="51">
        <v>10</v>
      </c>
      <c r="B323" s="51" t="s">
        <v>666</v>
      </c>
      <c r="C323" s="805">
        <v>24</v>
      </c>
      <c r="D323" s="805"/>
      <c r="E323" s="805"/>
      <c r="F323" s="805"/>
      <c r="G323" s="806"/>
      <c r="H323" s="806"/>
      <c r="I323" s="806"/>
      <c r="J323" s="805"/>
      <c r="K323" s="805"/>
      <c r="L323" s="805"/>
      <c r="M323" s="1060">
        <f>C323-K323</f>
        <v>24</v>
      </c>
      <c r="N323" s="1060">
        <f>C323-M323</f>
        <v>0</v>
      </c>
      <c r="O323" s="953"/>
    </row>
    <row r="324" spans="1:15" s="1" customFormat="1" ht="27" customHeight="1" x14ac:dyDescent="0.2">
      <c r="A324" s="3161" t="s">
        <v>32</v>
      </c>
      <c r="B324" s="3161"/>
      <c r="C324" s="3161"/>
      <c r="D324" s="3161"/>
      <c r="E324" s="3161"/>
      <c r="F324" s="3161"/>
      <c r="G324" s="3161"/>
      <c r="H324" s="3161"/>
      <c r="I324" s="3161"/>
      <c r="J324" s="3161"/>
      <c r="K324" s="3161"/>
      <c r="L324" s="3161"/>
      <c r="M324" s="3161"/>
      <c r="N324" s="3161"/>
      <c r="O324" s="953"/>
    </row>
    <row r="325" spans="1:15" s="1" customFormat="1" ht="43" customHeight="1" x14ac:dyDescent="0.2">
      <c r="A325" s="3183" t="s">
        <v>722</v>
      </c>
      <c r="B325" s="3183"/>
      <c r="C325" s="3183"/>
      <c r="D325" s="3183"/>
      <c r="E325" s="3183"/>
      <c r="F325" s="3183"/>
      <c r="G325" s="3183"/>
      <c r="H325" s="3183"/>
      <c r="I325" s="3183"/>
      <c r="J325" s="3183"/>
      <c r="K325" s="3183"/>
      <c r="L325" s="3183"/>
      <c r="M325" s="3183"/>
      <c r="N325" s="3183"/>
      <c r="O325" s="942"/>
    </row>
    <row r="326" spans="1:15" s="1" customFormat="1" ht="43" customHeight="1" x14ac:dyDescent="0.2">
      <c r="A326" s="3183" t="s">
        <v>746</v>
      </c>
      <c r="B326" s="3183"/>
      <c r="C326" s="3183"/>
      <c r="D326" s="3183"/>
      <c r="E326" s="3183"/>
      <c r="F326" s="3183"/>
      <c r="G326" s="3183"/>
      <c r="H326" s="3183"/>
      <c r="I326" s="3183"/>
      <c r="J326" s="3183"/>
      <c r="K326" s="3183"/>
      <c r="L326" s="3183"/>
      <c r="M326" s="3183"/>
      <c r="N326" s="3183"/>
      <c r="O326" s="942"/>
    </row>
    <row r="327" spans="1:15" s="1" customFormat="1" ht="30" customHeight="1" x14ac:dyDescent="0.2">
      <c r="A327" s="3021" t="s">
        <v>769</v>
      </c>
      <c r="B327" s="3182"/>
      <c r="C327" s="3182"/>
      <c r="D327" s="3182"/>
      <c r="E327" s="3182"/>
      <c r="F327" s="3182"/>
      <c r="G327" s="3182"/>
      <c r="H327" s="3182"/>
      <c r="I327" s="3182"/>
      <c r="J327" s="3182"/>
      <c r="K327" s="3182"/>
      <c r="L327" s="3182"/>
      <c r="M327" s="3182"/>
      <c r="N327" s="3182"/>
      <c r="O327" s="942"/>
    </row>
    <row r="328" spans="1:15" s="1" customFormat="1" ht="30" customHeight="1" x14ac:dyDescent="0.2">
      <c r="A328" s="3183" t="s">
        <v>768</v>
      </c>
      <c r="B328" s="3183"/>
      <c r="C328" s="3183"/>
      <c r="D328" s="3183"/>
      <c r="E328" s="3183"/>
      <c r="F328" s="3183"/>
      <c r="G328" s="3183"/>
      <c r="H328" s="3183"/>
      <c r="I328" s="3183"/>
      <c r="J328" s="3183"/>
      <c r="K328" s="3183"/>
      <c r="L328" s="3183"/>
      <c r="M328" s="3183"/>
      <c r="N328" s="3183"/>
      <c r="O328" s="942"/>
    </row>
    <row r="329" spans="1:15" s="1" customFormat="1" ht="26" customHeight="1" x14ac:dyDescent="0.2">
      <c r="A329" s="42" t="s">
        <v>705</v>
      </c>
      <c r="B329" s="42"/>
      <c r="E329" s="43"/>
      <c r="F329" s="43"/>
      <c r="H329" s="78"/>
      <c r="I329" s="447"/>
      <c r="J329" s="71"/>
      <c r="K329" s="71"/>
      <c r="N329" s="209"/>
      <c r="O329" s="75"/>
    </row>
    <row r="330" spans="1:15" s="1" customFormat="1" ht="39" customHeight="1" x14ac:dyDescent="0.2">
      <c r="A330" s="2665" t="s">
        <v>34</v>
      </c>
      <c r="B330" s="3174" t="s">
        <v>6</v>
      </c>
      <c r="C330" s="3174"/>
      <c r="D330" s="2602" t="s">
        <v>7</v>
      </c>
      <c r="E330" s="3174" t="s">
        <v>8</v>
      </c>
      <c r="F330" s="3174"/>
      <c r="G330" s="3174"/>
      <c r="H330" s="3039" t="s">
        <v>9</v>
      </c>
      <c r="I330" s="2602" t="s">
        <v>10</v>
      </c>
      <c r="J330" s="8" t="s">
        <v>35</v>
      </c>
      <c r="K330" s="8" t="s">
        <v>12</v>
      </c>
      <c r="L330" s="7" t="s">
        <v>13</v>
      </c>
      <c r="M330" s="7" t="s">
        <v>14</v>
      </c>
      <c r="N330" s="8" t="s">
        <v>15</v>
      </c>
      <c r="O330" s="75"/>
    </row>
    <row r="331" spans="1:15" s="1" customFormat="1" ht="28" customHeight="1" x14ac:dyDescent="0.2">
      <c r="A331" s="2665"/>
      <c r="B331" s="8" t="s">
        <v>36</v>
      </c>
      <c r="C331" s="7" t="s">
        <v>17</v>
      </c>
      <c r="D331" s="2602"/>
      <c r="E331" s="9" t="s">
        <v>18</v>
      </c>
      <c r="F331" s="9" t="s">
        <v>19</v>
      </c>
      <c r="G331" s="7" t="s">
        <v>20</v>
      </c>
      <c r="H331" s="3039"/>
      <c r="I331" s="2602"/>
      <c r="J331" s="8" t="s">
        <v>21</v>
      </c>
      <c r="K331" s="8" t="s">
        <v>22</v>
      </c>
      <c r="L331" s="3174" t="s">
        <v>22</v>
      </c>
      <c r="M331" s="3174"/>
      <c r="N331" s="8" t="s">
        <v>23</v>
      </c>
      <c r="O331" s="75"/>
    </row>
    <row r="332" spans="1:15" s="1" customFormat="1" ht="28" customHeight="1" x14ac:dyDescent="0.2">
      <c r="A332" s="3208" t="s">
        <v>753</v>
      </c>
      <c r="B332" s="2551" t="s">
        <v>412</v>
      </c>
      <c r="C332" s="12" t="s">
        <v>21</v>
      </c>
      <c r="D332" s="14">
        <f>I332*J332*100/K333</f>
        <v>26712.244897959183</v>
      </c>
      <c r="E332" s="14">
        <f>E333*H332/100</f>
        <v>23298.42</v>
      </c>
      <c r="F332" s="14">
        <f>F333*H332/100</f>
        <v>1570.68</v>
      </c>
      <c r="G332" s="14">
        <f>G333*H332/100</f>
        <v>1308.9000000000001</v>
      </c>
      <c r="H332" s="853">
        <f>J332*I332</f>
        <v>26178</v>
      </c>
      <c r="I332" s="434">
        <v>2</v>
      </c>
      <c r="J332" s="357">
        <v>13089</v>
      </c>
      <c r="K332" s="348"/>
      <c r="L332" s="28"/>
      <c r="M332" s="28"/>
      <c r="N332" s="348">
        <v>40</v>
      </c>
      <c r="O332" s="75"/>
    </row>
    <row r="333" spans="1:15" s="1" customFormat="1" ht="28" customHeight="1" x14ac:dyDescent="0.2">
      <c r="A333" s="3208"/>
      <c r="B333" s="2551"/>
      <c r="C333" s="12" t="s">
        <v>22</v>
      </c>
      <c r="D333" s="13"/>
      <c r="E333" s="16">
        <v>89</v>
      </c>
      <c r="F333" s="16">
        <v>6</v>
      </c>
      <c r="G333" s="16">
        <v>5</v>
      </c>
      <c r="H333" s="396">
        <v>100</v>
      </c>
      <c r="I333" s="435"/>
      <c r="J333" s="362"/>
      <c r="K333" s="365">
        <v>98</v>
      </c>
      <c r="L333" s="2933">
        <v>2</v>
      </c>
      <c r="M333" s="2933"/>
      <c r="N333" s="348"/>
      <c r="O333" s="75"/>
    </row>
    <row r="334" spans="1:15" s="1" customFormat="1" ht="28" customHeight="1" x14ac:dyDescent="0.2">
      <c r="A334" s="3208" t="s">
        <v>754</v>
      </c>
      <c r="B334" s="2551" t="s">
        <v>412</v>
      </c>
      <c r="C334" s="12" t="s">
        <v>21</v>
      </c>
      <c r="D334" s="14">
        <f>I334*J334*100/K335</f>
        <v>265616.32653061225</v>
      </c>
      <c r="E334" s="14">
        <f>E335*H334/100</f>
        <v>231670.56</v>
      </c>
      <c r="F334" s="14">
        <f>F335*H334/100</f>
        <v>15618.24</v>
      </c>
      <c r="G334" s="14">
        <f>G335*H334/100</f>
        <v>13015.2</v>
      </c>
      <c r="H334" s="853">
        <f>J334*I334</f>
        <v>260304</v>
      </c>
      <c r="I334" s="434">
        <v>17</v>
      </c>
      <c r="J334" s="357">
        <v>15312</v>
      </c>
      <c r="K334" s="348"/>
      <c r="L334" s="28"/>
      <c r="M334" s="28"/>
      <c r="N334" s="348"/>
      <c r="O334" s="75"/>
    </row>
    <row r="335" spans="1:15" s="1" customFormat="1" ht="28" customHeight="1" x14ac:dyDescent="0.2">
      <c r="A335" s="3208"/>
      <c r="B335" s="2551"/>
      <c r="C335" s="12" t="s">
        <v>22</v>
      </c>
      <c r="D335" s="13"/>
      <c r="E335" s="16">
        <v>89</v>
      </c>
      <c r="F335" s="16">
        <v>6</v>
      </c>
      <c r="G335" s="16">
        <v>5</v>
      </c>
      <c r="H335" s="396">
        <v>100</v>
      </c>
      <c r="I335" s="435"/>
      <c r="J335" s="362"/>
      <c r="K335" s="365">
        <v>98</v>
      </c>
      <c r="L335" s="2933">
        <v>2</v>
      </c>
      <c r="M335" s="2933"/>
      <c r="N335" s="348">
        <v>40</v>
      </c>
      <c r="O335" s="75"/>
    </row>
    <row r="336" spans="1:15" s="1" customFormat="1" ht="26" customHeight="1" x14ac:dyDescent="0.2">
      <c r="A336" s="3032" t="s">
        <v>606</v>
      </c>
      <c r="B336" s="3032"/>
      <c r="C336" s="31" t="s">
        <v>21</v>
      </c>
      <c r="D336" s="842">
        <f t="shared" ref="D336:I336" si="25">D332+D334</f>
        <v>292328.57142857142</v>
      </c>
      <c r="E336" s="842">
        <f t="shared" si="25"/>
        <v>254968.97999999998</v>
      </c>
      <c r="F336" s="842">
        <f t="shared" si="25"/>
        <v>17188.919999999998</v>
      </c>
      <c r="G336" s="842">
        <f t="shared" si="25"/>
        <v>14324.1</v>
      </c>
      <c r="H336" s="842">
        <f t="shared" si="25"/>
        <v>286482</v>
      </c>
      <c r="I336" s="34">
        <f t="shared" si="25"/>
        <v>19</v>
      </c>
      <c r="J336" s="842">
        <f>H336/I336</f>
        <v>15078</v>
      </c>
      <c r="K336" s="368"/>
      <c r="L336" s="826"/>
      <c r="M336" s="826"/>
      <c r="N336" s="367"/>
      <c r="O336" s="75"/>
    </row>
    <row r="337" spans="1:15" s="1" customFormat="1" ht="26" customHeight="1" x14ac:dyDescent="0.2">
      <c r="A337" s="3032"/>
      <c r="B337" s="3032"/>
      <c r="C337" s="31" t="s">
        <v>22</v>
      </c>
      <c r="D337" s="32"/>
      <c r="E337" s="975">
        <f>+E336/H336*100</f>
        <v>88.999999999999986</v>
      </c>
      <c r="F337" s="975">
        <f>+F336/H336*100</f>
        <v>5.9999999999999991</v>
      </c>
      <c r="G337" s="975">
        <f>+G336/H336*100</f>
        <v>5</v>
      </c>
      <c r="H337" s="397">
        <v>100</v>
      </c>
      <c r="I337" s="436"/>
      <c r="J337" s="358"/>
      <c r="K337" s="976">
        <f>+H336/D336*100</f>
        <v>98</v>
      </c>
      <c r="L337" s="3033">
        <f>100-K337</f>
        <v>2</v>
      </c>
      <c r="M337" s="3033"/>
      <c r="N337" s="367"/>
      <c r="O337" s="75"/>
    </row>
    <row r="338" spans="1:15" s="1" customFormat="1" ht="26" customHeight="1" x14ac:dyDescent="0.2">
      <c r="A338" s="2665" t="s">
        <v>25</v>
      </c>
      <c r="B338" s="2551" t="s">
        <v>492</v>
      </c>
      <c r="C338" s="12" t="s">
        <v>21</v>
      </c>
      <c r="D338" s="14">
        <f>I338*J338*100/K339</f>
        <v>427346.93877551018</v>
      </c>
      <c r="E338" s="14">
        <f>E339*H338/100</f>
        <v>372732</v>
      </c>
      <c r="F338" s="14">
        <f>F339*H338/100</f>
        <v>33504</v>
      </c>
      <c r="G338" s="14">
        <f>G339*H338/100</f>
        <v>12564</v>
      </c>
      <c r="H338" s="853">
        <f>J338*I338</f>
        <v>418800</v>
      </c>
      <c r="I338" s="434">
        <v>30</v>
      </c>
      <c r="J338" s="357">
        <v>13960</v>
      </c>
      <c r="K338" s="348"/>
      <c r="L338" s="28"/>
      <c r="M338" s="28"/>
      <c r="N338" s="348">
        <v>40</v>
      </c>
      <c r="O338" s="75"/>
    </row>
    <row r="339" spans="1:15" s="1" customFormat="1" ht="26" customHeight="1" x14ac:dyDescent="0.2">
      <c r="A339" s="2665"/>
      <c r="B339" s="2551"/>
      <c r="C339" s="12" t="s">
        <v>22</v>
      </c>
      <c r="D339" s="13"/>
      <c r="E339" s="16">
        <v>89</v>
      </c>
      <c r="F339" s="16">
        <v>8</v>
      </c>
      <c r="G339" s="16">
        <v>3</v>
      </c>
      <c r="H339" s="396">
        <v>100</v>
      </c>
      <c r="I339" s="435"/>
      <c r="J339" s="362"/>
      <c r="K339" s="365">
        <v>98</v>
      </c>
      <c r="L339" s="2933">
        <v>2</v>
      </c>
      <c r="M339" s="2933"/>
      <c r="N339" s="348"/>
      <c r="O339" s="75"/>
    </row>
    <row r="340" spans="1:15" s="1" customFormat="1" ht="26" hidden="1" customHeight="1" x14ac:dyDescent="0.2">
      <c r="A340" s="2665"/>
      <c r="B340" s="2551" t="s">
        <v>596</v>
      </c>
      <c r="C340" s="12" t="s">
        <v>21</v>
      </c>
      <c r="D340" s="14">
        <f>I340*J340*100/K341</f>
        <v>0</v>
      </c>
      <c r="E340" s="14">
        <f>E341*H340/100</f>
        <v>0</v>
      </c>
      <c r="F340" s="14">
        <f>F341*H340/100</f>
        <v>0</v>
      </c>
      <c r="G340" s="14">
        <f>G341*H340/100</f>
        <v>0</v>
      </c>
      <c r="H340" s="853">
        <f>J340*I340</f>
        <v>0</v>
      </c>
      <c r="I340" s="434"/>
      <c r="J340" s="357"/>
      <c r="K340" s="348"/>
      <c r="L340" s="28"/>
      <c r="M340" s="28"/>
      <c r="N340" s="348">
        <v>100</v>
      </c>
      <c r="O340" s="75"/>
    </row>
    <row r="341" spans="1:15" s="1" customFormat="1" ht="26" hidden="1" customHeight="1" x14ac:dyDescent="0.2">
      <c r="A341" s="2665"/>
      <c r="B341" s="2551"/>
      <c r="C341" s="12" t="s">
        <v>22</v>
      </c>
      <c r="D341" s="13"/>
      <c r="E341" s="16">
        <v>89</v>
      </c>
      <c r="F341" s="16">
        <v>5</v>
      </c>
      <c r="G341" s="16">
        <v>6</v>
      </c>
      <c r="H341" s="396">
        <v>100</v>
      </c>
      <c r="I341" s="435"/>
      <c r="J341" s="362"/>
      <c r="K341" s="365">
        <v>98</v>
      </c>
      <c r="L341" s="2933">
        <v>2</v>
      </c>
      <c r="M341" s="2933"/>
      <c r="N341" s="348"/>
      <c r="O341" s="75"/>
    </row>
    <row r="342" spans="1:15" s="1" customFormat="1" ht="26" hidden="1" customHeight="1" x14ac:dyDescent="0.2">
      <c r="A342" s="2665"/>
      <c r="B342" s="2551" t="s">
        <v>492</v>
      </c>
      <c r="C342" s="12" t="s">
        <v>21</v>
      </c>
      <c r="D342" s="14">
        <f>I342*J342*100/K343</f>
        <v>0</v>
      </c>
      <c r="E342" s="14">
        <f>E343*H342/100</f>
        <v>0</v>
      </c>
      <c r="F342" s="14">
        <f>F343*H342/100</f>
        <v>0</v>
      </c>
      <c r="G342" s="14">
        <f>G343*H342/100</f>
        <v>0</v>
      </c>
      <c r="H342" s="853">
        <f>J342*I342</f>
        <v>0</v>
      </c>
      <c r="I342" s="434"/>
      <c r="J342" s="357"/>
      <c r="K342" s="348"/>
      <c r="L342" s="28"/>
      <c r="M342" s="28"/>
      <c r="N342" s="348">
        <v>40</v>
      </c>
      <c r="O342" s="75"/>
    </row>
    <row r="343" spans="1:15" s="1" customFormat="1" ht="27" hidden="1" customHeight="1" x14ac:dyDescent="0.2">
      <c r="A343" s="2665"/>
      <c r="B343" s="2551"/>
      <c r="C343" s="12" t="s">
        <v>22</v>
      </c>
      <c r="D343" s="13"/>
      <c r="E343" s="16">
        <v>89</v>
      </c>
      <c r="F343" s="16">
        <v>8</v>
      </c>
      <c r="G343" s="16">
        <v>3</v>
      </c>
      <c r="H343" s="396">
        <v>100</v>
      </c>
      <c r="I343" s="435"/>
      <c r="J343" s="362"/>
      <c r="K343" s="365">
        <v>98</v>
      </c>
      <c r="L343" s="2933">
        <v>2</v>
      </c>
      <c r="M343" s="2933"/>
      <c r="N343" s="348"/>
      <c r="O343" s="75"/>
    </row>
    <row r="344" spans="1:15" s="1" customFormat="1" ht="27" hidden="1" customHeight="1" x14ac:dyDescent="0.2">
      <c r="A344" s="3414" t="s">
        <v>607</v>
      </c>
      <c r="B344" s="3032"/>
      <c r="C344" s="31" t="s">
        <v>21</v>
      </c>
      <c r="D344" s="842">
        <f t="shared" ref="D344:I344" si="26">D338+D340+D342</f>
        <v>427346.93877551018</v>
      </c>
      <c r="E344" s="842">
        <f t="shared" si="26"/>
        <v>372732</v>
      </c>
      <c r="F344" s="842">
        <f t="shared" si="26"/>
        <v>33504</v>
      </c>
      <c r="G344" s="842">
        <f t="shared" si="26"/>
        <v>12564</v>
      </c>
      <c r="H344" s="842">
        <f t="shared" si="26"/>
        <v>418800</v>
      </c>
      <c r="I344" s="34">
        <f t="shared" si="26"/>
        <v>30</v>
      </c>
      <c r="J344" s="842">
        <f>H344/I344</f>
        <v>13960</v>
      </c>
      <c r="K344" s="368"/>
      <c r="L344" s="826"/>
      <c r="M344" s="826"/>
      <c r="N344" s="346"/>
      <c r="O344" s="75"/>
    </row>
    <row r="345" spans="1:15" s="1" customFormat="1" ht="27" hidden="1" customHeight="1" thickBot="1" x14ac:dyDescent="0.25">
      <c r="A345" s="3415"/>
      <c r="B345" s="3416"/>
      <c r="C345" s="1077" t="s">
        <v>22</v>
      </c>
      <c r="D345" s="1078"/>
      <c r="E345" s="1079">
        <f>+E344/H344*100</f>
        <v>89</v>
      </c>
      <c r="F345" s="1079">
        <f>+F344/H344*100</f>
        <v>8</v>
      </c>
      <c r="G345" s="1079">
        <f>+G344/H344*100</f>
        <v>3</v>
      </c>
      <c r="H345" s="1080">
        <v>100</v>
      </c>
      <c r="I345" s="1081"/>
      <c r="J345" s="1082"/>
      <c r="K345" s="1083">
        <f>+H344/D344*100</f>
        <v>98.000000000000014</v>
      </c>
      <c r="L345" s="3417">
        <f>100-K345</f>
        <v>1.9999999999999858</v>
      </c>
      <c r="M345" s="3417"/>
      <c r="N345" s="1113"/>
      <c r="O345" s="75"/>
    </row>
    <row r="346" spans="1:15" s="1" customFormat="1" ht="27" customHeight="1" x14ac:dyDescent="0.2">
      <c r="A346" s="3034" t="s">
        <v>608</v>
      </c>
      <c r="B346" s="3034"/>
      <c r="C346" s="977" t="s">
        <v>21</v>
      </c>
      <c r="D346" s="978">
        <f t="shared" ref="D346:I346" si="27">D344+D336</f>
        <v>719675.51020408166</v>
      </c>
      <c r="E346" s="978">
        <f t="shared" si="27"/>
        <v>627700.98</v>
      </c>
      <c r="F346" s="978">
        <f t="shared" si="27"/>
        <v>50692.92</v>
      </c>
      <c r="G346" s="978">
        <f t="shared" si="27"/>
        <v>26888.1</v>
      </c>
      <c r="H346" s="978">
        <f t="shared" si="27"/>
        <v>705282</v>
      </c>
      <c r="I346" s="979">
        <f t="shared" si="27"/>
        <v>49</v>
      </c>
      <c r="J346" s="978">
        <f>H346/I346</f>
        <v>14393.510204081633</v>
      </c>
      <c r="K346" s="980"/>
      <c r="L346" s="981"/>
      <c r="M346" s="981"/>
      <c r="N346" s="982"/>
      <c r="O346" s="75"/>
    </row>
    <row r="347" spans="1:15" s="1" customFormat="1" ht="27" customHeight="1" x14ac:dyDescent="0.2">
      <c r="A347" s="3034"/>
      <c r="B347" s="3034"/>
      <c r="C347" s="977" t="s">
        <v>22</v>
      </c>
      <c r="D347" s="983"/>
      <c r="E347" s="984">
        <f>+E346/H346*100</f>
        <v>89</v>
      </c>
      <c r="F347" s="984">
        <f>+F346/H346*100</f>
        <v>7.1876100623580355</v>
      </c>
      <c r="G347" s="984">
        <f>+G346/H346*100</f>
        <v>3.8123899376419641</v>
      </c>
      <c r="H347" s="985">
        <v>100</v>
      </c>
      <c r="I347" s="986"/>
      <c r="J347" s="987"/>
      <c r="K347" s="988">
        <f>+H346/D346*100</f>
        <v>98</v>
      </c>
      <c r="L347" s="3035">
        <f>100-K347</f>
        <v>2</v>
      </c>
      <c r="M347" s="3035"/>
      <c r="N347" s="982"/>
      <c r="O347" s="75"/>
    </row>
    <row r="348" spans="1:15" s="340" customFormat="1" ht="26" customHeight="1" x14ac:dyDescent="0.15">
      <c r="A348" s="2475" t="s">
        <v>706</v>
      </c>
      <c r="B348" s="2475"/>
      <c r="C348" s="2475"/>
      <c r="D348" s="2475"/>
      <c r="E348" s="2475"/>
      <c r="F348" s="2475"/>
      <c r="G348" s="2475"/>
      <c r="H348" s="2475"/>
      <c r="I348" s="2475"/>
      <c r="J348" s="2475"/>
      <c r="K348" s="2475"/>
      <c r="L348" s="2475"/>
      <c r="M348" s="2475"/>
      <c r="N348" s="2475"/>
    </row>
    <row r="349" spans="1:15" s="340" customFormat="1" ht="45" customHeight="1" x14ac:dyDescent="0.15">
      <c r="A349" s="2664" t="s">
        <v>34</v>
      </c>
      <c r="B349" s="3174" t="s">
        <v>6</v>
      </c>
      <c r="C349" s="3174"/>
      <c r="D349" s="2602" t="s">
        <v>7</v>
      </c>
      <c r="E349" s="3174" t="s">
        <v>8</v>
      </c>
      <c r="F349" s="3174"/>
      <c r="G349" s="3174"/>
      <c r="H349" s="3039" t="s">
        <v>9</v>
      </c>
      <c r="I349" s="2602" t="s">
        <v>10</v>
      </c>
      <c r="J349" s="8" t="s">
        <v>35</v>
      </c>
      <c r="K349" s="8" t="s">
        <v>12</v>
      </c>
      <c r="L349" s="7" t="s">
        <v>13</v>
      </c>
      <c r="M349" s="7" t="s">
        <v>14</v>
      </c>
      <c r="N349" s="8" t="s">
        <v>15</v>
      </c>
    </row>
    <row r="350" spans="1:15" s="340" customFormat="1" ht="35" customHeight="1" x14ac:dyDescent="0.15">
      <c r="A350" s="2664"/>
      <c r="B350" s="8" t="s">
        <v>37</v>
      </c>
      <c r="C350" s="7" t="s">
        <v>17</v>
      </c>
      <c r="D350" s="2602"/>
      <c r="E350" s="9" t="s">
        <v>18</v>
      </c>
      <c r="F350" s="9" t="s">
        <v>19</v>
      </c>
      <c r="G350" s="7" t="s">
        <v>20</v>
      </c>
      <c r="H350" s="3039"/>
      <c r="I350" s="2602"/>
      <c r="J350" s="8" t="s">
        <v>21</v>
      </c>
      <c r="K350" s="8" t="s">
        <v>22</v>
      </c>
      <c r="L350" s="3174" t="s">
        <v>22</v>
      </c>
      <c r="M350" s="3174"/>
      <c r="N350" s="8" t="s">
        <v>23</v>
      </c>
    </row>
    <row r="351" spans="1:15" s="340" customFormat="1" ht="28" customHeight="1" x14ac:dyDescent="0.15">
      <c r="A351" s="3208" t="s">
        <v>753</v>
      </c>
      <c r="B351" s="2551" t="s">
        <v>412</v>
      </c>
      <c r="C351" s="12" t="s">
        <v>21</v>
      </c>
      <c r="D351" s="14">
        <f>I351*J351*100/K352</f>
        <v>27246.489795918369</v>
      </c>
      <c r="E351" s="14">
        <f>E352*H351/100</f>
        <v>24298.419600000001</v>
      </c>
      <c r="F351" s="14">
        <f>F352*H351/100</f>
        <v>1335.0780000000002</v>
      </c>
      <c r="G351" s="14">
        <f>G352*H351/100</f>
        <v>1068.0624</v>
      </c>
      <c r="H351" s="853">
        <f>J351*I351</f>
        <v>26701.56</v>
      </c>
      <c r="I351" s="434">
        <v>2</v>
      </c>
      <c r="J351" s="357">
        <f>J332*1.02</f>
        <v>13350.78</v>
      </c>
      <c r="K351" s="348"/>
      <c r="L351" s="28"/>
      <c r="M351" s="28"/>
      <c r="N351" s="348"/>
    </row>
    <row r="352" spans="1:15" s="340" customFormat="1" ht="28" customHeight="1" x14ac:dyDescent="0.15">
      <c r="A352" s="3208"/>
      <c r="B352" s="2551"/>
      <c r="C352" s="12" t="s">
        <v>22</v>
      </c>
      <c r="D352" s="13"/>
      <c r="E352" s="16">
        <v>91</v>
      </c>
      <c r="F352" s="16">
        <v>5</v>
      </c>
      <c r="G352" s="16">
        <v>4</v>
      </c>
      <c r="H352" s="396">
        <v>100</v>
      </c>
      <c r="I352" s="435"/>
      <c r="J352" s="362"/>
      <c r="K352" s="365">
        <v>98</v>
      </c>
      <c r="L352" s="2933">
        <v>2</v>
      </c>
      <c r="M352" s="2933"/>
      <c r="N352" s="348"/>
    </row>
    <row r="353" spans="1:14" s="340" customFormat="1" ht="28" customHeight="1" x14ac:dyDescent="0.15">
      <c r="A353" s="3208" t="s">
        <v>754</v>
      </c>
      <c r="B353" s="2551" t="s">
        <v>412</v>
      </c>
      <c r="C353" s="12" t="s">
        <v>21</v>
      </c>
      <c r="D353" s="14">
        <f>I353*J353*100/K354</f>
        <v>270928.6530612245</v>
      </c>
      <c r="E353" s="14">
        <f>E354*H353/100</f>
        <v>241614.1728</v>
      </c>
      <c r="F353" s="14">
        <f>F354*H353/100</f>
        <v>13275.504000000001</v>
      </c>
      <c r="G353" s="14">
        <f>G354*H353/100</f>
        <v>10620.403200000001</v>
      </c>
      <c r="H353" s="853">
        <f>J353*I353</f>
        <v>265510.08</v>
      </c>
      <c r="I353" s="434">
        <v>17</v>
      </c>
      <c r="J353" s="357">
        <f>J334*1.02</f>
        <v>15618.24</v>
      </c>
      <c r="K353" s="348"/>
      <c r="L353" s="28"/>
      <c r="M353" s="28"/>
      <c r="N353" s="348">
        <v>25</v>
      </c>
    </row>
    <row r="354" spans="1:14" s="340" customFormat="1" ht="28" customHeight="1" x14ac:dyDescent="0.15">
      <c r="A354" s="3208"/>
      <c r="B354" s="2551"/>
      <c r="C354" s="12" t="s">
        <v>22</v>
      </c>
      <c r="D354" s="13"/>
      <c r="E354" s="16">
        <v>91</v>
      </c>
      <c r="F354" s="16">
        <v>5</v>
      </c>
      <c r="G354" s="16">
        <v>4</v>
      </c>
      <c r="H354" s="396">
        <v>100</v>
      </c>
      <c r="I354" s="435"/>
      <c r="J354" s="362"/>
      <c r="K354" s="365">
        <v>98</v>
      </c>
      <c r="L354" s="2933">
        <v>2</v>
      </c>
      <c r="M354" s="2933"/>
      <c r="N354" s="348"/>
    </row>
    <row r="355" spans="1:14" s="340" customFormat="1" ht="28" customHeight="1" x14ac:dyDescent="0.15">
      <c r="A355" s="3032" t="s">
        <v>609</v>
      </c>
      <c r="B355" s="3032"/>
      <c r="C355" s="31" t="s">
        <v>21</v>
      </c>
      <c r="D355" s="842">
        <f t="shared" ref="D355:I355" si="28">D351+D353</f>
        <v>298175.14285714284</v>
      </c>
      <c r="E355" s="842">
        <f t="shared" si="28"/>
        <v>265912.59240000002</v>
      </c>
      <c r="F355" s="842">
        <f t="shared" si="28"/>
        <v>14610.582</v>
      </c>
      <c r="G355" s="842">
        <f t="shared" si="28"/>
        <v>11688.465600000001</v>
      </c>
      <c r="H355" s="842">
        <f t="shared" si="28"/>
        <v>292211.64</v>
      </c>
      <c r="I355" s="34">
        <f t="shared" si="28"/>
        <v>19</v>
      </c>
      <c r="J355" s="842">
        <f>H355/I355</f>
        <v>15379.560000000001</v>
      </c>
      <c r="K355" s="368"/>
      <c r="L355" s="826"/>
      <c r="M355" s="826"/>
      <c r="N355" s="367">
        <v>25</v>
      </c>
    </row>
    <row r="356" spans="1:14" s="340" customFormat="1" ht="28" customHeight="1" x14ac:dyDescent="0.15">
      <c r="A356" s="3032"/>
      <c r="B356" s="3032"/>
      <c r="C356" s="31" t="s">
        <v>22</v>
      </c>
      <c r="D356" s="32"/>
      <c r="E356" s="33">
        <f>+E355/H355*100</f>
        <v>91</v>
      </c>
      <c r="F356" s="33">
        <f>+F355/H355*100</f>
        <v>5</v>
      </c>
      <c r="G356" s="33">
        <f>+G355/H355*100</f>
        <v>4</v>
      </c>
      <c r="H356" s="397">
        <v>100</v>
      </c>
      <c r="I356" s="436"/>
      <c r="J356" s="358"/>
      <c r="K356" s="976">
        <f>+H355/D355*100</f>
        <v>98.000000000000014</v>
      </c>
      <c r="L356" s="3033">
        <f>100-K356</f>
        <v>1.9999999999999858</v>
      </c>
      <c r="M356" s="3033"/>
      <c r="N356" s="367"/>
    </row>
    <row r="357" spans="1:14" s="340" customFormat="1" ht="32" customHeight="1" x14ac:dyDescent="0.15">
      <c r="A357" s="2665" t="s">
        <v>25</v>
      </c>
      <c r="B357" s="2551" t="s">
        <v>492</v>
      </c>
      <c r="C357" s="12" t="s">
        <v>21</v>
      </c>
      <c r="D357" s="14">
        <f>I357*J357*100/K358</f>
        <v>435893.87755102041</v>
      </c>
      <c r="E357" s="14">
        <f>E358*H357/100</f>
        <v>388730.16</v>
      </c>
      <c r="F357" s="14">
        <f>F358*H357/100</f>
        <v>25630.560000000001</v>
      </c>
      <c r="G357" s="14">
        <f>G358*H357/100</f>
        <v>12815.28</v>
      </c>
      <c r="H357" s="853">
        <f>J357*I357</f>
        <v>427176</v>
      </c>
      <c r="I357" s="434">
        <v>30</v>
      </c>
      <c r="J357" s="357">
        <f>J338+J338*2%</f>
        <v>14239.2</v>
      </c>
      <c r="K357" s="348"/>
      <c r="L357" s="28"/>
      <c r="M357" s="28"/>
      <c r="N357" s="348"/>
    </row>
    <row r="358" spans="1:14" s="340" customFormat="1" ht="32" customHeight="1" x14ac:dyDescent="0.15">
      <c r="A358" s="2665"/>
      <c r="B358" s="2551"/>
      <c r="C358" s="12" t="s">
        <v>22</v>
      </c>
      <c r="D358" s="13"/>
      <c r="E358" s="16">
        <v>91</v>
      </c>
      <c r="F358" s="16">
        <v>6</v>
      </c>
      <c r="G358" s="16">
        <v>3</v>
      </c>
      <c r="H358" s="396">
        <v>100</v>
      </c>
      <c r="I358" s="435"/>
      <c r="J358" s="362"/>
      <c r="K358" s="365">
        <v>98</v>
      </c>
      <c r="L358" s="2933">
        <v>2</v>
      </c>
      <c r="M358" s="2933"/>
      <c r="N358" s="348"/>
    </row>
    <row r="359" spans="1:14" s="340" customFormat="1" ht="25" hidden="1" customHeight="1" x14ac:dyDescent="0.15">
      <c r="A359" s="2665"/>
      <c r="B359" s="2551" t="s">
        <v>596</v>
      </c>
      <c r="C359" s="12" t="s">
        <v>21</v>
      </c>
      <c r="D359" s="14">
        <f>I359*J359*100/K360</f>
        <v>0</v>
      </c>
      <c r="E359" s="14">
        <f>E360*H359/100</f>
        <v>0</v>
      </c>
      <c r="F359" s="14">
        <f>F360*H359/100</f>
        <v>0</v>
      </c>
      <c r="G359" s="14">
        <f>G360*H359/100</f>
        <v>0</v>
      </c>
      <c r="H359" s="853">
        <f>J359*I359</f>
        <v>0</v>
      </c>
      <c r="I359" s="434"/>
      <c r="J359" s="357">
        <f>J340+J340*2%</f>
        <v>0</v>
      </c>
      <c r="K359" s="348"/>
      <c r="L359" s="28"/>
      <c r="M359" s="28"/>
      <c r="N359" s="348"/>
    </row>
    <row r="360" spans="1:14" s="340" customFormat="1" ht="25" hidden="1" customHeight="1" x14ac:dyDescent="0.15">
      <c r="A360" s="2665"/>
      <c r="B360" s="2551"/>
      <c r="C360" s="12" t="s">
        <v>22</v>
      </c>
      <c r="D360" s="13"/>
      <c r="E360" s="16">
        <v>90</v>
      </c>
      <c r="F360" s="16">
        <v>5</v>
      </c>
      <c r="G360" s="16">
        <v>5</v>
      </c>
      <c r="H360" s="396">
        <v>100</v>
      </c>
      <c r="I360" s="435"/>
      <c r="J360" s="362"/>
      <c r="K360" s="365">
        <v>98</v>
      </c>
      <c r="L360" s="2933">
        <v>2</v>
      </c>
      <c r="M360" s="2933"/>
      <c r="N360" s="348"/>
    </row>
    <row r="361" spans="1:14" s="340" customFormat="1" ht="25" hidden="1" customHeight="1" x14ac:dyDescent="0.15">
      <c r="A361" s="2665"/>
      <c r="B361" s="2551" t="s">
        <v>492</v>
      </c>
      <c r="C361" s="12" t="s">
        <v>21</v>
      </c>
      <c r="D361" s="14">
        <f>I361*J361*100/K362</f>
        <v>0</v>
      </c>
      <c r="E361" s="14">
        <f>E362*H361/100</f>
        <v>0</v>
      </c>
      <c r="F361" s="14">
        <f>F362*H361/100</f>
        <v>0</v>
      </c>
      <c r="G361" s="14">
        <f>G362*H361/100</f>
        <v>0</v>
      </c>
      <c r="H361" s="853">
        <f>J361*I361</f>
        <v>0</v>
      </c>
      <c r="I361" s="434"/>
      <c r="J361" s="357">
        <f>J342+J342*2%</f>
        <v>0</v>
      </c>
      <c r="K361" s="348"/>
      <c r="L361" s="28"/>
      <c r="M361" s="28"/>
      <c r="N361" s="348"/>
    </row>
    <row r="362" spans="1:14" s="340" customFormat="1" ht="26" hidden="1" customHeight="1" x14ac:dyDescent="0.15">
      <c r="A362" s="2665"/>
      <c r="B362" s="2551"/>
      <c r="C362" s="12" t="s">
        <v>22</v>
      </c>
      <c r="D362" s="13"/>
      <c r="E362" s="16">
        <v>91</v>
      </c>
      <c r="F362" s="16">
        <v>6</v>
      </c>
      <c r="G362" s="16">
        <v>3</v>
      </c>
      <c r="H362" s="396">
        <v>100</v>
      </c>
      <c r="I362" s="435"/>
      <c r="J362" s="362"/>
      <c r="K362" s="365">
        <v>98</v>
      </c>
      <c r="L362" s="2933">
        <v>2</v>
      </c>
      <c r="M362" s="2933"/>
      <c r="N362" s="348"/>
    </row>
    <row r="363" spans="1:14" s="340" customFormat="1" ht="26" hidden="1" customHeight="1" x14ac:dyDescent="0.15">
      <c r="A363" s="3414" t="s">
        <v>611</v>
      </c>
      <c r="B363" s="3032"/>
      <c r="C363" s="31" t="s">
        <v>21</v>
      </c>
      <c r="D363" s="842">
        <f t="shared" ref="D363:I363" si="29">D357+D359+D361</f>
        <v>435893.87755102041</v>
      </c>
      <c r="E363" s="842">
        <f t="shared" si="29"/>
        <v>388730.16</v>
      </c>
      <c r="F363" s="842">
        <f t="shared" si="29"/>
        <v>25630.560000000001</v>
      </c>
      <c r="G363" s="842">
        <f t="shared" si="29"/>
        <v>12815.28</v>
      </c>
      <c r="H363" s="842">
        <f t="shared" si="29"/>
        <v>427176</v>
      </c>
      <c r="I363" s="34">
        <f t="shared" si="29"/>
        <v>30</v>
      </c>
      <c r="J363" s="842">
        <f>H363/I363</f>
        <v>14239.2</v>
      </c>
      <c r="K363" s="368"/>
      <c r="L363" s="826"/>
      <c r="M363" s="826"/>
      <c r="N363" s="346"/>
    </row>
    <row r="364" spans="1:14" s="340" customFormat="1" ht="26" hidden="1" customHeight="1" thickBot="1" x14ac:dyDescent="0.2">
      <c r="A364" s="3415"/>
      <c r="B364" s="3416"/>
      <c r="C364" s="1077" t="s">
        <v>22</v>
      </c>
      <c r="D364" s="1078"/>
      <c r="E364" s="1079">
        <f>+E363/H363*100</f>
        <v>90.999999999999986</v>
      </c>
      <c r="F364" s="1079">
        <f>+F363/H363*100</f>
        <v>6.0000000000000009</v>
      </c>
      <c r="G364" s="1079">
        <f>+G363/H363*100</f>
        <v>3.0000000000000004</v>
      </c>
      <c r="H364" s="1080">
        <v>100</v>
      </c>
      <c r="I364" s="1081"/>
      <c r="J364" s="1082"/>
      <c r="K364" s="1083">
        <f>+H363/D363*100</f>
        <v>98</v>
      </c>
      <c r="L364" s="3417">
        <f>100-K364</f>
        <v>2</v>
      </c>
      <c r="M364" s="3417"/>
      <c r="N364" s="1113"/>
    </row>
    <row r="365" spans="1:14" s="340" customFormat="1" ht="30" customHeight="1" x14ac:dyDescent="0.15">
      <c r="A365" s="3034" t="s">
        <v>610</v>
      </c>
      <c r="B365" s="3034"/>
      <c r="C365" s="989" t="s">
        <v>21</v>
      </c>
      <c r="D365" s="978">
        <f t="shared" ref="D365:I365" si="30">D363+D355</f>
        <v>734069.02040816331</v>
      </c>
      <c r="E365" s="978">
        <f t="shared" si="30"/>
        <v>654642.7524</v>
      </c>
      <c r="F365" s="978">
        <f t="shared" si="30"/>
        <v>40241.142</v>
      </c>
      <c r="G365" s="978">
        <f t="shared" si="30"/>
        <v>24503.745600000002</v>
      </c>
      <c r="H365" s="978">
        <f t="shared" si="30"/>
        <v>719387.64</v>
      </c>
      <c r="I365" s="979">
        <f t="shared" si="30"/>
        <v>49</v>
      </c>
      <c r="J365" s="978">
        <f>H365/I365</f>
        <v>14681.380408163266</v>
      </c>
      <c r="K365" s="980"/>
      <c r="L365" s="981"/>
      <c r="M365" s="981"/>
      <c r="N365" s="982"/>
    </row>
    <row r="366" spans="1:14" s="340" customFormat="1" ht="30" customHeight="1" x14ac:dyDescent="0.15">
      <c r="A366" s="3034"/>
      <c r="B366" s="3034"/>
      <c r="C366" s="977" t="s">
        <v>22</v>
      </c>
      <c r="D366" s="983"/>
      <c r="E366" s="1105">
        <f>+E365/H365*100</f>
        <v>91</v>
      </c>
      <c r="F366" s="1105">
        <f>+F365/H365*100</f>
        <v>5.5938050311790173</v>
      </c>
      <c r="G366" s="1105">
        <f>+G365/H365*100</f>
        <v>3.4061949688209823</v>
      </c>
      <c r="H366" s="985">
        <v>100</v>
      </c>
      <c r="I366" s="986"/>
      <c r="J366" s="987"/>
      <c r="K366" s="988">
        <f>+H365/D365*100</f>
        <v>98</v>
      </c>
      <c r="L366" s="3035">
        <f>100-K366</f>
        <v>2</v>
      </c>
      <c r="M366" s="3035"/>
      <c r="N366" s="982"/>
    </row>
    <row r="367" spans="1:14" s="340" customFormat="1" ht="26" customHeight="1" x14ac:dyDescent="0.15">
      <c r="A367" s="3200" t="s">
        <v>597</v>
      </c>
      <c r="B367" s="3200"/>
      <c r="C367" s="3200"/>
      <c r="D367" s="3200"/>
      <c r="E367" s="3200"/>
      <c r="F367" s="3200"/>
      <c r="G367" s="3200"/>
      <c r="H367" s="3200"/>
      <c r="I367" s="3200"/>
      <c r="J367" s="3200"/>
      <c r="K367" s="3200"/>
      <c r="L367" s="3200"/>
      <c r="M367" s="3200"/>
      <c r="N367" s="3200"/>
    </row>
    <row r="368" spans="1:14" s="340" customFormat="1" ht="26" customHeight="1" x14ac:dyDescent="0.15">
      <c r="A368" s="2909" t="s">
        <v>778</v>
      </c>
      <c r="B368" s="2909"/>
      <c r="C368" s="2909"/>
      <c r="D368" s="2909"/>
      <c r="E368" s="2909"/>
      <c r="F368" s="2909"/>
      <c r="G368" s="2909"/>
      <c r="H368" s="2909"/>
      <c r="I368" s="2909"/>
      <c r="J368" s="2909"/>
      <c r="K368" s="2909"/>
      <c r="L368" s="2909"/>
      <c r="M368" s="2909"/>
      <c r="N368" s="2909"/>
    </row>
    <row r="369" spans="1:16" s="340" customFormat="1" ht="26" customHeight="1" x14ac:dyDescent="0.15">
      <c r="A369" s="2663" t="s">
        <v>766</v>
      </c>
      <c r="B369" s="2663"/>
      <c r="C369" s="2663"/>
      <c r="D369" s="2663"/>
      <c r="E369" s="2663"/>
      <c r="F369" s="2663"/>
      <c r="G369" s="2663"/>
      <c r="H369" s="2663"/>
      <c r="I369" s="2663"/>
      <c r="J369" s="2663"/>
      <c r="K369" s="2663"/>
      <c r="L369" s="2663"/>
      <c r="M369" s="2663"/>
      <c r="N369" s="2663"/>
      <c r="P369" s="340" t="s">
        <v>776</v>
      </c>
    </row>
    <row r="370" spans="1:16" s="340" customFormat="1" ht="26" customHeight="1" x14ac:dyDescent="0.15">
      <c r="A370" s="2663" t="s">
        <v>767</v>
      </c>
      <c r="B370" s="2663"/>
      <c r="C370" s="2663"/>
      <c r="D370" s="2663"/>
      <c r="E370" s="2663"/>
      <c r="F370" s="2663"/>
      <c r="G370" s="2663"/>
      <c r="H370" s="2663"/>
      <c r="I370" s="2663"/>
      <c r="J370" s="2663"/>
      <c r="K370" s="2663"/>
      <c r="L370" s="2663"/>
      <c r="M370" s="2663"/>
      <c r="N370" s="2663"/>
    </row>
    <row r="371" spans="1:16" s="340" customFormat="1" ht="35" customHeight="1" x14ac:dyDescent="0.15">
      <c r="A371" s="3198" t="s">
        <v>747</v>
      </c>
      <c r="B371" s="3198"/>
      <c r="C371" s="3198"/>
      <c r="D371" s="3198"/>
      <c r="E371" s="3198"/>
      <c r="F371" s="3198"/>
      <c r="G371" s="3198"/>
      <c r="H371" s="3198"/>
      <c r="I371" s="3198"/>
      <c r="J371" s="3198"/>
      <c r="K371" s="3198"/>
      <c r="L371" s="3198"/>
      <c r="M371" s="3198"/>
      <c r="N371" s="3198"/>
    </row>
    <row r="372" spans="1:16" s="1" customFormat="1" ht="23" customHeight="1" x14ac:dyDescent="0.2">
      <c r="A372" s="3199" t="s">
        <v>707</v>
      </c>
      <c r="B372" s="3199"/>
      <c r="C372" s="3199"/>
      <c r="D372" s="3199"/>
      <c r="E372" s="3199"/>
      <c r="F372" s="3199"/>
      <c r="G372" s="3199"/>
      <c r="H372" s="3199"/>
      <c r="I372" s="3199"/>
      <c r="J372" s="3199"/>
      <c r="K372" s="3199"/>
      <c r="L372" s="3199"/>
      <c r="M372" s="3199"/>
      <c r="N372" s="3199"/>
      <c r="O372" s="942"/>
    </row>
    <row r="373" spans="1:16" s="1" customFormat="1" ht="24.75" customHeight="1" x14ac:dyDescent="0.2">
      <c r="A373" s="2475" t="s">
        <v>57</v>
      </c>
      <c r="B373" s="2475"/>
      <c r="C373" s="2475"/>
      <c r="D373" s="2475"/>
      <c r="E373" s="2475"/>
      <c r="F373" s="2475"/>
      <c r="G373" s="2475"/>
      <c r="H373" s="2475"/>
      <c r="I373" s="2475"/>
      <c r="J373" s="2475"/>
      <c r="K373" s="2475"/>
      <c r="L373" s="2475"/>
      <c r="M373" s="2475"/>
      <c r="N373" s="2475"/>
    </row>
    <row r="374" spans="1:16" s="1" customFormat="1" ht="24.75" customHeight="1" x14ac:dyDescent="0.2">
      <c r="A374" s="1" t="s">
        <v>712</v>
      </c>
      <c r="D374" s="43"/>
      <c r="E374" s="43"/>
      <c r="G374" s="43"/>
      <c r="K374" s="78"/>
      <c r="N374" s="1063"/>
    </row>
    <row r="375" spans="1:16" s="1" customFormat="1" ht="24.75" customHeight="1" x14ac:dyDescent="0.2">
      <c r="A375" s="3173" t="s">
        <v>717</v>
      </c>
      <c r="B375" s="3173"/>
      <c r="C375" s="3173"/>
      <c r="D375" s="3173"/>
      <c r="E375" s="3173"/>
      <c r="F375" s="3173"/>
      <c r="G375" s="3173"/>
      <c r="H375" s="3173"/>
      <c r="I375" s="3173"/>
      <c r="J375" s="3173"/>
      <c r="K375" s="3173"/>
      <c r="L375" s="3173"/>
      <c r="M375" s="3173"/>
      <c r="N375" s="3173"/>
    </row>
    <row r="376" spans="1:16" s="1" customFormat="1" ht="43" customHeight="1" x14ac:dyDescent="0.2">
      <c r="A376" s="2663" t="s">
        <v>713</v>
      </c>
      <c r="B376" s="2663"/>
      <c r="C376" s="2663"/>
      <c r="D376" s="2663"/>
      <c r="E376" s="2663"/>
      <c r="F376" s="2663"/>
      <c r="G376" s="2663"/>
      <c r="H376" s="2663"/>
      <c r="I376" s="2663"/>
      <c r="J376" s="2663"/>
      <c r="K376" s="2663"/>
      <c r="L376" s="2663"/>
      <c r="M376" s="2663"/>
      <c r="N376" s="2663"/>
    </row>
    <row r="377" spans="1:16" s="1" customFormat="1" ht="56" customHeight="1" x14ac:dyDescent="0.2">
      <c r="A377" s="3203" t="s">
        <v>721</v>
      </c>
      <c r="B377" s="3203"/>
      <c r="C377" s="3203"/>
      <c r="D377" s="3203"/>
      <c r="E377" s="3203"/>
      <c r="F377" s="3203"/>
      <c r="G377" s="3203"/>
      <c r="H377" s="3203"/>
      <c r="I377" s="3203"/>
      <c r="J377" s="3203"/>
      <c r="K377" s="3203"/>
      <c r="L377" s="3203"/>
      <c r="M377" s="3203"/>
      <c r="N377" s="1063"/>
    </row>
    <row r="378" spans="1:16" s="1" customFormat="1" ht="24.75" hidden="1" customHeight="1" x14ac:dyDescent="0.2">
      <c r="A378" s="84" t="s">
        <v>714</v>
      </c>
      <c r="B378" s="84"/>
      <c r="C378" s="84"/>
      <c r="D378" s="1075"/>
      <c r="E378" s="1075"/>
      <c r="F378" s="84"/>
      <c r="G378" s="1075"/>
      <c r="H378" s="84"/>
      <c r="I378" s="84"/>
      <c r="J378" s="84"/>
      <c r="K378" s="394"/>
      <c r="L378" s="84"/>
      <c r="M378" s="84"/>
      <c r="N378" s="1063"/>
    </row>
    <row r="379" spans="1:16" s="1" customFormat="1" ht="24.75" hidden="1" customHeight="1" x14ac:dyDescent="0.2">
      <c r="A379" s="1076" t="s">
        <v>715</v>
      </c>
      <c r="B379" s="84"/>
      <c r="C379" s="84"/>
      <c r="D379" s="1075"/>
      <c r="E379" s="1075"/>
      <c r="F379" s="84"/>
      <c r="G379" s="1075"/>
      <c r="H379" s="84"/>
      <c r="I379" s="84"/>
      <c r="J379" s="84"/>
      <c r="K379" s="394"/>
      <c r="L379" s="84"/>
      <c r="M379" s="84"/>
      <c r="N379" s="1063"/>
    </row>
    <row r="380" spans="1:16" s="1" customFormat="1" ht="42" hidden="1" customHeight="1" x14ac:dyDescent="0.2">
      <c r="A380" s="3204" t="s">
        <v>716</v>
      </c>
      <c r="B380" s="3204"/>
      <c r="C380" s="3204"/>
      <c r="D380" s="3204"/>
      <c r="E380" s="3204"/>
      <c r="F380" s="3204"/>
      <c r="G380" s="3204"/>
      <c r="H380" s="3204"/>
      <c r="I380" s="3204"/>
      <c r="J380" s="3204"/>
      <c r="K380" s="3204"/>
      <c r="L380" s="3204"/>
      <c r="M380" s="3204"/>
      <c r="N380" s="3204"/>
    </row>
    <row r="381" spans="1:16" s="1" customFormat="1" ht="23" customHeight="1" x14ac:dyDescent="0.2">
      <c r="A381" s="2475" t="s">
        <v>414</v>
      </c>
      <c r="B381" s="2475"/>
      <c r="C381" s="2475"/>
      <c r="D381" s="2475"/>
      <c r="E381" s="2475"/>
      <c r="F381" s="2475"/>
      <c r="G381" s="2475"/>
      <c r="H381" s="2475"/>
      <c r="I381" s="2475"/>
      <c r="J381" s="2475"/>
      <c r="K381" s="2475"/>
      <c r="L381" s="2475"/>
      <c r="M381" s="2475"/>
      <c r="N381" s="2475"/>
    </row>
    <row r="382" spans="1:16" s="1" customFormat="1" ht="23" customHeight="1" x14ac:dyDescent="0.2">
      <c r="A382" s="2663" t="s">
        <v>755</v>
      </c>
      <c r="B382" s="2663"/>
      <c r="C382" s="2663"/>
      <c r="D382" s="2663"/>
      <c r="E382" s="2663"/>
      <c r="F382" s="2663"/>
      <c r="G382" s="2663"/>
      <c r="H382" s="2663"/>
      <c r="I382" s="2663"/>
      <c r="J382" s="2663"/>
      <c r="K382" s="2663"/>
      <c r="L382" s="2663"/>
      <c r="M382" s="2663"/>
      <c r="N382" s="2663"/>
    </row>
    <row r="383" spans="1:16" s="1" customFormat="1" ht="23" customHeight="1" x14ac:dyDescent="0.2">
      <c r="A383" s="2663"/>
      <c r="B383" s="2663"/>
      <c r="C383" s="2663"/>
      <c r="D383" s="2663"/>
      <c r="E383" s="2663"/>
      <c r="F383" s="2663"/>
      <c r="G383" s="2663"/>
      <c r="H383" s="2663"/>
      <c r="I383" s="2663"/>
      <c r="J383" s="2663"/>
      <c r="K383" s="2663"/>
      <c r="L383" s="2663"/>
      <c r="M383" s="2663"/>
      <c r="N383" s="2663"/>
    </row>
    <row r="384" spans="1:16" s="1" customFormat="1" ht="23" customHeight="1" x14ac:dyDescent="0.2">
      <c r="A384" s="3201" t="s">
        <v>764</v>
      </c>
      <c r="B384" s="3202"/>
      <c r="C384" s="3202"/>
      <c r="D384" s="3202"/>
      <c r="E384" s="3202"/>
      <c r="F384" s="3202"/>
      <c r="G384" s="3202"/>
      <c r="H384" s="3202"/>
      <c r="I384" s="3202"/>
      <c r="J384" s="3202"/>
      <c r="K384" s="3202"/>
      <c r="L384" s="3202"/>
      <c r="M384" s="3202"/>
      <c r="N384" s="3202"/>
    </row>
    <row r="385" spans="1:14" s="1" customFormat="1" ht="38" customHeight="1" x14ac:dyDescent="0.2">
      <c r="A385" s="2663" t="s">
        <v>765</v>
      </c>
      <c r="B385" s="2663"/>
      <c r="C385" s="2663"/>
      <c r="D385" s="2663"/>
      <c r="E385" s="2663"/>
      <c r="F385" s="2663"/>
      <c r="G385" s="2663"/>
      <c r="H385" s="2663"/>
      <c r="I385" s="2663"/>
      <c r="J385" s="2663"/>
      <c r="K385" s="2663"/>
      <c r="L385" s="2663"/>
      <c r="M385" s="2663"/>
      <c r="N385" s="2663"/>
    </row>
    <row r="386" spans="1:14" s="1" customFormat="1" ht="23" customHeight="1" x14ac:dyDescent="0.2">
      <c r="A386" s="3205" t="s">
        <v>756</v>
      </c>
      <c r="B386" s="3206"/>
      <c r="C386" s="3206"/>
      <c r="D386" s="3206"/>
      <c r="E386" s="3206"/>
      <c r="F386" s="3206"/>
      <c r="G386" s="3206"/>
      <c r="H386" s="3206"/>
      <c r="I386" s="3206"/>
      <c r="J386" s="3206"/>
      <c r="K386" s="3206"/>
      <c r="L386" s="3206"/>
      <c r="M386" s="3206"/>
      <c r="N386" s="5"/>
    </row>
    <row r="387" spans="1:14" s="84" customFormat="1" ht="25" customHeight="1" x14ac:dyDescent="0.2">
      <c r="A387" s="42" t="s">
        <v>60</v>
      </c>
      <c r="B387" s="85"/>
      <c r="C387" s="85"/>
      <c r="D387" s="85"/>
      <c r="E387" s="85"/>
      <c r="F387" s="85"/>
      <c r="G387" s="85"/>
      <c r="H387" s="399"/>
      <c r="I387" s="450"/>
      <c r="J387" s="85"/>
      <c r="K387" s="85"/>
      <c r="L387" s="85"/>
      <c r="M387" s="85"/>
      <c r="N387" s="86"/>
    </row>
    <row r="388" spans="1:14" s="1" customFormat="1" ht="21" customHeight="1" x14ac:dyDescent="0.2">
      <c r="A388" s="79" t="s">
        <v>643</v>
      </c>
      <c r="B388" s="85"/>
      <c r="C388" s="85"/>
      <c r="D388" s="85"/>
      <c r="E388" s="85"/>
      <c r="F388" s="85"/>
      <c r="G388" s="85"/>
      <c r="H388" s="399"/>
      <c r="I388" s="450"/>
      <c r="J388" s="85"/>
      <c r="K388" s="85"/>
      <c r="L388" s="85"/>
      <c r="M388" s="85"/>
      <c r="N388" s="86"/>
    </row>
    <row r="389" spans="1:14" s="1" customFormat="1" ht="36" customHeight="1" x14ac:dyDescent="0.2">
      <c r="A389" s="2663" t="s">
        <v>762</v>
      </c>
      <c r="B389" s="2663"/>
      <c r="C389" s="2663"/>
      <c r="D389" s="2663"/>
      <c r="E389" s="2663"/>
      <c r="F389" s="2663"/>
      <c r="G389" s="2663"/>
      <c r="H389" s="2663"/>
      <c r="I389" s="2663"/>
      <c r="J389" s="2663"/>
      <c r="K389" s="2663"/>
      <c r="L389" s="2663"/>
      <c r="M389" s="2663"/>
      <c r="N389" s="2663"/>
    </row>
    <row r="390" spans="1:14" s="1" customFormat="1" ht="21" customHeight="1" x14ac:dyDescent="0.2">
      <c r="A390" s="2829" t="s">
        <v>761</v>
      </c>
      <c r="B390" s="2829"/>
      <c r="C390" s="2829"/>
      <c r="D390" s="2829"/>
      <c r="E390" s="2829"/>
      <c r="F390" s="2829"/>
      <c r="G390" s="2829"/>
      <c r="H390" s="2829"/>
      <c r="I390" s="2829"/>
      <c r="J390" s="2829"/>
      <c r="K390" s="2829"/>
      <c r="L390" s="2829"/>
      <c r="M390" s="2829"/>
      <c r="N390" s="2829"/>
    </row>
    <row r="391" spans="1:14" s="1" customFormat="1" ht="40" customHeight="1" x14ac:dyDescent="0.2">
      <c r="A391" s="2663" t="s">
        <v>668</v>
      </c>
      <c r="B391" s="2725"/>
      <c r="C391" s="2725"/>
      <c r="D391" s="2725"/>
      <c r="E391" s="2725"/>
      <c r="F391" s="2725"/>
      <c r="G391" s="2725"/>
      <c r="H391" s="2725"/>
      <c r="I391" s="2725"/>
      <c r="J391" s="2725"/>
      <c r="K391" s="2725"/>
      <c r="L391" s="2725"/>
      <c r="M391" s="2725"/>
      <c r="N391" s="2725"/>
    </row>
    <row r="392" spans="1:14" s="84" customFormat="1" ht="21" customHeight="1" x14ac:dyDescent="0.2">
      <c r="A392" s="42" t="s">
        <v>64</v>
      </c>
      <c r="H392" s="394"/>
      <c r="I392" s="451"/>
      <c r="J392" s="355"/>
      <c r="K392" s="355"/>
      <c r="N392" s="350"/>
    </row>
    <row r="393" spans="1:14" s="84" customFormat="1" ht="26" customHeight="1" x14ac:dyDescent="0.2">
      <c r="A393" s="79" t="s">
        <v>65</v>
      </c>
      <c r="H393" s="394"/>
      <c r="I393" s="451"/>
      <c r="J393" s="355"/>
      <c r="K393" s="355"/>
      <c r="N393" s="350"/>
    </row>
    <row r="394" spans="1:14" s="84" customFormat="1" ht="26" customHeight="1" x14ac:dyDescent="0.2">
      <c r="A394" s="79" t="s">
        <v>646</v>
      </c>
      <c r="H394" s="394"/>
      <c r="I394" s="451"/>
      <c r="J394" s="355"/>
      <c r="K394" s="355"/>
      <c r="N394" s="350"/>
    </row>
    <row r="395" spans="1:14" s="1" customFormat="1" ht="24.75" customHeight="1" x14ac:dyDescent="0.2">
      <c r="A395" s="79" t="s">
        <v>757</v>
      </c>
      <c r="H395" s="78"/>
      <c r="I395" s="447"/>
      <c r="J395" s="71"/>
      <c r="K395" s="71"/>
      <c r="N395" s="209"/>
    </row>
    <row r="396" spans="1:14" s="1" customFormat="1" ht="24.75" customHeight="1" x14ac:dyDescent="0.2">
      <c r="A396" s="335" t="s">
        <v>571</v>
      </c>
      <c r="H396" s="78"/>
      <c r="I396" s="447"/>
      <c r="J396" s="71"/>
      <c r="K396" s="71"/>
      <c r="N396" s="209"/>
    </row>
    <row r="397" spans="1:14" s="1" customFormat="1" ht="24.75" customHeight="1" x14ac:dyDescent="0.2">
      <c r="A397" s="79" t="s">
        <v>572</v>
      </c>
      <c r="H397" s="78"/>
      <c r="I397" s="447"/>
      <c r="J397" s="71"/>
      <c r="K397" s="71"/>
      <c r="N397" s="209"/>
    </row>
    <row r="398" spans="1:14" s="1" customFormat="1" ht="24.75" customHeight="1" x14ac:dyDescent="0.2">
      <c r="A398" s="79" t="s">
        <v>777</v>
      </c>
      <c r="H398" s="78"/>
      <c r="I398" s="447"/>
      <c r="J398" s="71"/>
      <c r="K398" s="71"/>
      <c r="N398" s="209"/>
    </row>
    <row r="399" spans="1:14" s="1" customFormat="1" ht="24.75" customHeight="1" x14ac:dyDescent="0.2">
      <c r="A399" s="2829" t="s">
        <v>758</v>
      </c>
      <c r="B399" s="2829"/>
      <c r="C399" s="2829"/>
      <c r="D399" s="2829"/>
      <c r="E399" s="2829"/>
      <c r="F399" s="2829"/>
      <c r="G399" s="2829"/>
      <c r="H399" s="2829"/>
      <c r="I399" s="2829"/>
      <c r="J399" s="2829"/>
      <c r="K399" s="2829"/>
      <c r="L399" s="2829"/>
      <c r="M399" s="2829"/>
      <c r="N399" s="2829"/>
    </row>
    <row r="400" spans="1:14" s="84" customFormat="1" ht="23" customHeight="1" x14ac:dyDescent="0.2">
      <c r="A400" s="2475" t="s">
        <v>708</v>
      </c>
      <c r="B400" s="2475"/>
      <c r="C400" s="2475"/>
      <c r="D400" s="2475"/>
      <c r="E400" s="2475"/>
      <c r="F400" s="2475"/>
      <c r="G400" s="2475"/>
      <c r="H400" s="2475"/>
      <c r="I400" s="2475"/>
      <c r="J400" s="2475"/>
      <c r="K400" s="2475"/>
      <c r="L400" s="2475"/>
      <c r="M400" s="2475"/>
      <c r="N400" s="2475"/>
    </row>
    <row r="401" spans="1:14" s="84" customFormat="1" ht="24.75" customHeight="1" x14ac:dyDescent="0.2">
      <c r="A401" s="957" t="s">
        <v>577</v>
      </c>
      <c r="B401" s="5"/>
      <c r="C401" s="5"/>
      <c r="D401" s="5"/>
      <c r="E401" s="5"/>
      <c r="F401" s="5"/>
      <c r="G401" s="5"/>
      <c r="H401" s="5"/>
      <c r="I401" s="5"/>
      <c r="J401" s="5"/>
      <c r="K401" s="5"/>
      <c r="L401" s="5"/>
      <c r="M401" s="5"/>
      <c r="N401" s="5"/>
    </row>
    <row r="402" spans="1:14" s="84" customFormat="1" ht="40" customHeight="1" x14ac:dyDescent="0.2">
      <c r="A402" s="2725" t="s">
        <v>670</v>
      </c>
      <c r="B402" s="2725"/>
      <c r="C402" s="2725"/>
      <c r="D402" s="2725"/>
      <c r="E402" s="2725"/>
      <c r="F402" s="2725"/>
      <c r="G402" s="2725"/>
      <c r="H402" s="2725"/>
      <c r="I402" s="2725"/>
      <c r="J402" s="2725"/>
      <c r="K402" s="2725"/>
      <c r="L402" s="2725"/>
      <c r="M402" s="2725"/>
      <c r="N402" s="2725"/>
    </row>
    <row r="403" spans="1:14" s="84" customFormat="1" ht="24.75" customHeight="1" x14ac:dyDescent="0.2">
      <c r="A403" s="3173" t="s">
        <v>759</v>
      </c>
      <c r="B403" s="3173"/>
      <c r="C403" s="3173"/>
      <c r="D403" s="3173"/>
      <c r="E403" s="3173"/>
      <c r="F403" s="3173"/>
      <c r="G403" s="3173"/>
      <c r="H403" s="3173"/>
      <c r="I403" s="3173"/>
      <c r="J403" s="3173"/>
      <c r="K403" s="3173"/>
      <c r="L403" s="3173"/>
      <c r="M403" s="3173"/>
      <c r="N403" s="3173"/>
    </row>
    <row r="404" spans="1:14" s="84" customFormat="1" ht="38" customHeight="1" x14ac:dyDescent="0.2">
      <c r="A404" s="2663" t="s">
        <v>667</v>
      </c>
      <c r="B404" s="2663"/>
      <c r="C404" s="2663"/>
      <c r="D404" s="2663"/>
      <c r="E404" s="2663"/>
      <c r="F404" s="2663"/>
      <c r="G404" s="2663"/>
      <c r="H404" s="2663"/>
      <c r="I404" s="2663"/>
      <c r="J404" s="2663"/>
      <c r="K404" s="2663"/>
      <c r="L404" s="2663"/>
      <c r="M404" s="2663"/>
      <c r="N404" s="2663"/>
    </row>
    <row r="405" spans="1:14" s="84" customFormat="1" ht="38" customHeight="1" x14ac:dyDescent="0.2">
      <c r="A405" s="2663" t="s">
        <v>760</v>
      </c>
      <c r="B405" s="2663"/>
      <c r="C405" s="2663"/>
      <c r="D405" s="2663"/>
      <c r="E405" s="2663"/>
      <c r="F405" s="2663"/>
      <c r="G405" s="2663"/>
      <c r="H405" s="2663"/>
      <c r="I405" s="2663"/>
      <c r="J405" s="2663"/>
      <c r="K405" s="2663"/>
      <c r="L405" s="2663"/>
      <c r="M405" s="2663"/>
      <c r="N405" s="2663"/>
    </row>
    <row r="406" spans="1:14" s="84" customFormat="1" ht="38" customHeight="1" x14ac:dyDescent="0.2">
      <c r="A406" s="2725" t="s">
        <v>671</v>
      </c>
      <c r="B406" s="2725"/>
      <c r="C406" s="2725"/>
      <c r="D406" s="2725"/>
      <c r="E406" s="2725"/>
      <c r="F406" s="2725"/>
      <c r="G406" s="2725"/>
      <c r="H406" s="2725"/>
      <c r="I406" s="2725"/>
      <c r="J406" s="2725"/>
      <c r="K406" s="2725"/>
      <c r="L406" s="2725"/>
      <c r="M406" s="2725"/>
      <c r="N406" s="2725"/>
    </row>
    <row r="407" spans="1:14" s="84" customFormat="1" ht="24.75" customHeight="1" x14ac:dyDescent="0.2">
      <c r="A407" s="1" t="s">
        <v>69</v>
      </c>
      <c r="B407" s="1"/>
      <c r="C407" s="1"/>
      <c r="D407" s="1"/>
      <c r="E407" s="43"/>
      <c r="F407" s="43"/>
      <c r="G407" s="1"/>
      <c r="H407" s="78"/>
      <c r="I407" s="447"/>
      <c r="J407" s="71"/>
      <c r="K407" s="71"/>
      <c r="L407" s="1"/>
      <c r="M407" s="1"/>
      <c r="N407" s="209"/>
    </row>
    <row r="408" spans="1:14" s="84" customFormat="1" ht="22.5" customHeight="1" x14ac:dyDescent="0.2">
      <c r="A408" s="88" t="s">
        <v>494</v>
      </c>
      <c r="H408" s="394"/>
      <c r="I408" s="451"/>
      <c r="J408" s="355"/>
      <c r="K408" s="355"/>
      <c r="N408" s="350"/>
    </row>
    <row r="409" spans="1:14" s="1" customFormat="1" ht="16" x14ac:dyDescent="0.2">
      <c r="A409" s="1029" t="s">
        <v>655</v>
      </c>
      <c r="C409" s="42"/>
      <c r="E409" s="43"/>
      <c r="F409" s="43"/>
      <c r="H409" s="78"/>
      <c r="I409" s="447"/>
      <c r="J409" s="2682" t="s">
        <v>763</v>
      </c>
      <c r="K409" s="2682"/>
      <c r="L409" s="2682"/>
      <c r="M409" s="2682"/>
      <c r="N409" s="2682"/>
    </row>
    <row r="410" spans="1:14" s="84" customFormat="1" ht="24" customHeight="1" x14ac:dyDescent="0.15">
      <c r="A410" s="1031" t="s">
        <v>656</v>
      </c>
      <c r="B410" s="1030"/>
      <c r="C410" s="1031"/>
      <c r="E410" s="339"/>
      <c r="F410" s="339"/>
      <c r="H410" s="339"/>
      <c r="I410" s="339"/>
      <c r="J410" s="2683" t="s">
        <v>72</v>
      </c>
      <c r="K410" s="2683"/>
      <c r="L410" s="2683"/>
      <c r="M410" s="2683"/>
      <c r="N410" s="2683"/>
    </row>
    <row r="411" spans="1:14" x14ac:dyDescent="0.15">
      <c r="A411" s="94" t="s">
        <v>657</v>
      </c>
      <c r="B411" s="1030"/>
      <c r="C411" s="1031"/>
    </row>
    <row r="412" spans="1:14" x14ac:dyDescent="0.15">
      <c r="A412" s="1032" t="s">
        <v>658</v>
      </c>
      <c r="B412" s="1030"/>
      <c r="C412" s="1031"/>
    </row>
    <row r="413" spans="1:14" x14ac:dyDescent="0.15">
      <c r="A413" s="1029" t="s">
        <v>659</v>
      </c>
      <c r="B413" s="1030"/>
      <c r="C413" s="1031"/>
    </row>
    <row r="414" spans="1:14" x14ac:dyDescent="0.2">
      <c r="A414" s="94" t="s">
        <v>660</v>
      </c>
      <c r="B414" s="92"/>
    </row>
    <row r="415" spans="1:14" x14ac:dyDescent="0.2">
      <c r="B415" s="92"/>
    </row>
  </sheetData>
  <mergeCells count="352">
    <mergeCell ref="L235:M235"/>
    <mergeCell ref="L236:M236"/>
    <mergeCell ref="N233:P233"/>
    <mergeCell ref="N234:P234"/>
    <mergeCell ref="N235:P235"/>
    <mergeCell ref="N236:P236"/>
    <mergeCell ref="L237:P237"/>
    <mergeCell ref="L253:P253"/>
    <mergeCell ref="L254:P254"/>
    <mergeCell ref="L246:P246"/>
    <mergeCell ref="L247:M247"/>
    <mergeCell ref="L248:M248"/>
    <mergeCell ref="N247:P247"/>
    <mergeCell ref="N248:P248"/>
    <mergeCell ref="L249:P249"/>
    <mergeCell ref="L250:P250"/>
    <mergeCell ref="L251:P251"/>
    <mergeCell ref="L252:P252"/>
    <mergeCell ref="N218:P218"/>
    <mergeCell ref="L220:M220"/>
    <mergeCell ref="N219:P219"/>
    <mergeCell ref="N220:P220"/>
    <mergeCell ref="L223:P223"/>
    <mergeCell ref="L224:P224"/>
    <mergeCell ref="L225:P225"/>
    <mergeCell ref="L226:P226"/>
    <mergeCell ref="L227:P227"/>
    <mergeCell ref="L202:P202"/>
    <mergeCell ref="L203:P203"/>
    <mergeCell ref="L204:P204"/>
    <mergeCell ref="L205:P205"/>
    <mergeCell ref="L206:P206"/>
    <mergeCell ref="L207:P207"/>
    <mergeCell ref="L208:P208"/>
    <mergeCell ref="L209:P209"/>
    <mergeCell ref="L210:P210"/>
    <mergeCell ref="L198:N198"/>
    <mergeCell ref="L199:N199"/>
    <mergeCell ref="L200:N200"/>
    <mergeCell ref="L201:N201"/>
    <mergeCell ref="O197:P197"/>
    <mergeCell ref="O198:P198"/>
    <mergeCell ref="O199:P199"/>
    <mergeCell ref="O200:P200"/>
    <mergeCell ref="O201:P201"/>
    <mergeCell ref="L197:N197"/>
    <mergeCell ref="I189:N189"/>
    <mergeCell ref="I190:N190"/>
    <mergeCell ref="I191:N191"/>
    <mergeCell ref="I192:N192"/>
    <mergeCell ref="A100:A101"/>
    <mergeCell ref="B100:B101"/>
    <mergeCell ref="C100:C101"/>
    <mergeCell ref="D100:D101"/>
    <mergeCell ref="E100:E101"/>
    <mergeCell ref="F100:I100"/>
    <mergeCell ref="K100:K101"/>
    <mergeCell ref="B120:D121"/>
    <mergeCell ref="B136:D137"/>
    <mergeCell ref="B152:D153"/>
    <mergeCell ref="B168:D169"/>
    <mergeCell ref="B184:D185"/>
    <mergeCell ref="A370:N370"/>
    <mergeCell ref="A368:N368"/>
    <mergeCell ref="C50:C51"/>
    <mergeCell ref="A50:A51"/>
    <mergeCell ref="B50:B51"/>
    <mergeCell ref="D50:D51"/>
    <mergeCell ref="E50:E51"/>
    <mergeCell ref="F50:I50"/>
    <mergeCell ref="K50:K51"/>
    <mergeCell ref="B68:D69"/>
    <mergeCell ref="B78:D79"/>
    <mergeCell ref="B88:D89"/>
    <mergeCell ref="A90:D91"/>
    <mergeCell ref="B188:C189"/>
    <mergeCell ref="B190:C191"/>
    <mergeCell ref="D188:D189"/>
    <mergeCell ref="B192:C192"/>
    <mergeCell ref="D190:D191"/>
    <mergeCell ref="I187:N187"/>
    <mergeCell ref="I188:N188"/>
    <mergeCell ref="A194:N194"/>
    <mergeCell ref="A195:N195"/>
    <mergeCell ref="D197:E197"/>
    <mergeCell ref="L196:P196"/>
    <mergeCell ref="A1:N1"/>
    <mergeCell ref="A2:N2"/>
    <mergeCell ref="A3:N3"/>
    <mergeCell ref="A4:N4"/>
    <mergeCell ref="A5:N5"/>
    <mergeCell ref="D6:D7"/>
    <mergeCell ref="I6:I7"/>
    <mergeCell ref="A6:A7"/>
    <mergeCell ref="B6:B7"/>
    <mergeCell ref="C6:C7"/>
    <mergeCell ref="E6:E7"/>
    <mergeCell ref="F6:H6"/>
    <mergeCell ref="J6:J7"/>
    <mergeCell ref="L7:N7"/>
    <mergeCell ref="A45:N45"/>
    <mergeCell ref="A46:N46"/>
    <mergeCell ref="A47:N47"/>
    <mergeCell ref="A93:N93"/>
    <mergeCell ref="B94:C94"/>
    <mergeCell ref="I94:N94"/>
    <mergeCell ref="A98:C98"/>
    <mergeCell ref="I98:N98"/>
    <mergeCell ref="B95:C95"/>
    <mergeCell ref="I95:N95"/>
    <mergeCell ref="B96:C96"/>
    <mergeCell ref="I96:N96"/>
    <mergeCell ref="B97:C97"/>
    <mergeCell ref="I97:N97"/>
    <mergeCell ref="D200:E200"/>
    <mergeCell ref="D201:E201"/>
    <mergeCell ref="D199:E199"/>
    <mergeCell ref="D205:E205"/>
    <mergeCell ref="D206:E206"/>
    <mergeCell ref="D207:E207"/>
    <mergeCell ref="D202:E202"/>
    <mergeCell ref="D203:E203"/>
    <mergeCell ref="D204:E204"/>
    <mergeCell ref="D211:E211"/>
    <mergeCell ref="D212:E212"/>
    <mergeCell ref="D213:E213"/>
    <mergeCell ref="D208:E208"/>
    <mergeCell ref="D209:E209"/>
    <mergeCell ref="D210:E210"/>
    <mergeCell ref="D219:E219"/>
    <mergeCell ref="D220:E220"/>
    <mergeCell ref="D223:E223"/>
    <mergeCell ref="D214:E214"/>
    <mergeCell ref="A216:N216"/>
    <mergeCell ref="D218:E218"/>
    <mergeCell ref="D222:E222"/>
    <mergeCell ref="D221:E221"/>
    <mergeCell ref="L221:M221"/>
    <mergeCell ref="N221:P221"/>
    <mergeCell ref="L222:P222"/>
    <mergeCell ref="L211:P211"/>
    <mergeCell ref="L212:P212"/>
    <mergeCell ref="L213:P213"/>
    <mergeCell ref="L214:P214"/>
    <mergeCell ref="L217:P217"/>
    <mergeCell ref="L218:M218"/>
    <mergeCell ref="L219:M219"/>
    <mergeCell ref="D233:E233"/>
    <mergeCell ref="D234:E234"/>
    <mergeCell ref="D224:E224"/>
    <mergeCell ref="D225:E225"/>
    <mergeCell ref="D226:E226"/>
    <mergeCell ref="D230:E230"/>
    <mergeCell ref="A231:N231"/>
    <mergeCell ref="D227:E227"/>
    <mergeCell ref="D228:E228"/>
    <mergeCell ref="D229:E229"/>
    <mergeCell ref="L228:P228"/>
    <mergeCell ref="L229:P229"/>
    <mergeCell ref="L230:P230"/>
    <mergeCell ref="L232:P232"/>
    <mergeCell ref="L233:M233"/>
    <mergeCell ref="L234:M234"/>
    <mergeCell ref="B268:B269"/>
    <mergeCell ref="A260:A261"/>
    <mergeCell ref="B260:B261"/>
    <mergeCell ref="D241:E241"/>
    <mergeCell ref="D242:E242"/>
    <mergeCell ref="D243:E243"/>
    <mergeCell ref="D247:E247"/>
    <mergeCell ref="D248:E248"/>
    <mergeCell ref="D249:E249"/>
    <mergeCell ref="D254:E254"/>
    <mergeCell ref="A245:N245"/>
    <mergeCell ref="D244:E244"/>
    <mergeCell ref="L241:P241"/>
    <mergeCell ref="L242:P242"/>
    <mergeCell ref="L243:P243"/>
    <mergeCell ref="L244:P244"/>
    <mergeCell ref="C260:C261"/>
    <mergeCell ref="D260:D261"/>
    <mergeCell ref="P260:P261"/>
    <mergeCell ref="L255:P255"/>
    <mergeCell ref="L256:P256"/>
    <mergeCell ref="L257:P257"/>
    <mergeCell ref="A291:E291"/>
    <mergeCell ref="A293:A294"/>
    <mergeCell ref="B293:B294"/>
    <mergeCell ref="C293:E293"/>
    <mergeCell ref="I293:J293"/>
    <mergeCell ref="M293:M294"/>
    <mergeCell ref="A285:N285"/>
    <mergeCell ref="A286:A287"/>
    <mergeCell ref="B286:B287"/>
    <mergeCell ref="C286:E286"/>
    <mergeCell ref="I286:J286"/>
    <mergeCell ref="M286:M287"/>
    <mergeCell ref="N286:N287"/>
    <mergeCell ref="N293:N294"/>
    <mergeCell ref="A298:E298"/>
    <mergeCell ref="A300:N300"/>
    <mergeCell ref="G296:M296"/>
    <mergeCell ref="A304:Q304"/>
    <mergeCell ref="A305:Q305"/>
    <mergeCell ref="A306:P306"/>
    <mergeCell ref="A307:M307"/>
    <mergeCell ref="A308:M308"/>
    <mergeCell ref="A302:N302"/>
    <mergeCell ref="A301:N301"/>
    <mergeCell ref="O310:P310"/>
    <mergeCell ref="A319:B319"/>
    <mergeCell ref="A324:N324"/>
    <mergeCell ref="A325:N325"/>
    <mergeCell ref="A326:N326"/>
    <mergeCell ref="A327:N327"/>
    <mergeCell ref="A309:N309"/>
    <mergeCell ref="A310:A311"/>
    <mergeCell ref="B310:B311"/>
    <mergeCell ref="C310:D310"/>
    <mergeCell ref="E310:F310"/>
    <mergeCell ref="G310:H310"/>
    <mergeCell ref="I310:J310"/>
    <mergeCell ref="K310:L310"/>
    <mergeCell ref="M310:N310"/>
    <mergeCell ref="A332:A333"/>
    <mergeCell ref="B332:B333"/>
    <mergeCell ref="L333:M333"/>
    <mergeCell ref="A334:A335"/>
    <mergeCell ref="B334:B335"/>
    <mergeCell ref="L335:M335"/>
    <mergeCell ref="A328:N328"/>
    <mergeCell ref="A330:A331"/>
    <mergeCell ref="B330:C330"/>
    <mergeCell ref="D330:D331"/>
    <mergeCell ref="E330:G330"/>
    <mergeCell ref="H330:H331"/>
    <mergeCell ref="I330:I331"/>
    <mergeCell ref="L331:M331"/>
    <mergeCell ref="A336:B337"/>
    <mergeCell ref="L337:M337"/>
    <mergeCell ref="B338:B339"/>
    <mergeCell ref="L339:M339"/>
    <mergeCell ref="B340:B341"/>
    <mergeCell ref="L341:M341"/>
    <mergeCell ref="B342:B343"/>
    <mergeCell ref="L343:M343"/>
    <mergeCell ref="A338:A343"/>
    <mergeCell ref="I349:I350"/>
    <mergeCell ref="L350:M350"/>
    <mergeCell ref="A351:A352"/>
    <mergeCell ref="B351:B352"/>
    <mergeCell ref="L352:M352"/>
    <mergeCell ref="A353:A354"/>
    <mergeCell ref="B353:B354"/>
    <mergeCell ref="L354:M354"/>
    <mergeCell ref="A344:B345"/>
    <mergeCell ref="L345:M345"/>
    <mergeCell ref="A346:B347"/>
    <mergeCell ref="L347:M347"/>
    <mergeCell ref="A348:N348"/>
    <mergeCell ref="A349:A350"/>
    <mergeCell ref="B349:C349"/>
    <mergeCell ref="D349:D350"/>
    <mergeCell ref="E349:G349"/>
    <mergeCell ref="H349:H350"/>
    <mergeCell ref="L366:M366"/>
    <mergeCell ref="A367:N367"/>
    <mergeCell ref="A369:N369"/>
    <mergeCell ref="A355:B356"/>
    <mergeCell ref="L356:M356"/>
    <mergeCell ref="A357:A362"/>
    <mergeCell ref="B357:B358"/>
    <mergeCell ref="L358:M358"/>
    <mergeCell ref="B359:B360"/>
    <mergeCell ref="L360:M360"/>
    <mergeCell ref="B361:B362"/>
    <mergeCell ref="L362:M362"/>
    <mergeCell ref="A363:B364"/>
    <mergeCell ref="L364:M364"/>
    <mergeCell ref="A365:B366"/>
    <mergeCell ref="A375:N375"/>
    <mergeCell ref="A372:N372"/>
    <mergeCell ref="A373:N373"/>
    <mergeCell ref="A371:N371"/>
    <mergeCell ref="J409:N409"/>
    <mergeCell ref="J410:N410"/>
    <mergeCell ref="A390:N390"/>
    <mergeCell ref="A391:N391"/>
    <mergeCell ref="A399:N399"/>
    <mergeCell ref="A400:N400"/>
    <mergeCell ref="A402:N402"/>
    <mergeCell ref="A381:N381"/>
    <mergeCell ref="A404:N404"/>
    <mergeCell ref="A405:N405"/>
    <mergeCell ref="A406:N406"/>
    <mergeCell ref="A380:N380"/>
    <mergeCell ref="A377:M377"/>
    <mergeCell ref="A376:N376"/>
    <mergeCell ref="A403:N403"/>
    <mergeCell ref="A386:M386"/>
    <mergeCell ref="A385:N385"/>
    <mergeCell ref="A384:N384"/>
    <mergeCell ref="A382:N383"/>
    <mergeCell ref="A389:N389"/>
    <mergeCell ref="C274:C275"/>
    <mergeCell ref="D274:D275"/>
    <mergeCell ref="P274:P275"/>
    <mergeCell ref="A33:B38"/>
    <mergeCell ref="A39:B44"/>
    <mergeCell ref="D257:E257"/>
    <mergeCell ref="D250:E250"/>
    <mergeCell ref="D251:E251"/>
    <mergeCell ref="D252:E252"/>
    <mergeCell ref="D253:E253"/>
    <mergeCell ref="D255:E255"/>
    <mergeCell ref="D256:E256"/>
    <mergeCell ref="D238:E238"/>
    <mergeCell ref="D239:E239"/>
    <mergeCell ref="D240:E240"/>
    <mergeCell ref="D235:E235"/>
    <mergeCell ref="D236:E236"/>
    <mergeCell ref="D237:E237"/>
    <mergeCell ref="L238:P238"/>
    <mergeCell ref="L239:P239"/>
    <mergeCell ref="L240:P240"/>
    <mergeCell ref="A274:A275"/>
    <mergeCell ref="B274:B275"/>
    <mergeCell ref="A268:A269"/>
    <mergeCell ref="Q280:Q281"/>
    <mergeCell ref="A284:H284"/>
    <mergeCell ref="E260:E261"/>
    <mergeCell ref="F260:H260"/>
    <mergeCell ref="Q260:Q261"/>
    <mergeCell ref="A265:H265"/>
    <mergeCell ref="E268:E269"/>
    <mergeCell ref="F268:H268"/>
    <mergeCell ref="Q268:Q269"/>
    <mergeCell ref="A272:H272"/>
    <mergeCell ref="E274:E275"/>
    <mergeCell ref="F274:H274"/>
    <mergeCell ref="Q274:Q275"/>
    <mergeCell ref="B280:B281"/>
    <mergeCell ref="C280:C281"/>
    <mergeCell ref="A280:A281"/>
    <mergeCell ref="D280:D281"/>
    <mergeCell ref="P280:P281"/>
    <mergeCell ref="A278:H278"/>
    <mergeCell ref="E280:E281"/>
    <mergeCell ref="F280:H280"/>
    <mergeCell ref="C268:C269"/>
    <mergeCell ref="D268:D269"/>
    <mergeCell ref="P268:P269"/>
  </mergeCells>
  <pageMargins left="0" right="0" top="0.25" bottom="0" header="0.3" footer="0.3"/>
  <pageSetup paperSize="9" orientation="landscape" horizontalDpi="0" verticalDpi="0"/>
  <drawing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27249-6A0F-9942-BF26-A900D059C9E4}">
  <sheetPr codeName="Sheet16"/>
  <dimension ref="A1:U429"/>
  <sheetViews>
    <sheetView topLeftCell="A27" zoomScale="69" zoomScaleNormal="90" workbookViewId="0">
      <selection activeCell="I299" sqref="I299"/>
    </sheetView>
  </sheetViews>
  <sheetFormatPr baseColWidth="10" defaultColWidth="8.6640625" defaultRowHeight="14" x14ac:dyDescent="0.2"/>
  <cols>
    <col min="1" max="1" width="5.33203125" style="4" customWidth="1"/>
    <col min="2" max="2" width="13.83203125" style="4" customWidth="1"/>
    <col min="3" max="4" width="14" style="4" customWidth="1"/>
    <col min="5" max="5" width="13.33203125" style="93" customWidth="1"/>
    <col min="6" max="6" width="11" style="93" customWidth="1"/>
    <col min="7" max="7" width="11" style="4" customWidth="1"/>
    <col min="8" max="8" width="11.1640625" style="395" customWidth="1"/>
    <col min="9" max="9" width="10.6640625" style="452" customWidth="1"/>
    <col min="10" max="10" width="11" style="356" customWidth="1"/>
    <col min="11" max="11" width="9" style="356" customWidth="1"/>
    <col min="12" max="13" width="9" style="4" customWidth="1"/>
    <col min="14" max="14" width="9.5" style="272" customWidth="1"/>
    <col min="15" max="15" width="13.1640625" style="4" bestFit="1" customWidth="1"/>
    <col min="16" max="20" width="8.6640625" style="4"/>
    <col min="21" max="21" width="9" style="4" bestFit="1" customWidth="1"/>
    <col min="22" max="16384" width="8.6640625" style="4"/>
  </cols>
  <sheetData>
    <row r="1" spans="1:21" s="1" customFormat="1" ht="21" customHeight="1" x14ac:dyDescent="0.2">
      <c r="A1" s="2995" t="s">
        <v>0</v>
      </c>
      <c r="B1" s="2996"/>
      <c r="C1" s="2996"/>
      <c r="D1" s="2996"/>
      <c r="E1" s="2996"/>
      <c r="F1" s="2996"/>
      <c r="G1" s="2996"/>
      <c r="H1" s="2996"/>
      <c r="I1" s="2996"/>
      <c r="J1" s="2996"/>
      <c r="K1" s="2996"/>
      <c r="L1" s="2996"/>
      <c r="M1" s="2996"/>
      <c r="N1" s="2997"/>
    </row>
    <row r="2" spans="1:21" s="1" customFormat="1" ht="21" customHeight="1" x14ac:dyDescent="0.2">
      <c r="A2" s="2998" t="s">
        <v>1</v>
      </c>
      <c r="B2" s="2532"/>
      <c r="C2" s="2532"/>
      <c r="D2" s="2532"/>
      <c r="E2" s="2532"/>
      <c r="F2" s="2532"/>
      <c r="G2" s="2532"/>
      <c r="H2" s="2532"/>
      <c r="I2" s="2532"/>
      <c r="J2" s="2532"/>
      <c r="K2" s="2532"/>
      <c r="L2" s="2532"/>
      <c r="M2" s="2532"/>
      <c r="N2" s="2999"/>
    </row>
    <row r="3" spans="1:21" s="1" customFormat="1" ht="21" customHeight="1" thickBot="1" x14ac:dyDescent="0.25">
      <c r="A3" s="3000" t="s">
        <v>2</v>
      </c>
      <c r="B3" s="3001"/>
      <c r="C3" s="3001"/>
      <c r="D3" s="3001"/>
      <c r="E3" s="3001"/>
      <c r="F3" s="3001"/>
      <c r="G3" s="3001"/>
      <c r="H3" s="3001"/>
      <c r="I3" s="3001"/>
      <c r="J3" s="3001"/>
      <c r="K3" s="3001"/>
      <c r="L3" s="3001"/>
      <c r="M3" s="3001"/>
      <c r="N3" s="3002"/>
    </row>
    <row r="4" spans="1:21" ht="25" customHeight="1" x14ac:dyDescent="0.2">
      <c r="A4" s="3126" t="s">
        <v>779</v>
      </c>
      <c r="B4" s="3126"/>
      <c r="C4" s="3126"/>
      <c r="D4" s="3126"/>
      <c r="E4" s="3126"/>
      <c r="F4" s="3126"/>
      <c r="G4" s="3126"/>
      <c r="H4" s="3126"/>
      <c r="I4" s="3126"/>
      <c r="J4" s="3126"/>
      <c r="K4" s="3126"/>
      <c r="L4" s="3126"/>
      <c r="M4" s="3126"/>
      <c r="N4" s="3126"/>
      <c r="R4" s="4">
        <v>3060</v>
      </c>
    </row>
    <row r="5" spans="1:21" s="1" customFormat="1" ht="23" customHeight="1" x14ac:dyDescent="0.2">
      <c r="A5" s="2475" t="s">
        <v>507</v>
      </c>
      <c r="B5" s="2475"/>
      <c r="C5" s="2475"/>
      <c r="D5" s="2475"/>
      <c r="E5" s="2475"/>
      <c r="F5" s="2475"/>
      <c r="G5" s="2475"/>
      <c r="H5" s="2475"/>
      <c r="I5" s="2475"/>
      <c r="J5" s="2475"/>
      <c r="K5" s="2475"/>
      <c r="L5" s="2475"/>
      <c r="M5" s="2475"/>
      <c r="N5" s="2475"/>
      <c r="P5" s="1" t="s">
        <v>5</v>
      </c>
      <c r="R5" s="1">
        <v>0.18</v>
      </c>
      <c r="S5" s="1">
        <v>4</v>
      </c>
    </row>
    <row r="6" spans="1:21" s="71" customFormat="1" ht="33" customHeight="1" x14ac:dyDescent="0.2">
      <c r="A6" s="3040" t="s">
        <v>34</v>
      </c>
      <c r="B6" s="3263" t="s">
        <v>6</v>
      </c>
      <c r="C6" s="3263" t="s">
        <v>16</v>
      </c>
      <c r="D6" s="3263" t="s">
        <v>17</v>
      </c>
      <c r="E6" s="3263" t="s">
        <v>7</v>
      </c>
      <c r="F6" s="3246" t="s">
        <v>8</v>
      </c>
      <c r="G6" s="3247"/>
      <c r="H6" s="3248"/>
      <c r="I6" s="3264" t="s">
        <v>9</v>
      </c>
      <c r="J6" s="3263" t="s">
        <v>10</v>
      </c>
      <c r="K6" s="8" t="s">
        <v>11</v>
      </c>
      <c r="L6" s="8" t="s">
        <v>12</v>
      </c>
      <c r="M6" s="8" t="s">
        <v>13</v>
      </c>
      <c r="N6" s="8" t="s">
        <v>14</v>
      </c>
      <c r="O6" s="8" t="s">
        <v>15</v>
      </c>
      <c r="P6" s="71" t="s">
        <v>748</v>
      </c>
      <c r="Q6" s="71" t="s">
        <v>749</v>
      </c>
      <c r="R6" s="71" t="s">
        <v>21</v>
      </c>
      <c r="S6" s="71" t="s">
        <v>750</v>
      </c>
      <c r="T6" s="71" t="s">
        <v>751</v>
      </c>
      <c r="U6" s="71" t="s">
        <v>752</v>
      </c>
    </row>
    <row r="7" spans="1:21" s="71" customFormat="1" ht="25" customHeight="1" x14ac:dyDescent="0.2">
      <c r="A7" s="3041"/>
      <c r="B7" s="2816"/>
      <c r="C7" s="2816"/>
      <c r="D7" s="2816"/>
      <c r="E7" s="2816"/>
      <c r="F7" s="10" t="s">
        <v>18</v>
      </c>
      <c r="G7" s="10" t="s">
        <v>19</v>
      </c>
      <c r="H7" s="8" t="s">
        <v>20</v>
      </c>
      <c r="I7" s="3265"/>
      <c r="J7" s="2816"/>
      <c r="K7" s="8" t="s">
        <v>21</v>
      </c>
      <c r="L7" s="3246" t="s">
        <v>22</v>
      </c>
      <c r="M7" s="3247"/>
      <c r="N7" s="3248"/>
      <c r="O7" s="8" t="s">
        <v>23</v>
      </c>
      <c r="P7" s="71">
        <v>10.5</v>
      </c>
      <c r="Q7" s="71">
        <v>2</v>
      </c>
      <c r="R7" s="71">
        <f>R5*S5</f>
        <v>0.72</v>
      </c>
      <c r="S7" s="71">
        <v>1400</v>
      </c>
      <c r="T7" s="71">
        <v>0.98</v>
      </c>
      <c r="U7" s="1109">
        <f>(P7*$R$7*$S$7*$T$7)</f>
        <v>10372.32</v>
      </c>
    </row>
    <row r="8" spans="1:21" s="71" customFormat="1" ht="25" hidden="1" customHeight="1" x14ac:dyDescent="0.2">
      <c r="A8" s="1581"/>
      <c r="B8" s="1546" t="s">
        <v>6</v>
      </c>
      <c r="C8" s="1559" t="s">
        <v>16</v>
      </c>
      <c r="D8" s="8" t="s">
        <v>17</v>
      </c>
      <c r="E8" s="1546" t="s">
        <v>864</v>
      </c>
      <c r="F8" s="10" t="s">
        <v>18</v>
      </c>
      <c r="G8" s="10" t="s">
        <v>19</v>
      </c>
      <c r="H8" s="8" t="s">
        <v>20</v>
      </c>
      <c r="I8" s="1523" t="s">
        <v>9</v>
      </c>
      <c r="J8" s="1546" t="s">
        <v>10</v>
      </c>
      <c r="K8" s="8" t="s">
        <v>11</v>
      </c>
      <c r="L8" s="8" t="s">
        <v>12</v>
      </c>
      <c r="M8" s="8" t="s">
        <v>13</v>
      </c>
      <c r="N8" s="8" t="s">
        <v>14</v>
      </c>
      <c r="O8" s="8" t="s">
        <v>15</v>
      </c>
      <c r="U8" s="1109"/>
    </row>
    <row r="9" spans="1:21" s="1" customFormat="1" ht="21" customHeight="1" x14ac:dyDescent="0.2">
      <c r="A9" s="1603" t="s">
        <v>5</v>
      </c>
      <c r="B9" s="1593" t="s">
        <v>115</v>
      </c>
      <c r="C9" s="1562" t="s">
        <v>883</v>
      </c>
      <c r="D9" s="12" t="s">
        <v>21</v>
      </c>
      <c r="E9" s="848">
        <f>J9*K9*100/L10</f>
        <v>297214.28571428574</v>
      </c>
      <c r="F9" s="848">
        <f>F10*$I$10/100</f>
        <v>89</v>
      </c>
      <c r="G9" s="848">
        <f>G10*$I$10/100</f>
        <v>6</v>
      </c>
      <c r="H9" s="848">
        <f>H10*$I$10/100</f>
        <v>5</v>
      </c>
      <c r="I9" s="849">
        <f>J9*K9</f>
        <v>291270</v>
      </c>
      <c r="J9" s="574">
        <v>19</v>
      </c>
      <c r="K9" s="575">
        <v>15330</v>
      </c>
      <c r="L9" s="348"/>
      <c r="M9" s="28"/>
      <c r="N9" s="28"/>
      <c r="O9" s="1009">
        <v>40</v>
      </c>
      <c r="P9" s="1">
        <v>12.5</v>
      </c>
      <c r="U9" s="1109">
        <f>(P9*$R$7*$S$7*$T$7)</f>
        <v>12348</v>
      </c>
    </row>
    <row r="10" spans="1:21" s="1" customFormat="1" ht="21" customHeight="1" x14ac:dyDescent="0.2">
      <c r="A10" s="1604" t="s">
        <v>5</v>
      </c>
      <c r="B10" s="1605"/>
      <c r="C10" s="1565" t="s">
        <v>883</v>
      </c>
      <c r="D10" s="577" t="s">
        <v>22</v>
      </c>
      <c r="E10" s="578"/>
      <c r="F10" s="578">
        <v>89</v>
      </c>
      <c r="G10" s="578">
        <v>6</v>
      </c>
      <c r="H10" s="578">
        <v>5</v>
      </c>
      <c r="I10" s="1132">
        <f>SUM(F10:H10)</f>
        <v>100</v>
      </c>
      <c r="J10" s="580"/>
      <c r="K10" s="581"/>
      <c r="L10" s="365">
        <v>98</v>
      </c>
      <c r="M10" s="1620">
        <f>100-L10</f>
        <v>2</v>
      </c>
      <c r="N10" s="1620"/>
      <c r="O10" s="1009"/>
      <c r="P10" s="1">
        <v>14.5</v>
      </c>
      <c r="U10" s="1109">
        <f>(P10*$R$7*$S$7*$T$7)</f>
        <v>14323.68</v>
      </c>
    </row>
    <row r="11" spans="1:21" s="1" customFormat="1" ht="21" customHeight="1" x14ac:dyDescent="0.2">
      <c r="A11" s="1606" t="s">
        <v>5</v>
      </c>
      <c r="B11" s="1567" t="s">
        <v>115</v>
      </c>
      <c r="C11" s="1562" t="s">
        <v>1013</v>
      </c>
      <c r="D11" s="12" t="s">
        <v>21</v>
      </c>
      <c r="E11" s="853">
        <v>315881</v>
      </c>
      <c r="F11" s="895">
        <v>276753.59999999998</v>
      </c>
      <c r="G11" s="895">
        <v>12424.32</v>
      </c>
      <c r="H11" s="895">
        <v>19418.400000000001</v>
      </c>
      <c r="I11" s="849">
        <f>SUM(F11:H11)</f>
        <v>308596.32</v>
      </c>
      <c r="J11" s="574">
        <v>19.600000000000001</v>
      </c>
      <c r="K11" s="575">
        <f>+I11/J11</f>
        <v>15744.710204081632</v>
      </c>
      <c r="L11" s="584"/>
      <c r="M11" s="73">
        <v>1828.8</v>
      </c>
      <c r="N11" s="73">
        <v>1290.24</v>
      </c>
      <c r="O11" s="1049">
        <v>19</v>
      </c>
      <c r="P11" s="1">
        <v>15.5</v>
      </c>
      <c r="U11" s="1109">
        <f>(P11*$R$7*$S$7*$T$7)</f>
        <v>15311.52</v>
      </c>
    </row>
    <row r="12" spans="1:21" s="1" customFormat="1" ht="21" customHeight="1" x14ac:dyDescent="0.2">
      <c r="A12" s="1604" t="s">
        <v>5</v>
      </c>
      <c r="B12" s="1568" t="s">
        <v>115</v>
      </c>
      <c r="C12" s="1569" t="s">
        <v>1013</v>
      </c>
      <c r="D12" s="577" t="s">
        <v>22</v>
      </c>
      <c r="E12" s="578"/>
      <c r="F12" s="578">
        <f>+F11/I11*100</f>
        <v>89.681432364455929</v>
      </c>
      <c r="G12" s="578">
        <f>+G11/I11*100</f>
        <v>4.0260752299314522</v>
      </c>
      <c r="H12" s="578">
        <f>+H11/I11*100</f>
        <v>6.2924924056126139</v>
      </c>
      <c r="I12" s="1132">
        <f>SUM(F12:H12)</f>
        <v>100</v>
      </c>
      <c r="J12" s="580"/>
      <c r="K12" s="581"/>
      <c r="L12" s="365">
        <f>(I11/E11)*100</f>
        <v>97.69385306492002</v>
      </c>
      <c r="M12" s="1610">
        <f>100-L12</f>
        <v>2.3061469350799797</v>
      </c>
      <c r="N12" s="1610"/>
      <c r="O12" s="291"/>
      <c r="P12" s="1">
        <f>SUM(P7:P11)/4</f>
        <v>13.25</v>
      </c>
      <c r="U12" s="1111">
        <f>SUM(U7:U11)/4</f>
        <v>13088.880000000001</v>
      </c>
    </row>
    <row r="13" spans="1:21" s="1" customFormat="1" ht="21" customHeight="1" x14ac:dyDescent="0.2">
      <c r="A13" s="1604" t="s">
        <v>5</v>
      </c>
      <c r="B13" s="1568" t="s">
        <v>115</v>
      </c>
      <c r="C13" s="1570" t="s">
        <v>83</v>
      </c>
      <c r="D13" s="606" t="s">
        <v>21</v>
      </c>
      <c r="E13" s="709">
        <f t="shared" ref="E13:K14" si="0">E11-E9</f>
        <v>18666.714285714261</v>
      </c>
      <c r="F13" s="709">
        <f t="shared" si="0"/>
        <v>276664.59999999998</v>
      </c>
      <c r="G13" s="709">
        <f t="shared" si="0"/>
        <v>12418.32</v>
      </c>
      <c r="H13" s="709">
        <f t="shared" si="0"/>
        <v>19413.400000000001</v>
      </c>
      <c r="I13" s="709">
        <f t="shared" si="0"/>
        <v>17326.320000000007</v>
      </c>
      <c r="J13" s="600">
        <f t="shared" si="0"/>
        <v>0.60000000000000142</v>
      </c>
      <c r="K13" s="709">
        <f t="shared" si="0"/>
        <v>414.71020408163167</v>
      </c>
      <c r="L13" s="944"/>
      <c r="M13" s="1602"/>
      <c r="N13" s="1602"/>
      <c r="O13" s="709"/>
    </row>
    <row r="14" spans="1:21" s="1" customFormat="1" ht="21" customHeight="1" x14ac:dyDescent="0.2">
      <c r="A14" s="1604" t="s">
        <v>5</v>
      </c>
      <c r="B14" s="1584" t="s">
        <v>115</v>
      </c>
      <c r="C14" s="1572" t="s">
        <v>83</v>
      </c>
      <c r="D14" s="818" t="s">
        <v>22</v>
      </c>
      <c r="E14" s="819"/>
      <c r="F14" s="819">
        <f>F12-F10</f>
        <v>0.68143236445592947</v>
      </c>
      <c r="G14" s="819">
        <f t="shared" si="0"/>
        <v>-1.9739247700685478</v>
      </c>
      <c r="H14" s="819">
        <f t="shared" si="0"/>
        <v>1.2924924056126139</v>
      </c>
      <c r="I14" s="819">
        <f t="shared" si="0"/>
        <v>0</v>
      </c>
      <c r="J14" s="820"/>
      <c r="K14" s="821"/>
      <c r="L14" s="822"/>
      <c r="M14" s="823"/>
      <c r="N14" s="823"/>
      <c r="O14" s="824"/>
      <c r="P14" s="1" t="s">
        <v>33</v>
      </c>
      <c r="U14" s="1111">
        <f>U12*Q7</f>
        <v>26177.760000000002</v>
      </c>
    </row>
    <row r="15" spans="1:21" s="273" customFormat="1" ht="25" customHeight="1" x14ac:dyDescent="0.2">
      <c r="A15" s="1603" t="s">
        <v>25</v>
      </c>
      <c r="B15" s="1593" t="s">
        <v>119</v>
      </c>
      <c r="C15" s="1588" t="s">
        <v>883</v>
      </c>
      <c r="D15" s="17" t="s">
        <v>21</v>
      </c>
      <c r="E15" s="21"/>
      <c r="F15" s="21">
        <f>F16*$I$16/100</f>
        <v>0</v>
      </c>
      <c r="G15" s="21">
        <f>G16*$I$16/100</f>
        <v>0</v>
      </c>
      <c r="H15" s="21">
        <f>H16*$I$16/100</f>
        <v>0</v>
      </c>
      <c r="I15" s="836">
        <f>J15*K15</f>
        <v>0</v>
      </c>
      <c r="J15" s="431"/>
      <c r="K15" s="21"/>
      <c r="L15" s="21"/>
      <c r="M15" s="381"/>
      <c r="N15" s="381"/>
      <c r="O15" s="381">
        <v>100</v>
      </c>
      <c r="P15" s="1">
        <v>15.5</v>
      </c>
      <c r="Q15" s="1">
        <v>18</v>
      </c>
      <c r="R15" s="1"/>
      <c r="S15" s="1"/>
      <c r="T15" s="1"/>
      <c r="U15" s="1110">
        <f>P15*Q15*R7*S7*T7</f>
        <v>275607.36</v>
      </c>
    </row>
    <row r="16" spans="1:21" s="1" customFormat="1" ht="25" customHeight="1" x14ac:dyDescent="0.2">
      <c r="A16" s="1604" t="s">
        <v>25</v>
      </c>
      <c r="B16" s="1568" t="s">
        <v>119</v>
      </c>
      <c r="C16" s="1565" t="s">
        <v>883</v>
      </c>
      <c r="D16" s="17" t="s">
        <v>22</v>
      </c>
      <c r="E16" s="23"/>
      <c r="F16" s="378"/>
      <c r="G16" s="379"/>
      <c r="H16" s="379"/>
      <c r="I16" s="1088">
        <f>SUM(F16:H16)</f>
        <v>0</v>
      </c>
      <c r="J16" s="430"/>
      <c r="K16" s="380"/>
      <c r="L16" s="365"/>
      <c r="M16" s="1549">
        <f>100-L16</f>
        <v>100</v>
      </c>
      <c r="N16" s="1549"/>
      <c r="O16" s="381"/>
      <c r="U16" s="1111">
        <f>U15+U14</f>
        <v>301785.12</v>
      </c>
    </row>
    <row r="17" spans="1:15" s="1" customFormat="1" ht="25" customHeight="1" x14ac:dyDescent="0.2">
      <c r="A17" s="1604" t="s">
        <v>25</v>
      </c>
      <c r="B17" s="1567" t="s">
        <v>119</v>
      </c>
      <c r="C17" s="1562" t="s">
        <v>1013</v>
      </c>
      <c r="D17" s="17" t="s">
        <v>21</v>
      </c>
      <c r="E17" s="845"/>
      <c r="F17" s="839"/>
      <c r="G17" s="840">
        <v>0</v>
      </c>
      <c r="H17" s="840"/>
      <c r="I17" s="836">
        <f>SUM(F17:H17)</f>
        <v>0</v>
      </c>
      <c r="J17" s="431"/>
      <c r="K17" s="21" t="e">
        <f>+I17/J17</f>
        <v>#DIV/0!</v>
      </c>
      <c r="L17" s="17"/>
      <c r="M17" s="1084"/>
      <c r="N17" s="1084"/>
      <c r="O17" s="970"/>
    </row>
    <row r="18" spans="1:15" s="1" customFormat="1" ht="25" customHeight="1" x14ac:dyDescent="0.2">
      <c r="A18" s="1604" t="s">
        <v>25</v>
      </c>
      <c r="B18" s="1568" t="s">
        <v>119</v>
      </c>
      <c r="C18" s="1565" t="s">
        <v>1013</v>
      </c>
      <c r="D18" s="17" t="s">
        <v>22</v>
      </c>
      <c r="E18" s="23"/>
      <c r="F18" s="1683" t="e">
        <f>+F17/$I$17*100</f>
        <v>#DIV/0!</v>
      </c>
      <c r="G18" s="378" t="e">
        <f>+G17/$I$18*100</f>
        <v>#DIV/0!</v>
      </c>
      <c r="H18" s="378" t="e">
        <f>+H17/$I$18*100</f>
        <v>#DIV/0!</v>
      </c>
      <c r="I18" s="1088" t="e">
        <f>SUM(F18:H18)</f>
        <v>#DIV/0!</v>
      </c>
      <c r="J18" s="431"/>
      <c r="K18" s="21"/>
      <c r="L18" s="365" t="e">
        <f>I17/E17*100</f>
        <v>#DIV/0!</v>
      </c>
      <c r="M18" s="1550" t="e">
        <f>100-L18</f>
        <v>#DIV/0!</v>
      </c>
      <c r="N18" s="1550"/>
      <c r="O18" s="381"/>
    </row>
    <row r="19" spans="1:15" s="1" customFormat="1" ht="25" customHeight="1" x14ac:dyDescent="0.2">
      <c r="A19" s="1604" t="s">
        <v>25</v>
      </c>
      <c r="B19" s="1568" t="s">
        <v>119</v>
      </c>
      <c r="C19" s="1570" t="s">
        <v>83</v>
      </c>
      <c r="D19" s="606" t="s">
        <v>21</v>
      </c>
      <c r="E19" s="709">
        <f t="shared" ref="E19:K20" si="1">E17-E15</f>
        <v>0</v>
      </c>
      <c r="F19" s="709">
        <f t="shared" si="1"/>
        <v>0</v>
      </c>
      <c r="G19" s="709">
        <f t="shared" si="1"/>
        <v>0</v>
      </c>
      <c r="H19" s="709">
        <f t="shared" si="1"/>
        <v>0</v>
      </c>
      <c r="I19" s="709">
        <f t="shared" si="1"/>
        <v>0</v>
      </c>
      <c r="J19" s="600">
        <f t="shared" si="1"/>
        <v>0</v>
      </c>
      <c r="K19" s="709" t="e">
        <f t="shared" si="1"/>
        <v>#DIV/0!</v>
      </c>
      <c r="L19" s="944"/>
      <c r="M19" s="1602"/>
      <c r="N19" s="1602"/>
      <c r="O19" s="709"/>
    </row>
    <row r="20" spans="1:15" s="1" customFormat="1" ht="25" customHeight="1" x14ac:dyDescent="0.2">
      <c r="A20" s="1606" t="s">
        <v>25</v>
      </c>
      <c r="B20" s="1584" t="s">
        <v>119</v>
      </c>
      <c r="C20" s="1572" t="s">
        <v>83</v>
      </c>
      <c r="D20" s="599" t="s">
        <v>22</v>
      </c>
      <c r="E20" s="600"/>
      <c r="F20" s="600" t="e">
        <f>F18-F16</f>
        <v>#DIV/0!</v>
      </c>
      <c r="G20" s="600" t="e">
        <f t="shared" si="1"/>
        <v>#DIV/0!</v>
      </c>
      <c r="H20" s="600" t="e">
        <f t="shared" si="1"/>
        <v>#DIV/0!</v>
      </c>
      <c r="I20" s="600" t="e">
        <f t="shared" si="1"/>
        <v>#DIV/0!</v>
      </c>
      <c r="J20" s="601"/>
      <c r="K20" s="602"/>
      <c r="L20" s="603"/>
      <c r="M20" s="604"/>
      <c r="N20" s="604"/>
      <c r="O20" s="605"/>
    </row>
    <row r="21" spans="1:15" s="1" customFormat="1" ht="25" customHeight="1" x14ac:dyDescent="0.2">
      <c r="A21" s="1604" t="s">
        <v>25</v>
      </c>
      <c r="B21" s="1593" t="s">
        <v>122</v>
      </c>
      <c r="C21" s="1562" t="s">
        <v>883</v>
      </c>
      <c r="D21" s="17" t="s">
        <v>21</v>
      </c>
      <c r="E21" s="21"/>
      <c r="F21" s="21">
        <f>F22*$I$22/100</f>
        <v>0</v>
      </c>
      <c r="G21" s="21">
        <f>G22*$I$22/100</f>
        <v>0</v>
      </c>
      <c r="H21" s="21">
        <f>H22*$I$22/100</f>
        <v>0</v>
      </c>
      <c r="I21" s="836">
        <f>J21*K21</f>
        <v>0</v>
      </c>
      <c r="J21" s="1131"/>
      <c r="K21" s="1085"/>
      <c r="L21" s="21"/>
      <c r="M21" s="381"/>
      <c r="N21" s="381"/>
      <c r="O21" s="381">
        <v>100</v>
      </c>
    </row>
    <row r="22" spans="1:15" s="1" customFormat="1" ht="25" customHeight="1" x14ac:dyDescent="0.2">
      <c r="A22" s="1604" t="s">
        <v>25</v>
      </c>
      <c r="B22" s="1568" t="s">
        <v>122</v>
      </c>
      <c r="C22" s="1565" t="s">
        <v>883</v>
      </c>
      <c r="D22" s="17" t="s">
        <v>22</v>
      </c>
      <c r="E22" s="23"/>
      <c r="F22" s="378"/>
      <c r="G22" s="379"/>
      <c r="H22" s="379"/>
      <c r="I22" s="1088">
        <f>SUM(F22:H22)</f>
        <v>0</v>
      </c>
      <c r="J22" s="430"/>
      <c r="K22" s="380"/>
      <c r="L22" s="365"/>
      <c r="M22" s="1549">
        <f>100-L22</f>
        <v>100</v>
      </c>
      <c r="N22" s="1549"/>
      <c r="O22" s="381"/>
    </row>
    <row r="23" spans="1:15" s="1" customFormat="1" ht="25" customHeight="1" x14ac:dyDescent="0.2">
      <c r="A23" s="1604" t="s">
        <v>25</v>
      </c>
      <c r="B23" s="1567" t="s">
        <v>122</v>
      </c>
      <c r="C23" s="1562" t="s">
        <v>1013</v>
      </c>
      <c r="D23" s="17" t="s">
        <v>21</v>
      </c>
      <c r="E23" s="845"/>
      <c r="F23" s="839"/>
      <c r="G23" s="840">
        <v>0</v>
      </c>
      <c r="H23" s="840"/>
      <c r="I23" s="836">
        <f>SUM(F23:H23)</f>
        <v>0</v>
      </c>
      <c r="J23" s="431"/>
      <c r="K23" s="21" t="e">
        <f>+I23/J23</f>
        <v>#DIV/0!</v>
      </c>
      <c r="L23" s="17"/>
      <c r="M23" s="1084"/>
      <c r="N23" s="1084"/>
      <c r="O23" s="970"/>
    </row>
    <row r="24" spans="1:15" s="1" customFormat="1" ht="25" customHeight="1" x14ac:dyDescent="0.2">
      <c r="A24" s="1604" t="s">
        <v>25</v>
      </c>
      <c r="B24" s="1568" t="s">
        <v>122</v>
      </c>
      <c r="C24" s="1565" t="s">
        <v>1013</v>
      </c>
      <c r="D24" s="17" t="s">
        <v>22</v>
      </c>
      <c r="E24" s="23"/>
      <c r="F24" s="378" t="e">
        <f ca="1">+F23/$I$24*100</f>
        <v>#DIV/0!</v>
      </c>
      <c r="G24" s="378" t="e">
        <f ca="1">+G23/$I$24*100</f>
        <v>#DIV/0!</v>
      </c>
      <c r="H24" s="378" t="e">
        <f ca="1">+H23/$I$24*100</f>
        <v>#DIV/0!</v>
      </c>
      <c r="I24" s="1088" t="e">
        <f ca="1">SUM(F24:H24)</f>
        <v>#DIV/0!</v>
      </c>
      <c r="J24" s="431"/>
      <c r="K24" s="21"/>
      <c r="L24" s="365" t="e">
        <f>I23/E23*100</f>
        <v>#DIV/0!</v>
      </c>
      <c r="M24" s="1611" t="e">
        <f>100-L24</f>
        <v>#DIV/0!</v>
      </c>
      <c r="N24" s="1611"/>
      <c r="O24" s="381"/>
    </row>
    <row r="25" spans="1:15" s="1" customFormat="1" ht="25" customHeight="1" x14ac:dyDescent="0.2">
      <c r="A25" s="1604" t="s">
        <v>25</v>
      </c>
      <c r="B25" s="1568" t="s">
        <v>122</v>
      </c>
      <c r="C25" s="1570" t="s">
        <v>83</v>
      </c>
      <c r="D25" s="606" t="s">
        <v>21</v>
      </c>
      <c r="E25" s="709">
        <f t="shared" ref="E25:K26" si="2">E23-E21</f>
        <v>0</v>
      </c>
      <c r="F25" s="709">
        <f t="shared" si="2"/>
        <v>0</v>
      </c>
      <c r="G25" s="709">
        <f t="shared" si="2"/>
        <v>0</v>
      </c>
      <c r="H25" s="709">
        <f t="shared" si="2"/>
        <v>0</v>
      </c>
      <c r="I25" s="709">
        <f t="shared" si="2"/>
        <v>0</v>
      </c>
      <c r="J25" s="600">
        <f t="shared" si="2"/>
        <v>0</v>
      </c>
      <c r="K25" s="709" t="e">
        <f t="shared" si="2"/>
        <v>#DIV/0!</v>
      </c>
      <c r="L25" s="944"/>
      <c r="M25" s="1602"/>
      <c r="N25" s="1602"/>
      <c r="O25" s="709"/>
    </row>
    <row r="26" spans="1:15" s="1" customFormat="1" ht="25" customHeight="1" x14ac:dyDescent="0.2">
      <c r="A26" s="1604" t="s">
        <v>25</v>
      </c>
      <c r="B26" s="1584" t="s">
        <v>122</v>
      </c>
      <c r="C26" s="1572" t="s">
        <v>83</v>
      </c>
      <c r="D26" s="599" t="s">
        <v>22</v>
      </c>
      <c r="E26" s="600"/>
      <c r="F26" s="600" t="e">
        <f ca="1">F24-F22</f>
        <v>#DIV/0!</v>
      </c>
      <c r="G26" s="600" t="e">
        <f t="shared" ca="1" si="2"/>
        <v>#DIV/0!</v>
      </c>
      <c r="H26" s="600" t="e">
        <f t="shared" ca="1" si="2"/>
        <v>#DIV/0!</v>
      </c>
      <c r="I26" s="600" t="e">
        <f t="shared" ca="1" si="2"/>
        <v>#DIV/0!</v>
      </c>
      <c r="J26" s="601"/>
      <c r="K26" s="602"/>
      <c r="L26" s="603"/>
      <c r="M26" s="604"/>
      <c r="N26" s="604"/>
      <c r="O26" s="605"/>
    </row>
    <row r="27" spans="1:15" s="1" customFormat="1" ht="28" customHeight="1" x14ac:dyDescent="0.2">
      <c r="A27" s="1603" t="s">
        <v>25</v>
      </c>
      <c r="B27" s="1593" t="s">
        <v>116</v>
      </c>
      <c r="C27" s="1562" t="s">
        <v>883</v>
      </c>
      <c r="D27" s="17" t="s">
        <v>21</v>
      </c>
      <c r="E27" s="21">
        <f>I27*100/L28</f>
        <v>427346.93877551018</v>
      </c>
      <c r="F27" s="21">
        <f>F28*$I$28/100</f>
        <v>89</v>
      </c>
      <c r="G27" s="21">
        <f>G28*$I$28/100</f>
        <v>8</v>
      </c>
      <c r="H27" s="21">
        <f>H28*$I$28/100</f>
        <v>3</v>
      </c>
      <c r="I27" s="836">
        <f>J27*K27</f>
        <v>418800</v>
      </c>
      <c r="J27" s="18">
        <v>30</v>
      </c>
      <c r="K27" s="1085">
        <v>13960</v>
      </c>
      <c r="L27" s="21"/>
      <c r="M27" s="381"/>
      <c r="N27" s="381"/>
      <c r="O27" s="381">
        <v>40</v>
      </c>
    </row>
    <row r="28" spans="1:15" s="1" customFormat="1" ht="28" customHeight="1" x14ac:dyDescent="0.2">
      <c r="A28" s="1604" t="s">
        <v>25</v>
      </c>
      <c r="B28" s="1568" t="s">
        <v>116</v>
      </c>
      <c r="C28" s="1565" t="s">
        <v>883</v>
      </c>
      <c r="D28" s="17" t="s">
        <v>22</v>
      </c>
      <c r="E28" s="23"/>
      <c r="F28" s="378">
        <v>89</v>
      </c>
      <c r="G28" s="379">
        <v>8</v>
      </c>
      <c r="H28" s="379">
        <v>3</v>
      </c>
      <c r="I28" s="1088">
        <f>SUM(F28:H28)</f>
        <v>100</v>
      </c>
      <c r="J28" s="430"/>
      <c r="K28" s="380"/>
      <c r="L28" s="365">
        <v>98</v>
      </c>
      <c r="M28" s="1611">
        <f>100-L28</f>
        <v>2</v>
      </c>
      <c r="N28" s="1611"/>
      <c r="O28" s="381"/>
    </row>
    <row r="29" spans="1:15" s="1" customFormat="1" ht="28" customHeight="1" x14ac:dyDescent="0.2">
      <c r="A29" s="1606" t="s">
        <v>25</v>
      </c>
      <c r="B29" s="1567" t="s">
        <v>116</v>
      </c>
      <c r="C29" s="1562" t="s">
        <v>1013</v>
      </c>
      <c r="D29" s="17" t="s">
        <v>21</v>
      </c>
      <c r="E29" s="845">
        <v>437021</v>
      </c>
      <c r="F29" s="839">
        <v>407480</v>
      </c>
      <c r="G29" s="840">
        <v>0</v>
      </c>
      <c r="H29" s="840">
        <v>23228.799999999999</v>
      </c>
      <c r="I29" s="836">
        <f>SUM(F29:H29)</f>
        <v>430708.8</v>
      </c>
      <c r="J29" s="431">
        <v>30</v>
      </c>
      <c r="K29" s="21">
        <f>+I29/J29</f>
        <v>14356.96</v>
      </c>
      <c r="L29" s="17"/>
      <c r="M29" s="1084">
        <v>2112</v>
      </c>
      <c r="N29" s="1084">
        <v>2384.3200000000002</v>
      </c>
      <c r="O29" s="970">
        <v>15</v>
      </c>
    </row>
    <row r="30" spans="1:15" s="1" customFormat="1" ht="28" customHeight="1" x14ac:dyDescent="0.2">
      <c r="A30" s="1604" t="s">
        <v>25</v>
      </c>
      <c r="B30" s="1568" t="s">
        <v>116</v>
      </c>
      <c r="C30" s="1565" t="s">
        <v>1013</v>
      </c>
      <c r="D30" s="17" t="s">
        <v>22</v>
      </c>
      <c r="E30" s="23"/>
      <c r="F30" s="378">
        <f ca="1">+F29/$I$30*100</f>
        <v>94.60684341717652</v>
      </c>
      <c r="G30" s="378">
        <f ca="1">+G29/$I$30*100</f>
        <v>0</v>
      </c>
      <c r="H30" s="378">
        <f ca="1">+H29/$I$30*100</f>
        <v>5.393156582823476</v>
      </c>
      <c r="I30" s="1088">
        <f ca="1">SUM(F30:H30)</f>
        <v>100</v>
      </c>
      <c r="J30" s="431"/>
      <c r="K30" s="21"/>
      <c r="L30" s="365">
        <f>I29/E29*100</f>
        <v>98.555630049814539</v>
      </c>
      <c r="M30" s="1611">
        <f>100-L30</f>
        <v>1.444369950185461</v>
      </c>
      <c r="N30" s="1611"/>
      <c r="O30" s="381"/>
    </row>
    <row r="31" spans="1:15" s="1" customFormat="1" ht="28" customHeight="1" x14ac:dyDescent="0.2">
      <c r="A31" s="1604" t="s">
        <v>25</v>
      </c>
      <c r="B31" s="1568" t="s">
        <v>116</v>
      </c>
      <c r="C31" s="1570" t="s">
        <v>83</v>
      </c>
      <c r="D31" s="606" t="s">
        <v>21</v>
      </c>
      <c r="E31" s="709">
        <f t="shared" ref="E31:K32" si="3">E29-E27</f>
        <v>9674.0612244898221</v>
      </c>
      <c r="F31" s="709">
        <f t="shared" si="3"/>
        <v>407391</v>
      </c>
      <c r="G31" s="709">
        <f t="shared" si="3"/>
        <v>-8</v>
      </c>
      <c r="H31" s="709">
        <f t="shared" si="3"/>
        <v>23225.8</v>
      </c>
      <c r="I31" s="709">
        <f t="shared" si="3"/>
        <v>11908.799999999988</v>
      </c>
      <c r="J31" s="600">
        <f t="shared" si="3"/>
        <v>0</v>
      </c>
      <c r="K31" s="709">
        <f t="shared" si="3"/>
        <v>396.95999999999913</v>
      </c>
      <c r="L31" s="944"/>
      <c r="M31" s="1602"/>
      <c r="N31" s="1602"/>
      <c r="O31" s="709"/>
    </row>
    <row r="32" spans="1:15" s="1" customFormat="1" ht="28" customHeight="1" x14ac:dyDescent="0.2">
      <c r="A32" s="1604" t="s">
        <v>25</v>
      </c>
      <c r="B32" s="1584" t="s">
        <v>116</v>
      </c>
      <c r="C32" s="1574" t="s">
        <v>83</v>
      </c>
      <c r="D32" s="599" t="s">
        <v>22</v>
      </c>
      <c r="E32" s="600"/>
      <c r="F32" s="600">
        <f ca="1">F30-F28</f>
        <v>5.6068434171765205</v>
      </c>
      <c r="G32" s="600">
        <f t="shared" ca="1" si="3"/>
        <v>-8</v>
      </c>
      <c r="H32" s="600">
        <f t="shared" ca="1" si="3"/>
        <v>2.393156582823476</v>
      </c>
      <c r="I32" s="600">
        <f t="shared" ca="1" si="3"/>
        <v>0</v>
      </c>
      <c r="J32" s="601"/>
      <c r="K32" s="602"/>
      <c r="L32" s="603"/>
      <c r="M32" s="604"/>
      <c r="N32" s="604"/>
      <c r="O32" s="605"/>
    </row>
    <row r="33" spans="1:15" s="1" customFormat="1" ht="28" hidden="1" customHeight="1" x14ac:dyDescent="0.2">
      <c r="A33" s="3249" t="s">
        <v>674</v>
      </c>
      <c r="B33" s="3250"/>
      <c r="C33" s="1524" t="s">
        <v>1016</v>
      </c>
      <c r="D33" s="509" t="s">
        <v>21</v>
      </c>
      <c r="E33" s="731">
        <f t="shared" ref="E33:J33" si="4">E15+E21+E27</f>
        <v>427346.93877551018</v>
      </c>
      <c r="F33" s="731">
        <f t="shared" si="4"/>
        <v>89</v>
      </c>
      <c r="G33" s="731">
        <f t="shared" si="4"/>
        <v>8</v>
      </c>
      <c r="H33" s="731">
        <f t="shared" si="4"/>
        <v>3</v>
      </c>
      <c r="I33" s="731">
        <f t="shared" si="4"/>
        <v>418800</v>
      </c>
      <c r="J33" s="511">
        <f t="shared" si="4"/>
        <v>30</v>
      </c>
      <c r="K33" s="514">
        <f>I33/J33</f>
        <v>13960</v>
      </c>
      <c r="L33" s="515"/>
      <c r="M33" s="516"/>
      <c r="N33" s="516"/>
      <c r="O33" s="1010"/>
    </row>
    <row r="34" spans="1:15" s="1" customFormat="1" ht="28" hidden="1" customHeight="1" x14ac:dyDescent="0.2">
      <c r="A34" s="3251"/>
      <c r="B34" s="3252"/>
      <c r="C34" s="1573" t="s">
        <v>1016</v>
      </c>
      <c r="D34" s="509" t="s">
        <v>22</v>
      </c>
      <c r="E34" s="511"/>
      <c r="F34" s="518">
        <f ca="1">F33/$I$34*100</f>
        <v>89</v>
      </c>
      <c r="G34" s="518">
        <f ca="1">G33/$I$34*100</f>
        <v>8</v>
      </c>
      <c r="H34" s="518">
        <f ca="1">H33/$I$34*100</f>
        <v>3</v>
      </c>
      <c r="I34" s="1133">
        <f ca="1">SUM(F34:H34)</f>
        <v>100</v>
      </c>
      <c r="J34" s="520"/>
      <c r="K34" s="521"/>
      <c r="L34" s="825">
        <f>(L16+L22+L28)/3</f>
        <v>32.666666666666664</v>
      </c>
      <c r="M34" s="1608">
        <f>100-L34</f>
        <v>67.333333333333343</v>
      </c>
      <c r="N34" s="1608"/>
      <c r="O34" s="1011"/>
    </row>
    <row r="35" spans="1:15" s="1" customFormat="1" ht="28" hidden="1" customHeight="1" x14ac:dyDescent="0.2">
      <c r="A35" s="3251"/>
      <c r="B35" s="3253"/>
      <c r="C35" s="1524" t="s">
        <v>1017</v>
      </c>
      <c r="D35" s="509" t="s">
        <v>21</v>
      </c>
      <c r="E35" s="731">
        <f t="shared" ref="E35:J35" si="5">E17+E23+E29</f>
        <v>437021</v>
      </c>
      <c r="F35" s="731">
        <f t="shared" si="5"/>
        <v>407480</v>
      </c>
      <c r="G35" s="731">
        <f t="shared" si="5"/>
        <v>0</v>
      </c>
      <c r="H35" s="731">
        <f t="shared" si="5"/>
        <v>23228.799999999999</v>
      </c>
      <c r="I35" s="731">
        <f t="shared" si="5"/>
        <v>430708.8</v>
      </c>
      <c r="J35" s="511">
        <f t="shared" si="5"/>
        <v>30</v>
      </c>
      <c r="K35" s="514">
        <f>+I35/J35</f>
        <v>14356.96</v>
      </c>
      <c r="L35" s="1086"/>
      <c r="M35" s="1087"/>
      <c r="N35" s="1087"/>
      <c r="O35" s="1010"/>
    </row>
    <row r="36" spans="1:15" s="1" customFormat="1" ht="28" hidden="1" customHeight="1" x14ac:dyDescent="0.2">
      <c r="A36" s="3251"/>
      <c r="B36" s="3253"/>
      <c r="C36" s="1573" t="s">
        <v>1017</v>
      </c>
      <c r="D36" s="509" t="s">
        <v>22</v>
      </c>
      <c r="E36" s="511"/>
      <c r="F36" s="518">
        <f ca="1">+F35/$I$36*100</f>
        <v>94.60684341717652</v>
      </c>
      <c r="G36" s="518">
        <f ca="1">+G35/$I$36*100</f>
        <v>0</v>
      </c>
      <c r="H36" s="518">
        <f ca="1">+H35/$I$36*100</f>
        <v>5.393156582823476</v>
      </c>
      <c r="I36" s="1133">
        <f ca="1">SUM(F36:H36)</f>
        <v>100</v>
      </c>
      <c r="J36" s="520"/>
      <c r="K36" s="521"/>
      <c r="L36" s="1106">
        <f>+I35/E35*100</f>
        <v>98.555630049814539</v>
      </c>
      <c r="M36" s="1609">
        <f>100-L36</f>
        <v>1.444369950185461</v>
      </c>
      <c r="N36" s="1609"/>
      <c r="O36" s="1011"/>
    </row>
    <row r="37" spans="1:15" s="1" customFormat="1" ht="28" hidden="1" customHeight="1" x14ac:dyDescent="0.2">
      <c r="A37" s="3251"/>
      <c r="B37" s="3253"/>
      <c r="C37" s="1570" t="s">
        <v>83</v>
      </c>
      <c r="D37" s="606" t="s">
        <v>21</v>
      </c>
      <c r="E37" s="838">
        <f>E35-E33</f>
        <v>9674.0612244898221</v>
      </c>
      <c r="F37" s="838">
        <f t="shared" ref="F37:L38" si="6">F35-F33</f>
        <v>407391</v>
      </c>
      <c r="G37" s="838">
        <f t="shared" si="6"/>
        <v>-8</v>
      </c>
      <c r="H37" s="838">
        <f t="shared" si="6"/>
        <v>23225.8</v>
      </c>
      <c r="I37" s="838">
        <f t="shared" si="6"/>
        <v>11908.799999999988</v>
      </c>
      <c r="J37" s="622">
        <f t="shared" si="6"/>
        <v>0</v>
      </c>
      <c r="K37" s="838">
        <f t="shared" si="6"/>
        <v>396.95999999999913</v>
      </c>
      <c r="L37" s="838">
        <f t="shared" si="6"/>
        <v>0</v>
      </c>
      <c r="M37" s="1527"/>
      <c r="N37" s="1527"/>
      <c r="O37" s="948"/>
    </row>
    <row r="38" spans="1:15" s="1" customFormat="1" ht="28" hidden="1" customHeight="1" x14ac:dyDescent="0.2">
      <c r="A38" s="3251"/>
      <c r="B38" s="3253"/>
      <c r="C38" s="1574" t="s">
        <v>83</v>
      </c>
      <c r="D38" s="599" t="s">
        <v>22</v>
      </c>
      <c r="E38" s="622"/>
      <c r="F38" s="600">
        <f ca="1">F36-F34</f>
        <v>5.6068434171765205</v>
      </c>
      <c r="G38" s="600">
        <f t="shared" ca="1" si="6"/>
        <v>-8</v>
      </c>
      <c r="H38" s="600">
        <f t="shared" ca="1" si="6"/>
        <v>2.393156582823476</v>
      </c>
      <c r="I38" s="600">
        <f t="shared" ca="1" si="6"/>
        <v>0</v>
      </c>
      <c r="J38" s="601"/>
      <c r="K38" s="602"/>
      <c r="L38" s="603"/>
      <c r="M38" s="604"/>
      <c r="N38" s="604"/>
      <c r="O38" s="1012"/>
    </row>
    <row r="39" spans="1:15" s="1" customFormat="1" ht="24" customHeight="1" x14ac:dyDescent="0.2">
      <c r="A39" s="3141" t="s">
        <v>28</v>
      </c>
      <c r="B39" s="3142"/>
      <c r="C39" s="1529" t="s">
        <v>1018</v>
      </c>
      <c r="D39" s="31" t="s">
        <v>21</v>
      </c>
      <c r="E39" s="842">
        <f t="shared" ref="E39:J39" si="7">E9+E33</f>
        <v>724561.22448979598</v>
      </c>
      <c r="F39" s="842">
        <f t="shared" si="7"/>
        <v>178</v>
      </c>
      <c r="G39" s="842">
        <f t="shared" si="7"/>
        <v>14</v>
      </c>
      <c r="H39" s="842">
        <f t="shared" si="7"/>
        <v>8</v>
      </c>
      <c r="I39" s="842">
        <f t="shared" si="7"/>
        <v>710070</v>
      </c>
      <c r="J39" s="34">
        <f t="shared" si="7"/>
        <v>49</v>
      </c>
      <c r="K39" s="359">
        <f>+I39/J39</f>
        <v>14491.224489795919</v>
      </c>
      <c r="L39" s="368"/>
      <c r="M39" s="826"/>
      <c r="N39" s="826"/>
      <c r="O39" s="1056"/>
    </row>
    <row r="40" spans="1:15" s="1" customFormat="1" ht="24" customHeight="1" x14ac:dyDescent="0.2">
      <c r="A40" s="3143"/>
      <c r="B40" s="3144"/>
      <c r="C40" s="1575" t="s">
        <v>1018</v>
      </c>
      <c r="D40" s="31" t="s">
        <v>22</v>
      </c>
      <c r="E40" s="32"/>
      <c r="F40" s="33">
        <f>+F39/I39*100</f>
        <v>2.5067951047079869E-2</v>
      </c>
      <c r="G40" s="33">
        <f>+G39/I39*100</f>
        <v>1.9716365992085289E-3</v>
      </c>
      <c r="H40" s="33">
        <f>+H39/I39*100</f>
        <v>1.1266494852620165E-3</v>
      </c>
      <c r="I40" s="1134">
        <v>100</v>
      </c>
      <c r="J40" s="436"/>
      <c r="K40" s="358"/>
      <c r="L40" s="976">
        <f>+I39/E39*100</f>
        <v>97.999999999999986</v>
      </c>
      <c r="M40" s="1607">
        <f>100-L40</f>
        <v>2.0000000000000142</v>
      </c>
      <c r="N40" s="1607"/>
      <c r="O40" s="1056"/>
    </row>
    <row r="41" spans="1:15" s="1" customFormat="1" ht="24" customHeight="1" x14ac:dyDescent="0.2">
      <c r="A41" s="3143"/>
      <c r="B41" s="3145"/>
      <c r="C41" s="1529" t="s">
        <v>1019</v>
      </c>
      <c r="D41" s="31" t="s">
        <v>21</v>
      </c>
      <c r="E41" s="842">
        <f t="shared" ref="E41:J41" si="8">E11+E35</f>
        <v>752902</v>
      </c>
      <c r="F41" s="842">
        <f t="shared" si="8"/>
        <v>684233.6</v>
      </c>
      <c r="G41" s="842">
        <f t="shared" si="8"/>
        <v>12424.32</v>
      </c>
      <c r="H41" s="842">
        <f t="shared" si="8"/>
        <v>42647.199999999997</v>
      </c>
      <c r="I41" s="842">
        <f t="shared" si="8"/>
        <v>739305.12</v>
      </c>
      <c r="J41" s="34">
        <f t="shared" si="8"/>
        <v>49.6</v>
      </c>
      <c r="K41" s="359">
        <f>I41/J41</f>
        <v>14905.345161290323</v>
      </c>
      <c r="L41" s="1089"/>
      <c r="M41" s="1090"/>
      <c r="N41" s="1090"/>
      <c r="O41" s="1056"/>
    </row>
    <row r="42" spans="1:15" s="1" customFormat="1" ht="24" customHeight="1" x14ac:dyDescent="0.2">
      <c r="A42" s="3143"/>
      <c r="B42" s="3145"/>
      <c r="C42" s="1575" t="s">
        <v>1020</v>
      </c>
      <c r="D42" s="31" t="s">
        <v>22</v>
      </c>
      <c r="E42" s="32"/>
      <c r="F42" s="33">
        <f ca="1">F41/$I$42*100</f>
        <v>92.550907803803653</v>
      </c>
      <c r="G42" s="33">
        <f ca="1">G41/$I$42*100</f>
        <v>1.6805402348627045</v>
      </c>
      <c r="H42" s="33">
        <f ca="1">H41/$I$42*100</f>
        <v>5.7685519613336362</v>
      </c>
      <c r="I42" s="1134">
        <f ca="1">SUM(F42:H42)</f>
        <v>100</v>
      </c>
      <c r="J42" s="436"/>
      <c r="K42" s="358"/>
      <c r="L42" s="976">
        <f>I41/E41*100</f>
        <v>98.194070410226033</v>
      </c>
      <c r="M42" s="1607">
        <f>100-L42</f>
        <v>1.8059295897739673</v>
      </c>
      <c r="N42" s="1607"/>
      <c r="O42" s="1056"/>
    </row>
    <row r="43" spans="1:15" s="1" customFormat="1" ht="24" customHeight="1" x14ac:dyDescent="0.2">
      <c r="A43" s="3143"/>
      <c r="B43" s="3145"/>
      <c r="C43" s="1529" t="s">
        <v>83</v>
      </c>
      <c r="D43" s="31" t="s">
        <v>21</v>
      </c>
      <c r="E43" s="844">
        <f>E41-E39</f>
        <v>28340.775510204025</v>
      </c>
      <c r="F43" s="844">
        <f t="shared" ref="F43:K44" si="9">F41-F39</f>
        <v>684055.6</v>
      </c>
      <c r="G43" s="844">
        <f t="shared" si="9"/>
        <v>12410.32</v>
      </c>
      <c r="H43" s="844">
        <f t="shared" si="9"/>
        <v>42639.199999999997</v>
      </c>
      <c r="I43" s="844">
        <f t="shared" si="9"/>
        <v>29235.119999999995</v>
      </c>
      <c r="J43" s="32">
        <f t="shared" si="9"/>
        <v>0.60000000000000142</v>
      </c>
      <c r="K43" s="844">
        <f t="shared" si="9"/>
        <v>414.12067149440372</v>
      </c>
      <c r="L43" s="368"/>
      <c r="M43" s="36"/>
      <c r="N43" s="36"/>
      <c r="O43" s="367"/>
    </row>
    <row r="44" spans="1:15" s="1" customFormat="1" ht="24" customHeight="1" x14ac:dyDescent="0.2">
      <c r="A44" s="3146"/>
      <c r="B44" s="3147"/>
      <c r="C44" s="1575" t="s">
        <v>30</v>
      </c>
      <c r="D44" s="31" t="s">
        <v>22</v>
      </c>
      <c r="E44" s="32"/>
      <c r="F44" s="33">
        <f ca="1">F42-F40</f>
        <v>3.5509078038036535</v>
      </c>
      <c r="G44" s="33">
        <f t="shared" ca="1" si="9"/>
        <v>-5.4990617762066254</v>
      </c>
      <c r="H44" s="33">
        <f t="shared" ca="1" si="9"/>
        <v>1.9481539724029671</v>
      </c>
      <c r="I44" s="397"/>
      <c r="J44" s="437"/>
      <c r="K44" s="827"/>
      <c r="L44" s="368"/>
      <c r="M44" s="36"/>
      <c r="N44" s="36"/>
      <c r="O44" s="828"/>
    </row>
    <row r="45" spans="1:15" s="1" customFormat="1" ht="30" customHeight="1" x14ac:dyDescent="0.2">
      <c r="A45" s="2941" t="s">
        <v>32</v>
      </c>
      <c r="B45" s="2941"/>
      <c r="C45" s="2941"/>
      <c r="D45" s="2941"/>
      <c r="E45" s="2941"/>
      <c r="F45" s="2941"/>
      <c r="G45" s="2941"/>
      <c r="H45" s="2941"/>
      <c r="I45" s="2941"/>
      <c r="J45" s="2941"/>
      <c r="K45" s="2941"/>
      <c r="L45" s="2941"/>
      <c r="M45" s="2941"/>
      <c r="N45" s="2941"/>
    </row>
    <row r="46" spans="1:15" s="1" customFormat="1" ht="27" customHeight="1" x14ac:dyDescent="0.2">
      <c r="A46" s="2909" t="s">
        <v>907</v>
      </c>
      <c r="B46" s="2909"/>
      <c r="C46" s="2909"/>
      <c r="D46" s="2909"/>
      <c r="E46" s="2909"/>
      <c r="F46" s="2909"/>
      <c r="G46" s="2909"/>
      <c r="H46" s="2909"/>
      <c r="I46" s="2909"/>
      <c r="J46" s="2909"/>
      <c r="K46" s="2909"/>
      <c r="L46" s="2909"/>
      <c r="M46" s="2909"/>
      <c r="N46" s="2909"/>
    </row>
    <row r="47" spans="1:15" s="1" customFormat="1" ht="27" customHeight="1" x14ac:dyDescent="0.2">
      <c r="A47" s="2663" t="s">
        <v>803</v>
      </c>
      <c r="B47" s="2663"/>
      <c r="C47" s="2663"/>
      <c r="D47" s="2663"/>
      <c r="E47" s="2663"/>
      <c r="F47" s="2663"/>
      <c r="G47" s="2663"/>
      <c r="H47" s="2663"/>
      <c r="I47" s="2663"/>
      <c r="J47" s="2663"/>
      <c r="K47" s="2663"/>
      <c r="L47" s="2663"/>
      <c r="M47" s="2663"/>
      <c r="N47" s="2663"/>
    </row>
    <row r="48" spans="1:15" s="1" customFormat="1" ht="27" customHeight="1" x14ac:dyDescent="0.2">
      <c r="A48" s="2663" t="s">
        <v>804</v>
      </c>
      <c r="B48" s="2663"/>
      <c r="C48" s="2663"/>
      <c r="D48" s="2663"/>
      <c r="E48" s="2663"/>
      <c r="F48" s="2663"/>
      <c r="G48" s="2663"/>
      <c r="H48" s="2663"/>
      <c r="I48" s="2663"/>
      <c r="J48" s="2663"/>
      <c r="K48" s="2663"/>
      <c r="L48" s="2663"/>
      <c r="M48" s="2663"/>
      <c r="N48" s="2663"/>
    </row>
    <row r="49" spans="1:16" s="1" customFormat="1" ht="27" customHeight="1" x14ac:dyDescent="0.2">
      <c r="A49" s="3198" t="s">
        <v>805</v>
      </c>
      <c r="B49" s="3198"/>
      <c r="C49" s="3198"/>
      <c r="D49" s="3198"/>
      <c r="E49" s="3198"/>
      <c r="F49" s="3198"/>
      <c r="G49" s="3198"/>
      <c r="H49" s="3198"/>
      <c r="I49" s="3198"/>
      <c r="J49" s="3198"/>
      <c r="K49" s="3198"/>
      <c r="L49" s="3198"/>
      <c r="M49" s="3198"/>
      <c r="N49" s="3198"/>
    </row>
    <row r="50" spans="1:16" s="1" customFormat="1" ht="23" customHeight="1" x14ac:dyDescent="0.2">
      <c r="A50" s="42" t="s">
        <v>780</v>
      </c>
      <c r="B50" s="41"/>
      <c r="C50" s="41"/>
      <c r="D50" s="41"/>
      <c r="E50" s="41"/>
      <c r="F50" s="41"/>
      <c r="G50" s="41"/>
      <c r="H50" s="399"/>
      <c r="I50" s="439"/>
      <c r="J50" s="41"/>
      <c r="K50" s="41"/>
      <c r="L50" s="41"/>
      <c r="M50" s="41"/>
      <c r="N50" s="41"/>
    </row>
    <row r="51" spans="1:16" s="1" customFormat="1" ht="25" customHeight="1" x14ac:dyDescent="0.2">
      <c r="A51" s="42" t="s">
        <v>312</v>
      </c>
      <c r="B51" s="41"/>
      <c r="C51" s="41"/>
      <c r="D51" s="41"/>
      <c r="E51" s="41"/>
      <c r="F51" s="41"/>
      <c r="G51" s="41"/>
      <c r="H51" s="399"/>
      <c r="I51" s="439"/>
      <c r="J51" s="41"/>
      <c r="K51" s="41"/>
      <c r="L51" s="41"/>
      <c r="M51" s="41"/>
      <c r="N51" s="41"/>
    </row>
    <row r="52" spans="1:16" s="1" customFormat="1" ht="28" customHeight="1" x14ac:dyDescent="0.2">
      <c r="A52" s="2665" t="s">
        <v>34</v>
      </c>
      <c r="B52" s="2665" t="s">
        <v>135</v>
      </c>
      <c r="C52" s="2551" t="s">
        <v>6</v>
      </c>
      <c r="D52" s="2551" t="s">
        <v>105</v>
      </c>
      <c r="E52" s="2551" t="s">
        <v>17</v>
      </c>
      <c r="F52" s="3389" t="s">
        <v>106</v>
      </c>
      <c r="G52" s="3390"/>
      <c r="H52" s="3390"/>
      <c r="I52" s="3391"/>
      <c r="J52" s="1659" t="s">
        <v>107</v>
      </c>
      <c r="K52" s="2722" t="s">
        <v>47</v>
      </c>
      <c r="L52"/>
      <c r="M52"/>
      <c r="N52"/>
      <c r="O52"/>
      <c r="P52"/>
    </row>
    <row r="53" spans="1:16" s="1" customFormat="1" ht="39" customHeight="1" x14ac:dyDescent="0.2">
      <c r="A53" s="3223"/>
      <c r="B53" s="3223"/>
      <c r="C53" s="2566"/>
      <c r="D53" s="2551"/>
      <c r="E53" s="2551"/>
      <c r="F53" s="200" t="s">
        <v>18</v>
      </c>
      <c r="G53" s="202" t="s">
        <v>19</v>
      </c>
      <c r="H53" s="202" t="s">
        <v>20</v>
      </c>
      <c r="I53" s="202" t="s">
        <v>108</v>
      </c>
      <c r="J53" s="390" t="s">
        <v>22</v>
      </c>
      <c r="K53" s="2722"/>
      <c r="L53"/>
      <c r="M53"/>
      <c r="N53"/>
      <c r="O53"/>
      <c r="P53"/>
    </row>
    <row r="54" spans="1:16" s="1" customFormat="1" ht="29" customHeight="1" x14ac:dyDescent="0.2">
      <c r="A54" s="1665" t="s">
        <v>5</v>
      </c>
      <c r="B54" s="1593" t="s">
        <v>139</v>
      </c>
      <c r="C54" s="1593" t="s">
        <v>115</v>
      </c>
      <c r="D54" s="1640" t="s">
        <v>120</v>
      </c>
      <c r="E54" s="57" t="s">
        <v>21</v>
      </c>
      <c r="F54" s="834">
        <v>164617.92000000001</v>
      </c>
      <c r="G54" s="834">
        <v>9286.56</v>
      </c>
      <c r="H54" s="834">
        <v>11371.68</v>
      </c>
      <c r="I54" s="831">
        <f>SUM(F54:H54)</f>
        <v>185276.16</v>
      </c>
      <c r="J54" s="216">
        <f t="shared" ref="J54:J69" si="10">(I54/$I$92)*100</f>
        <v>60.038356905876256</v>
      </c>
      <c r="K54" s="1014" t="s">
        <v>121</v>
      </c>
      <c r="L54"/>
      <c r="M54"/>
      <c r="N54"/>
      <c r="O54"/>
      <c r="P54"/>
    </row>
    <row r="55" spans="1:16" s="1" customFormat="1" ht="29" customHeight="1" x14ac:dyDescent="0.2">
      <c r="A55" s="1631" t="s">
        <v>5</v>
      </c>
      <c r="B55" s="1568" t="s">
        <v>139</v>
      </c>
      <c r="C55" s="1568" t="s">
        <v>115</v>
      </c>
      <c r="D55" s="1642" t="s">
        <v>120</v>
      </c>
      <c r="E55" s="57" t="s">
        <v>22</v>
      </c>
      <c r="F55" s="739">
        <f>F54/$I$54*100</f>
        <v>88.850027979854502</v>
      </c>
      <c r="G55" s="739">
        <f>G54/$I$54*100</f>
        <v>5.0122800472548645</v>
      </c>
      <c r="H55" s="739">
        <f>H54/$I$54*100</f>
        <v>6.1376919728906296</v>
      </c>
      <c r="I55" s="216"/>
      <c r="J55" s="216">
        <f t="shared" si="10"/>
        <v>0</v>
      </c>
      <c r="K55" s="1014"/>
      <c r="L55"/>
      <c r="M55"/>
      <c r="N55"/>
      <c r="O55"/>
      <c r="P55"/>
    </row>
    <row r="56" spans="1:16" s="1" customFormat="1" ht="29" customHeight="1" x14ac:dyDescent="0.2">
      <c r="A56" s="1631" t="s">
        <v>5</v>
      </c>
      <c r="B56" s="1568" t="s">
        <v>139</v>
      </c>
      <c r="C56" s="1568" t="s">
        <v>115</v>
      </c>
      <c r="D56" s="1640" t="s">
        <v>146</v>
      </c>
      <c r="E56" s="57" t="s">
        <v>21</v>
      </c>
      <c r="F56" s="831">
        <v>9355.68</v>
      </c>
      <c r="G56" s="214"/>
      <c r="H56" s="831">
        <v>2075.04</v>
      </c>
      <c r="I56" s="831">
        <f>SUM(F56:H56)</f>
        <v>11430.720000000001</v>
      </c>
      <c r="J56" s="216">
        <f t="shared" si="10"/>
        <v>3.7041012025029985</v>
      </c>
      <c r="K56" s="1014"/>
      <c r="L56"/>
      <c r="M56"/>
      <c r="N56"/>
      <c r="O56"/>
      <c r="P56"/>
    </row>
    <row r="57" spans="1:16" s="1" customFormat="1" ht="29" customHeight="1" x14ac:dyDescent="0.2">
      <c r="A57" s="1631" t="s">
        <v>5</v>
      </c>
      <c r="B57" s="1568" t="s">
        <v>139</v>
      </c>
      <c r="C57" s="1568" t="s">
        <v>115</v>
      </c>
      <c r="D57" s="1642" t="s">
        <v>146</v>
      </c>
      <c r="E57" s="57" t="s">
        <v>22</v>
      </c>
      <c r="F57" s="216">
        <f>F56/$I$56*100</f>
        <v>81.846812799193742</v>
      </c>
      <c r="G57" s="216">
        <f>G56/$I$56*100</f>
        <v>0</v>
      </c>
      <c r="H57" s="216">
        <f>H56/$I$56*100</f>
        <v>18.153187200806244</v>
      </c>
      <c r="I57" s="216"/>
      <c r="J57" s="216">
        <f t="shared" si="10"/>
        <v>0</v>
      </c>
      <c r="K57" s="1014"/>
      <c r="L57"/>
      <c r="M57"/>
      <c r="N57"/>
      <c r="O57"/>
      <c r="P57"/>
    </row>
    <row r="58" spans="1:16" s="1" customFormat="1" ht="29" customHeight="1" x14ac:dyDescent="0.2">
      <c r="A58" s="1631" t="s">
        <v>5</v>
      </c>
      <c r="B58" s="1568" t="s">
        <v>139</v>
      </c>
      <c r="C58" s="1568" t="s">
        <v>115</v>
      </c>
      <c r="D58" s="1640" t="s">
        <v>125</v>
      </c>
      <c r="E58" s="57" t="s">
        <v>21</v>
      </c>
      <c r="F58" s="831">
        <v>19310.400000000001</v>
      </c>
      <c r="G58" s="214"/>
      <c r="H58" s="831">
        <v>1728</v>
      </c>
      <c r="I58" s="831">
        <v>21038.400000000001</v>
      </c>
      <c r="J58" s="216">
        <f t="shared" si="10"/>
        <v>6.8174500590285723</v>
      </c>
      <c r="K58" s="1014"/>
      <c r="L58"/>
      <c r="M58"/>
      <c r="N58"/>
      <c r="O58"/>
      <c r="P58"/>
    </row>
    <row r="59" spans="1:16" s="1" customFormat="1" ht="29" customHeight="1" x14ac:dyDescent="0.2">
      <c r="A59" s="1631" t="s">
        <v>5</v>
      </c>
      <c r="B59" s="1568" t="s">
        <v>139</v>
      </c>
      <c r="C59" s="1568" t="s">
        <v>115</v>
      </c>
      <c r="D59" s="1642" t="s">
        <v>125</v>
      </c>
      <c r="E59" s="57" t="s">
        <v>22</v>
      </c>
      <c r="F59" s="216">
        <f>F58/$I$58*100</f>
        <v>91.78644763860369</v>
      </c>
      <c r="G59" s="216">
        <f>G58/$I$58*100</f>
        <v>0</v>
      </c>
      <c r="H59" s="216">
        <f>H58/$I$58*100</f>
        <v>8.2135523613963031</v>
      </c>
      <c r="I59" s="214"/>
      <c r="J59" s="216">
        <f t="shared" si="10"/>
        <v>0</v>
      </c>
      <c r="K59" s="1014"/>
      <c r="L59"/>
      <c r="M59"/>
      <c r="N59"/>
      <c r="O59"/>
      <c r="P59"/>
    </row>
    <row r="60" spans="1:16" s="1" customFormat="1" ht="29" customHeight="1" x14ac:dyDescent="0.2">
      <c r="A60" s="1631" t="s">
        <v>5</v>
      </c>
      <c r="B60" s="1568" t="s">
        <v>139</v>
      </c>
      <c r="C60" s="1568" t="s">
        <v>115</v>
      </c>
      <c r="D60" s="1640" t="s">
        <v>114</v>
      </c>
      <c r="E60" s="57" t="s">
        <v>21</v>
      </c>
      <c r="F60" s="831">
        <v>6215.04</v>
      </c>
      <c r="G60" s="214"/>
      <c r="H60" s="831">
        <v>519.84</v>
      </c>
      <c r="I60" s="831">
        <f t="shared" ref="I60:I66" si="11">SUM(F60:H60)</f>
        <v>6734.88</v>
      </c>
      <c r="J60" s="216">
        <f t="shared" si="10"/>
        <v>2.1824239511346084</v>
      </c>
      <c r="K60" s="1014"/>
      <c r="L60"/>
      <c r="M60"/>
      <c r="N60"/>
      <c r="O60"/>
      <c r="P60"/>
    </row>
    <row r="61" spans="1:16" s="1" customFormat="1" ht="29" customHeight="1" x14ac:dyDescent="0.2">
      <c r="A61" s="1631" t="s">
        <v>5</v>
      </c>
      <c r="B61" s="1567" t="s">
        <v>139</v>
      </c>
      <c r="C61" s="1567" t="s">
        <v>115</v>
      </c>
      <c r="D61" s="1642" t="s">
        <v>114</v>
      </c>
      <c r="E61" s="57" t="s">
        <v>22</v>
      </c>
      <c r="F61" s="216">
        <f>F60/$I$60*100</f>
        <v>92.281376951036989</v>
      </c>
      <c r="G61" s="216">
        <f>G60/$I$60*100</f>
        <v>0</v>
      </c>
      <c r="H61" s="216">
        <f>H60/$I$60*100</f>
        <v>7.7186230489630105</v>
      </c>
      <c r="I61" s="214"/>
      <c r="J61" s="216">
        <f t="shared" si="10"/>
        <v>0</v>
      </c>
      <c r="K61" s="1014"/>
      <c r="L61"/>
      <c r="M61"/>
      <c r="N61"/>
      <c r="O61"/>
      <c r="P61"/>
    </row>
    <row r="62" spans="1:16" s="1" customFormat="1" ht="29" customHeight="1" x14ac:dyDescent="0.2">
      <c r="A62" s="1631" t="s">
        <v>5</v>
      </c>
      <c r="B62" s="1568" t="s">
        <v>139</v>
      </c>
      <c r="C62" s="1568" t="s">
        <v>115</v>
      </c>
      <c r="D62" s="1640" t="s">
        <v>129</v>
      </c>
      <c r="E62" s="57" t="s">
        <v>21</v>
      </c>
      <c r="F62" s="831">
        <v>15815.52</v>
      </c>
      <c r="G62" s="831">
        <v>812.16</v>
      </c>
      <c r="H62" s="831">
        <v>1091.52</v>
      </c>
      <c r="I62" s="831">
        <f t="shared" si="11"/>
        <v>17719.2</v>
      </c>
      <c r="J62" s="216">
        <f t="shared" si="10"/>
        <v>5.7418701558074314</v>
      </c>
      <c r="K62" s="1014"/>
      <c r="L62"/>
      <c r="M62"/>
      <c r="N62"/>
      <c r="O62"/>
      <c r="P62"/>
    </row>
    <row r="63" spans="1:16" s="1" customFormat="1" ht="29" customHeight="1" x14ac:dyDescent="0.2">
      <c r="A63" s="1631" t="s">
        <v>5</v>
      </c>
      <c r="B63" s="1568" t="s">
        <v>139</v>
      </c>
      <c r="C63" s="1568" t="s">
        <v>115</v>
      </c>
      <c r="D63" s="1642" t="s">
        <v>129</v>
      </c>
      <c r="E63" s="57" t="s">
        <v>22</v>
      </c>
      <c r="F63" s="216">
        <f>F62/$I$62*100</f>
        <v>89.256399837464443</v>
      </c>
      <c r="G63" s="216">
        <f>G62/$I$62*100</f>
        <v>4.5835026412027631</v>
      </c>
      <c r="H63" s="216">
        <f>H62/$I$62*100</f>
        <v>6.1600975213327915</v>
      </c>
      <c r="I63" s="214"/>
      <c r="J63" s="216">
        <f t="shared" si="10"/>
        <v>0</v>
      </c>
      <c r="K63" s="1014"/>
      <c r="L63"/>
      <c r="M63"/>
      <c r="N63"/>
      <c r="O63"/>
      <c r="P63"/>
    </row>
    <row r="64" spans="1:16" s="1" customFormat="1" ht="29" customHeight="1" x14ac:dyDescent="0.2">
      <c r="A64" s="1631" t="s">
        <v>5</v>
      </c>
      <c r="B64" s="1568" t="s">
        <v>139</v>
      </c>
      <c r="C64" s="1568" t="s">
        <v>115</v>
      </c>
      <c r="D64" s="1640" t="s">
        <v>112</v>
      </c>
      <c r="E64" s="57" t="s">
        <v>21</v>
      </c>
      <c r="F64" s="831">
        <v>12951.36</v>
      </c>
      <c r="G64" s="831">
        <v>496.8</v>
      </c>
      <c r="H64" s="831">
        <v>779.04</v>
      </c>
      <c r="I64" s="831">
        <f t="shared" si="11"/>
        <v>14227.2</v>
      </c>
      <c r="J64" s="216">
        <f t="shared" si="10"/>
        <v>4.6102947695552556</v>
      </c>
      <c r="K64" s="1014"/>
      <c r="L64"/>
      <c r="M64"/>
      <c r="N64"/>
      <c r="O64"/>
      <c r="P64"/>
    </row>
    <row r="65" spans="1:16" s="1" customFormat="1" ht="29" customHeight="1" x14ac:dyDescent="0.2">
      <c r="A65" s="1631" t="s">
        <v>5</v>
      </c>
      <c r="B65" s="1568" t="s">
        <v>139</v>
      </c>
      <c r="C65" s="1568" t="s">
        <v>115</v>
      </c>
      <c r="D65" s="1642" t="s">
        <v>112</v>
      </c>
      <c r="E65" s="57" t="s">
        <v>22</v>
      </c>
      <c r="F65" s="216">
        <f>F64/$I$64*100</f>
        <v>91.032388663967609</v>
      </c>
      <c r="G65" s="216">
        <f>G64/$I$64*100</f>
        <v>3.4919028340080969</v>
      </c>
      <c r="H65" s="216">
        <f>H64/$I$64*100</f>
        <v>5.4757085020242906</v>
      </c>
      <c r="I65" s="214"/>
      <c r="J65" s="216">
        <f t="shared" si="10"/>
        <v>0</v>
      </c>
      <c r="K65" s="1014"/>
      <c r="L65"/>
      <c r="M65"/>
      <c r="N65"/>
      <c r="O65"/>
      <c r="P65"/>
    </row>
    <row r="66" spans="1:16" s="1" customFormat="1" ht="29" customHeight="1" x14ac:dyDescent="0.2">
      <c r="A66" s="1631" t="s">
        <v>5</v>
      </c>
      <c r="B66" s="1568" t="s">
        <v>139</v>
      </c>
      <c r="C66" s="1568" t="s">
        <v>115</v>
      </c>
      <c r="D66" s="1640" t="s">
        <v>128</v>
      </c>
      <c r="E66" s="57" t="s">
        <v>21</v>
      </c>
      <c r="F66" s="831">
        <v>7377.12</v>
      </c>
      <c r="G66" s="214"/>
      <c r="H66" s="831">
        <v>283.68</v>
      </c>
      <c r="I66" s="831">
        <f t="shared" si="11"/>
        <v>7660.8</v>
      </c>
      <c r="J66" s="216">
        <f t="shared" si="10"/>
        <v>2.482466414375907</v>
      </c>
      <c r="K66" s="1014"/>
      <c r="L66"/>
      <c r="M66"/>
      <c r="N66"/>
      <c r="O66"/>
      <c r="P66"/>
    </row>
    <row r="67" spans="1:16" s="1" customFormat="1" ht="29" customHeight="1" x14ac:dyDescent="0.2">
      <c r="A67" s="1631" t="s">
        <v>5</v>
      </c>
      <c r="B67" s="1568" t="s">
        <v>139</v>
      </c>
      <c r="C67" s="1568" t="s">
        <v>115</v>
      </c>
      <c r="D67" s="1642" t="s">
        <v>128</v>
      </c>
      <c r="E67" s="57" t="s">
        <v>22</v>
      </c>
      <c r="F67" s="216">
        <f>F66/$I$66*100</f>
        <v>96.296992481203006</v>
      </c>
      <c r="G67" s="216">
        <f>G66/$I$66*100</f>
        <v>0</v>
      </c>
      <c r="H67" s="216">
        <f>H66/$I$66*100</f>
        <v>3.7030075187969929</v>
      </c>
      <c r="I67" s="214"/>
      <c r="J67" s="216">
        <f t="shared" si="10"/>
        <v>0</v>
      </c>
      <c r="K67" s="1014"/>
      <c r="L67"/>
      <c r="M67"/>
      <c r="N67"/>
      <c r="O67"/>
      <c r="P67"/>
    </row>
    <row r="68" spans="1:16" s="1" customFormat="1" ht="29" customHeight="1" x14ac:dyDescent="0.2">
      <c r="A68" s="1666" t="s">
        <v>5</v>
      </c>
      <c r="B68" s="1568" t="s">
        <v>139</v>
      </c>
      <c r="C68" s="1568" t="s">
        <v>115</v>
      </c>
      <c r="D68" s="1640" t="s">
        <v>541</v>
      </c>
      <c r="E68" s="57" t="s">
        <v>21</v>
      </c>
      <c r="F68" s="831">
        <v>41110.559999999998</v>
      </c>
      <c r="G68" s="831">
        <v>1828.8</v>
      </c>
      <c r="H68" s="831">
        <v>1569.6</v>
      </c>
      <c r="I68" s="831">
        <f>SUM(F68:H68)</f>
        <v>44508.959999999999</v>
      </c>
      <c r="J68" s="216">
        <f t="shared" si="10"/>
        <v>14.423036541718966</v>
      </c>
      <c r="K68" s="1014"/>
      <c r="L68"/>
      <c r="M68"/>
      <c r="N68"/>
      <c r="O68"/>
      <c r="P68"/>
    </row>
    <row r="69" spans="1:16" s="1" customFormat="1" ht="29" customHeight="1" x14ac:dyDescent="0.2">
      <c r="A69" s="1631" t="s">
        <v>5</v>
      </c>
      <c r="B69" s="1584" t="s">
        <v>139</v>
      </c>
      <c r="C69" s="1584" t="s">
        <v>115</v>
      </c>
      <c r="D69" s="1642" t="s">
        <v>541</v>
      </c>
      <c r="E69" s="57" t="s">
        <v>22</v>
      </c>
      <c r="F69" s="216">
        <f>F68/$I$68*100</f>
        <v>92.364683425539482</v>
      </c>
      <c r="G69" s="216">
        <f>G68/$I$68*100</f>
        <v>4.1088356142223947</v>
      </c>
      <c r="H69" s="216">
        <f>H68/$I$68*100</f>
        <v>3.5264809602381182</v>
      </c>
      <c r="I69" s="214"/>
      <c r="J69" s="216">
        <f t="shared" si="10"/>
        <v>0</v>
      </c>
      <c r="K69" s="1014"/>
      <c r="L69"/>
      <c r="M69"/>
      <c r="N69"/>
      <c r="O69"/>
      <c r="P69"/>
    </row>
    <row r="70" spans="1:16" s="1" customFormat="1" ht="27" customHeight="1" x14ac:dyDescent="0.2">
      <c r="A70" s="1629" t="s">
        <v>5</v>
      </c>
      <c r="B70" s="3258" t="s">
        <v>103</v>
      </c>
      <c r="C70" s="3235"/>
      <c r="D70" s="3236"/>
      <c r="E70" s="414" t="s">
        <v>21</v>
      </c>
      <c r="F70" s="832">
        <f>F54+F56+F58+F60+F62+F64+F66+F68</f>
        <v>276753.59999999998</v>
      </c>
      <c r="G70" s="832">
        <f>G54+G56+G58+G60+G62+G64+G66+G68</f>
        <v>12424.319999999998</v>
      </c>
      <c r="H70" s="832">
        <f>H54+H56+H58+H60+H62+H64+H66+H68</f>
        <v>19418.400000000001</v>
      </c>
      <c r="I70" s="832">
        <f>SUM(F70:H70)</f>
        <v>308596.32</v>
      </c>
      <c r="J70" s="216"/>
      <c r="K70" s="1014"/>
      <c r="L70"/>
      <c r="M70"/>
      <c r="N70"/>
      <c r="O70"/>
      <c r="P70"/>
    </row>
    <row r="71" spans="1:16" s="1" customFormat="1" ht="27" customHeight="1" x14ac:dyDescent="0.2">
      <c r="A71" s="1629" t="s">
        <v>5</v>
      </c>
      <c r="B71" s="3258"/>
      <c r="C71" s="3238"/>
      <c r="D71" s="3239"/>
      <c r="E71" s="414" t="s">
        <v>22</v>
      </c>
      <c r="F71" s="417">
        <f>F70/$I$70*100</f>
        <v>89.681432364455929</v>
      </c>
      <c r="G71" s="417">
        <f>G70/$I$70*100</f>
        <v>4.0260752299314513</v>
      </c>
      <c r="H71" s="417">
        <f>H70/$I$70*100</f>
        <v>6.2924924056126139</v>
      </c>
      <c r="I71" s="415"/>
      <c r="J71" s="216"/>
      <c r="K71" s="1014"/>
      <c r="L71"/>
      <c r="M71"/>
      <c r="N71"/>
      <c r="O71"/>
      <c r="P71"/>
    </row>
    <row r="72" spans="1:16" s="1" customFormat="1" ht="27" customHeight="1" x14ac:dyDescent="0.2">
      <c r="A72" s="1631" t="s">
        <v>5</v>
      </c>
      <c r="B72" s="1632" t="s">
        <v>140</v>
      </c>
      <c r="C72" s="1632" t="s">
        <v>115</v>
      </c>
      <c r="D72" s="1640" t="s">
        <v>109</v>
      </c>
      <c r="E72" s="57" t="s">
        <v>21</v>
      </c>
      <c r="F72" s="834"/>
      <c r="G72" s="738"/>
      <c r="H72" s="738"/>
      <c r="I72" s="831">
        <f>SUM(F72:H72)</f>
        <v>0</v>
      </c>
      <c r="J72" s="216">
        <f t="shared" ref="J72:J79" si="12">(I72/$I$92)*100</f>
        <v>0</v>
      </c>
      <c r="K72" s="1014" t="s">
        <v>110</v>
      </c>
      <c r="L72"/>
      <c r="M72"/>
      <c r="N72"/>
      <c r="O72"/>
      <c r="P72"/>
    </row>
    <row r="73" spans="1:16" s="1" customFormat="1" ht="27" customHeight="1" x14ac:dyDescent="0.2">
      <c r="A73" s="1631" t="s">
        <v>5</v>
      </c>
      <c r="B73" s="1633" t="s">
        <v>140</v>
      </c>
      <c r="C73" s="1633" t="s">
        <v>115</v>
      </c>
      <c r="D73" s="1642" t="s">
        <v>109</v>
      </c>
      <c r="E73" s="57" t="s">
        <v>22</v>
      </c>
      <c r="F73" s="215" t="e">
        <f>F72/$I$72*100</f>
        <v>#DIV/0!</v>
      </c>
      <c r="G73" s="215" t="e">
        <f>G72/$I$72*100</f>
        <v>#DIV/0!</v>
      </c>
      <c r="H73" s="215" t="e">
        <f>H72/$I$72*100</f>
        <v>#DIV/0!</v>
      </c>
      <c r="I73" s="214"/>
      <c r="J73" s="216">
        <f t="shared" si="12"/>
        <v>0</v>
      </c>
      <c r="K73" s="1014"/>
      <c r="L73"/>
      <c r="M73"/>
      <c r="N73"/>
      <c r="O73"/>
      <c r="P73"/>
    </row>
    <row r="74" spans="1:16" s="1" customFormat="1" ht="27" customHeight="1" x14ac:dyDescent="0.2">
      <c r="A74" s="1631" t="s">
        <v>5</v>
      </c>
      <c r="B74" s="1633" t="s">
        <v>140</v>
      </c>
      <c r="C74" s="1633" t="s">
        <v>115</v>
      </c>
      <c r="D74" s="1640" t="s">
        <v>631</v>
      </c>
      <c r="E74" s="57" t="s">
        <v>21</v>
      </c>
      <c r="F74" s="834"/>
      <c r="G74" s="834"/>
      <c r="H74" s="834"/>
      <c r="I74" s="831">
        <f>SUM(F74:H74)</f>
        <v>0</v>
      </c>
      <c r="J74" s="216">
        <f t="shared" si="12"/>
        <v>0</v>
      </c>
      <c r="K74" s="1014"/>
      <c r="L74"/>
      <c r="M74"/>
      <c r="N74"/>
      <c r="O74"/>
      <c r="P74"/>
    </row>
    <row r="75" spans="1:16" s="1" customFormat="1" ht="27" customHeight="1" x14ac:dyDescent="0.2">
      <c r="A75" s="1631" t="s">
        <v>5</v>
      </c>
      <c r="B75" s="1567" t="s">
        <v>140</v>
      </c>
      <c r="C75" s="1567" t="s">
        <v>115</v>
      </c>
      <c r="D75" s="1642" t="s">
        <v>631</v>
      </c>
      <c r="E75" s="57" t="s">
        <v>22</v>
      </c>
      <c r="F75" s="216" t="e">
        <f>F74/$I$74*100</f>
        <v>#DIV/0!</v>
      </c>
      <c r="G75" s="216" t="e">
        <f>G74/$I$74*100</f>
        <v>#DIV/0!</v>
      </c>
      <c r="H75" s="216" t="e">
        <f>H74/$I$74*100</f>
        <v>#DIV/0!</v>
      </c>
      <c r="I75" s="214"/>
      <c r="J75" s="216">
        <f t="shared" si="12"/>
        <v>0</v>
      </c>
      <c r="K75" s="1014"/>
      <c r="L75"/>
      <c r="M75"/>
      <c r="N75"/>
      <c r="O75"/>
      <c r="P75"/>
    </row>
    <row r="76" spans="1:16" s="1" customFormat="1" ht="26" customHeight="1" x14ac:dyDescent="0.2">
      <c r="A76" s="1631" t="s">
        <v>5</v>
      </c>
      <c r="B76" s="1633" t="s">
        <v>140</v>
      </c>
      <c r="C76" s="1633" t="s">
        <v>115</v>
      </c>
      <c r="D76" s="1640" t="s">
        <v>114</v>
      </c>
      <c r="E76" s="57" t="s">
        <v>21</v>
      </c>
      <c r="F76" s="834"/>
      <c r="G76" s="738"/>
      <c r="H76" s="834"/>
      <c r="I76" s="831">
        <f>SUM(F76:H76)</f>
        <v>0</v>
      </c>
      <c r="J76" s="216">
        <f t="shared" si="12"/>
        <v>0</v>
      </c>
      <c r="K76" s="1014"/>
      <c r="L76"/>
      <c r="M76"/>
      <c r="N76"/>
      <c r="O76"/>
      <c r="P76"/>
    </row>
    <row r="77" spans="1:16" s="1" customFormat="1" ht="26" customHeight="1" x14ac:dyDescent="0.2">
      <c r="A77" s="1631" t="s">
        <v>5</v>
      </c>
      <c r="B77" s="1633" t="s">
        <v>140</v>
      </c>
      <c r="C77" s="1633" t="s">
        <v>115</v>
      </c>
      <c r="D77" s="1642" t="s">
        <v>114</v>
      </c>
      <c r="E77" s="57" t="s">
        <v>22</v>
      </c>
      <c r="F77" s="216" t="e">
        <f>F76/$I$76*100</f>
        <v>#DIV/0!</v>
      </c>
      <c r="G77" s="216" t="e">
        <f>G76/$I$76*100</f>
        <v>#DIV/0!</v>
      </c>
      <c r="H77" s="216" t="e">
        <f>H76/$I$76*100</f>
        <v>#DIV/0!</v>
      </c>
      <c r="I77" s="214"/>
      <c r="J77" s="216">
        <f t="shared" si="12"/>
        <v>0</v>
      </c>
      <c r="K77" s="1014"/>
      <c r="L77"/>
      <c r="M77"/>
      <c r="N77"/>
      <c r="O77"/>
      <c r="P77"/>
    </row>
    <row r="78" spans="1:16" s="1" customFormat="1" ht="23" customHeight="1" x14ac:dyDescent="0.2">
      <c r="A78" s="1631" t="s">
        <v>5</v>
      </c>
      <c r="B78" s="1633" t="s">
        <v>140</v>
      </c>
      <c r="C78" s="1633" t="s">
        <v>115</v>
      </c>
      <c r="D78" s="1640" t="s">
        <v>129</v>
      </c>
      <c r="E78" s="57" t="s">
        <v>21</v>
      </c>
      <c r="F78" s="738"/>
      <c r="G78" s="738"/>
      <c r="H78" s="738"/>
      <c r="I78" s="214">
        <f>SUM(F78:H78)</f>
        <v>0</v>
      </c>
      <c r="J78" s="216">
        <f t="shared" si="12"/>
        <v>0</v>
      </c>
      <c r="K78" s="1014"/>
      <c r="L78"/>
      <c r="M78"/>
      <c r="N78"/>
      <c r="O78"/>
      <c r="P78"/>
    </row>
    <row r="79" spans="1:16" s="1" customFormat="1" ht="23" customHeight="1" x14ac:dyDescent="0.2">
      <c r="A79" s="1631" t="s">
        <v>5</v>
      </c>
      <c r="B79" s="1634" t="s">
        <v>140</v>
      </c>
      <c r="C79" s="1634" t="s">
        <v>115</v>
      </c>
      <c r="D79" s="1642" t="s">
        <v>129</v>
      </c>
      <c r="E79" s="57" t="s">
        <v>22</v>
      </c>
      <c r="F79" s="216" t="e">
        <f>F78/$I$78*100</f>
        <v>#DIV/0!</v>
      </c>
      <c r="G79" s="216" t="e">
        <f>G78/$I$78*100</f>
        <v>#DIV/0!</v>
      </c>
      <c r="H79" s="216" t="e">
        <f>H78/$I$78*100</f>
        <v>#DIV/0!</v>
      </c>
      <c r="I79" s="214" t="e">
        <f>SUM(F79:H79)</f>
        <v>#DIV/0!</v>
      </c>
      <c r="J79" s="216" t="e">
        <f t="shared" si="12"/>
        <v>#DIV/0!</v>
      </c>
      <c r="K79" s="1014"/>
      <c r="L79"/>
      <c r="M79"/>
      <c r="N79"/>
      <c r="O79"/>
      <c r="P79"/>
    </row>
    <row r="80" spans="1:16" s="1" customFormat="1" ht="28" customHeight="1" x14ac:dyDescent="0.2">
      <c r="A80" s="1629" t="s">
        <v>5</v>
      </c>
      <c r="B80" s="3258" t="s">
        <v>103</v>
      </c>
      <c r="C80" s="3235"/>
      <c r="D80" s="3236"/>
      <c r="E80" s="971" t="s">
        <v>21</v>
      </c>
      <c r="F80" s="972">
        <f>F72+F74+F76+F78</f>
        <v>0</v>
      </c>
      <c r="G80" s="972">
        <f>G72+G74+G76+G78</f>
        <v>0</v>
      </c>
      <c r="H80" s="972">
        <f>H72+H74+H76+H78</f>
        <v>0</v>
      </c>
      <c r="I80" s="972">
        <f>SUM(F80:H80)</f>
        <v>0</v>
      </c>
      <c r="J80" s="216"/>
      <c r="K80" s="1014"/>
      <c r="L80"/>
      <c r="M80"/>
      <c r="N80"/>
      <c r="O80"/>
      <c r="P80"/>
    </row>
    <row r="81" spans="1:16" s="1" customFormat="1" ht="28" customHeight="1" x14ac:dyDescent="0.2">
      <c r="A81" s="1629" t="s">
        <v>5</v>
      </c>
      <c r="B81" s="3238"/>
      <c r="C81" s="3238"/>
      <c r="D81" s="3239"/>
      <c r="E81" s="971" t="s">
        <v>22</v>
      </c>
      <c r="F81" s="973" t="e">
        <f>F80/$I$80*100</f>
        <v>#DIV/0!</v>
      </c>
      <c r="G81" s="973" t="e">
        <f>G80/$I$80*100</f>
        <v>#DIV/0!</v>
      </c>
      <c r="H81" s="973" t="e">
        <f>H80/$I$80*100</f>
        <v>#DIV/0!</v>
      </c>
      <c r="I81" s="974"/>
      <c r="J81" s="216">
        <f t="shared" ref="J81:J92" si="13">(I81/$I$92)*100</f>
        <v>0</v>
      </c>
      <c r="K81" s="1014"/>
      <c r="L81"/>
      <c r="M81"/>
      <c r="N81"/>
      <c r="O81"/>
      <c r="P81"/>
    </row>
    <row r="82" spans="1:16" s="1" customFormat="1" ht="29" customHeight="1" x14ac:dyDescent="0.2">
      <c r="A82" s="1629" t="s">
        <v>5</v>
      </c>
      <c r="B82" s="1632" t="s">
        <v>141</v>
      </c>
      <c r="C82" s="1632" t="s">
        <v>115</v>
      </c>
      <c r="D82" s="1640" t="s">
        <v>125</v>
      </c>
      <c r="E82" s="57" t="s">
        <v>21</v>
      </c>
      <c r="F82" s="738"/>
      <c r="G82" s="738"/>
      <c r="H82" s="738"/>
      <c r="I82" s="831">
        <f>SUM(F82:H82)</f>
        <v>0</v>
      </c>
      <c r="J82" s="216">
        <f t="shared" si="13"/>
        <v>0</v>
      </c>
      <c r="K82" s="1519" t="s">
        <v>131</v>
      </c>
      <c r="L82"/>
      <c r="M82"/>
      <c r="N82"/>
      <c r="O82"/>
      <c r="P82"/>
    </row>
    <row r="83" spans="1:16" s="1" customFormat="1" ht="29" customHeight="1" x14ac:dyDescent="0.2">
      <c r="A83" s="1629" t="s">
        <v>5</v>
      </c>
      <c r="B83" s="1633" t="s">
        <v>141</v>
      </c>
      <c r="C83" s="1633" t="s">
        <v>115</v>
      </c>
      <c r="D83" s="1642" t="s">
        <v>125</v>
      </c>
      <c r="E83" s="57" t="s">
        <v>22</v>
      </c>
      <c r="F83" s="216" t="e">
        <f>F82/$I$82*100</f>
        <v>#DIV/0!</v>
      </c>
      <c r="G83" s="216" t="e">
        <f>G82/$I$82*100</f>
        <v>#DIV/0!</v>
      </c>
      <c r="H83" s="216" t="e">
        <f>H82/$I$82*100</f>
        <v>#DIV/0!</v>
      </c>
      <c r="I83" s="216"/>
      <c r="J83" s="216">
        <f t="shared" si="13"/>
        <v>0</v>
      </c>
      <c r="K83" s="1519"/>
      <c r="L83"/>
      <c r="M83"/>
      <c r="N83"/>
      <c r="O83"/>
      <c r="P83"/>
    </row>
    <row r="84" spans="1:16" s="1" customFormat="1" ht="29" customHeight="1" x14ac:dyDescent="0.2">
      <c r="A84" s="1629" t="s">
        <v>5</v>
      </c>
      <c r="B84" s="1633" t="s">
        <v>141</v>
      </c>
      <c r="C84" s="1633" t="s">
        <v>115</v>
      </c>
      <c r="D84" s="1640" t="s">
        <v>313</v>
      </c>
      <c r="E84" s="57" t="s">
        <v>21</v>
      </c>
      <c r="F84" s="834"/>
      <c r="G84" s="738"/>
      <c r="H84" s="738"/>
      <c r="I84" s="831">
        <f>SUM(F84:H84)</f>
        <v>0</v>
      </c>
      <c r="J84" s="216">
        <f t="shared" si="13"/>
        <v>0</v>
      </c>
      <c r="K84" s="1519"/>
      <c r="L84"/>
      <c r="M84"/>
      <c r="N84"/>
      <c r="O84"/>
      <c r="P84"/>
    </row>
    <row r="85" spans="1:16" s="1" customFormat="1" ht="29" customHeight="1" x14ac:dyDescent="0.2">
      <c r="A85" s="1629" t="s">
        <v>5</v>
      </c>
      <c r="B85" s="1567" t="s">
        <v>141</v>
      </c>
      <c r="C85" s="1567" t="s">
        <v>115</v>
      </c>
      <c r="D85" s="1642" t="s">
        <v>313</v>
      </c>
      <c r="E85" s="57" t="s">
        <v>22</v>
      </c>
      <c r="F85" s="216" t="e">
        <f>F84/$I$84*100</f>
        <v>#DIV/0!</v>
      </c>
      <c r="G85" s="216" t="e">
        <f>G84/$I$84*100</f>
        <v>#DIV/0!</v>
      </c>
      <c r="H85" s="216" t="e">
        <f>H84/$I$84*100</f>
        <v>#DIV/0!</v>
      </c>
      <c r="I85" s="216"/>
      <c r="J85" s="216">
        <f t="shared" si="13"/>
        <v>0</v>
      </c>
      <c r="K85" s="1519"/>
      <c r="L85"/>
      <c r="M85"/>
      <c r="N85"/>
      <c r="O85"/>
      <c r="P85"/>
    </row>
    <row r="86" spans="1:16" s="1" customFormat="1" ht="29" customHeight="1" x14ac:dyDescent="0.2">
      <c r="A86" s="1629" t="s">
        <v>5</v>
      </c>
      <c r="B86" s="1633" t="s">
        <v>141</v>
      </c>
      <c r="C86" s="1633" t="s">
        <v>115</v>
      </c>
      <c r="D86" s="1640" t="s">
        <v>109</v>
      </c>
      <c r="E86" s="57" t="s">
        <v>21</v>
      </c>
      <c r="F86" s="834"/>
      <c r="G86" s="738"/>
      <c r="H86" s="738"/>
      <c r="I86" s="831">
        <f>SUM(F86:H86)</f>
        <v>0</v>
      </c>
      <c r="J86" s="216">
        <f t="shared" si="13"/>
        <v>0</v>
      </c>
      <c r="K86" s="1519"/>
      <c r="L86"/>
      <c r="M86"/>
      <c r="N86"/>
      <c r="O86"/>
      <c r="P86"/>
    </row>
    <row r="87" spans="1:16" s="1" customFormat="1" ht="29" customHeight="1" x14ac:dyDescent="0.2">
      <c r="A87" s="1629" t="s">
        <v>5</v>
      </c>
      <c r="B87" s="1633" t="s">
        <v>141</v>
      </c>
      <c r="C87" s="1633" t="s">
        <v>115</v>
      </c>
      <c r="D87" s="1642" t="s">
        <v>109</v>
      </c>
      <c r="E87" s="57" t="s">
        <v>22</v>
      </c>
      <c r="F87" s="216" t="e">
        <f>F86/$I$86*100</f>
        <v>#DIV/0!</v>
      </c>
      <c r="G87" s="216" t="e">
        <f>G86/$I$86*100</f>
        <v>#DIV/0!</v>
      </c>
      <c r="H87" s="216" t="e">
        <f>H86/$I$86*100</f>
        <v>#DIV/0!</v>
      </c>
      <c r="I87" s="216"/>
      <c r="J87" s="216">
        <f t="shared" si="13"/>
        <v>0</v>
      </c>
      <c r="K87" s="1519"/>
      <c r="L87"/>
      <c r="M87"/>
      <c r="N87"/>
      <c r="O87"/>
      <c r="P87"/>
    </row>
    <row r="88" spans="1:16" s="1" customFormat="1" ht="29" customHeight="1" x14ac:dyDescent="0.2">
      <c r="A88" s="1629" t="s">
        <v>5</v>
      </c>
      <c r="B88" s="1633" t="s">
        <v>141</v>
      </c>
      <c r="C88" s="1633" t="s">
        <v>115</v>
      </c>
      <c r="D88" s="1640" t="s">
        <v>129</v>
      </c>
      <c r="E88" s="57" t="s">
        <v>21</v>
      </c>
      <c r="F88" s="831"/>
      <c r="G88" s="831"/>
      <c r="H88" s="831"/>
      <c r="I88" s="831">
        <f>SUM(F88:H88)</f>
        <v>0</v>
      </c>
      <c r="J88" s="216">
        <f t="shared" si="13"/>
        <v>0</v>
      </c>
      <c r="K88" s="1519"/>
      <c r="L88"/>
      <c r="M88"/>
      <c r="N88"/>
      <c r="O88"/>
      <c r="P88"/>
    </row>
    <row r="89" spans="1:16" s="1" customFormat="1" ht="29" customHeight="1" x14ac:dyDescent="0.2">
      <c r="A89" s="1629" t="s">
        <v>5</v>
      </c>
      <c r="B89" s="1634" t="s">
        <v>141</v>
      </c>
      <c r="C89" s="1634" t="s">
        <v>115</v>
      </c>
      <c r="D89" s="1642" t="s">
        <v>129</v>
      </c>
      <c r="E89" s="57" t="s">
        <v>22</v>
      </c>
      <c r="F89" s="216" t="e">
        <f>F88/$I$88*100</f>
        <v>#DIV/0!</v>
      </c>
      <c r="G89" s="216" t="e">
        <f>G88/$I$88*100</f>
        <v>#DIV/0!</v>
      </c>
      <c r="H89" s="216" t="e">
        <f>H88/$I$88*100</f>
        <v>#DIV/0!</v>
      </c>
      <c r="I89" s="216"/>
      <c r="J89" s="216">
        <f t="shared" si="13"/>
        <v>0</v>
      </c>
      <c r="K89" s="1519"/>
      <c r="L89"/>
      <c r="M89"/>
      <c r="N89"/>
      <c r="O89"/>
      <c r="P89"/>
    </row>
    <row r="90" spans="1:16" s="1" customFormat="1" ht="29" customHeight="1" x14ac:dyDescent="0.2">
      <c r="A90" s="1629" t="s">
        <v>5</v>
      </c>
      <c r="B90" s="3258" t="s">
        <v>103</v>
      </c>
      <c r="C90" s="3235"/>
      <c r="D90" s="3236"/>
      <c r="E90" s="414" t="s">
        <v>21</v>
      </c>
      <c r="F90" s="832">
        <f>F82+F84+F86+F88</f>
        <v>0</v>
      </c>
      <c r="G90" s="832">
        <f>G82+G84+G86+G88</f>
        <v>0</v>
      </c>
      <c r="H90" s="832">
        <f>H82+H84+H86+H88</f>
        <v>0</v>
      </c>
      <c r="I90" s="832">
        <f>SUM(F90:H90)</f>
        <v>0</v>
      </c>
      <c r="J90" s="216">
        <f t="shared" si="13"/>
        <v>0</v>
      </c>
      <c r="K90" s="1519"/>
      <c r="L90"/>
      <c r="M90"/>
      <c r="N90"/>
      <c r="O90"/>
      <c r="P90"/>
    </row>
    <row r="91" spans="1:16" s="1" customFormat="1" ht="29" customHeight="1" x14ac:dyDescent="0.2">
      <c r="A91" s="1630" t="s">
        <v>5</v>
      </c>
      <c r="B91" s="3238"/>
      <c r="C91" s="3238"/>
      <c r="D91" s="3239"/>
      <c r="E91" s="414" t="s">
        <v>22</v>
      </c>
      <c r="F91" s="417" t="e">
        <f>F90/$I$90*100</f>
        <v>#DIV/0!</v>
      </c>
      <c r="G91" s="417" t="e">
        <f>G90/$I$90*100</f>
        <v>#DIV/0!</v>
      </c>
      <c r="H91" s="417" t="e">
        <f>H90/$I$90*100</f>
        <v>#DIV/0!</v>
      </c>
      <c r="I91" s="415"/>
      <c r="J91" s="216">
        <f t="shared" si="13"/>
        <v>0</v>
      </c>
      <c r="K91" s="1519"/>
      <c r="L91"/>
      <c r="M91"/>
      <c r="N91"/>
      <c r="O91"/>
      <c r="P91"/>
    </row>
    <row r="92" spans="1:16" s="1" customFormat="1" ht="39" customHeight="1" x14ac:dyDescent="0.2">
      <c r="A92" s="3466" t="s">
        <v>124</v>
      </c>
      <c r="B92" s="3365"/>
      <c r="C92" s="3365"/>
      <c r="D92" s="3366"/>
      <c r="E92" s="387" t="s">
        <v>21</v>
      </c>
      <c r="F92" s="896">
        <f>F70+F80+F90</f>
        <v>276753.59999999998</v>
      </c>
      <c r="G92" s="896">
        <f>G70+G80+G90</f>
        <v>12424.319999999998</v>
      </c>
      <c r="H92" s="896">
        <f>H70+H80+H90</f>
        <v>19418.400000000001</v>
      </c>
      <c r="I92" s="896">
        <f>SUM(F92:H92)</f>
        <v>308596.32</v>
      </c>
      <c r="J92" s="549">
        <f t="shared" si="13"/>
        <v>100</v>
      </c>
      <c r="K92" s="1625"/>
      <c r="L92"/>
      <c r="M92"/>
      <c r="N92"/>
      <c r="O92"/>
      <c r="P92"/>
    </row>
    <row r="93" spans="1:16" s="1" customFormat="1" ht="39" customHeight="1" x14ac:dyDescent="0.2">
      <c r="A93" s="3367"/>
      <c r="B93" s="3368"/>
      <c r="C93" s="3368"/>
      <c r="D93" s="3369"/>
      <c r="E93" s="387" t="s">
        <v>22</v>
      </c>
      <c r="F93" s="389">
        <f>F92/$I$92*100</f>
        <v>89.681432364455929</v>
      </c>
      <c r="G93" s="389">
        <f>G92/$I$92*100</f>
        <v>4.0260752299314513</v>
      </c>
      <c r="H93" s="389">
        <f>H92/$I$92*100</f>
        <v>6.2924924056126139</v>
      </c>
      <c r="I93" s="389"/>
      <c r="J93" s="389"/>
      <c r="K93" s="1624"/>
      <c r="L93"/>
      <c r="M93"/>
      <c r="N93"/>
      <c r="O93"/>
      <c r="P93"/>
    </row>
    <row r="94" spans="1:16" s="1" customFormat="1" ht="14" customHeight="1" x14ac:dyDescent="0.2">
      <c r="A94" s="919"/>
      <c r="B94" s="919"/>
      <c r="C94" s="920"/>
      <c r="D94" s="921"/>
      <c r="E94" s="921"/>
      <c r="F94" s="921"/>
      <c r="G94" s="921"/>
      <c r="H94" s="921"/>
      <c r="I94" s="922"/>
      <c r="J94" s="922"/>
      <c r="K94" s="922"/>
      <c r="L94" s="922"/>
      <c r="M94" s="922"/>
      <c r="N94" s="922"/>
    </row>
    <row r="95" spans="1:16" s="1" customFormat="1" ht="29" customHeight="1" x14ac:dyDescent="0.2">
      <c r="A95" s="3207" t="s">
        <v>506</v>
      </c>
      <c r="B95" s="3207"/>
      <c r="C95" s="3207"/>
      <c r="D95" s="3207"/>
      <c r="E95" s="3207"/>
      <c r="F95" s="3207"/>
      <c r="G95" s="3207"/>
      <c r="H95" s="3207"/>
      <c r="I95" s="3207"/>
      <c r="J95" s="3207"/>
      <c r="K95" s="3207"/>
      <c r="L95" s="3207"/>
      <c r="M95" s="3207"/>
      <c r="N95" s="3207"/>
    </row>
    <row r="96" spans="1:16" s="1" customFormat="1" ht="29" customHeight="1" x14ac:dyDescent="0.2">
      <c r="A96" s="221" t="s">
        <v>39</v>
      </c>
      <c r="B96" s="2551" t="s">
        <v>134</v>
      </c>
      <c r="C96" s="2551"/>
      <c r="D96" s="222" t="s">
        <v>6</v>
      </c>
      <c r="E96" s="222" t="s">
        <v>135</v>
      </c>
      <c r="F96" s="222" t="s">
        <v>43</v>
      </c>
      <c r="G96" s="222" t="s">
        <v>10</v>
      </c>
      <c r="H96" s="391" t="s">
        <v>314</v>
      </c>
      <c r="I96" s="2605" t="s">
        <v>47</v>
      </c>
      <c r="J96" s="2605"/>
      <c r="K96" s="2605"/>
      <c r="L96" s="2605"/>
      <c r="M96" s="2605"/>
      <c r="N96" s="2605"/>
    </row>
    <row r="97" spans="1:16" s="1" customFormat="1" ht="29" customHeight="1" x14ac:dyDescent="0.2">
      <c r="A97" s="223">
        <v>1</v>
      </c>
      <c r="B97" s="2599" t="s">
        <v>137</v>
      </c>
      <c r="C97" s="2599"/>
      <c r="D97" s="224" t="s">
        <v>138</v>
      </c>
      <c r="E97" s="735" t="s">
        <v>139</v>
      </c>
      <c r="F97" s="830">
        <f>I70</f>
        <v>308596.32</v>
      </c>
      <c r="G97" s="224">
        <f>F97/$K$11</f>
        <v>19.600000000000001</v>
      </c>
      <c r="H97" s="214">
        <f>F97/$F$100*100</f>
        <v>100</v>
      </c>
      <c r="I97" s="2600"/>
      <c r="J97" s="2600"/>
      <c r="K97" s="2600"/>
      <c r="L97" s="2600"/>
      <c r="M97" s="2600"/>
      <c r="N97" s="2600"/>
    </row>
    <row r="98" spans="1:16" s="1" customFormat="1" ht="29" customHeight="1" x14ac:dyDescent="0.2">
      <c r="A98" s="223">
        <v>2</v>
      </c>
      <c r="B98" s="2599" t="s">
        <v>137</v>
      </c>
      <c r="C98" s="2599"/>
      <c r="D98" s="224" t="s">
        <v>138</v>
      </c>
      <c r="E98" s="224" t="s">
        <v>140</v>
      </c>
      <c r="F98" s="830">
        <f>I80</f>
        <v>0</v>
      </c>
      <c r="G98" s="224">
        <f>F98/$K$11</f>
        <v>0</v>
      </c>
      <c r="H98" s="214">
        <f>F98/$F$100*100</f>
        <v>0</v>
      </c>
      <c r="I98" s="2600"/>
      <c r="J98" s="2600"/>
      <c r="K98" s="2600"/>
      <c r="L98" s="2600"/>
      <c r="M98" s="2600"/>
      <c r="N98" s="2600"/>
    </row>
    <row r="99" spans="1:16" s="1" customFormat="1" ht="29" customHeight="1" x14ac:dyDescent="0.2">
      <c r="A99" s="223">
        <v>3</v>
      </c>
      <c r="B99" s="2599" t="s">
        <v>137</v>
      </c>
      <c r="C99" s="2599"/>
      <c r="D99" s="224" t="s">
        <v>138</v>
      </c>
      <c r="E99" s="224" t="s">
        <v>141</v>
      </c>
      <c r="F99" s="830">
        <f>I90</f>
        <v>0</v>
      </c>
      <c r="G99" s="224">
        <f>F99/$K$11</f>
        <v>0</v>
      </c>
      <c r="H99" s="214">
        <f>F99/$F$100*100</f>
        <v>0</v>
      </c>
      <c r="I99" s="2600"/>
      <c r="J99" s="2600"/>
      <c r="K99" s="2600"/>
      <c r="L99" s="2600"/>
      <c r="M99" s="2600"/>
      <c r="N99" s="2600"/>
    </row>
    <row r="100" spans="1:16" s="1" customFormat="1" ht="29" customHeight="1" x14ac:dyDescent="0.2">
      <c r="A100" s="3377" t="s">
        <v>806</v>
      </c>
      <c r="B100" s="3377"/>
      <c r="C100" s="3377"/>
      <c r="D100" s="225" t="s">
        <v>142</v>
      </c>
      <c r="E100" s="225" t="s">
        <v>142</v>
      </c>
      <c r="F100" s="860">
        <f>SUM(F97:F99)</f>
        <v>308596.32</v>
      </c>
      <c r="G100" s="226">
        <f>SUM(G97:G99)</f>
        <v>19.600000000000001</v>
      </c>
      <c r="H100" s="227">
        <f>SUM(H97:H99)</f>
        <v>100</v>
      </c>
      <c r="I100" s="2603"/>
      <c r="J100" s="2603"/>
      <c r="K100" s="2603"/>
      <c r="L100" s="2603"/>
      <c r="M100" s="2603"/>
      <c r="N100" s="2603"/>
    </row>
    <row r="101" spans="1:16" s="1" customFormat="1" ht="27" customHeight="1" x14ac:dyDescent="0.2">
      <c r="A101" s="42" t="s">
        <v>497</v>
      </c>
      <c r="B101" s="459"/>
      <c r="C101" s="459"/>
      <c r="D101" s="460"/>
      <c r="E101" s="460"/>
      <c r="F101" s="461"/>
      <c r="G101" s="462"/>
      <c r="H101" s="463"/>
      <c r="I101" s="465"/>
      <c r="J101" s="464"/>
      <c r="K101" s="41"/>
      <c r="L101" s="41"/>
      <c r="M101" s="41"/>
      <c r="N101" s="41"/>
    </row>
    <row r="102" spans="1:16" s="1" customFormat="1" ht="23" customHeight="1" x14ac:dyDescent="0.2">
      <c r="A102" s="2665" t="s">
        <v>34</v>
      </c>
      <c r="B102" s="2665" t="s">
        <v>135</v>
      </c>
      <c r="C102" s="2551" t="s">
        <v>6</v>
      </c>
      <c r="D102" s="2551" t="s">
        <v>105</v>
      </c>
      <c r="E102" s="2551" t="s">
        <v>17</v>
      </c>
      <c r="F102" s="3389" t="s">
        <v>106</v>
      </c>
      <c r="G102" s="3390"/>
      <c r="H102" s="3390"/>
      <c r="I102" s="3391"/>
      <c r="J102" s="1659" t="s">
        <v>107</v>
      </c>
      <c r="K102" s="2722" t="s">
        <v>47</v>
      </c>
      <c r="L102"/>
      <c r="M102"/>
      <c r="N102"/>
      <c r="O102"/>
      <c r="P102"/>
    </row>
    <row r="103" spans="1:16" s="1" customFormat="1" ht="34" customHeight="1" x14ac:dyDescent="0.2">
      <c r="A103" s="3223"/>
      <c r="B103" s="3223"/>
      <c r="C103" s="2566"/>
      <c r="D103" s="2551"/>
      <c r="E103" s="2551"/>
      <c r="F103" s="200" t="s">
        <v>18</v>
      </c>
      <c r="G103" s="202" t="s">
        <v>19</v>
      </c>
      <c r="H103" s="202" t="s">
        <v>20</v>
      </c>
      <c r="I103" s="202" t="s">
        <v>108</v>
      </c>
      <c r="J103" s="390" t="s">
        <v>22</v>
      </c>
      <c r="K103" s="2722"/>
      <c r="L103"/>
      <c r="M103"/>
      <c r="N103"/>
      <c r="O103"/>
      <c r="P103"/>
    </row>
    <row r="104" spans="1:16" s="1" customFormat="1" ht="25" customHeight="1" x14ac:dyDescent="0.2">
      <c r="A104" s="1560" t="s">
        <v>25</v>
      </c>
      <c r="B104" s="1654" t="s">
        <v>1028</v>
      </c>
      <c r="C104" s="1593" t="s">
        <v>119</v>
      </c>
      <c r="D104" s="1640" t="s">
        <v>109</v>
      </c>
      <c r="E104" s="57" t="s">
        <v>21</v>
      </c>
      <c r="F104" s="834"/>
      <c r="G104" s="738"/>
      <c r="H104" s="834"/>
      <c r="I104" s="831">
        <f>SUM(F104:H104)</f>
        <v>0</v>
      </c>
      <c r="J104" s="214" t="e">
        <f t="shared" ref="J104:J121" si="14">(I104/$I$122*100)</f>
        <v>#DIV/0!</v>
      </c>
      <c r="K104" s="1014" t="s">
        <v>770</v>
      </c>
      <c r="L104"/>
      <c r="M104"/>
      <c r="N104"/>
      <c r="O104"/>
      <c r="P104"/>
    </row>
    <row r="105" spans="1:16" s="1" customFormat="1" ht="25" customHeight="1" x14ac:dyDescent="0.2">
      <c r="A105" s="1563" t="s">
        <v>25</v>
      </c>
      <c r="B105" s="1643" t="s">
        <v>1028</v>
      </c>
      <c r="C105" s="1568" t="s">
        <v>119</v>
      </c>
      <c r="D105" s="1642" t="s">
        <v>109</v>
      </c>
      <c r="E105" s="57" t="s">
        <v>22</v>
      </c>
      <c r="F105" s="739" t="e">
        <f>F104/$I$104*100</f>
        <v>#DIV/0!</v>
      </c>
      <c r="G105" s="739"/>
      <c r="H105" s="739" t="e">
        <f>H104/$I$104*100</f>
        <v>#DIV/0!</v>
      </c>
      <c r="I105" s="216"/>
      <c r="J105" s="214" t="e">
        <f t="shared" si="14"/>
        <v>#DIV/0!</v>
      </c>
      <c r="K105" s="1014"/>
      <c r="L105"/>
      <c r="M105"/>
      <c r="N105"/>
      <c r="O105"/>
      <c r="P105"/>
    </row>
    <row r="106" spans="1:16" s="1" customFormat="1" ht="25" customHeight="1" x14ac:dyDescent="0.2">
      <c r="A106" s="1563" t="s">
        <v>25</v>
      </c>
      <c r="B106" s="1643" t="s">
        <v>1028</v>
      </c>
      <c r="C106" s="1568" t="s">
        <v>119</v>
      </c>
      <c r="D106" s="1640" t="s">
        <v>129</v>
      </c>
      <c r="E106" s="57" t="s">
        <v>21</v>
      </c>
      <c r="F106" s="831"/>
      <c r="G106" s="214"/>
      <c r="H106" s="831"/>
      <c r="I106" s="831">
        <f>SUM(F106:H106)</f>
        <v>0</v>
      </c>
      <c r="J106" s="214" t="e">
        <f t="shared" si="14"/>
        <v>#DIV/0!</v>
      </c>
      <c r="K106" s="1014"/>
      <c r="L106"/>
      <c r="M106"/>
      <c r="N106"/>
      <c r="O106"/>
      <c r="P106"/>
    </row>
    <row r="107" spans="1:16" s="1" customFormat="1" ht="25" customHeight="1" x14ac:dyDescent="0.2">
      <c r="A107" s="1563" t="s">
        <v>25</v>
      </c>
      <c r="B107" s="1643" t="s">
        <v>1028</v>
      </c>
      <c r="C107" s="1568" t="s">
        <v>119</v>
      </c>
      <c r="D107" s="1642" t="s">
        <v>129</v>
      </c>
      <c r="E107" s="57" t="s">
        <v>22</v>
      </c>
      <c r="F107" s="216" t="e">
        <f>F106/$I$106*100</f>
        <v>#DIV/0!</v>
      </c>
      <c r="G107" s="216" t="e">
        <f>G106/$I$106*100</f>
        <v>#DIV/0!</v>
      </c>
      <c r="H107" s="216" t="e">
        <f>H106/$I$106*100</f>
        <v>#DIV/0!</v>
      </c>
      <c r="I107" s="216"/>
      <c r="J107" s="214" t="e">
        <f t="shared" si="14"/>
        <v>#DIV/0!</v>
      </c>
      <c r="K107" s="1014"/>
      <c r="L107"/>
      <c r="M107"/>
      <c r="N107"/>
      <c r="O107"/>
      <c r="P107"/>
    </row>
    <row r="108" spans="1:16" s="1" customFormat="1" ht="25" customHeight="1" x14ac:dyDescent="0.2">
      <c r="A108" s="1563" t="s">
        <v>25</v>
      </c>
      <c r="B108" s="1643" t="s">
        <v>1028</v>
      </c>
      <c r="C108" s="1568" t="s">
        <v>119</v>
      </c>
      <c r="D108" s="1640" t="s">
        <v>146</v>
      </c>
      <c r="E108" s="57" t="s">
        <v>21</v>
      </c>
      <c r="F108" s="831"/>
      <c r="G108" s="214"/>
      <c r="H108" s="831"/>
      <c r="I108" s="831">
        <f>SUM(F108:H108)</f>
        <v>0</v>
      </c>
      <c r="J108" s="214" t="e">
        <f t="shared" si="14"/>
        <v>#DIV/0!</v>
      </c>
      <c r="K108" s="1014"/>
      <c r="L108"/>
      <c r="M108"/>
      <c r="N108"/>
      <c r="O108"/>
      <c r="P108"/>
    </row>
    <row r="109" spans="1:16" s="1" customFormat="1" ht="25" customHeight="1" x14ac:dyDescent="0.2">
      <c r="A109" s="1563" t="s">
        <v>25</v>
      </c>
      <c r="B109" s="1643" t="s">
        <v>1028</v>
      </c>
      <c r="C109" s="1568" t="s">
        <v>119</v>
      </c>
      <c r="D109" s="1642" t="s">
        <v>146</v>
      </c>
      <c r="E109" s="57" t="s">
        <v>22</v>
      </c>
      <c r="F109" s="216" t="e">
        <f>F108/$I$108*100</f>
        <v>#DIV/0!</v>
      </c>
      <c r="G109" s="216" t="e">
        <f>G108/$I$108*100</f>
        <v>#DIV/0!</v>
      </c>
      <c r="H109" s="216" t="e">
        <f>H108/$I$108*100</f>
        <v>#DIV/0!</v>
      </c>
      <c r="I109" s="216"/>
      <c r="J109" s="214" t="e">
        <f t="shared" si="14"/>
        <v>#DIV/0!</v>
      </c>
      <c r="K109" s="1014"/>
      <c r="L109"/>
      <c r="M109"/>
      <c r="N109"/>
      <c r="O109"/>
      <c r="P109"/>
    </row>
    <row r="110" spans="1:16" s="1" customFormat="1" ht="25" customHeight="1" x14ac:dyDescent="0.2">
      <c r="A110" s="1563" t="s">
        <v>25</v>
      </c>
      <c r="B110" s="1643" t="s">
        <v>1028</v>
      </c>
      <c r="C110" s="1568" t="s">
        <v>119</v>
      </c>
      <c r="D110" s="1640" t="s">
        <v>541</v>
      </c>
      <c r="E110" s="57" t="s">
        <v>21</v>
      </c>
      <c r="F110" s="831"/>
      <c r="G110" s="214"/>
      <c r="H110" s="831"/>
      <c r="I110" s="831">
        <f>SUM(F110:H110)</f>
        <v>0</v>
      </c>
      <c r="J110" s="214" t="e">
        <f t="shared" si="14"/>
        <v>#DIV/0!</v>
      </c>
      <c r="K110" s="1014"/>
      <c r="L110"/>
      <c r="M110"/>
      <c r="N110"/>
      <c r="O110"/>
      <c r="P110"/>
    </row>
    <row r="111" spans="1:16" s="1" customFormat="1" ht="25" customHeight="1" x14ac:dyDescent="0.2">
      <c r="A111" s="1563" t="s">
        <v>25</v>
      </c>
      <c r="B111" s="1585" t="s">
        <v>1028</v>
      </c>
      <c r="C111" s="1567" t="s">
        <v>119</v>
      </c>
      <c r="D111" s="1642" t="s">
        <v>541</v>
      </c>
      <c r="E111" s="57" t="s">
        <v>22</v>
      </c>
      <c r="F111" s="216" t="e">
        <f>F110/$I$110*100</f>
        <v>#DIV/0!</v>
      </c>
      <c r="G111" s="216" t="e">
        <f>G110/$I$110*100</f>
        <v>#DIV/0!</v>
      </c>
      <c r="H111" s="216" t="e">
        <f>H110/$I$110*100</f>
        <v>#DIV/0!</v>
      </c>
      <c r="I111" s="216"/>
      <c r="J111" s="214" t="e">
        <f t="shared" si="14"/>
        <v>#DIV/0!</v>
      </c>
      <c r="K111" s="1014"/>
      <c r="L111"/>
      <c r="M111"/>
      <c r="N111"/>
      <c r="O111"/>
      <c r="P111"/>
    </row>
    <row r="112" spans="1:16" s="1" customFormat="1" ht="25" customHeight="1" x14ac:dyDescent="0.2">
      <c r="A112" s="1563" t="s">
        <v>25</v>
      </c>
      <c r="B112" s="1643" t="s">
        <v>1028</v>
      </c>
      <c r="C112" s="1568" t="s">
        <v>119</v>
      </c>
      <c r="D112" s="1640" t="s">
        <v>117</v>
      </c>
      <c r="E112" s="57" t="s">
        <v>21</v>
      </c>
      <c r="F112" s="831"/>
      <c r="G112" s="214"/>
      <c r="H112" s="831"/>
      <c r="I112" s="831">
        <f t="shared" ref="I112:I118" si="15">SUM(F112:H112)</f>
        <v>0</v>
      </c>
      <c r="J112" s="214" t="e">
        <f t="shared" si="14"/>
        <v>#DIV/0!</v>
      </c>
      <c r="K112" s="1014"/>
      <c r="L112"/>
      <c r="M112"/>
      <c r="N112"/>
      <c r="O112"/>
      <c r="P112"/>
    </row>
    <row r="113" spans="1:16" s="1" customFormat="1" ht="25" customHeight="1" x14ac:dyDescent="0.2">
      <c r="A113" s="1563" t="s">
        <v>25</v>
      </c>
      <c r="B113" s="1643" t="s">
        <v>1028</v>
      </c>
      <c r="C113" s="1568" t="s">
        <v>119</v>
      </c>
      <c r="D113" s="1642" t="s">
        <v>117</v>
      </c>
      <c r="E113" s="57" t="s">
        <v>22</v>
      </c>
      <c r="F113" s="216" t="e">
        <f>F112/$I$112*100</f>
        <v>#DIV/0!</v>
      </c>
      <c r="G113" s="216" t="e">
        <f>G112/$I$112*100</f>
        <v>#DIV/0!</v>
      </c>
      <c r="H113" s="216" t="e">
        <f>H112/$I$112*100</f>
        <v>#DIV/0!</v>
      </c>
      <c r="I113" s="216"/>
      <c r="J113" s="214" t="e">
        <f t="shared" si="14"/>
        <v>#DIV/0!</v>
      </c>
      <c r="K113" s="1014"/>
      <c r="L113"/>
      <c r="M113"/>
      <c r="N113"/>
      <c r="O113"/>
      <c r="P113"/>
    </row>
    <row r="114" spans="1:16" s="1" customFormat="1" ht="25" customHeight="1" x14ac:dyDescent="0.2">
      <c r="A114" s="1563" t="s">
        <v>25</v>
      </c>
      <c r="B114" s="1643" t="s">
        <v>1028</v>
      </c>
      <c r="C114" s="1568" t="s">
        <v>119</v>
      </c>
      <c r="D114" s="1640" t="s">
        <v>322</v>
      </c>
      <c r="E114" s="57" t="s">
        <v>21</v>
      </c>
      <c r="F114" s="831"/>
      <c r="G114" s="214"/>
      <c r="H114" s="831"/>
      <c r="I114" s="831">
        <f t="shared" si="15"/>
        <v>0</v>
      </c>
      <c r="J114" s="214" t="e">
        <f t="shared" si="14"/>
        <v>#DIV/0!</v>
      </c>
      <c r="K114" s="1014"/>
      <c r="L114"/>
      <c r="M114"/>
      <c r="N114"/>
      <c r="O114"/>
      <c r="P114"/>
    </row>
    <row r="115" spans="1:16" s="1" customFormat="1" ht="25" customHeight="1" x14ac:dyDescent="0.2">
      <c r="A115" s="1563" t="s">
        <v>25</v>
      </c>
      <c r="B115" s="1643" t="s">
        <v>1028</v>
      </c>
      <c r="C115" s="1568" t="s">
        <v>119</v>
      </c>
      <c r="D115" s="1642" t="s">
        <v>322</v>
      </c>
      <c r="E115" s="57" t="s">
        <v>22</v>
      </c>
      <c r="F115" s="216" t="e">
        <f>F114/$I$114*100</f>
        <v>#DIV/0!</v>
      </c>
      <c r="G115" s="216" t="e">
        <f>G114/$I$114*100</f>
        <v>#DIV/0!</v>
      </c>
      <c r="H115" s="216" t="e">
        <f>H114/$I$114*100</f>
        <v>#DIV/0!</v>
      </c>
      <c r="I115" s="214"/>
      <c r="J115" s="214" t="e">
        <f t="shared" si="14"/>
        <v>#DIV/0!</v>
      </c>
      <c r="K115" s="1014"/>
      <c r="L115"/>
      <c r="M115"/>
      <c r="N115"/>
      <c r="O115"/>
      <c r="P115"/>
    </row>
    <row r="116" spans="1:16" s="1" customFormat="1" ht="23" customHeight="1" x14ac:dyDescent="0.2">
      <c r="A116" s="1563" t="s">
        <v>25</v>
      </c>
      <c r="B116" s="1643" t="s">
        <v>1028</v>
      </c>
      <c r="C116" s="1568" t="s">
        <v>119</v>
      </c>
      <c r="D116" s="1640" t="s">
        <v>125</v>
      </c>
      <c r="E116" s="57" t="s">
        <v>21</v>
      </c>
      <c r="F116" s="831"/>
      <c r="G116" s="214"/>
      <c r="H116" s="831"/>
      <c r="I116" s="831">
        <f>SUM(F116:H116)</f>
        <v>0</v>
      </c>
      <c r="J116" s="214" t="e">
        <f t="shared" si="14"/>
        <v>#DIV/0!</v>
      </c>
      <c r="K116" s="1014"/>
      <c r="L116"/>
      <c r="M116"/>
      <c r="N116"/>
      <c r="O116"/>
      <c r="P116"/>
    </row>
    <row r="117" spans="1:16" s="1" customFormat="1" ht="23" customHeight="1" x14ac:dyDescent="0.2">
      <c r="A117" s="1563" t="s">
        <v>25</v>
      </c>
      <c r="B117" s="1643" t="s">
        <v>1028</v>
      </c>
      <c r="C117" s="1568" t="s">
        <v>119</v>
      </c>
      <c r="D117" s="1642" t="s">
        <v>125</v>
      </c>
      <c r="E117" s="57" t="s">
        <v>22</v>
      </c>
      <c r="F117" s="216" t="e">
        <f>F116/$I$116*100</f>
        <v>#DIV/0!</v>
      </c>
      <c r="G117" s="216" t="e">
        <f>G116/$I$116*100</f>
        <v>#DIV/0!</v>
      </c>
      <c r="H117" s="216" t="e">
        <f>H116/$I$116*100</f>
        <v>#DIV/0!</v>
      </c>
      <c r="I117" s="214"/>
      <c r="J117" s="214" t="e">
        <f t="shared" si="14"/>
        <v>#DIV/0!</v>
      </c>
      <c r="K117" s="1014"/>
      <c r="L117"/>
      <c r="M117"/>
      <c r="N117"/>
      <c r="O117"/>
      <c r="P117"/>
    </row>
    <row r="118" spans="1:16" s="1" customFormat="1" ht="23" customHeight="1" x14ac:dyDescent="0.2">
      <c r="A118" s="1563" t="s">
        <v>25</v>
      </c>
      <c r="B118" s="1643" t="s">
        <v>1028</v>
      </c>
      <c r="C118" s="1568" t="s">
        <v>119</v>
      </c>
      <c r="D118" s="1640" t="s">
        <v>637</v>
      </c>
      <c r="E118" s="57" t="s">
        <v>21</v>
      </c>
      <c r="F118" s="831"/>
      <c r="G118" s="214"/>
      <c r="H118" s="831"/>
      <c r="I118" s="831">
        <f t="shared" si="15"/>
        <v>0</v>
      </c>
      <c r="J118" s="214" t="e">
        <f t="shared" si="14"/>
        <v>#DIV/0!</v>
      </c>
      <c r="K118" s="1014" t="s">
        <v>320</v>
      </c>
      <c r="L118"/>
      <c r="M118"/>
      <c r="N118"/>
      <c r="O118"/>
      <c r="P118"/>
    </row>
    <row r="119" spans="1:16" s="1" customFormat="1" ht="23" customHeight="1" x14ac:dyDescent="0.2">
      <c r="A119" s="1563" t="s">
        <v>25</v>
      </c>
      <c r="B119" s="1643" t="s">
        <v>1028</v>
      </c>
      <c r="C119" s="1568" t="s">
        <v>119</v>
      </c>
      <c r="D119" s="1642" t="s">
        <v>637</v>
      </c>
      <c r="E119" s="57" t="s">
        <v>22</v>
      </c>
      <c r="F119" s="216" t="e">
        <f>F118/$I$118*100</f>
        <v>#DIV/0!</v>
      </c>
      <c r="G119" s="216" t="e">
        <f>G118/$I$118*100</f>
        <v>#DIV/0!</v>
      </c>
      <c r="H119" s="216" t="e">
        <f>H118/$I$118*100</f>
        <v>#DIV/0!</v>
      </c>
      <c r="I119" s="214"/>
      <c r="J119" s="214" t="e">
        <f t="shared" si="14"/>
        <v>#DIV/0!</v>
      </c>
      <c r="K119" s="1014"/>
      <c r="L119"/>
      <c r="M119"/>
      <c r="N119"/>
      <c r="O119"/>
      <c r="P119"/>
    </row>
    <row r="120" spans="1:16" s="1" customFormat="1" ht="23" customHeight="1" x14ac:dyDescent="0.2">
      <c r="A120" s="1563" t="s">
        <v>25</v>
      </c>
      <c r="B120" s="1643" t="s">
        <v>1028</v>
      </c>
      <c r="C120" s="1568" t="s">
        <v>119</v>
      </c>
      <c r="D120" s="1640" t="s">
        <v>144</v>
      </c>
      <c r="E120" s="57" t="s">
        <v>21</v>
      </c>
      <c r="F120" s="831"/>
      <c r="G120" s="214"/>
      <c r="H120" s="831"/>
      <c r="I120" s="831"/>
      <c r="J120" s="214" t="e">
        <f t="shared" si="14"/>
        <v>#DIV/0!</v>
      </c>
      <c r="K120" s="1014"/>
      <c r="L120"/>
      <c r="M120"/>
      <c r="N120"/>
      <c r="O120"/>
      <c r="P120"/>
    </row>
    <row r="121" spans="1:16" s="1" customFormat="1" ht="23" customHeight="1" x14ac:dyDescent="0.2">
      <c r="A121" s="1563" t="s">
        <v>25</v>
      </c>
      <c r="B121" s="1644" t="s">
        <v>1028</v>
      </c>
      <c r="C121" s="1584" t="s">
        <v>119</v>
      </c>
      <c r="D121" s="1642" t="s">
        <v>144</v>
      </c>
      <c r="E121" s="57" t="s">
        <v>22</v>
      </c>
      <c r="F121" s="216" t="e">
        <f>F120/$I$120*100</f>
        <v>#DIV/0!</v>
      </c>
      <c r="G121" s="216" t="e">
        <f>G120/$I$120*100</f>
        <v>#DIV/0!</v>
      </c>
      <c r="H121" s="216" t="e">
        <f>H120/$I$120*100</f>
        <v>#DIV/0!</v>
      </c>
      <c r="I121" s="214"/>
      <c r="J121" s="214" t="e">
        <f t="shared" si="14"/>
        <v>#DIV/0!</v>
      </c>
      <c r="K121" s="1014"/>
      <c r="L121"/>
      <c r="M121"/>
      <c r="N121"/>
      <c r="O121"/>
      <c r="P121"/>
    </row>
    <row r="122" spans="1:16" s="1" customFormat="1" ht="31" customHeight="1" x14ac:dyDescent="0.2">
      <c r="A122" s="1687" t="s">
        <v>25</v>
      </c>
      <c r="B122" s="3258" t="s">
        <v>103</v>
      </c>
      <c r="C122" s="3235"/>
      <c r="D122" s="3236"/>
      <c r="E122" s="414" t="s">
        <v>21</v>
      </c>
      <c r="F122" s="832">
        <f>F104+F106+F108+F110+F112+F114+F116+F118+F120</f>
        <v>0</v>
      </c>
      <c r="G122" s="832">
        <f>G104+G106+G108+G110+G112+G114+G116+G118+G120</f>
        <v>0</v>
      </c>
      <c r="H122" s="832">
        <f>H104+H106+H108+H110+H112+H114+H116+H118+H120</f>
        <v>0</v>
      </c>
      <c r="I122" s="832">
        <f>SUM(F122:H122)</f>
        <v>0</v>
      </c>
      <c r="J122" s="1684"/>
      <c r="K122" s="1668"/>
      <c r="L122"/>
      <c r="M122"/>
      <c r="N122"/>
      <c r="O122"/>
      <c r="P122"/>
    </row>
    <row r="123" spans="1:16" s="1" customFormat="1" ht="31" customHeight="1" x14ac:dyDescent="0.2">
      <c r="A123" s="1687" t="s">
        <v>25</v>
      </c>
      <c r="B123" s="3258"/>
      <c r="C123" s="3238"/>
      <c r="D123" s="3239"/>
      <c r="E123" s="414" t="s">
        <v>22</v>
      </c>
      <c r="F123" s="417" t="e">
        <f>F122/$I$122*100</f>
        <v>#DIV/0!</v>
      </c>
      <c r="G123" s="417" t="e">
        <f>G122/$I$122*100</f>
        <v>#DIV/0!</v>
      </c>
      <c r="H123" s="417" t="e">
        <f>H122/$I$122*100</f>
        <v>#DIV/0!</v>
      </c>
      <c r="I123" s="415"/>
      <c r="J123" s="1684"/>
      <c r="K123" s="1668"/>
      <c r="L123"/>
      <c r="M123"/>
      <c r="N123"/>
      <c r="O123"/>
      <c r="P123"/>
    </row>
    <row r="124" spans="1:16" s="1" customFormat="1" ht="26" customHeight="1" x14ac:dyDescent="0.2">
      <c r="A124" s="1563" t="s">
        <v>25</v>
      </c>
      <c r="B124" s="1654" t="s">
        <v>329</v>
      </c>
      <c r="C124" s="1593" t="s">
        <v>119</v>
      </c>
      <c r="D124" s="1640" t="s">
        <v>129</v>
      </c>
      <c r="E124" s="57" t="s">
        <v>21</v>
      </c>
      <c r="F124" s="834"/>
      <c r="G124" s="738"/>
      <c r="H124" s="834"/>
      <c r="I124" s="831">
        <f>SUM(F124:H124)</f>
        <v>0</v>
      </c>
      <c r="J124" s="214" t="e">
        <f t="shared" ref="J124:J137" si="16">(I124/$I$122*100)</f>
        <v>#DIV/0!</v>
      </c>
      <c r="K124" s="1014" t="s">
        <v>771</v>
      </c>
      <c r="L124"/>
      <c r="M124"/>
      <c r="N124"/>
      <c r="O124"/>
      <c r="P124"/>
    </row>
    <row r="125" spans="1:16" s="1" customFormat="1" ht="26" customHeight="1" x14ac:dyDescent="0.2">
      <c r="A125" s="1563" t="s">
        <v>25</v>
      </c>
      <c r="B125" s="1643" t="s">
        <v>329</v>
      </c>
      <c r="C125" s="1568" t="s">
        <v>119</v>
      </c>
      <c r="D125" s="1642" t="s">
        <v>129</v>
      </c>
      <c r="E125" s="57" t="s">
        <v>22</v>
      </c>
      <c r="F125" s="739" t="e">
        <f>F124/$I$124*100</f>
        <v>#DIV/0!</v>
      </c>
      <c r="G125" s="739" t="e">
        <f>G124/$I$124*100</f>
        <v>#DIV/0!</v>
      </c>
      <c r="H125" s="739" t="e">
        <f>H124/$I$124*100</f>
        <v>#DIV/0!</v>
      </c>
      <c r="I125" s="216"/>
      <c r="J125" s="214" t="e">
        <f t="shared" si="16"/>
        <v>#DIV/0!</v>
      </c>
      <c r="K125" s="1014"/>
      <c r="L125"/>
      <c r="M125"/>
      <c r="N125"/>
      <c r="O125"/>
      <c r="P125"/>
    </row>
    <row r="126" spans="1:16" s="1" customFormat="1" ht="26" customHeight="1" x14ac:dyDescent="0.2">
      <c r="A126" s="1563" t="s">
        <v>25</v>
      </c>
      <c r="B126" s="1643" t="s">
        <v>329</v>
      </c>
      <c r="C126" s="1568" t="s">
        <v>119</v>
      </c>
      <c r="D126" s="1640" t="s">
        <v>109</v>
      </c>
      <c r="E126" s="57" t="s">
        <v>21</v>
      </c>
      <c r="F126" s="831"/>
      <c r="G126" s="214"/>
      <c r="H126" s="831"/>
      <c r="I126" s="831">
        <f>SUM(F126:H126)</f>
        <v>0</v>
      </c>
      <c r="J126" s="214" t="e">
        <f t="shared" si="16"/>
        <v>#DIV/0!</v>
      </c>
      <c r="K126" s="1014"/>
      <c r="L126"/>
      <c r="M126"/>
      <c r="N126"/>
      <c r="O126"/>
      <c r="P126"/>
    </row>
    <row r="127" spans="1:16" s="1" customFormat="1" ht="26" customHeight="1" x14ac:dyDescent="0.2">
      <c r="A127" s="1566" t="s">
        <v>25</v>
      </c>
      <c r="B127" s="1643" t="s">
        <v>329</v>
      </c>
      <c r="C127" s="1568" t="s">
        <v>119</v>
      </c>
      <c r="D127" s="1642" t="s">
        <v>109</v>
      </c>
      <c r="E127" s="57" t="s">
        <v>22</v>
      </c>
      <c r="F127" s="216" t="e">
        <f>F126/$I$126*100</f>
        <v>#DIV/0!</v>
      </c>
      <c r="G127" s="216" t="e">
        <f>G126/$I$126*100</f>
        <v>#DIV/0!</v>
      </c>
      <c r="H127" s="216" t="e">
        <f>H126/$I$126*100</f>
        <v>#DIV/0!</v>
      </c>
      <c r="I127" s="216"/>
      <c r="J127" s="214" t="e">
        <f t="shared" si="16"/>
        <v>#DIV/0!</v>
      </c>
      <c r="K127" s="1014"/>
      <c r="L127"/>
      <c r="M127"/>
      <c r="N127"/>
      <c r="O127"/>
      <c r="P127"/>
    </row>
    <row r="128" spans="1:16" s="1" customFormat="1" ht="26" customHeight="1" x14ac:dyDescent="0.2">
      <c r="A128" s="1563" t="s">
        <v>25</v>
      </c>
      <c r="B128" s="1643" t="s">
        <v>329</v>
      </c>
      <c r="C128" s="1568" t="s">
        <v>119</v>
      </c>
      <c r="D128" s="1640" t="s">
        <v>322</v>
      </c>
      <c r="E128" s="57" t="s">
        <v>21</v>
      </c>
      <c r="F128" s="831"/>
      <c r="G128" s="214"/>
      <c r="H128" s="831"/>
      <c r="I128" s="831">
        <f>SUM(F128:H128)</f>
        <v>0</v>
      </c>
      <c r="J128" s="214" t="e">
        <f t="shared" si="16"/>
        <v>#DIV/0!</v>
      </c>
      <c r="K128" s="1014"/>
      <c r="L128"/>
      <c r="M128"/>
      <c r="N128"/>
      <c r="O128"/>
      <c r="P128"/>
    </row>
    <row r="129" spans="1:16" s="1" customFormat="1" ht="26" customHeight="1" x14ac:dyDescent="0.2">
      <c r="A129" s="1563" t="s">
        <v>25</v>
      </c>
      <c r="B129" s="1585" t="s">
        <v>329</v>
      </c>
      <c r="C129" s="1567" t="s">
        <v>119</v>
      </c>
      <c r="D129" s="1642" t="s">
        <v>322</v>
      </c>
      <c r="E129" s="57" t="s">
        <v>22</v>
      </c>
      <c r="F129" s="216" t="e">
        <f>F128/$I$128*100</f>
        <v>#DIV/0!</v>
      </c>
      <c r="G129" s="216" t="e">
        <f>G128/$I$128*100</f>
        <v>#DIV/0!</v>
      </c>
      <c r="H129" s="216" t="e">
        <f>H128/$I$128*100</f>
        <v>#DIV/0!</v>
      </c>
      <c r="I129" s="216"/>
      <c r="J129" s="214" t="e">
        <f t="shared" si="16"/>
        <v>#DIV/0!</v>
      </c>
      <c r="K129" s="1014"/>
      <c r="L129"/>
      <c r="M129"/>
      <c r="N129"/>
      <c r="O129"/>
      <c r="P129"/>
    </row>
    <row r="130" spans="1:16" s="1" customFormat="1" ht="26" customHeight="1" x14ac:dyDescent="0.2">
      <c r="A130" s="1563" t="s">
        <v>25</v>
      </c>
      <c r="B130" s="1643" t="s">
        <v>329</v>
      </c>
      <c r="C130" s="1568" t="s">
        <v>119</v>
      </c>
      <c r="D130" s="1640" t="s">
        <v>117</v>
      </c>
      <c r="E130" s="57" t="s">
        <v>21</v>
      </c>
      <c r="F130" s="831"/>
      <c r="G130" s="214"/>
      <c r="H130" s="831"/>
      <c r="I130" s="831">
        <f>SUM(F130:H130)</f>
        <v>0</v>
      </c>
      <c r="J130" s="214" t="e">
        <f t="shared" si="16"/>
        <v>#DIV/0!</v>
      </c>
      <c r="K130" s="1014"/>
      <c r="L130"/>
      <c r="M130"/>
      <c r="N130"/>
      <c r="O130"/>
      <c r="P130"/>
    </row>
    <row r="131" spans="1:16" s="1" customFormat="1" ht="26" customHeight="1" x14ac:dyDescent="0.2">
      <c r="A131" s="1563" t="s">
        <v>25</v>
      </c>
      <c r="B131" s="1643" t="s">
        <v>329</v>
      </c>
      <c r="C131" s="1568" t="s">
        <v>119</v>
      </c>
      <c r="D131" s="1642" t="s">
        <v>117</v>
      </c>
      <c r="E131" s="57" t="s">
        <v>22</v>
      </c>
      <c r="F131" s="216" t="e">
        <f>F130/$I$130*100</f>
        <v>#DIV/0!</v>
      </c>
      <c r="G131" s="216" t="e">
        <f>G130/$I$130*100</f>
        <v>#DIV/0!</v>
      </c>
      <c r="H131" s="216" t="e">
        <f>H130/$I$130*100</f>
        <v>#DIV/0!</v>
      </c>
      <c r="I131" s="216"/>
      <c r="J131" s="214" t="e">
        <f t="shared" si="16"/>
        <v>#DIV/0!</v>
      </c>
      <c r="K131" s="1014"/>
      <c r="L131"/>
      <c r="M131"/>
      <c r="N131"/>
      <c r="O131"/>
      <c r="P131"/>
    </row>
    <row r="132" spans="1:16" s="1" customFormat="1" ht="26" customHeight="1" x14ac:dyDescent="0.2">
      <c r="A132" s="1563" t="s">
        <v>25</v>
      </c>
      <c r="B132" s="1643" t="s">
        <v>329</v>
      </c>
      <c r="C132" s="1568" t="s">
        <v>119</v>
      </c>
      <c r="D132" s="1640" t="s">
        <v>125</v>
      </c>
      <c r="E132" s="57" t="s">
        <v>21</v>
      </c>
      <c r="F132" s="831"/>
      <c r="G132" s="214"/>
      <c r="H132" s="831"/>
      <c r="I132" s="831">
        <f t="shared" ref="I132:I137" si="17">SUM(F132:H132)</f>
        <v>0</v>
      </c>
      <c r="J132" s="214" t="e">
        <f t="shared" si="16"/>
        <v>#DIV/0!</v>
      </c>
      <c r="K132" s="1014"/>
      <c r="L132"/>
      <c r="M132"/>
      <c r="N132"/>
      <c r="O132"/>
      <c r="P132"/>
    </row>
    <row r="133" spans="1:16" s="1" customFormat="1" ht="26" customHeight="1" x14ac:dyDescent="0.2">
      <c r="A133" s="1563" t="s">
        <v>25</v>
      </c>
      <c r="B133" s="1643" t="s">
        <v>329</v>
      </c>
      <c r="C133" s="1568" t="s">
        <v>119</v>
      </c>
      <c r="D133" s="1642" t="s">
        <v>125</v>
      </c>
      <c r="E133" s="57" t="s">
        <v>22</v>
      </c>
      <c r="F133" s="216" t="e">
        <f>F132/$I$132*100</f>
        <v>#DIV/0!</v>
      </c>
      <c r="G133" s="216" t="e">
        <f>G132/$I$132*100</f>
        <v>#DIV/0!</v>
      </c>
      <c r="H133" s="216" t="e">
        <f>H132/$I$132*100</f>
        <v>#DIV/0!</v>
      </c>
      <c r="I133" s="216"/>
      <c r="J133" s="214" t="e">
        <f t="shared" si="16"/>
        <v>#DIV/0!</v>
      </c>
      <c r="K133" s="1014"/>
      <c r="L133"/>
      <c r="M133"/>
      <c r="N133"/>
      <c r="O133"/>
      <c r="P133"/>
    </row>
    <row r="134" spans="1:16" s="1" customFormat="1" ht="26" customHeight="1" x14ac:dyDescent="0.2">
      <c r="A134" s="1563" t="s">
        <v>25</v>
      </c>
      <c r="B134" s="1643" t="s">
        <v>329</v>
      </c>
      <c r="C134" s="1568" t="s">
        <v>119</v>
      </c>
      <c r="D134" s="1640" t="s">
        <v>322</v>
      </c>
      <c r="E134" s="57" t="s">
        <v>21</v>
      </c>
      <c r="F134" s="831"/>
      <c r="G134" s="214"/>
      <c r="H134" s="831"/>
      <c r="I134" s="831">
        <f t="shared" si="17"/>
        <v>0</v>
      </c>
      <c r="J134" s="214" t="e">
        <f t="shared" si="16"/>
        <v>#DIV/0!</v>
      </c>
      <c r="K134" s="1014"/>
      <c r="L134"/>
      <c r="M134"/>
      <c r="N134"/>
      <c r="O134"/>
      <c r="P134"/>
    </row>
    <row r="135" spans="1:16" s="1" customFormat="1" ht="26" customHeight="1" x14ac:dyDescent="0.2">
      <c r="A135" s="1563" t="s">
        <v>25</v>
      </c>
      <c r="B135" s="1643" t="s">
        <v>329</v>
      </c>
      <c r="C135" s="1568" t="s">
        <v>119</v>
      </c>
      <c r="D135" s="1642" t="s">
        <v>322</v>
      </c>
      <c r="E135" s="57" t="s">
        <v>22</v>
      </c>
      <c r="F135" s="216" t="e">
        <f>F134/$I$134*100</f>
        <v>#DIV/0!</v>
      </c>
      <c r="G135" s="216" t="e">
        <f>G134/$I$134*100</f>
        <v>#DIV/0!</v>
      </c>
      <c r="H135" s="216" t="e">
        <f>H134/$I$134*100</f>
        <v>#DIV/0!</v>
      </c>
      <c r="I135" s="214"/>
      <c r="J135" s="214" t="e">
        <f t="shared" si="16"/>
        <v>#DIV/0!</v>
      </c>
      <c r="K135" s="1014"/>
      <c r="L135"/>
      <c r="M135"/>
      <c r="N135"/>
      <c r="O135"/>
      <c r="P135"/>
    </row>
    <row r="136" spans="1:16" s="1" customFormat="1" ht="26" customHeight="1" x14ac:dyDescent="0.2">
      <c r="A136" s="1563" t="s">
        <v>25</v>
      </c>
      <c r="B136" s="1643" t="s">
        <v>329</v>
      </c>
      <c r="C136" s="1568" t="s">
        <v>119</v>
      </c>
      <c r="D136" s="1640" t="s">
        <v>541</v>
      </c>
      <c r="E136" s="57" t="s">
        <v>21</v>
      </c>
      <c r="F136" s="831"/>
      <c r="G136" s="214"/>
      <c r="H136" s="831"/>
      <c r="I136" s="831">
        <f t="shared" si="17"/>
        <v>0</v>
      </c>
      <c r="J136" s="214" t="e">
        <f t="shared" si="16"/>
        <v>#DIV/0!</v>
      </c>
      <c r="K136" s="1014"/>
      <c r="L136"/>
      <c r="M136"/>
      <c r="N136"/>
      <c r="O136"/>
      <c r="P136"/>
    </row>
    <row r="137" spans="1:16" s="1" customFormat="1" ht="26" customHeight="1" x14ac:dyDescent="0.2">
      <c r="A137" s="1563" t="s">
        <v>25</v>
      </c>
      <c r="B137" s="1644" t="s">
        <v>329</v>
      </c>
      <c r="C137" s="1584" t="s">
        <v>119</v>
      </c>
      <c r="D137" s="1642" t="s">
        <v>541</v>
      </c>
      <c r="E137" s="57" t="s">
        <v>22</v>
      </c>
      <c r="F137" s="216" t="e">
        <f>F136/$I$120*100</f>
        <v>#DIV/0!</v>
      </c>
      <c r="G137" s="216" t="e">
        <f>G136/$I$120*100</f>
        <v>#DIV/0!</v>
      </c>
      <c r="H137" s="216" t="e">
        <f>H136/$I$120*100</f>
        <v>#DIV/0!</v>
      </c>
      <c r="I137" s="214" t="e">
        <f t="shared" si="17"/>
        <v>#DIV/0!</v>
      </c>
      <c r="J137" s="214" t="e">
        <f t="shared" si="16"/>
        <v>#DIV/0!</v>
      </c>
      <c r="K137" s="1014"/>
      <c r="L137"/>
      <c r="M137"/>
      <c r="N137"/>
      <c r="O137"/>
      <c r="P137"/>
    </row>
    <row r="138" spans="1:16" s="1" customFormat="1" ht="26" customHeight="1" x14ac:dyDescent="0.2">
      <c r="A138" s="1687" t="s">
        <v>25</v>
      </c>
      <c r="B138" s="3258" t="s">
        <v>103</v>
      </c>
      <c r="C138" s="3235"/>
      <c r="D138" s="3236"/>
      <c r="E138" s="414" t="s">
        <v>21</v>
      </c>
      <c r="F138" s="832">
        <f>F124+F126+F128+F130+F132+F134+F136</f>
        <v>0</v>
      </c>
      <c r="G138" s="832">
        <f>G124+G126+G128+G130+G132+G134+G136</f>
        <v>0</v>
      </c>
      <c r="H138" s="832">
        <f>H124+H126+H128+H130+H132+H134+H136</f>
        <v>0</v>
      </c>
      <c r="I138" s="832">
        <f>SUM(F138:H138)</f>
        <v>0</v>
      </c>
      <c r="J138" s="1684"/>
      <c r="K138" s="1668"/>
      <c r="L138"/>
      <c r="M138"/>
      <c r="N138"/>
      <c r="O138"/>
      <c r="P138"/>
    </row>
    <row r="139" spans="1:16" s="1" customFormat="1" ht="30" customHeight="1" x14ac:dyDescent="0.2">
      <c r="A139" s="1687" t="s">
        <v>25</v>
      </c>
      <c r="B139" s="3258"/>
      <c r="C139" s="3238"/>
      <c r="D139" s="3239"/>
      <c r="E139" s="414" t="s">
        <v>22</v>
      </c>
      <c r="F139" s="417" t="e">
        <f>F138/$I$138*100</f>
        <v>#DIV/0!</v>
      </c>
      <c r="G139" s="417" t="e">
        <f>G138/$I$138*100</f>
        <v>#DIV/0!</v>
      </c>
      <c r="H139" s="417" t="e">
        <f>H138/$I$138*100</f>
        <v>#DIV/0!</v>
      </c>
      <c r="I139" s="415"/>
      <c r="J139" s="1684"/>
      <c r="K139" s="1685"/>
      <c r="L139"/>
      <c r="M139"/>
      <c r="N139"/>
      <c r="O139"/>
      <c r="P139"/>
    </row>
    <row r="140" spans="1:16" s="1" customFormat="1" ht="34" customHeight="1" x14ac:dyDescent="0.2">
      <c r="A140" s="1563" t="s">
        <v>25</v>
      </c>
      <c r="B140" s="1654" t="s">
        <v>329</v>
      </c>
      <c r="C140" s="1593" t="s">
        <v>122</v>
      </c>
      <c r="D140" s="1640" t="s">
        <v>109</v>
      </c>
      <c r="E140" s="57" t="s">
        <v>21</v>
      </c>
      <c r="F140" s="834"/>
      <c r="G140" s="738"/>
      <c r="H140" s="834"/>
      <c r="I140" s="831">
        <f>SUM(F140:H140)</f>
        <v>0</v>
      </c>
      <c r="J140" s="214" t="e">
        <f t="shared" ref="J140:J153" si="18">(I140/$I$122*100)</f>
        <v>#DIV/0!</v>
      </c>
      <c r="K140" s="1014" t="s">
        <v>772</v>
      </c>
      <c r="L140"/>
      <c r="M140"/>
      <c r="N140"/>
      <c r="O140"/>
      <c r="P140"/>
    </row>
    <row r="141" spans="1:16" s="1" customFormat="1" ht="34" customHeight="1" x14ac:dyDescent="0.2">
      <c r="A141" s="1563" t="s">
        <v>25</v>
      </c>
      <c r="B141" s="1643" t="s">
        <v>329</v>
      </c>
      <c r="C141" s="1568" t="s">
        <v>122</v>
      </c>
      <c r="D141" s="1642" t="s">
        <v>109</v>
      </c>
      <c r="E141" s="57" t="s">
        <v>22</v>
      </c>
      <c r="F141" s="739" t="e">
        <f>F140/$I$140*100</f>
        <v>#DIV/0!</v>
      </c>
      <c r="G141" s="739"/>
      <c r="H141" s="739" t="e">
        <f>H140/$I$140*100</f>
        <v>#DIV/0!</v>
      </c>
      <c r="I141" s="216"/>
      <c r="J141" s="214" t="e">
        <f t="shared" si="18"/>
        <v>#DIV/0!</v>
      </c>
      <c r="K141" s="1014"/>
      <c r="L141"/>
      <c r="M141"/>
      <c r="N141"/>
      <c r="O141"/>
      <c r="P141"/>
    </row>
    <row r="142" spans="1:16" s="1" customFormat="1" ht="34" customHeight="1" x14ac:dyDescent="0.2">
      <c r="A142" s="1563" t="s">
        <v>25</v>
      </c>
      <c r="B142" s="1643" t="s">
        <v>329</v>
      </c>
      <c r="C142" s="1568" t="s">
        <v>122</v>
      </c>
      <c r="D142" s="1640" t="s">
        <v>117</v>
      </c>
      <c r="E142" s="57" t="s">
        <v>21</v>
      </c>
      <c r="F142" s="831"/>
      <c r="G142" s="214"/>
      <c r="H142" s="831"/>
      <c r="I142" s="831">
        <f>SUM(F142:H142)</f>
        <v>0</v>
      </c>
      <c r="J142" s="214" t="e">
        <f t="shared" si="18"/>
        <v>#DIV/0!</v>
      </c>
      <c r="K142" s="1014"/>
      <c r="L142"/>
      <c r="M142"/>
      <c r="N142"/>
      <c r="O142"/>
      <c r="P142"/>
    </row>
    <row r="143" spans="1:16" s="1" customFormat="1" ht="34" customHeight="1" x14ac:dyDescent="0.2">
      <c r="A143" s="1563" t="s">
        <v>25</v>
      </c>
      <c r="B143" s="1643" t="s">
        <v>329</v>
      </c>
      <c r="C143" s="1568" t="s">
        <v>122</v>
      </c>
      <c r="D143" s="1642" t="s">
        <v>117</v>
      </c>
      <c r="E143" s="57" t="s">
        <v>22</v>
      </c>
      <c r="F143" s="216" t="e">
        <f>F142/$I$142*100</f>
        <v>#DIV/0!</v>
      </c>
      <c r="G143" s="216" t="e">
        <f>G142/$I$142*100</f>
        <v>#DIV/0!</v>
      </c>
      <c r="H143" s="216" t="e">
        <f>H142/$I$142*100</f>
        <v>#DIV/0!</v>
      </c>
      <c r="I143" s="216"/>
      <c r="J143" s="214" t="e">
        <f t="shared" si="18"/>
        <v>#DIV/0!</v>
      </c>
      <c r="K143" s="1014"/>
      <c r="L143"/>
      <c r="M143"/>
      <c r="N143"/>
      <c r="O143"/>
      <c r="P143"/>
    </row>
    <row r="144" spans="1:16" s="1" customFormat="1" ht="34" customHeight="1" x14ac:dyDescent="0.2">
      <c r="A144" s="1563" t="s">
        <v>25</v>
      </c>
      <c r="B144" s="1643" t="s">
        <v>329</v>
      </c>
      <c r="C144" s="1568" t="s">
        <v>122</v>
      </c>
      <c r="D144" s="1640" t="s">
        <v>125</v>
      </c>
      <c r="E144" s="57" t="s">
        <v>21</v>
      </c>
      <c r="F144" s="831"/>
      <c r="G144" s="214"/>
      <c r="H144" s="831"/>
      <c r="I144" s="831">
        <f>SUM(F144:H144)</f>
        <v>0</v>
      </c>
      <c r="J144" s="214" t="e">
        <f t="shared" si="18"/>
        <v>#DIV/0!</v>
      </c>
      <c r="K144" s="1014"/>
      <c r="L144"/>
      <c r="M144"/>
      <c r="N144"/>
      <c r="O144"/>
      <c r="P144"/>
    </row>
    <row r="145" spans="1:16" s="1" customFormat="1" ht="34" customHeight="1" x14ac:dyDescent="0.2">
      <c r="A145" s="1563" t="s">
        <v>25</v>
      </c>
      <c r="B145" s="1643" t="s">
        <v>329</v>
      </c>
      <c r="C145" s="1568" t="s">
        <v>122</v>
      </c>
      <c r="D145" s="1642" t="s">
        <v>125</v>
      </c>
      <c r="E145" s="57" t="s">
        <v>22</v>
      </c>
      <c r="F145" s="216" t="e">
        <f>F144/$I$144*100</f>
        <v>#DIV/0!</v>
      </c>
      <c r="G145" s="216" t="e">
        <f>G144/$I$144*100</f>
        <v>#DIV/0!</v>
      </c>
      <c r="H145" s="216" t="e">
        <f>H144/$I$144*100</f>
        <v>#DIV/0!</v>
      </c>
      <c r="I145" s="216"/>
      <c r="J145" s="214" t="e">
        <f t="shared" si="18"/>
        <v>#DIV/0!</v>
      </c>
      <c r="K145" s="1014"/>
      <c r="L145"/>
      <c r="M145"/>
      <c r="N145"/>
      <c r="O145"/>
      <c r="P145"/>
    </row>
    <row r="146" spans="1:16" s="1" customFormat="1" ht="34" customHeight="1" x14ac:dyDescent="0.2">
      <c r="A146" s="1563" t="s">
        <v>25</v>
      </c>
      <c r="B146" s="1585" t="s">
        <v>329</v>
      </c>
      <c r="C146" s="1567" t="s">
        <v>122</v>
      </c>
      <c r="D146" s="1640" t="s">
        <v>129</v>
      </c>
      <c r="E146" s="57" t="s">
        <v>21</v>
      </c>
      <c r="F146" s="831"/>
      <c r="G146" s="214"/>
      <c r="H146" s="831"/>
      <c r="I146" s="831">
        <f>SUM(F146:H146)</f>
        <v>0</v>
      </c>
      <c r="J146" s="214" t="e">
        <f t="shared" si="18"/>
        <v>#DIV/0!</v>
      </c>
      <c r="K146" s="1014" t="s">
        <v>772</v>
      </c>
      <c r="L146"/>
      <c r="M146"/>
      <c r="N146"/>
      <c r="O146"/>
      <c r="P146"/>
    </row>
    <row r="147" spans="1:16" s="1" customFormat="1" ht="30" customHeight="1" x14ac:dyDescent="0.2">
      <c r="A147" s="1563" t="s">
        <v>25</v>
      </c>
      <c r="B147" s="1643" t="s">
        <v>329</v>
      </c>
      <c r="C147" s="1568" t="s">
        <v>122</v>
      </c>
      <c r="D147" s="1642" t="s">
        <v>129</v>
      </c>
      <c r="E147" s="57" t="s">
        <v>22</v>
      </c>
      <c r="F147" s="216" t="e">
        <f>F146/$I$146*100</f>
        <v>#DIV/0!</v>
      </c>
      <c r="G147" s="216" t="e">
        <f>G146/$I$146*100</f>
        <v>#DIV/0!</v>
      </c>
      <c r="H147" s="216" t="e">
        <f>H146/$I$146*100</f>
        <v>#DIV/0!</v>
      </c>
      <c r="I147" s="216"/>
      <c r="J147" s="214" t="e">
        <f t="shared" si="18"/>
        <v>#DIV/0!</v>
      </c>
      <c r="K147" s="1014"/>
      <c r="L147"/>
      <c r="M147"/>
      <c r="N147"/>
      <c r="O147"/>
      <c r="P147"/>
    </row>
    <row r="148" spans="1:16" s="1" customFormat="1" ht="30" customHeight="1" x14ac:dyDescent="0.2">
      <c r="A148" s="1563" t="s">
        <v>25</v>
      </c>
      <c r="B148" s="1643" t="s">
        <v>329</v>
      </c>
      <c r="C148" s="1568" t="s">
        <v>122</v>
      </c>
      <c r="D148" s="1640" t="s">
        <v>146</v>
      </c>
      <c r="E148" s="57" t="s">
        <v>21</v>
      </c>
      <c r="F148" s="831"/>
      <c r="G148" s="214"/>
      <c r="H148" s="831"/>
      <c r="I148" s="831">
        <f>SUM(F148:H148)</f>
        <v>0</v>
      </c>
      <c r="J148" s="214" t="e">
        <f t="shared" si="18"/>
        <v>#DIV/0!</v>
      </c>
      <c r="K148" s="1014"/>
      <c r="L148"/>
      <c r="M148"/>
      <c r="N148"/>
      <c r="O148"/>
      <c r="P148"/>
    </row>
    <row r="149" spans="1:16" s="1" customFormat="1" ht="30" customHeight="1" x14ac:dyDescent="0.2">
      <c r="A149" s="1563" t="s">
        <v>25</v>
      </c>
      <c r="B149" s="1643" t="s">
        <v>329</v>
      </c>
      <c r="C149" s="1568" t="s">
        <v>122</v>
      </c>
      <c r="D149" s="1642" t="s">
        <v>146</v>
      </c>
      <c r="E149" s="57" t="s">
        <v>22</v>
      </c>
      <c r="F149" s="216" t="e">
        <f>F148/$I$148*100</f>
        <v>#DIV/0!</v>
      </c>
      <c r="G149" s="216" t="e">
        <f>G148/$I$148*100</f>
        <v>#DIV/0!</v>
      </c>
      <c r="H149" s="216" t="e">
        <f>H148/$I$148*100</f>
        <v>#DIV/0!</v>
      </c>
      <c r="I149" s="216"/>
      <c r="J149" s="214" t="e">
        <f t="shared" si="18"/>
        <v>#DIV/0!</v>
      </c>
      <c r="K149" s="1014"/>
      <c r="L149"/>
      <c r="M149"/>
      <c r="N149"/>
      <c r="O149"/>
      <c r="P149"/>
    </row>
    <row r="150" spans="1:16" s="1" customFormat="1" ht="30" customHeight="1" x14ac:dyDescent="0.2">
      <c r="A150" s="1563" t="s">
        <v>25</v>
      </c>
      <c r="B150" s="1643" t="s">
        <v>329</v>
      </c>
      <c r="C150" s="1568" t="s">
        <v>122</v>
      </c>
      <c r="D150" s="1640" t="s">
        <v>146</v>
      </c>
      <c r="E150" s="57" t="s">
        <v>21</v>
      </c>
      <c r="F150" s="831"/>
      <c r="G150" s="214"/>
      <c r="H150" s="831"/>
      <c r="I150" s="831">
        <f>SUM(F150:H150)</f>
        <v>0</v>
      </c>
      <c r="J150" s="214" t="e">
        <f t="shared" si="18"/>
        <v>#DIV/0!</v>
      </c>
      <c r="K150" s="1014"/>
      <c r="L150"/>
      <c r="M150"/>
      <c r="N150"/>
      <c r="O150"/>
      <c r="P150"/>
    </row>
    <row r="151" spans="1:16" s="1" customFormat="1" ht="30" customHeight="1" x14ac:dyDescent="0.2">
      <c r="A151" s="1563" t="s">
        <v>25</v>
      </c>
      <c r="B151" s="1643" t="s">
        <v>329</v>
      </c>
      <c r="C151" s="1568" t="s">
        <v>122</v>
      </c>
      <c r="D151" s="1642" t="s">
        <v>146</v>
      </c>
      <c r="E151" s="57" t="s">
        <v>22</v>
      </c>
      <c r="F151" s="216" t="e">
        <f>F150/$I$134*100</f>
        <v>#DIV/0!</v>
      </c>
      <c r="G151" s="216" t="e">
        <f>G150/$I$134*100</f>
        <v>#DIV/0!</v>
      </c>
      <c r="H151" s="216" t="e">
        <f>H150/$I$134*100</f>
        <v>#DIV/0!</v>
      </c>
      <c r="I151" s="214"/>
      <c r="J151" s="214" t="e">
        <f t="shared" si="18"/>
        <v>#DIV/0!</v>
      </c>
      <c r="K151" s="1014"/>
      <c r="L151"/>
      <c r="M151"/>
      <c r="N151"/>
      <c r="O151"/>
      <c r="P151"/>
    </row>
    <row r="152" spans="1:16" s="1" customFormat="1" ht="30" customHeight="1" x14ac:dyDescent="0.2">
      <c r="A152" s="1563" t="s">
        <v>25</v>
      </c>
      <c r="B152" s="1643" t="s">
        <v>329</v>
      </c>
      <c r="C152" s="1568" t="s">
        <v>122</v>
      </c>
      <c r="D152" s="1640" t="s">
        <v>541</v>
      </c>
      <c r="E152" s="57" t="s">
        <v>21</v>
      </c>
      <c r="F152" s="831"/>
      <c r="G152" s="214"/>
      <c r="H152" s="831"/>
      <c r="I152" s="831">
        <f>SUM(F152:H152)</f>
        <v>0</v>
      </c>
      <c r="J152" s="214" t="e">
        <f t="shared" si="18"/>
        <v>#DIV/0!</v>
      </c>
      <c r="K152" s="1014"/>
      <c r="L152"/>
      <c r="M152"/>
      <c r="N152"/>
      <c r="O152"/>
      <c r="P152"/>
    </row>
    <row r="153" spans="1:16" s="1" customFormat="1" ht="30" customHeight="1" x14ac:dyDescent="0.2">
      <c r="A153" s="1563" t="s">
        <v>25</v>
      </c>
      <c r="B153" s="1644" t="s">
        <v>329</v>
      </c>
      <c r="C153" s="1584" t="s">
        <v>122</v>
      </c>
      <c r="D153" s="1642" t="s">
        <v>541</v>
      </c>
      <c r="E153" s="57" t="s">
        <v>22</v>
      </c>
      <c r="F153" s="216" t="e">
        <f>F152/$I$120*100</f>
        <v>#DIV/0!</v>
      </c>
      <c r="G153" s="216" t="e">
        <f>G152/$I$120*100</f>
        <v>#DIV/0!</v>
      </c>
      <c r="H153" s="216" t="e">
        <f>H152/$I$120*100</f>
        <v>#DIV/0!</v>
      </c>
      <c r="I153" s="214" t="e">
        <f>SUM(F153:H153)</f>
        <v>#DIV/0!</v>
      </c>
      <c r="J153" s="214" t="e">
        <f t="shared" si="18"/>
        <v>#DIV/0!</v>
      </c>
      <c r="K153" s="1014"/>
      <c r="L153"/>
      <c r="M153"/>
      <c r="N153"/>
      <c r="O153"/>
      <c r="P153"/>
    </row>
    <row r="154" spans="1:16" s="1" customFormat="1" ht="30" customHeight="1" x14ac:dyDescent="0.2">
      <c r="A154" s="1687" t="s">
        <v>25</v>
      </c>
      <c r="B154" s="3258" t="s">
        <v>103</v>
      </c>
      <c r="C154" s="3235"/>
      <c r="D154" s="3236"/>
      <c r="E154" s="414" t="s">
        <v>21</v>
      </c>
      <c r="F154" s="832">
        <f>F140+F142+F144+F146+F148+F150+F152</f>
        <v>0</v>
      </c>
      <c r="G154" s="832">
        <f>G140+G142+G144+G146+G148+G150+G152</f>
        <v>0</v>
      </c>
      <c r="H154" s="832">
        <f>H140+H142+H144+H146+H148+H150+H152</f>
        <v>0</v>
      </c>
      <c r="I154" s="832">
        <f>SUM(F154:H154)</f>
        <v>0</v>
      </c>
      <c r="J154" s="1684"/>
      <c r="K154" s="1668"/>
      <c r="L154"/>
      <c r="M154"/>
      <c r="N154"/>
      <c r="O154"/>
      <c r="P154"/>
    </row>
    <row r="155" spans="1:16" s="1" customFormat="1" ht="30" customHeight="1" x14ac:dyDescent="0.2">
      <c r="A155" s="1687" t="s">
        <v>25</v>
      </c>
      <c r="B155" s="3258"/>
      <c r="C155" s="3238"/>
      <c r="D155" s="3239"/>
      <c r="E155" s="414" t="s">
        <v>22</v>
      </c>
      <c r="F155" s="417" t="e">
        <f>F154/$I$154*100</f>
        <v>#DIV/0!</v>
      </c>
      <c r="G155" s="417" t="e">
        <f>G154/$I$154*100</f>
        <v>#DIV/0!</v>
      </c>
      <c r="H155" s="417" t="e">
        <f>H154/$I$154*100</f>
        <v>#DIV/0!</v>
      </c>
      <c r="I155" s="415"/>
      <c r="J155" s="1684"/>
      <c r="K155" s="1668"/>
      <c r="L155"/>
      <c r="M155"/>
      <c r="N155"/>
      <c r="O155"/>
      <c r="P155"/>
    </row>
    <row r="156" spans="1:16" s="1" customFormat="1" ht="26" customHeight="1" x14ac:dyDescent="0.2">
      <c r="A156" s="1563" t="s">
        <v>25</v>
      </c>
      <c r="B156" s="1654" t="s">
        <v>141</v>
      </c>
      <c r="C156" s="1593" t="s">
        <v>122</v>
      </c>
      <c r="D156" s="1640" t="s">
        <v>109</v>
      </c>
      <c r="E156" s="57" t="s">
        <v>21</v>
      </c>
      <c r="F156" s="834"/>
      <c r="G156" s="738"/>
      <c r="H156" s="834"/>
      <c r="I156" s="831">
        <f>SUM(F156:H156)</f>
        <v>0</v>
      </c>
      <c r="J156" s="214" t="e">
        <f t="shared" ref="J156:J169" si="19">(I156/$I$122*100)</f>
        <v>#DIV/0!</v>
      </c>
      <c r="K156" s="1014" t="s">
        <v>773</v>
      </c>
      <c r="L156"/>
      <c r="M156"/>
      <c r="N156"/>
      <c r="O156"/>
      <c r="P156"/>
    </row>
    <row r="157" spans="1:16" s="1" customFormat="1" ht="26" customHeight="1" x14ac:dyDescent="0.2">
      <c r="A157" s="1563" t="s">
        <v>25</v>
      </c>
      <c r="B157" s="1643" t="s">
        <v>141</v>
      </c>
      <c r="C157" s="1568" t="s">
        <v>122</v>
      </c>
      <c r="D157" s="1642" t="s">
        <v>109</v>
      </c>
      <c r="E157" s="57" t="s">
        <v>22</v>
      </c>
      <c r="F157" s="739" t="e">
        <f>F156/$I$156*100</f>
        <v>#DIV/0!</v>
      </c>
      <c r="G157" s="739"/>
      <c r="H157" s="739" t="e">
        <f>H156/$I$156*100</f>
        <v>#DIV/0!</v>
      </c>
      <c r="I157" s="216"/>
      <c r="J157" s="214" t="e">
        <f t="shared" si="19"/>
        <v>#DIV/0!</v>
      </c>
      <c r="K157" s="1014"/>
      <c r="L157"/>
      <c r="M157"/>
      <c r="N157"/>
      <c r="O157"/>
      <c r="P157"/>
    </row>
    <row r="158" spans="1:16" s="1" customFormat="1" ht="26" customHeight="1" x14ac:dyDescent="0.2">
      <c r="A158" s="1563" t="s">
        <v>25</v>
      </c>
      <c r="B158" s="1643" t="s">
        <v>141</v>
      </c>
      <c r="C158" s="1568" t="s">
        <v>122</v>
      </c>
      <c r="D158" s="1640" t="s">
        <v>117</v>
      </c>
      <c r="E158" s="57" t="s">
        <v>21</v>
      </c>
      <c r="F158" s="831"/>
      <c r="G158" s="214"/>
      <c r="H158" s="831"/>
      <c r="I158" s="831">
        <f>SUM(F158:H158)</f>
        <v>0</v>
      </c>
      <c r="J158" s="214" t="e">
        <f t="shared" si="19"/>
        <v>#DIV/0!</v>
      </c>
      <c r="K158" s="1014"/>
      <c r="L158"/>
      <c r="M158"/>
      <c r="N158"/>
      <c r="O158"/>
      <c r="P158"/>
    </row>
    <row r="159" spans="1:16" s="1" customFormat="1" ht="26" customHeight="1" x14ac:dyDescent="0.2">
      <c r="A159" s="1563" t="s">
        <v>25</v>
      </c>
      <c r="B159" s="1643" t="s">
        <v>141</v>
      </c>
      <c r="C159" s="1568" t="s">
        <v>122</v>
      </c>
      <c r="D159" s="1642" t="s">
        <v>117</v>
      </c>
      <c r="E159" s="57" t="s">
        <v>22</v>
      </c>
      <c r="F159" s="216" t="e">
        <f>F158/$I$158*100</f>
        <v>#DIV/0!</v>
      </c>
      <c r="G159" s="216" t="e">
        <f>G158/$I$158*100</f>
        <v>#DIV/0!</v>
      </c>
      <c r="H159" s="216" t="e">
        <f>H158/$I$158*100</f>
        <v>#DIV/0!</v>
      </c>
      <c r="I159" s="216"/>
      <c r="J159" s="214" t="e">
        <f t="shared" si="19"/>
        <v>#DIV/0!</v>
      </c>
      <c r="K159" s="1014"/>
      <c r="L159"/>
      <c r="M159"/>
      <c r="N159"/>
      <c r="O159"/>
      <c r="P159"/>
    </row>
    <row r="160" spans="1:16" s="1" customFormat="1" ht="26" customHeight="1" x14ac:dyDescent="0.2">
      <c r="A160" s="1563" t="s">
        <v>25</v>
      </c>
      <c r="B160" s="1643" t="s">
        <v>141</v>
      </c>
      <c r="C160" s="1568" t="s">
        <v>122</v>
      </c>
      <c r="D160" s="1640" t="s">
        <v>125</v>
      </c>
      <c r="E160" s="57" t="s">
        <v>21</v>
      </c>
      <c r="F160" s="831"/>
      <c r="G160" s="214"/>
      <c r="H160" s="831"/>
      <c r="I160" s="831">
        <f>SUM(F160:H160)</f>
        <v>0</v>
      </c>
      <c r="J160" s="214" t="e">
        <f t="shared" si="19"/>
        <v>#DIV/0!</v>
      </c>
      <c r="K160" s="1014"/>
      <c r="L160"/>
      <c r="M160"/>
      <c r="N160"/>
      <c r="O160"/>
      <c r="P160"/>
    </row>
    <row r="161" spans="1:16" s="1" customFormat="1" ht="26" customHeight="1" x14ac:dyDescent="0.2">
      <c r="A161" s="1563" t="s">
        <v>25</v>
      </c>
      <c r="B161" s="1643" t="s">
        <v>141</v>
      </c>
      <c r="C161" s="1568" t="s">
        <v>122</v>
      </c>
      <c r="D161" s="1642" t="s">
        <v>125</v>
      </c>
      <c r="E161" s="57" t="s">
        <v>22</v>
      </c>
      <c r="F161" s="216" t="e">
        <f>F160/$I$160*100</f>
        <v>#DIV/0!</v>
      </c>
      <c r="G161" s="216" t="e">
        <f>G160/$I$160*100</f>
        <v>#DIV/0!</v>
      </c>
      <c r="H161" s="216" t="e">
        <f>H160/$I$160*100</f>
        <v>#DIV/0!</v>
      </c>
      <c r="I161" s="216"/>
      <c r="J161" s="214" t="e">
        <f t="shared" si="19"/>
        <v>#DIV/0!</v>
      </c>
      <c r="K161" s="1014"/>
      <c r="L161"/>
      <c r="M161"/>
      <c r="N161"/>
      <c r="O161"/>
      <c r="P161"/>
    </row>
    <row r="162" spans="1:16" s="1" customFormat="1" ht="26" customHeight="1" x14ac:dyDescent="0.2">
      <c r="A162" s="1563" t="s">
        <v>25</v>
      </c>
      <c r="B162" s="1585" t="s">
        <v>141</v>
      </c>
      <c r="C162" s="1567" t="s">
        <v>122</v>
      </c>
      <c r="D162" s="1640" t="s">
        <v>129</v>
      </c>
      <c r="E162" s="57" t="s">
        <v>21</v>
      </c>
      <c r="F162" s="831"/>
      <c r="G162" s="214"/>
      <c r="H162" s="831"/>
      <c r="I162" s="831">
        <f>SUM(F162:H162)</f>
        <v>0</v>
      </c>
      <c r="J162" s="214" t="e">
        <f t="shared" si="19"/>
        <v>#DIV/0!</v>
      </c>
      <c r="K162" s="1014"/>
      <c r="L162"/>
      <c r="M162"/>
      <c r="N162"/>
      <c r="O162"/>
      <c r="P162"/>
    </row>
    <row r="163" spans="1:16" s="1" customFormat="1" ht="26" customHeight="1" x14ac:dyDescent="0.2">
      <c r="A163" s="1563" t="s">
        <v>25</v>
      </c>
      <c r="B163" s="1643" t="s">
        <v>141</v>
      </c>
      <c r="C163" s="1568" t="s">
        <v>122</v>
      </c>
      <c r="D163" s="1642" t="s">
        <v>129</v>
      </c>
      <c r="E163" s="57" t="s">
        <v>22</v>
      </c>
      <c r="F163" s="216" t="e">
        <f>F162/$I$162*100</f>
        <v>#DIV/0!</v>
      </c>
      <c r="G163" s="216" t="e">
        <f>G162/$I$162*100</f>
        <v>#DIV/0!</v>
      </c>
      <c r="H163" s="216" t="e">
        <f>H162/$I$162*100</f>
        <v>#DIV/0!</v>
      </c>
      <c r="I163" s="216"/>
      <c r="J163" s="214" t="e">
        <f t="shared" si="19"/>
        <v>#DIV/0!</v>
      </c>
      <c r="K163" s="1014"/>
      <c r="L163"/>
      <c r="M163"/>
      <c r="N163"/>
      <c r="O163"/>
      <c r="P163"/>
    </row>
    <row r="164" spans="1:16" s="1" customFormat="1" ht="26" customHeight="1" x14ac:dyDescent="0.2">
      <c r="A164" s="1563" t="s">
        <v>25</v>
      </c>
      <c r="B164" s="1643" t="s">
        <v>141</v>
      </c>
      <c r="C164" s="1568" t="s">
        <v>122</v>
      </c>
      <c r="D164" s="1640" t="s">
        <v>129</v>
      </c>
      <c r="E164" s="57" t="s">
        <v>21</v>
      </c>
      <c r="F164" s="831"/>
      <c r="G164" s="214"/>
      <c r="H164" s="831"/>
      <c r="I164" s="831">
        <f>SUM(F164:H164)</f>
        <v>0</v>
      </c>
      <c r="J164" s="214" t="e">
        <f t="shared" si="19"/>
        <v>#DIV/0!</v>
      </c>
      <c r="K164" s="1014"/>
      <c r="L164"/>
      <c r="M164"/>
      <c r="N164"/>
      <c r="O164"/>
      <c r="P164"/>
    </row>
    <row r="165" spans="1:16" s="1" customFormat="1" ht="26" customHeight="1" x14ac:dyDescent="0.2">
      <c r="A165" s="1563" t="s">
        <v>25</v>
      </c>
      <c r="B165" s="1643" t="s">
        <v>141</v>
      </c>
      <c r="C165" s="1568" t="s">
        <v>122</v>
      </c>
      <c r="D165" s="1642" t="s">
        <v>129</v>
      </c>
      <c r="E165" s="57" t="s">
        <v>22</v>
      </c>
      <c r="F165" s="216" t="e">
        <f>F164/$I$164*100</f>
        <v>#DIV/0!</v>
      </c>
      <c r="G165" s="216" t="e">
        <f>G164/$I$164*100</f>
        <v>#DIV/0!</v>
      </c>
      <c r="H165" s="216" t="e">
        <f>H164/$I$164*100</f>
        <v>#DIV/0!</v>
      </c>
      <c r="I165" s="216"/>
      <c r="J165" s="214" t="e">
        <f t="shared" si="19"/>
        <v>#DIV/0!</v>
      </c>
      <c r="K165" s="1014"/>
      <c r="L165"/>
      <c r="M165"/>
      <c r="N165"/>
      <c r="O165"/>
      <c r="P165"/>
    </row>
    <row r="166" spans="1:16" s="1" customFormat="1" ht="26" customHeight="1" x14ac:dyDescent="0.2">
      <c r="A166" s="1563" t="s">
        <v>25</v>
      </c>
      <c r="B166" s="1643" t="s">
        <v>141</v>
      </c>
      <c r="C166" s="1568" t="s">
        <v>122</v>
      </c>
      <c r="D166" s="1640" t="s">
        <v>146</v>
      </c>
      <c r="E166" s="57" t="s">
        <v>21</v>
      </c>
      <c r="F166" s="831"/>
      <c r="G166" s="214"/>
      <c r="H166" s="831"/>
      <c r="I166" s="831">
        <f>SUM(F166:H166)</f>
        <v>0</v>
      </c>
      <c r="J166" s="214" t="e">
        <f t="shared" si="19"/>
        <v>#DIV/0!</v>
      </c>
      <c r="K166" s="1014"/>
      <c r="L166"/>
      <c r="M166"/>
      <c r="N166"/>
      <c r="O166"/>
      <c r="P166"/>
    </row>
    <row r="167" spans="1:16" s="1" customFormat="1" ht="26" customHeight="1" x14ac:dyDescent="0.2">
      <c r="A167" s="1563" t="s">
        <v>25</v>
      </c>
      <c r="B167" s="1643" t="s">
        <v>141</v>
      </c>
      <c r="C167" s="1568" t="s">
        <v>122</v>
      </c>
      <c r="D167" s="1642" t="s">
        <v>146</v>
      </c>
      <c r="E167" s="57" t="s">
        <v>22</v>
      </c>
      <c r="F167" s="216" t="e">
        <f>F166/$I$166*100</f>
        <v>#DIV/0!</v>
      </c>
      <c r="G167" s="216" t="e">
        <f>G166/$I$166*100</f>
        <v>#DIV/0!</v>
      </c>
      <c r="H167" s="216" t="e">
        <f>H166/$I$166*100</f>
        <v>#DIV/0!</v>
      </c>
      <c r="I167" s="214"/>
      <c r="J167" s="214" t="e">
        <f t="shared" si="19"/>
        <v>#DIV/0!</v>
      </c>
      <c r="K167" s="1014"/>
      <c r="L167"/>
      <c r="M167"/>
      <c r="N167"/>
      <c r="O167"/>
      <c r="P167"/>
    </row>
    <row r="168" spans="1:16" s="1" customFormat="1" ht="26" customHeight="1" x14ac:dyDescent="0.2">
      <c r="A168" s="1563" t="s">
        <v>25</v>
      </c>
      <c r="B168" s="1643" t="s">
        <v>141</v>
      </c>
      <c r="C168" s="1568" t="s">
        <v>122</v>
      </c>
      <c r="D168" s="1640" t="s">
        <v>541</v>
      </c>
      <c r="E168" s="57" t="s">
        <v>21</v>
      </c>
      <c r="F168" s="831"/>
      <c r="G168" s="214"/>
      <c r="H168" s="831"/>
      <c r="I168" s="831">
        <f>SUM(F168:H168)</f>
        <v>0</v>
      </c>
      <c r="J168" s="214" t="e">
        <f t="shared" si="19"/>
        <v>#DIV/0!</v>
      </c>
      <c r="K168" s="1014"/>
      <c r="L168"/>
      <c r="M168"/>
      <c r="N168"/>
      <c r="O168"/>
      <c r="P168"/>
    </row>
    <row r="169" spans="1:16" s="1" customFormat="1" ht="26" customHeight="1" x14ac:dyDescent="0.2">
      <c r="A169" s="1563" t="s">
        <v>25</v>
      </c>
      <c r="B169" s="1644" t="s">
        <v>141</v>
      </c>
      <c r="C169" s="1584" t="s">
        <v>122</v>
      </c>
      <c r="D169" s="1642" t="s">
        <v>541</v>
      </c>
      <c r="E169" s="57" t="s">
        <v>22</v>
      </c>
      <c r="F169" s="216" t="e">
        <f>F168/$I$168*100</f>
        <v>#DIV/0!</v>
      </c>
      <c r="G169" s="216" t="e">
        <f>G168/$I$168*100</f>
        <v>#DIV/0!</v>
      </c>
      <c r="H169" s="216" t="e">
        <f>H168/$I$168*100</f>
        <v>#DIV/0!</v>
      </c>
      <c r="I169" s="214" t="e">
        <f>SUM(F169:H169)</f>
        <v>#DIV/0!</v>
      </c>
      <c r="J169" s="214" t="e">
        <f t="shared" si="19"/>
        <v>#DIV/0!</v>
      </c>
      <c r="K169" s="1014"/>
      <c r="L169"/>
      <c r="M169"/>
      <c r="N169"/>
      <c r="O169"/>
      <c r="P169"/>
    </row>
    <row r="170" spans="1:16" s="1" customFormat="1" ht="31" customHeight="1" x14ac:dyDescent="0.2">
      <c r="A170" s="1687" t="s">
        <v>25</v>
      </c>
      <c r="B170" s="3258" t="s">
        <v>103</v>
      </c>
      <c r="C170" s="3235"/>
      <c r="D170" s="3236"/>
      <c r="E170" s="414" t="s">
        <v>21</v>
      </c>
      <c r="F170" s="832">
        <f>F156+F158+F160+F162+F164+F166+F168</f>
        <v>0</v>
      </c>
      <c r="G170" s="832">
        <f>G156+G158+G160+G162+G164+G166+G168</f>
        <v>0</v>
      </c>
      <c r="H170" s="832">
        <f>H156+H158+H160+H162+H164+H166+H168</f>
        <v>0</v>
      </c>
      <c r="I170" s="832">
        <f>SUM(F170:H170)</f>
        <v>0</v>
      </c>
      <c r="J170" s="1684"/>
      <c r="K170" s="1668"/>
      <c r="L170"/>
      <c r="M170"/>
      <c r="N170"/>
      <c r="O170"/>
      <c r="P170"/>
    </row>
    <row r="171" spans="1:16" s="1" customFormat="1" ht="31" customHeight="1" x14ac:dyDescent="0.2">
      <c r="A171" s="1687" t="s">
        <v>25</v>
      </c>
      <c r="B171" s="3258"/>
      <c r="C171" s="3238"/>
      <c r="D171" s="3239"/>
      <c r="E171" s="414" t="s">
        <v>22</v>
      </c>
      <c r="F171" s="417" t="e">
        <f>F170/$I$170*100</f>
        <v>#DIV/0!</v>
      </c>
      <c r="G171" s="417" t="e">
        <f>G170/$I$170*100</f>
        <v>#DIV/0!</v>
      </c>
      <c r="H171" s="417" t="e">
        <f>H170/$I$170*100</f>
        <v>#DIV/0!</v>
      </c>
      <c r="I171" s="415"/>
      <c r="J171" s="1684"/>
      <c r="K171" s="1668"/>
      <c r="L171"/>
      <c r="M171"/>
      <c r="N171"/>
      <c r="O171"/>
      <c r="P171"/>
    </row>
    <row r="172" spans="1:16" s="1" customFormat="1" ht="31" customHeight="1" x14ac:dyDescent="0.2">
      <c r="A172" s="1563" t="s">
        <v>25</v>
      </c>
      <c r="B172" s="1654" t="s">
        <v>140</v>
      </c>
      <c r="C172" s="1593" t="s">
        <v>116</v>
      </c>
      <c r="D172" s="1640" t="s">
        <v>109</v>
      </c>
      <c r="E172" s="57" t="s">
        <v>21</v>
      </c>
      <c r="F172" s="834">
        <v>225704</v>
      </c>
      <c r="G172" s="738">
        <v>0</v>
      </c>
      <c r="H172" s="834">
        <v>13712.96</v>
      </c>
      <c r="I172" s="831">
        <f>SUM(F172:H172)</f>
        <v>239416.95999999999</v>
      </c>
      <c r="J172" s="214">
        <f t="shared" ref="J172:J189" si="20">(I172/$I$188*100)</f>
        <v>55.586735167704958</v>
      </c>
      <c r="K172" s="1014" t="s">
        <v>774</v>
      </c>
      <c r="L172"/>
      <c r="M172"/>
      <c r="N172"/>
      <c r="O172"/>
      <c r="P172"/>
    </row>
    <row r="173" spans="1:16" s="1" customFormat="1" ht="31" customHeight="1" x14ac:dyDescent="0.2">
      <c r="A173" s="1563" t="s">
        <v>25</v>
      </c>
      <c r="B173" s="1643" t="s">
        <v>140</v>
      </c>
      <c r="C173" s="1568" t="s">
        <v>116</v>
      </c>
      <c r="D173" s="1642" t="s">
        <v>109</v>
      </c>
      <c r="E173" s="57" t="s">
        <v>22</v>
      </c>
      <c r="F173" s="739">
        <f>F172/$I$172*100</f>
        <v>94.272352301190367</v>
      </c>
      <c r="G173" s="739"/>
      <c r="H173" s="739">
        <f>H172/$I$172*100</f>
        <v>5.7276476988096414</v>
      </c>
      <c r="I173" s="216"/>
      <c r="J173" s="214">
        <f t="shared" si="20"/>
        <v>0</v>
      </c>
      <c r="K173" s="1014"/>
      <c r="L173"/>
      <c r="M173"/>
      <c r="N173"/>
      <c r="O173"/>
      <c r="P173"/>
    </row>
    <row r="174" spans="1:16" s="1" customFormat="1" ht="31" customHeight="1" x14ac:dyDescent="0.2">
      <c r="A174" s="1563" t="s">
        <v>25</v>
      </c>
      <c r="B174" s="1643" t="s">
        <v>140</v>
      </c>
      <c r="C174" s="1568" t="s">
        <v>116</v>
      </c>
      <c r="D174" s="1640" t="s">
        <v>541</v>
      </c>
      <c r="E174" s="57" t="s">
        <v>21</v>
      </c>
      <c r="F174" s="831">
        <v>42028.800000000003</v>
      </c>
      <c r="G174" s="214">
        <v>0</v>
      </c>
      <c r="H174" s="831">
        <v>3176.32</v>
      </c>
      <c r="I174" s="831">
        <f>SUM(F174:H174)</f>
        <v>45205.120000000003</v>
      </c>
      <c r="J174" s="214">
        <f t="shared" si="20"/>
        <v>10.495518085537144</v>
      </c>
      <c r="K174" s="1014"/>
      <c r="L174"/>
      <c r="M174"/>
      <c r="N174"/>
      <c r="O174"/>
      <c r="P174"/>
    </row>
    <row r="175" spans="1:16" s="1" customFormat="1" ht="31" customHeight="1" x14ac:dyDescent="0.2">
      <c r="A175" s="1563" t="s">
        <v>25</v>
      </c>
      <c r="B175" s="1643" t="s">
        <v>140</v>
      </c>
      <c r="C175" s="1568" t="s">
        <v>116</v>
      </c>
      <c r="D175" s="1642" t="s">
        <v>541</v>
      </c>
      <c r="E175" s="57" t="s">
        <v>22</v>
      </c>
      <c r="F175" s="216">
        <f>F174/$I$174*100</f>
        <v>92.973539280506273</v>
      </c>
      <c r="G175" s="216">
        <f>G174/$I$174*100</f>
        <v>0</v>
      </c>
      <c r="H175" s="216">
        <f>H174/$I$174*100</f>
        <v>7.0264607194937216</v>
      </c>
      <c r="I175" s="216"/>
      <c r="J175" s="214">
        <f t="shared" si="20"/>
        <v>0</v>
      </c>
      <c r="K175" s="1014"/>
      <c r="L175"/>
      <c r="M175"/>
      <c r="N175"/>
      <c r="O175"/>
      <c r="P175"/>
    </row>
    <row r="176" spans="1:16" s="1" customFormat="1" ht="35" customHeight="1" x14ac:dyDescent="0.2">
      <c r="A176" s="1563" t="s">
        <v>25</v>
      </c>
      <c r="B176" s="1643" t="s">
        <v>140</v>
      </c>
      <c r="C176" s="1568" t="s">
        <v>116</v>
      </c>
      <c r="D176" s="1640" t="s">
        <v>146</v>
      </c>
      <c r="E176" s="57" t="s">
        <v>21</v>
      </c>
      <c r="F176" s="831">
        <v>24852.799999999999</v>
      </c>
      <c r="G176" s="214">
        <v>0</v>
      </c>
      <c r="H176" s="831">
        <v>1003.84</v>
      </c>
      <c r="I176" s="831">
        <f>SUM(F176:H176)</f>
        <v>25856.639999999999</v>
      </c>
      <c r="J176" s="214">
        <f t="shared" si="20"/>
        <v>6.0032764596404817</v>
      </c>
      <c r="K176" s="1014" t="s">
        <v>774</v>
      </c>
      <c r="L176"/>
      <c r="M176"/>
      <c r="N176"/>
      <c r="O176"/>
      <c r="P176"/>
    </row>
    <row r="177" spans="1:16" s="1" customFormat="1" ht="35" customHeight="1" x14ac:dyDescent="0.2">
      <c r="A177" s="1563" t="s">
        <v>25</v>
      </c>
      <c r="B177" s="1643" t="s">
        <v>140</v>
      </c>
      <c r="C177" s="1568" t="s">
        <v>116</v>
      </c>
      <c r="D177" s="1642" t="s">
        <v>146</v>
      </c>
      <c r="E177" s="57" t="s">
        <v>22</v>
      </c>
      <c r="F177" s="216">
        <f>F176/$I$176*100</f>
        <v>96.117670354694184</v>
      </c>
      <c r="G177" s="216">
        <f>G176/$I$176*100</f>
        <v>0</v>
      </c>
      <c r="H177" s="216">
        <f>H176/$I$176*100</f>
        <v>3.88232964530581</v>
      </c>
      <c r="I177" s="216"/>
      <c r="J177" s="214">
        <f t="shared" si="20"/>
        <v>0</v>
      </c>
      <c r="K177" s="1014"/>
      <c r="L177"/>
      <c r="M177"/>
      <c r="N177"/>
      <c r="O177"/>
      <c r="P177"/>
    </row>
    <row r="178" spans="1:16" s="1" customFormat="1" ht="35" customHeight="1" x14ac:dyDescent="0.2">
      <c r="A178" s="1563" t="s">
        <v>25</v>
      </c>
      <c r="B178" s="1585" t="s">
        <v>140</v>
      </c>
      <c r="C178" s="1567" t="s">
        <v>116</v>
      </c>
      <c r="D178" s="1640" t="s">
        <v>125</v>
      </c>
      <c r="E178" s="57" t="s">
        <v>21</v>
      </c>
      <c r="F178" s="831">
        <v>44955.199999999997</v>
      </c>
      <c r="G178" s="214"/>
      <c r="H178" s="831">
        <v>2107.52</v>
      </c>
      <c r="I178" s="831">
        <f>SUM(F178:H178)</f>
        <v>47062.719999999994</v>
      </c>
      <c r="J178" s="214">
        <f t="shared" si="20"/>
        <v>10.926807160661681</v>
      </c>
      <c r="K178" s="1014"/>
      <c r="L178"/>
      <c r="M178"/>
      <c r="N178"/>
      <c r="O178"/>
      <c r="P178"/>
    </row>
    <row r="179" spans="1:16" s="1" customFormat="1" ht="35" customHeight="1" x14ac:dyDescent="0.2">
      <c r="A179" s="1563" t="s">
        <v>25</v>
      </c>
      <c r="B179" s="1643" t="s">
        <v>140</v>
      </c>
      <c r="C179" s="1568" t="s">
        <v>116</v>
      </c>
      <c r="D179" s="1642" t="s">
        <v>125</v>
      </c>
      <c r="E179" s="57" t="s">
        <v>22</v>
      </c>
      <c r="F179" s="216">
        <f>F178/$I$178*100</f>
        <v>95.521890787442814</v>
      </c>
      <c r="G179" s="216">
        <f>G178/$I$178*100</f>
        <v>0</v>
      </c>
      <c r="H179" s="216">
        <f>H178/$I$178*100</f>
        <v>4.4781092125572002</v>
      </c>
      <c r="I179" s="216"/>
      <c r="J179" s="214">
        <f t="shared" si="20"/>
        <v>0</v>
      </c>
      <c r="K179" s="1014"/>
      <c r="L179"/>
      <c r="M179"/>
      <c r="N179"/>
      <c r="O179"/>
      <c r="P179"/>
    </row>
    <row r="180" spans="1:16" s="1" customFormat="1" ht="35" customHeight="1" x14ac:dyDescent="0.2">
      <c r="A180" s="1563" t="s">
        <v>25</v>
      </c>
      <c r="B180" s="1643" t="s">
        <v>140</v>
      </c>
      <c r="C180" s="1568" t="s">
        <v>116</v>
      </c>
      <c r="D180" s="1640" t="s">
        <v>117</v>
      </c>
      <c r="E180" s="57" t="s">
        <v>21</v>
      </c>
      <c r="F180" s="831">
        <v>13985.6</v>
      </c>
      <c r="G180" s="214"/>
      <c r="H180" s="831">
        <v>545.28</v>
      </c>
      <c r="I180" s="831">
        <f>SUM(F180:H180)</f>
        <v>14530.880000000001</v>
      </c>
      <c r="J180" s="214">
        <f t="shared" si="20"/>
        <v>3.3737132837778105</v>
      </c>
      <c r="K180" s="1014"/>
      <c r="L180"/>
      <c r="M180"/>
      <c r="N180"/>
      <c r="O180"/>
      <c r="P180"/>
    </row>
    <row r="181" spans="1:16" s="1" customFormat="1" ht="35" customHeight="1" x14ac:dyDescent="0.2">
      <c r="A181" s="1563" t="s">
        <v>25</v>
      </c>
      <c r="B181" s="1643" t="s">
        <v>140</v>
      </c>
      <c r="C181" s="1568" t="s">
        <v>116</v>
      </c>
      <c r="D181" s="1642" t="s">
        <v>117</v>
      </c>
      <c r="E181" s="57" t="s">
        <v>22</v>
      </c>
      <c r="F181" s="216">
        <f>F180/$I$180*100</f>
        <v>96.247439934814679</v>
      </c>
      <c r="G181" s="216">
        <f>G180/$I$180*100</f>
        <v>0</v>
      </c>
      <c r="H181" s="216">
        <f>H180/$I$180*100</f>
        <v>3.7525600651853153</v>
      </c>
      <c r="I181" s="216"/>
      <c r="J181" s="214">
        <f t="shared" si="20"/>
        <v>0</v>
      </c>
      <c r="K181" s="1014"/>
      <c r="L181"/>
      <c r="M181"/>
      <c r="N181"/>
      <c r="O181"/>
      <c r="P181"/>
    </row>
    <row r="182" spans="1:16" s="1" customFormat="1" ht="35" customHeight="1" x14ac:dyDescent="0.2">
      <c r="A182" s="1563" t="s">
        <v>25</v>
      </c>
      <c r="B182" s="1643" t="s">
        <v>140</v>
      </c>
      <c r="C182" s="1568" t="s">
        <v>116</v>
      </c>
      <c r="D182" s="1640" t="s">
        <v>112</v>
      </c>
      <c r="E182" s="57" t="s">
        <v>21</v>
      </c>
      <c r="F182" s="831">
        <v>17960</v>
      </c>
      <c r="G182" s="214"/>
      <c r="H182" s="831">
        <v>633.6</v>
      </c>
      <c r="I182" s="831">
        <f>SUM(F182:H182)</f>
        <v>18593.599999999999</v>
      </c>
      <c r="J182" s="214">
        <f t="shared" si="20"/>
        <v>4.3169770387788695</v>
      </c>
      <c r="K182" s="1014"/>
      <c r="L182"/>
      <c r="M182"/>
      <c r="N182"/>
      <c r="O182"/>
      <c r="P182"/>
    </row>
    <row r="183" spans="1:16" s="1" customFormat="1" ht="35" customHeight="1" x14ac:dyDescent="0.2">
      <c r="A183" s="1563" t="s">
        <v>25</v>
      </c>
      <c r="B183" s="1643" t="s">
        <v>140</v>
      </c>
      <c r="C183" s="1568" t="s">
        <v>116</v>
      </c>
      <c r="D183" s="1642" t="s">
        <v>112</v>
      </c>
      <c r="E183" s="57" t="s">
        <v>22</v>
      </c>
      <c r="F183" s="216">
        <f>F182/$I$182*100</f>
        <v>96.592375871267549</v>
      </c>
      <c r="G183" s="216">
        <f>G182/$I$182*100</f>
        <v>0</v>
      </c>
      <c r="H183" s="216">
        <f>H182/$I$182*100</f>
        <v>3.407624128732468</v>
      </c>
      <c r="I183" s="214"/>
      <c r="J183" s="214">
        <f t="shared" si="20"/>
        <v>0</v>
      </c>
      <c r="K183" s="1014"/>
      <c r="L183"/>
      <c r="M183"/>
      <c r="N183"/>
      <c r="O183"/>
      <c r="P183"/>
    </row>
    <row r="184" spans="1:16" s="1" customFormat="1" ht="35" customHeight="1" x14ac:dyDescent="0.2">
      <c r="A184" s="1563" t="s">
        <v>25</v>
      </c>
      <c r="B184" s="1643" t="s">
        <v>140</v>
      </c>
      <c r="C184" s="1568" t="s">
        <v>116</v>
      </c>
      <c r="D184" s="1640" t="s">
        <v>129</v>
      </c>
      <c r="E184" s="57" t="s">
        <v>21</v>
      </c>
      <c r="F184" s="831">
        <v>15900.8</v>
      </c>
      <c r="G184" s="214"/>
      <c r="H184" s="831">
        <v>635.20000000000005</v>
      </c>
      <c r="I184" s="831">
        <f>SUM(F184:H184)</f>
        <v>16536</v>
      </c>
      <c r="J184" s="214">
        <f t="shared" si="20"/>
        <v>3.8392528780466071</v>
      </c>
      <c r="K184" s="1014"/>
      <c r="L184"/>
      <c r="M184"/>
      <c r="N184"/>
      <c r="O184"/>
      <c r="P184"/>
    </row>
    <row r="185" spans="1:16" s="1" customFormat="1" ht="35" customHeight="1" x14ac:dyDescent="0.2">
      <c r="A185" s="1563" t="s">
        <v>25</v>
      </c>
      <c r="B185" s="1643" t="s">
        <v>140</v>
      </c>
      <c r="C185" s="1568" t="s">
        <v>116</v>
      </c>
      <c r="D185" s="1642" t="s">
        <v>129</v>
      </c>
      <c r="E185" s="57" t="s">
        <v>22</v>
      </c>
      <c r="F185" s="216">
        <f>F184/$I$184*100</f>
        <v>96.158684083212378</v>
      </c>
      <c r="G185" s="216">
        <f>G184/$I$184*100</f>
        <v>0</v>
      </c>
      <c r="H185" s="216">
        <f>H184/$I$184*100</f>
        <v>3.8413159167876154</v>
      </c>
      <c r="I185" s="214"/>
      <c r="J185" s="214">
        <f t="shared" si="20"/>
        <v>0</v>
      </c>
      <c r="K185" s="1014"/>
      <c r="L185"/>
      <c r="M185"/>
      <c r="N185"/>
      <c r="O185"/>
      <c r="P185"/>
    </row>
    <row r="186" spans="1:16" s="1" customFormat="1" ht="35" customHeight="1" x14ac:dyDescent="0.2">
      <c r="A186" s="1563" t="s">
        <v>25</v>
      </c>
      <c r="B186" s="1643" t="s">
        <v>140</v>
      </c>
      <c r="C186" s="1568" t="s">
        <v>116</v>
      </c>
      <c r="D186" s="1640" t="s">
        <v>637</v>
      </c>
      <c r="E186" s="57" t="s">
        <v>21</v>
      </c>
      <c r="F186" s="831">
        <v>22092.799999999999</v>
      </c>
      <c r="G186" s="214"/>
      <c r="H186" s="831">
        <v>1414.08</v>
      </c>
      <c r="I186" s="831">
        <f>SUM(F186:H186)</f>
        <v>23506.879999999997</v>
      </c>
      <c r="J186" s="214">
        <f t="shared" si="20"/>
        <v>5.4577199258524551</v>
      </c>
      <c r="K186" s="1014"/>
      <c r="L186"/>
      <c r="M186"/>
      <c r="N186"/>
      <c r="O186"/>
      <c r="P186"/>
    </row>
    <row r="187" spans="1:16" s="1" customFormat="1" ht="35" customHeight="1" x14ac:dyDescent="0.2">
      <c r="A187" s="1563" t="s">
        <v>25</v>
      </c>
      <c r="B187" s="1644" t="s">
        <v>140</v>
      </c>
      <c r="C187" s="1584" t="s">
        <v>116</v>
      </c>
      <c r="D187" s="1642" t="s">
        <v>637</v>
      </c>
      <c r="E187" s="57" t="s">
        <v>22</v>
      </c>
      <c r="F187" s="216">
        <f>F186/$I$186*100</f>
        <v>93.984399460923782</v>
      </c>
      <c r="G187" s="216">
        <f>G186/$I$186*100</f>
        <v>0</v>
      </c>
      <c r="H187" s="216">
        <f>H186/$I$186*100</f>
        <v>6.0156005390762202</v>
      </c>
      <c r="I187" s="214"/>
      <c r="J187" s="214">
        <f t="shared" si="20"/>
        <v>0</v>
      </c>
      <c r="K187" s="1014"/>
      <c r="L187"/>
      <c r="M187"/>
      <c r="N187"/>
      <c r="O187"/>
      <c r="P187"/>
    </row>
    <row r="188" spans="1:16" s="1" customFormat="1" ht="35" customHeight="1" x14ac:dyDescent="0.2">
      <c r="A188" s="1687" t="s">
        <v>25</v>
      </c>
      <c r="B188" s="3258" t="s">
        <v>103</v>
      </c>
      <c r="C188" s="3235"/>
      <c r="D188" s="3236"/>
      <c r="E188" s="971" t="s">
        <v>21</v>
      </c>
      <c r="F188" s="972">
        <f>F172+F174+F176+F178+F180+F182+F184+F186</f>
        <v>407479.99999999994</v>
      </c>
      <c r="G188" s="972">
        <f>G172+G174+G176+G178+G180+G182+G184+G186</f>
        <v>0</v>
      </c>
      <c r="H188" s="972">
        <f>H172+H174+H176+H178+H180+H182+H184+H186</f>
        <v>23228.799999999996</v>
      </c>
      <c r="I188" s="972">
        <f>SUM(F188:H188)</f>
        <v>430708.79999999993</v>
      </c>
      <c r="J188" s="214">
        <f t="shared" si="20"/>
        <v>100</v>
      </c>
      <c r="K188" s="1014"/>
      <c r="L188"/>
      <c r="M188"/>
      <c r="N188"/>
      <c r="O188"/>
      <c r="P188"/>
    </row>
    <row r="189" spans="1:16" s="1" customFormat="1" ht="35" customHeight="1" x14ac:dyDescent="0.2">
      <c r="A189" s="1688" t="s">
        <v>25</v>
      </c>
      <c r="B189" s="3238"/>
      <c r="C189" s="3238"/>
      <c r="D189" s="3239"/>
      <c r="E189" s="971" t="s">
        <v>22</v>
      </c>
      <c r="F189" s="973">
        <f>F188/$I$188*100</f>
        <v>94.60684341717652</v>
      </c>
      <c r="G189" s="973">
        <f>G188/$I$188*100</f>
        <v>0</v>
      </c>
      <c r="H189" s="973">
        <f>H188/$I$188*100</f>
        <v>5.393156582823476</v>
      </c>
      <c r="I189" s="974"/>
      <c r="J189" s="214">
        <f t="shared" si="20"/>
        <v>0</v>
      </c>
      <c r="K189" s="1014"/>
      <c r="L189"/>
      <c r="M189"/>
      <c r="N189"/>
      <c r="O189"/>
      <c r="P189"/>
    </row>
    <row r="190" spans="1:16" customFormat="1" ht="35" customHeight="1" x14ac:dyDescent="0.2"/>
    <row r="191" spans="1:16" s="1" customFormat="1" ht="38" customHeight="1" x14ac:dyDescent="0.2">
      <c r="A191" s="221" t="s">
        <v>39</v>
      </c>
      <c r="B191" s="1548" t="s">
        <v>134</v>
      </c>
      <c r="C191" s="222" t="s">
        <v>6</v>
      </c>
      <c r="D191" s="222" t="s">
        <v>135</v>
      </c>
      <c r="E191" s="222" t="s">
        <v>43</v>
      </c>
      <c r="F191" s="222" t="s">
        <v>10</v>
      </c>
      <c r="G191" s="391" t="s">
        <v>314</v>
      </c>
      <c r="H191" s="1670" t="s">
        <v>47</v>
      </c>
      <c r="L191"/>
      <c r="M191"/>
      <c r="N191"/>
      <c r="O191"/>
      <c r="P191"/>
    </row>
    <row r="192" spans="1:16" s="1" customFormat="1" ht="38" hidden="1" customHeight="1" x14ac:dyDescent="0.2">
      <c r="A192" s="1519">
        <v>1</v>
      </c>
      <c r="B192" s="1014" t="s">
        <v>323</v>
      </c>
      <c r="C192" s="214" t="s">
        <v>327</v>
      </c>
      <c r="D192" s="224" t="s">
        <v>583</v>
      </c>
      <c r="E192" s="830">
        <f>I122</f>
        <v>0</v>
      </c>
      <c r="F192" s="224" t="e">
        <f>E192/$K$17</f>
        <v>#DIV/0!</v>
      </c>
      <c r="G192" s="214">
        <f>E192/$E$197*100</f>
        <v>0</v>
      </c>
      <c r="H192" s="214"/>
      <c r="L192"/>
      <c r="M192"/>
      <c r="N192"/>
      <c r="O192"/>
      <c r="P192"/>
    </row>
    <row r="193" spans="1:16" s="1" customFormat="1" ht="38" hidden="1" customHeight="1" x14ac:dyDescent="0.2">
      <c r="A193" s="1519"/>
      <c r="B193" s="1014"/>
      <c r="C193" s="214"/>
      <c r="D193" s="224" t="s">
        <v>727</v>
      </c>
      <c r="E193" s="830">
        <f>I138</f>
        <v>0</v>
      </c>
      <c r="F193" s="224" t="e">
        <f>E193/$K$17</f>
        <v>#DIV/0!</v>
      </c>
      <c r="G193" s="214">
        <f>E193/$E$197*100</f>
        <v>0</v>
      </c>
      <c r="H193" s="214"/>
      <c r="L193"/>
      <c r="M193"/>
      <c r="N193"/>
      <c r="O193"/>
      <c r="P193"/>
    </row>
    <row r="194" spans="1:16" s="1" customFormat="1" ht="38" hidden="1" customHeight="1" x14ac:dyDescent="0.2">
      <c r="A194" s="1519">
        <v>2</v>
      </c>
      <c r="B194" s="1014" t="s">
        <v>323</v>
      </c>
      <c r="C194" s="214" t="s">
        <v>328</v>
      </c>
      <c r="D194" s="224" t="s">
        <v>727</v>
      </c>
      <c r="E194" s="830">
        <f>I154</f>
        <v>0</v>
      </c>
      <c r="F194" s="224" t="e">
        <f>E194/$K$23</f>
        <v>#DIV/0!</v>
      </c>
      <c r="G194" s="214">
        <f>E194/$E$197*100</f>
        <v>0</v>
      </c>
      <c r="H194" s="214"/>
      <c r="L194"/>
      <c r="M194"/>
      <c r="N194"/>
      <c r="O194"/>
      <c r="P194"/>
    </row>
    <row r="195" spans="1:16" s="1" customFormat="1" ht="38" hidden="1" customHeight="1" x14ac:dyDescent="0.2">
      <c r="A195" s="1519"/>
      <c r="B195" s="1014"/>
      <c r="C195" s="214"/>
      <c r="D195" s="224" t="s">
        <v>728</v>
      </c>
      <c r="E195" s="830">
        <f>I170</f>
        <v>0</v>
      </c>
      <c r="F195" s="224" t="e">
        <f>E195/$K$23</f>
        <v>#DIV/0!</v>
      </c>
      <c r="G195" s="214">
        <f>E195/$E$197*100</f>
        <v>0</v>
      </c>
      <c r="H195" s="214"/>
      <c r="L195"/>
      <c r="M195"/>
      <c r="N195"/>
      <c r="O195"/>
      <c r="P195"/>
    </row>
    <row r="196" spans="1:16" s="1" customFormat="1" ht="38" customHeight="1" x14ac:dyDescent="0.2">
      <c r="A196" s="223">
        <v>1</v>
      </c>
      <c r="B196" s="1014" t="s">
        <v>324</v>
      </c>
      <c r="C196" s="224" t="s">
        <v>325</v>
      </c>
      <c r="D196" s="224" t="s">
        <v>140</v>
      </c>
      <c r="E196" s="830">
        <f>I188</f>
        <v>430708.79999999993</v>
      </c>
      <c r="F196" s="224">
        <f>E196/$K$29</f>
        <v>29.999999999999996</v>
      </c>
      <c r="G196" s="214">
        <f>E196/$E$197*100</f>
        <v>100</v>
      </c>
      <c r="H196" s="214"/>
      <c r="L196"/>
      <c r="M196"/>
      <c r="N196"/>
      <c r="O196"/>
      <c r="P196"/>
    </row>
    <row r="197" spans="1:16" s="1" customFormat="1" ht="38" customHeight="1" x14ac:dyDescent="0.2">
      <c r="A197" s="1674" t="s">
        <v>807</v>
      </c>
      <c r="B197" s="1674"/>
      <c r="C197" s="225" t="s">
        <v>142</v>
      </c>
      <c r="D197" s="225" t="s">
        <v>142</v>
      </c>
      <c r="E197" s="860">
        <f>SUM(E192:E196)</f>
        <v>430708.79999999993</v>
      </c>
      <c r="F197" s="226">
        <f>SUM(F196)</f>
        <v>29.999999999999996</v>
      </c>
      <c r="G197" s="227">
        <f>SUM(G192:G196)</f>
        <v>100</v>
      </c>
      <c r="H197" s="1675"/>
      <c r="L197"/>
      <c r="M197"/>
      <c r="N197"/>
      <c r="O197"/>
      <c r="P197"/>
    </row>
    <row r="198" spans="1:16" s="1" customFormat="1" ht="28" customHeight="1" x14ac:dyDescent="0.2">
      <c r="A198" s="3162" t="s">
        <v>781</v>
      </c>
      <c r="B198" s="3162"/>
      <c r="C198" s="3162"/>
      <c r="D198" s="3162"/>
      <c r="E198" s="3162"/>
      <c r="F198" s="3162"/>
      <c r="G198" s="3162"/>
      <c r="H198" s="3162"/>
      <c r="I198" s="3162"/>
      <c r="J198" s="3162"/>
      <c r="K198" s="3162"/>
      <c r="L198" s="3162"/>
      <c r="M198" s="3162"/>
      <c r="N198" s="3162"/>
    </row>
    <row r="199" spans="1:16" s="1" customFormat="1" ht="27" customHeight="1" x14ac:dyDescent="0.2">
      <c r="A199" s="3162" t="s">
        <v>147</v>
      </c>
      <c r="B199" s="3162"/>
      <c r="C199" s="3162"/>
      <c r="D199" s="3162"/>
      <c r="E199" s="3162"/>
      <c r="F199" s="3162"/>
      <c r="G199" s="3162"/>
      <c r="H199" s="3162"/>
      <c r="I199" s="3162"/>
      <c r="J199" s="3162"/>
      <c r="K199" s="3162"/>
      <c r="L199" s="3162"/>
      <c r="M199" s="3162"/>
      <c r="N199" s="3162"/>
    </row>
    <row r="200" spans="1:16" s="1" customFormat="1" ht="41" customHeight="1" x14ac:dyDescent="0.2">
      <c r="A200" s="238" t="s">
        <v>39</v>
      </c>
      <c r="B200" s="1724" t="s">
        <v>34</v>
      </c>
      <c r="C200" s="241" t="s">
        <v>6</v>
      </c>
      <c r="D200" s="1712" t="s">
        <v>148</v>
      </c>
      <c r="E200" s="1689"/>
      <c r="F200" s="239" t="s">
        <v>17</v>
      </c>
      <c r="G200" s="240" t="s">
        <v>149</v>
      </c>
      <c r="H200" s="240" t="s">
        <v>150</v>
      </c>
      <c r="I200" s="241" t="s">
        <v>151</v>
      </c>
      <c r="J200" s="392" t="s">
        <v>1029</v>
      </c>
      <c r="K200" s="242" t="s">
        <v>1030</v>
      </c>
      <c r="L200" s="3051" t="s">
        <v>47</v>
      </c>
      <c r="M200" s="3052"/>
      <c r="N200" s="3052"/>
      <c r="O200" s="3052"/>
      <c r="P200" s="3053"/>
    </row>
    <row r="201" spans="1:16" s="1" customFormat="1" ht="26" customHeight="1" x14ac:dyDescent="0.15">
      <c r="A201" s="1530">
        <v>1</v>
      </c>
      <c r="B201" s="1593" t="s">
        <v>5</v>
      </c>
      <c r="C201" s="1593" t="s">
        <v>115</v>
      </c>
      <c r="D201" s="1061" t="s">
        <v>163</v>
      </c>
      <c r="E201" s="1062"/>
      <c r="F201" s="243" t="s">
        <v>164</v>
      </c>
      <c r="G201" s="1071">
        <v>18.760000000000002</v>
      </c>
      <c r="H201" s="1073">
        <f>I201/O201</f>
        <v>18.442160943461673</v>
      </c>
      <c r="I201" s="425">
        <v>5691183</v>
      </c>
      <c r="J201" s="285">
        <f>-(H201-G201)*O201</f>
        <v>98083.963200000231</v>
      </c>
      <c r="K201" s="866">
        <v>0</v>
      </c>
      <c r="L201" s="3065" t="s">
        <v>165</v>
      </c>
      <c r="M201" s="3066"/>
      <c r="N201" s="3067"/>
      <c r="O201" s="3320">
        <f>F100</f>
        <v>308596.32</v>
      </c>
      <c r="P201" s="3322"/>
    </row>
    <row r="202" spans="1:16" s="1" customFormat="1" ht="26" customHeight="1" x14ac:dyDescent="0.15">
      <c r="A202" s="1530">
        <v>2</v>
      </c>
      <c r="B202" s="1568" t="s">
        <v>5</v>
      </c>
      <c r="C202" s="1568" t="s">
        <v>115</v>
      </c>
      <c r="D202" s="1061" t="s">
        <v>168</v>
      </c>
      <c r="E202" s="1062"/>
      <c r="F202" s="243" t="s">
        <v>164</v>
      </c>
      <c r="G202" s="1072">
        <v>0.48599999999999999</v>
      </c>
      <c r="H202" s="1074">
        <f>I202/O203</f>
        <v>0.48507383367371326</v>
      </c>
      <c r="I202" s="245">
        <v>149692</v>
      </c>
      <c r="J202" s="533">
        <f>-(H202-G202)*O203</f>
        <v>285.81152000000287</v>
      </c>
      <c r="K202" s="720">
        <v>0</v>
      </c>
      <c r="L202" s="2738" t="s">
        <v>167</v>
      </c>
      <c r="M202" s="3386"/>
      <c r="N202" s="2739"/>
      <c r="O202" s="3072">
        <f>F98</f>
        <v>0</v>
      </c>
      <c r="P202" s="3073"/>
    </row>
    <row r="203" spans="1:16" s="1" customFormat="1" ht="26" customHeight="1" x14ac:dyDescent="0.15">
      <c r="A203" s="1531">
        <v>3</v>
      </c>
      <c r="B203" s="1568" t="s">
        <v>5</v>
      </c>
      <c r="C203" s="1568" t="s">
        <v>115</v>
      </c>
      <c r="D203" s="1941" t="s">
        <v>171</v>
      </c>
      <c r="E203" s="1943"/>
      <c r="F203" s="254" t="s">
        <v>169</v>
      </c>
      <c r="G203" s="1114">
        <v>0.38300000000000001</v>
      </c>
      <c r="H203" s="1165" t="s">
        <v>142</v>
      </c>
      <c r="I203" s="257">
        <v>0</v>
      </c>
      <c r="J203" s="1116"/>
      <c r="K203" s="1107">
        <v>0</v>
      </c>
      <c r="L203" s="2738" t="s">
        <v>170</v>
      </c>
      <c r="M203" s="3386"/>
      <c r="N203" s="2739"/>
      <c r="O203" s="3072">
        <f>F97</f>
        <v>308596.32</v>
      </c>
      <c r="P203" s="3073"/>
    </row>
    <row r="204" spans="1:16" s="1" customFormat="1" ht="26" customHeight="1" x14ac:dyDescent="0.15">
      <c r="A204" s="1533">
        <v>4</v>
      </c>
      <c r="B204" s="1568" t="s">
        <v>5</v>
      </c>
      <c r="C204" s="1568" t="s">
        <v>115</v>
      </c>
      <c r="D204" s="1661" t="s">
        <v>166</v>
      </c>
      <c r="E204" s="1944"/>
      <c r="F204" s="51" t="s">
        <v>164</v>
      </c>
      <c r="G204" s="1072">
        <v>0.53800000000000003</v>
      </c>
      <c r="H204" s="1166" t="s">
        <v>142</v>
      </c>
      <c r="I204" s="260">
        <v>0</v>
      </c>
      <c r="J204" s="64"/>
      <c r="K204" s="261"/>
      <c r="L204" s="2738" t="s">
        <v>172</v>
      </c>
      <c r="M204" s="3386"/>
      <c r="N204" s="2739"/>
      <c r="O204" s="3072">
        <f>F99</f>
        <v>0</v>
      </c>
      <c r="P204" s="3073"/>
    </row>
    <row r="205" spans="1:16" s="1" customFormat="1" ht="26" customHeight="1" x14ac:dyDescent="0.15">
      <c r="A205" s="1533">
        <v>5</v>
      </c>
      <c r="B205" s="1568" t="s">
        <v>5</v>
      </c>
      <c r="C205" s="1568" t="s">
        <v>115</v>
      </c>
      <c r="D205" s="1661" t="s">
        <v>175</v>
      </c>
      <c r="E205" s="1944"/>
      <c r="F205" s="51" t="s">
        <v>164</v>
      </c>
      <c r="G205" s="1072">
        <v>0.57199999999999995</v>
      </c>
      <c r="H205" s="1019">
        <f>I205/O203</f>
        <v>0.56994198764262649</v>
      </c>
      <c r="I205" s="260">
        <v>175882</v>
      </c>
      <c r="J205" s="531">
        <f>-(H205-G205)*O203</f>
        <v>635.09503999997526</v>
      </c>
      <c r="K205" s="56">
        <f>--(H205-G205)*N202</f>
        <v>0</v>
      </c>
      <c r="L205" s="2738" t="s">
        <v>174</v>
      </c>
      <c r="M205" s="3386"/>
      <c r="N205" s="2739"/>
      <c r="O205" s="3072">
        <f>O201+M11</f>
        <v>310425.12</v>
      </c>
      <c r="P205" s="3073"/>
    </row>
    <row r="206" spans="1:16" s="1" customFormat="1" ht="26" customHeight="1" x14ac:dyDescent="0.15">
      <c r="A206" s="1533">
        <v>6</v>
      </c>
      <c r="B206" s="1568" t="s">
        <v>5</v>
      </c>
      <c r="C206" s="1568" t="s">
        <v>115</v>
      </c>
      <c r="D206" s="1661" t="s">
        <v>173</v>
      </c>
      <c r="E206" s="1944"/>
      <c r="F206" s="51" t="s">
        <v>164</v>
      </c>
      <c r="G206" s="1072">
        <v>0.624</v>
      </c>
      <c r="H206" s="1166" t="s">
        <v>142</v>
      </c>
      <c r="I206" s="260">
        <v>0</v>
      </c>
      <c r="J206" s="531"/>
      <c r="K206" s="260"/>
      <c r="L206" s="12"/>
      <c r="M206" s="12"/>
      <c r="N206" s="12"/>
      <c r="O206" s="12"/>
      <c r="P206" s="12"/>
    </row>
    <row r="207" spans="1:16" s="1" customFormat="1" ht="26" customHeight="1" x14ac:dyDescent="0.15">
      <c r="A207" s="1533">
        <v>7</v>
      </c>
      <c r="B207" s="1568" t="s">
        <v>5</v>
      </c>
      <c r="C207" s="1568" t="s">
        <v>115</v>
      </c>
      <c r="D207" s="1661" t="s">
        <v>130</v>
      </c>
      <c r="E207" s="1944"/>
      <c r="F207" s="51" t="s">
        <v>164</v>
      </c>
      <c r="G207" s="1072">
        <v>0.434</v>
      </c>
      <c r="H207" s="1166" t="s">
        <v>142</v>
      </c>
      <c r="I207" s="260">
        <v>0</v>
      </c>
      <c r="J207" s="1121"/>
      <c r="K207" s="260"/>
      <c r="L207" s="12"/>
      <c r="M207" s="12"/>
      <c r="N207" s="12"/>
      <c r="O207" s="12"/>
      <c r="P207" s="12"/>
    </row>
    <row r="208" spans="1:16" s="1" customFormat="1" ht="26" customHeight="1" x14ac:dyDescent="0.15">
      <c r="A208" s="1533">
        <v>8</v>
      </c>
      <c r="B208" s="1568" t="s">
        <v>5</v>
      </c>
      <c r="C208" s="1568" t="s">
        <v>115</v>
      </c>
      <c r="D208" s="1661" t="s">
        <v>176</v>
      </c>
      <c r="E208" s="1944"/>
      <c r="F208" s="51" t="s">
        <v>169</v>
      </c>
      <c r="G208" s="259">
        <v>0.69699999999999995</v>
      </c>
      <c r="H208" s="1019">
        <f>I208/O201</f>
        <v>0.69702710648007726</v>
      </c>
      <c r="I208" s="260">
        <v>215100</v>
      </c>
      <c r="J208" s="531"/>
      <c r="K208" s="1122">
        <v>0</v>
      </c>
      <c r="L208" s="12"/>
      <c r="M208" s="12"/>
      <c r="N208" s="12"/>
      <c r="O208" s="12"/>
      <c r="P208" s="12"/>
    </row>
    <row r="209" spans="1:16" s="1" customFormat="1" ht="26" customHeight="1" x14ac:dyDescent="0.15">
      <c r="A209" s="1533">
        <v>9</v>
      </c>
      <c r="B209" s="1567" t="s">
        <v>5</v>
      </c>
      <c r="C209" s="1567" t="s">
        <v>115</v>
      </c>
      <c r="D209" s="1661" t="s">
        <v>177</v>
      </c>
      <c r="E209" s="1944"/>
      <c r="F209" s="51" t="s">
        <v>164</v>
      </c>
      <c r="G209" s="262">
        <v>3.7100000000000001E-2</v>
      </c>
      <c r="H209" s="1018">
        <f>I209/O205</f>
        <v>3.6047340498732837E-2</v>
      </c>
      <c r="I209" s="260">
        <v>11190</v>
      </c>
      <c r="J209" s="531">
        <f>-(H209-G209)*O201</f>
        <v>324.84684830408219</v>
      </c>
      <c r="K209" s="64">
        <v>0</v>
      </c>
      <c r="L209" s="577"/>
      <c r="M209" s="577"/>
      <c r="N209" s="577"/>
      <c r="O209" s="577"/>
      <c r="P209" s="577"/>
    </row>
    <row r="210" spans="1:16" s="1" customFormat="1" ht="26" customHeight="1" x14ac:dyDescent="0.15">
      <c r="A210" s="1533">
        <v>10</v>
      </c>
      <c r="B210" s="1568" t="s">
        <v>5</v>
      </c>
      <c r="C210" s="1568" t="s">
        <v>115</v>
      </c>
      <c r="D210" s="1661" t="s">
        <v>178</v>
      </c>
      <c r="E210" s="1944"/>
      <c r="F210" s="51" t="s">
        <v>164</v>
      </c>
      <c r="G210" s="262">
        <v>8.2000000000000007E-3</v>
      </c>
      <c r="H210" s="1018">
        <f>I210/O205</f>
        <v>7.2481247651607576E-3</v>
      </c>
      <c r="I210" s="260">
        <v>2250</v>
      </c>
      <c r="J210" s="531">
        <f>-(H210-G210)*O201</f>
        <v>293.74519457052622</v>
      </c>
      <c r="K210" s="1023"/>
      <c r="L210" s="577"/>
      <c r="M210" s="577"/>
      <c r="N210" s="577"/>
      <c r="O210" s="577"/>
      <c r="P210" s="577"/>
    </row>
    <row r="211" spans="1:16" s="1" customFormat="1" ht="26" customHeight="1" x14ac:dyDescent="0.15">
      <c r="A211" s="1533">
        <v>11</v>
      </c>
      <c r="B211" s="1568" t="s">
        <v>5</v>
      </c>
      <c r="C211" s="1568" t="s">
        <v>115</v>
      </c>
      <c r="D211" s="1661" t="s">
        <v>179</v>
      </c>
      <c r="E211" s="1944"/>
      <c r="F211" s="51" t="s">
        <v>164</v>
      </c>
      <c r="G211" s="262">
        <v>4.6100000000000002E-2</v>
      </c>
      <c r="H211" s="1018">
        <f>I211/O201</f>
        <v>4.3665459134444633E-2</v>
      </c>
      <c r="I211" s="260">
        <v>13475</v>
      </c>
      <c r="J211" s="531">
        <f>-(H211-G211)*O201</f>
        <v>751.2903520000018</v>
      </c>
      <c r="K211" s="64">
        <f>--(H211-G211)*N208</f>
        <v>0</v>
      </c>
      <c r="L211" s="577"/>
      <c r="M211" s="577"/>
      <c r="N211" s="577"/>
      <c r="O211" s="577"/>
      <c r="P211" s="577"/>
    </row>
    <row r="212" spans="1:16" s="1" customFormat="1" ht="26" customHeight="1" x14ac:dyDescent="0.15">
      <c r="A212" s="1728">
        <v>12</v>
      </c>
      <c r="B212" s="1568" t="s">
        <v>5</v>
      </c>
      <c r="C212" s="1568" t="s">
        <v>115</v>
      </c>
      <c r="D212" s="1942" t="s">
        <v>180</v>
      </c>
      <c r="E212" s="1945"/>
      <c r="F212" s="1040" t="s">
        <v>164</v>
      </c>
      <c r="G212" s="1044">
        <v>3.0000000000000001E-3</v>
      </c>
      <c r="H212" s="1117">
        <f>I212/O205</f>
        <v>2.899249906064303E-3</v>
      </c>
      <c r="I212" s="1118">
        <v>900</v>
      </c>
      <c r="J212" s="531">
        <f>-(H212-G212)*O201</f>
        <v>31.091108228210423</v>
      </c>
      <c r="K212" s="1120">
        <f>--(H212-G212)*N209</f>
        <v>0</v>
      </c>
      <c r="L212" s="1535"/>
      <c r="M212" s="1535"/>
      <c r="N212" s="1535"/>
      <c r="O212" s="1535"/>
      <c r="P212" s="1535"/>
    </row>
    <row r="213" spans="1:16" s="1" customFormat="1" ht="26" customHeight="1" x14ac:dyDescent="0.15">
      <c r="A213" s="1533">
        <v>13</v>
      </c>
      <c r="B213" s="1568" t="s">
        <v>5</v>
      </c>
      <c r="C213" s="1568" t="s">
        <v>115</v>
      </c>
      <c r="D213" s="1661" t="s">
        <v>181</v>
      </c>
      <c r="E213" s="1944"/>
      <c r="F213" s="51" t="s">
        <v>164</v>
      </c>
      <c r="G213" s="258">
        <v>3.0899999999999999E-3</v>
      </c>
      <c r="H213" s="1019"/>
      <c r="I213" s="260">
        <f>AA213</f>
        <v>0</v>
      </c>
      <c r="J213" s="1020" t="s">
        <v>142</v>
      </c>
      <c r="K213" s="64">
        <f>--(H213-G213)*N210</f>
        <v>0</v>
      </c>
      <c r="L213" s="12"/>
      <c r="M213" s="12"/>
      <c r="N213" s="12"/>
      <c r="O213" s="12"/>
      <c r="P213" s="12"/>
    </row>
    <row r="214" spans="1:16" s="1" customFormat="1" ht="26" customHeight="1" x14ac:dyDescent="0.15">
      <c r="A214" s="1533">
        <v>14</v>
      </c>
      <c r="B214" s="1568" t="s">
        <v>5</v>
      </c>
      <c r="C214" s="1568" t="s">
        <v>115</v>
      </c>
      <c r="D214" s="1661" t="s">
        <v>182</v>
      </c>
      <c r="E214" s="1944"/>
      <c r="F214" s="1021" t="s">
        <v>164</v>
      </c>
      <c r="G214" s="1022">
        <v>1.6259999999999999</v>
      </c>
      <c r="H214" s="1019">
        <f>I214/O201</f>
        <v>1.5943555321722567</v>
      </c>
      <c r="I214" s="260">
        <v>492012.25</v>
      </c>
      <c r="J214" s="531">
        <f>-(H214-G214)*O205</f>
        <v>9823.2377227633278</v>
      </c>
      <c r="K214" s="64">
        <f>--(H214-G214)*N211</f>
        <v>0</v>
      </c>
      <c r="L214" s="12"/>
      <c r="M214" s="12"/>
      <c r="N214" s="12"/>
      <c r="O214" s="12"/>
      <c r="P214" s="12"/>
    </row>
    <row r="215" spans="1:16" s="1" customFormat="1" ht="26" customHeight="1" x14ac:dyDescent="0.15">
      <c r="A215" s="1533">
        <v>15</v>
      </c>
      <c r="B215" s="1568" t="s">
        <v>5</v>
      </c>
      <c r="C215" s="1568" t="s">
        <v>115</v>
      </c>
      <c r="D215" s="1661" t="s">
        <v>183</v>
      </c>
      <c r="E215" s="1944"/>
      <c r="F215" s="51" t="s">
        <v>164</v>
      </c>
      <c r="G215" s="258">
        <v>6.4099999999999999E-3</v>
      </c>
      <c r="H215" s="933">
        <f>I215/O205</f>
        <v>6.3783497933414665E-3</v>
      </c>
      <c r="I215" s="260">
        <v>1980</v>
      </c>
      <c r="J215" s="531">
        <f>-(H215-G215)*O201</f>
        <v>9.7671373020629115</v>
      </c>
      <c r="K215" s="1023"/>
      <c r="L215" s="577"/>
      <c r="M215" s="577"/>
      <c r="N215" s="577"/>
      <c r="O215" s="577"/>
      <c r="P215" s="577"/>
    </row>
    <row r="216" spans="1:16" s="1" customFormat="1" ht="26" customHeight="1" x14ac:dyDescent="0.15">
      <c r="A216" s="1533">
        <v>16</v>
      </c>
      <c r="B216" s="1568" t="s">
        <v>5</v>
      </c>
      <c r="C216" s="1568" t="s">
        <v>115</v>
      </c>
      <c r="D216" s="1661" t="s">
        <v>184</v>
      </c>
      <c r="E216" s="1944"/>
      <c r="F216" s="51" t="s">
        <v>169</v>
      </c>
      <c r="G216" s="258">
        <v>4.7239999999999997E-2</v>
      </c>
      <c r="H216" s="933">
        <f>I216/O201</f>
        <v>4.2968756075898763E-2</v>
      </c>
      <c r="I216" s="260">
        <v>13260</v>
      </c>
      <c r="J216" s="531">
        <f>-(H216-G216)*O201</f>
        <v>1318.0901568000002</v>
      </c>
      <c r="K216" s="1023"/>
      <c r="L216" s="12"/>
      <c r="M216" s="12"/>
      <c r="N216" s="12"/>
      <c r="O216" s="12"/>
      <c r="P216" s="12"/>
    </row>
    <row r="217" spans="1:16" s="1" customFormat="1" ht="31" customHeight="1" x14ac:dyDescent="0.15">
      <c r="A217" s="1533">
        <v>17</v>
      </c>
      <c r="B217" s="1568" t="s">
        <v>5</v>
      </c>
      <c r="C217" s="1568" t="s">
        <v>115</v>
      </c>
      <c r="D217" s="1661" t="s">
        <v>185</v>
      </c>
      <c r="E217" s="1944"/>
      <c r="F217" s="51" t="s">
        <v>169</v>
      </c>
      <c r="G217" s="258"/>
      <c r="H217" s="1024"/>
      <c r="I217" s="260">
        <v>3750</v>
      </c>
      <c r="J217" s="1025"/>
      <c r="K217" s="64"/>
      <c r="L217" s="577" t="s">
        <v>813</v>
      </c>
      <c r="M217" s="577"/>
      <c r="N217" s="577"/>
      <c r="O217" s="577"/>
      <c r="P217" s="577"/>
    </row>
    <row r="218" spans="1:16" s="1" customFormat="1" ht="26" customHeight="1" x14ac:dyDescent="0.15">
      <c r="A218" s="1533">
        <v>18</v>
      </c>
      <c r="B218" s="1584" t="s">
        <v>5</v>
      </c>
      <c r="C218" s="1584" t="s">
        <v>115</v>
      </c>
      <c r="D218" s="1661" t="s">
        <v>188</v>
      </c>
      <c r="E218" s="1944"/>
      <c r="F218" s="51" t="s">
        <v>164</v>
      </c>
      <c r="G218" s="258">
        <v>5.1999999999999998E-3</v>
      </c>
      <c r="H218" s="933">
        <f>I218/O201</f>
        <v>3.4997176894397183E-3</v>
      </c>
      <c r="I218" s="260">
        <v>1080</v>
      </c>
      <c r="J218" s="531">
        <f>-(H218-G218)*O201</f>
        <v>524.70086400000002</v>
      </c>
      <c r="K218" s="64">
        <f>--(H218-G218)*N216</f>
        <v>0</v>
      </c>
      <c r="L218" s="12"/>
      <c r="M218" s="12"/>
      <c r="N218" s="12"/>
      <c r="O218" s="12"/>
      <c r="P218" s="12"/>
    </row>
    <row r="219" spans="1:16" s="1" customFormat="1" ht="17" customHeight="1" x14ac:dyDescent="0.15">
      <c r="A219" s="2"/>
      <c r="B219" s="4"/>
      <c r="C219" s="479"/>
      <c r="D219" s="68"/>
      <c r="E219" s="925"/>
      <c r="F219" s="926"/>
      <c r="G219" s="927"/>
      <c r="H219" s="928"/>
      <c r="I219" s="929"/>
      <c r="J219" s="2"/>
      <c r="K219" s="2"/>
      <c r="L219" s="2"/>
      <c r="M219" s="2"/>
      <c r="N219" s="2"/>
    </row>
    <row r="220" spans="1:16" s="1" customFormat="1" ht="26" hidden="1" customHeight="1" x14ac:dyDescent="0.2">
      <c r="A220" s="3061" t="s">
        <v>354</v>
      </c>
      <c r="B220" s="3061"/>
      <c r="C220" s="3061"/>
      <c r="D220" s="3061"/>
      <c r="E220" s="3061"/>
      <c r="F220" s="3061"/>
      <c r="G220" s="3061"/>
      <c r="H220" s="3061"/>
      <c r="I220" s="3061"/>
      <c r="J220" s="3061"/>
      <c r="K220" s="3061"/>
      <c r="L220" s="3061"/>
      <c r="M220" s="3061"/>
      <c r="N220" s="3061"/>
    </row>
    <row r="221" spans="1:16" s="1" customFormat="1" ht="30" hidden="1" customHeight="1" x14ac:dyDescent="0.15">
      <c r="A221" s="990" t="s">
        <v>39</v>
      </c>
      <c r="B221" s="3031" t="s">
        <v>191</v>
      </c>
      <c r="C221" s="2915"/>
      <c r="D221" s="990" t="s">
        <v>17</v>
      </c>
      <c r="E221" s="990" t="s">
        <v>192</v>
      </c>
      <c r="F221" s="990" t="s">
        <v>193</v>
      </c>
      <c r="G221" s="990" t="s">
        <v>151</v>
      </c>
      <c r="H221" s="1007" t="s">
        <v>152</v>
      </c>
      <c r="I221" s="1036" t="s">
        <v>153</v>
      </c>
      <c r="J221" s="3031" t="s">
        <v>47</v>
      </c>
      <c r="K221" s="3031"/>
      <c r="L221" s="3031"/>
      <c r="M221" s="3031"/>
      <c r="N221" s="3031"/>
    </row>
    <row r="222" spans="1:16" s="1" customFormat="1" ht="32" hidden="1" customHeight="1" x14ac:dyDescent="0.15">
      <c r="A222" s="264">
        <v>1</v>
      </c>
      <c r="B222" s="2880" t="s">
        <v>730</v>
      </c>
      <c r="C222" s="2915"/>
      <c r="D222" s="633" t="s">
        <v>49</v>
      </c>
      <c r="E222" s="1101">
        <v>21.26</v>
      </c>
      <c r="F222" s="261" t="e">
        <f>G222/$L$222*1000</f>
        <v>#DIV/0!</v>
      </c>
      <c r="G222" s="269"/>
      <c r="H222" s="531" t="e">
        <f>-(F222-E222)*L222</f>
        <v>#DIV/0!</v>
      </c>
      <c r="I222" s="445"/>
      <c r="J222" s="3437" t="s">
        <v>165</v>
      </c>
      <c r="K222" s="3437"/>
      <c r="L222" s="3438">
        <f>E192+E193</f>
        <v>0</v>
      </c>
      <c r="M222" s="3438"/>
      <c r="N222" s="3438"/>
      <c r="O222" s="526"/>
    </row>
    <row r="223" spans="1:16" s="1" customFormat="1" ht="32" hidden="1" customHeight="1" x14ac:dyDescent="0.15">
      <c r="A223" s="264">
        <v>2</v>
      </c>
      <c r="B223" s="2880" t="s">
        <v>731</v>
      </c>
      <c r="C223" s="2915"/>
      <c r="D223" s="633" t="s">
        <v>49</v>
      </c>
      <c r="E223" s="1098">
        <v>0.28000000000000003</v>
      </c>
      <c r="F223" s="268" t="e">
        <f>G223/$L$223</f>
        <v>#DIV/0!</v>
      </c>
      <c r="G223" s="269"/>
      <c r="H223" s="531"/>
      <c r="I223" s="445"/>
      <c r="J223" s="2748" t="s">
        <v>734</v>
      </c>
      <c r="K223" s="2748"/>
      <c r="L223" s="3440">
        <f>E192</f>
        <v>0</v>
      </c>
      <c r="M223" s="2664"/>
      <c r="N223" s="2664"/>
    </row>
    <row r="224" spans="1:16" s="1" customFormat="1" ht="32" hidden="1" customHeight="1" x14ac:dyDescent="0.15">
      <c r="A224" s="264">
        <v>3</v>
      </c>
      <c r="B224" s="2880" t="s">
        <v>732</v>
      </c>
      <c r="C224" s="2915"/>
      <c r="D224" s="633" t="s">
        <v>49</v>
      </c>
      <c r="E224" s="1098">
        <v>0.39</v>
      </c>
      <c r="F224" s="268" t="e">
        <f>G224/$L$224</f>
        <v>#DIV/0!</v>
      </c>
      <c r="G224" s="269"/>
      <c r="H224" s="531"/>
      <c r="I224" s="445"/>
      <c r="J224" s="3431" t="s">
        <v>735</v>
      </c>
      <c r="K224" s="3431"/>
      <c r="L224" s="3432">
        <f>E193</f>
        <v>0</v>
      </c>
      <c r="M224" s="3433"/>
      <c r="N224" s="3433"/>
    </row>
    <row r="225" spans="1:14" s="1" customFormat="1" ht="32" hidden="1" customHeight="1" x14ac:dyDescent="0.2">
      <c r="A225" s="264">
        <v>4</v>
      </c>
      <c r="B225" s="3412" t="s">
        <v>733</v>
      </c>
      <c r="C225" s="3412"/>
      <c r="D225" s="633" t="s">
        <v>49</v>
      </c>
      <c r="E225" s="1098">
        <v>9.2999999999999999E-2</v>
      </c>
      <c r="F225" s="268" t="e">
        <f>G225/L223</f>
        <v>#DIV/0!</v>
      </c>
      <c r="G225" s="269"/>
      <c r="H225" s="531"/>
      <c r="I225" s="531" t="e">
        <f>(F225-E225)*L223</f>
        <v>#DIV/0!</v>
      </c>
      <c r="J225" s="3441" t="s">
        <v>362</v>
      </c>
      <c r="K225" s="3441"/>
      <c r="L225" s="3438">
        <f>L222+M17</f>
        <v>0</v>
      </c>
      <c r="M225" s="3438"/>
      <c r="N225" s="3438"/>
    </row>
    <row r="226" spans="1:14" s="1" customFormat="1" ht="32" hidden="1" customHeight="1" x14ac:dyDescent="0.2">
      <c r="A226" s="264">
        <v>5</v>
      </c>
      <c r="B226" s="3412" t="s">
        <v>204</v>
      </c>
      <c r="C226" s="3412"/>
      <c r="D226" s="633" t="s">
        <v>49</v>
      </c>
      <c r="E226" s="1098">
        <v>0.39</v>
      </c>
      <c r="F226" s="268" t="e">
        <f>G226/L224</f>
        <v>#DIV/0!</v>
      </c>
      <c r="G226" s="269"/>
      <c r="H226" s="531"/>
      <c r="I226" s="445"/>
      <c r="J226" s="2664"/>
      <c r="K226" s="2664"/>
      <c r="L226" s="2664"/>
      <c r="M226" s="2664"/>
      <c r="N226" s="2664"/>
    </row>
    <row r="227" spans="1:14" s="1" customFormat="1" ht="28" hidden="1" customHeight="1" x14ac:dyDescent="0.2">
      <c r="A227" s="264">
        <v>6</v>
      </c>
      <c r="B227" s="3412" t="s">
        <v>196</v>
      </c>
      <c r="C227" s="3412"/>
      <c r="D227" s="633" t="s">
        <v>49</v>
      </c>
      <c r="E227" s="1099">
        <v>0.11700000000000001</v>
      </c>
      <c r="F227" s="270" t="e">
        <f>G227/$L$223</f>
        <v>#DIV/0!</v>
      </c>
      <c r="G227" s="269"/>
      <c r="H227" s="531"/>
      <c r="I227" s="531" t="e">
        <f>(F227-E227)*L223</f>
        <v>#DIV/0!</v>
      </c>
      <c r="J227" s="3433"/>
      <c r="K227" s="3433"/>
      <c r="L227" s="3433"/>
      <c r="M227" s="3433"/>
      <c r="N227" s="3433"/>
    </row>
    <row r="228" spans="1:14" s="1" customFormat="1" ht="28" hidden="1" customHeight="1" x14ac:dyDescent="0.2">
      <c r="A228" s="264">
        <v>7</v>
      </c>
      <c r="B228" s="3412" t="s">
        <v>176</v>
      </c>
      <c r="C228" s="3412"/>
      <c r="D228" s="633" t="s">
        <v>195</v>
      </c>
      <c r="E228" s="1100">
        <v>0.66900000000000004</v>
      </c>
      <c r="F228" s="270" t="e">
        <f>G228/$L$222</f>
        <v>#DIV/0!</v>
      </c>
      <c r="G228" s="269"/>
      <c r="H228" s="1008"/>
      <c r="I228" s="445"/>
      <c r="J228" s="2861"/>
      <c r="K228" s="2861"/>
      <c r="L228" s="2861"/>
      <c r="M228" s="2861"/>
      <c r="N228" s="2861"/>
    </row>
    <row r="229" spans="1:14" s="1" customFormat="1" ht="28" hidden="1" customHeight="1" x14ac:dyDescent="0.2">
      <c r="A229" s="264">
        <v>8</v>
      </c>
      <c r="B229" s="3420" t="s">
        <v>177</v>
      </c>
      <c r="C229" s="3421"/>
      <c r="D229" s="633" t="s">
        <v>49</v>
      </c>
      <c r="E229" s="1098">
        <v>0.02</v>
      </c>
      <c r="F229" s="268" t="e">
        <f>G229/$L$222</f>
        <v>#DIV/0!</v>
      </c>
      <c r="G229" s="269"/>
      <c r="H229" s="531"/>
      <c r="I229" s="445"/>
      <c r="J229" s="2861"/>
      <c r="K229" s="2861"/>
      <c r="L229" s="2861"/>
      <c r="M229" s="2861"/>
      <c r="N229" s="2861"/>
    </row>
    <row r="230" spans="1:14" s="1" customFormat="1" ht="28" hidden="1" customHeight="1" x14ac:dyDescent="0.2">
      <c r="A230" s="264">
        <v>9</v>
      </c>
      <c r="B230" s="3420" t="s">
        <v>178</v>
      </c>
      <c r="C230" s="3421"/>
      <c r="D230" s="633" t="s">
        <v>49</v>
      </c>
      <c r="E230" s="1100">
        <v>1.9599999999999999E-2</v>
      </c>
      <c r="F230" s="270" t="e">
        <f>G230/$L$222</f>
        <v>#DIV/0!</v>
      </c>
      <c r="G230" s="269"/>
      <c r="H230" s="531" t="e">
        <f>-(F230-E230)*L222</f>
        <v>#DIV/0!</v>
      </c>
      <c r="I230" s="445"/>
      <c r="J230" s="3439"/>
      <c r="K230" s="3439"/>
      <c r="L230" s="3439"/>
      <c r="M230" s="3439"/>
      <c r="N230" s="3439"/>
    </row>
    <row r="231" spans="1:14" s="1" customFormat="1" ht="28" hidden="1" customHeight="1" x14ac:dyDescent="0.2">
      <c r="A231" s="264">
        <v>10</v>
      </c>
      <c r="B231" s="3420" t="s">
        <v>197</v>
      </c>
      <c r="C231" s="3421"/>
      <c r="D231" s="633" t="s">
        <v>49</v>
      </c>
      <c r="E231" s="1101">
        <v>1.82</v>
      </c>
      <c r="F231" s="261" t="e">
        <f>G231/$L$222</f>
        <v>#DIV/0!</v>
      </c>
      <c r="G231" s="269"/>
      <c r="H231" s="531"/>
      <c r="I231" s="445" t="e">
        <f>(F231-E231)*L222</f>
        <v>#DIV/0!</v>
      </c>
      <c r="J231" s="2861"/>
      <c r="K231" s="2861"/>
      <c r="L231" s="2861"/>
      <c r="M231" s="2861"/>
      <c r="N231" s="2861"/>
    </row>
    <row r="232" spans="1:14" s="1" customFormat="1" ht="28" hidden="1" customHeight="1" x14ac:dyDescent="0.2">
      <c r="A232" s="264">
        <v>11</v>
      </c>
      <c r="B232" s="3420" t="s">
        <v>198</v>
      </c>
      <c r="C232" s="3421"/>
      <c r="D232" s="633" t="s">
        <v>49</v>
      </c>
      <c r="E232" s="1100">
        <v>7.6E-3</v>
      </c>
      <c r="F232" s="270" t="e">
        <f>G232/$L$222</f>
        <v>#DIV/0!</v>
      </c>
      <c r="G232" s="269"/>
      <c r="H232" s="531" t="e">
        <f>-(F232-E232)*L222</f>
        <v>#DIV/0!</v>
      </c>
      <c r="I232" s="445"/>
      <c r="J232" s="3433"/>
      <c r="K232" s="3433"/>
      <c r="L232" s="3433"/>
      <c r="M232" s="3433"/>
      <c r="N232" s="3433"/>
    </row>
    <row r="233" spans="1:14" s="1" customFormat="1" ht="28" hidden="1" customHeight="1" x14ac:dyDescent="0.2">
      <c r="A233" s="264">
        <v>12</v>
      </c>
      <c r="B233" s="3420" t="s">
        <v>185</v>
      </c>
      <c r="C233" s="3421"/>
      <c r="D233" s="633" t="s">
        <v>195</v>
      </c>
      <c r="E233" s="1100"/>
      <c r="F233" s="270"/>
      <c r="G233" s="269"/>
      <c r="H233" s="531">
        <f>-(F233-E233)*L222</f>
        <v>0</v>
      </c>
      <c r="I233" s="445"/>
      <c r="J233" s="3436" t="s">
        <v>736</v>
      </c>
      <c r="K233" s="3436"/>
      <c r="L233" s="3436"/>
      <c r="M233" s="3436"/>
      <c r="N233" s="3436"/>
    </row>
    <row r="234" spans="1:14" s="1" customFormat="1" ht="28" hidden="1" customHeight="1" x14ac:dyDescent="0.2">
      <c r="A234" s="264">
        <v>13</v>
      </c>
      <c r="B234" s="3420" t="s">
        <v>179</v>
      </c>
      <c r="C234" s="3421"/>
      <c r="D234" s="633" t="s">
        <v>49</v>
      </c>
      <c r="E234" s="1103">
        <v>2.7E-2</v>
      </c>
      <c r="F234" s="268" t="e">
        <f>G234/$L$222</f>
        <v>#DIV/0!</v>
      </c>
      <c r="G234" s="269"/>
      <c r="H234" s="531"/>
      <c r="I234" s="445" t="e">
        <f>(F234-E234)*L222</f>
        <v>#DIV/0!</v>
      </c>
      <c r="J234" s="2861" t="s">
        <v>653</v>
      </c>
      <c r="K234" s="2861"/>
      <c r="L234" s="2861"/>
      <c r="M234" s="2861"/>
      <c r="N234" s="2861"/>
    </row>
    <row r="235" spans="1:14" s="1" customFormat="1" ht="26" hidden="1" customHeight="1" x14ac:dyDescent="0.2">
      <c r="A235" s="3061" t="s">
        <v>737</v>
      </c>
      <c r="B235" s="3061"/>
      <c r="C235" s="3061"/>
      <c r="D235" s="3061"/>
      <c r="E235" s="3061"/>
      <c r="F235" s="3061"/>
      <c r="G235" s="3061"/>
      <c r="H235" s="3061"/>
      <c r="I235" s="3061"/>
      <c r="J235" s="3061"/>
      <c r="K235" s="3061"/>
      <c r="L235" s="3061"/>
      <c r="M235" s="3061"/>
      <c r="N235" s="3061"/>
    </row>
    <row r="236" spans="1:14" s="1" customFormat="1" ht="31" hidden="1" customHeight="1" x14ac:dyDescent="0.15">
      <c r="A236" s="990" t="s">
        <v>39</v>
      </c>
      <c r="B236" s="3031" t="s">
        <v>191</v>
      </c>
      <c r="C236" s="2915"/>
      <c r="D236" s="990" t="s">
        <v>17</v>
      </c>
      <c r="E236" s="990" t="s">
        <v>192</v>
      </c>
      <c r="F236" s="990" t="s">
        <v>193</v>
      </c>
      <c r="G236" s="990" t="s">
        <v>151</v>
      </c>
      <c r="H236" s="1007" t="s">
        <v>152</v>
      </c>
      <c r="I236" s="1036" t="s">
        <v>153</v>
      </c>
      <c r="J236" s="3031" t="s">
        <v>47</v>
      </c>
      <c r="K236" s="3031"/>
      <c r="L236" s="3031"/>
      <c r="M236" s="3031"/>
      <c r="N236" s="3031"/>
    </row>
    <row r="237" spans="1:14" s="1" customFormat="1" ht="28" hidden="1" customHeight="1" x14ac:dyDescent="0.2">
      <c r="A237" s="264">
        <v>1</v>
      </c>
      <c r="B237" s="3412" t="s">
        <v>730</v>
      </c>
      <c r="C237" s="3412"/>
      <c r="D237" s="223" t="s">
        <v>49</v>
      </c>
      <c r="E237" s="1102">
        <v>21.65</v>
      </c>
      <c r="F237" s="261" t="e">
        <f>G237/$L$237*1000</f>
        <v>#DIV/0!</v>
      </c>
      <c r="G237" s="269"/>
      <c r="H237" s="531" t="e">
        <f>-(F237-E237)*L237</f>
        <v>#DIV/0!</v>
      </c>
      <c r="I237" s="445"/>
      <c r="J237" s="3437" t="s">
        <v>165</v>
      </c>
      <c r="K237" s="3437"/>
      <c r="L237" s="3438">
        <f>E194+E195</f>
        <v>0</v>
      </c>
      <c r="M237" s="3438"/>
      <c r="N237" s="3438"/>
    </row>
    <row r="238" spans="1:14" s="1" customFormat="1" ht="28" hidden="1" customHeight="1" x14ac:dyDescent="0.2">
      <c r="A238" s="264">
        <v>2</v>
      </c>
      <c r="B238" s="3412" t="s">
        <v>738</v>
      </c>
      <c r="C238" s="3412"/>
      <c r="D238" s="223" t="s">
        <v>49</v>
      </c>
      <c r="E238" s="1096">
        <v>0.436</v>
      </c>
      <c r="F238" s="268" t="e">
        <f>G238/$L$239</f>
        <v>#DIV/0!</v>
      </c>
      <c r="G238" s="269"/>
      <c r="H238" s="70"/>
      <c r="I238" s="531"/>
      <c r="J238" s="2748" t="s">
        <v>741</v>
      </c>
      <c r="K238" s="2748"/>
      <c r="L238" s="3438">
        <f>E195</f>
        <v>0</v>
      </c>
      <c r="M238" s="3438"/>
      <c r="N238" s="3438"/>
    </row>
    <row r="239" spans="1:14" s="1" customFormat="1" ht="28" hidden="1" customHeight="1" x14ac:dyDescent="0.2">
      <c r="A239" s="264">
        <v>3</v>
      </c>
      <c r="B239" s="3412" t="s">
        <v>739</v>
      </c>
      <c r="C239" s="3412"/>
      <c r="D239" s="223" t="s">
        <v>49</v>
      </c>
      <c r="E239" s="1096">
        <v>0.31900000000000001</v>
      </c>
      <c r="F239" s="268" t="e">
        <f>G239/$L$238</f>
        <v>#DIV/0!</v>
      </c>
      <c r="G239" s="269"/>
      <c r="H239" s="531" t="e">
        <f>-(F239-E239)*L238</f>
        <v>#DIV/0!</v>
      </c>
      <c r="I239" s="445"/>
      <c r="J239" s="3431" t="s">
        <v>735</v>
      </c>
      <c r="K239" s="3431"/>
      <c r="L239" s="3072">
        <f>E194</f>
        <v>0</v>
      </c>
      <c r="M239" s="3179"/>
      <c r="N239" s="3180"/>
    </row>
    <row r="240" spans="1:14" s="1" customFormat="1" ht="28" hidden="1" customHeight="1" x14ac:dyDescent="0.2">
      <c r="A240" s="264">
        <v>4</v>
      </c>
      <c r="B240" s="3412" t="s">
        <v>204</v>
      </c>
      <c r="C240" s="3412"/>
      <c r="D240" s="223" t="s">
        <v>49</v>
      </c>
      <c r="E240" s="1096">
        <v>0.38900000000000001</v>
      </c>
      <c r="F240" s="268" t="e">
        <f>G240/$L$239</f>
        <v>#DIV/0!</v>
      </c>
      <c r="G240" s="269"/>
      <c r="H240" s="531" t="e">
        <f>-(F240-E240)*L239</f>
        <v>#DIV/0!</v>
      </c>
      <c r="I240" s="445"/>
      <c r="J240" s="3441" t="s">
        <v>362</v>
      </c>
      <c r="K240" s="3441"/>
      <c r="L240" s="3467">
        <f>L237+M23</f>
        <v>0</v>
      </c>
      <c r="M240" s="3179"/>
      <c r="N240" s="3180"/>
    </row>
    <row r="241" spans="1:16" s="1" customFormat="1" ht="28" hidden="1" customHeight="1" x14ac:dyDescent="0.15">
      <c r="A241" s="1034">
        <v>5</v>
      </c>
      <c r="B241" s="3412" t="s">
        <v>740</v>
      </c>
      <c r="C241" s="3412"/>
      <c r="D241" s="223" t="s">
        <v>49</v>
      </c>
      <c r="E241" s="1096">
        <v>0.31900000000000001</v>
      </c>
      <c r="F241" s="1104" t="e">
        <f>G241/$L$238</f>
        <v>#DIV/0!</v>
      </c>
      <c r="G241" s="1041"/>
      <c r="H241" s="531"/>
      <c r="I241" s="1042" t="e">
        <f>(F241-E241)*L238</f>
        <v>#DIV/0!</v>
      </c>
      <c r="J241" s="3395"/>
      <c r="K241" s="3396"/>
      <c r="L241" s="3396"/>
      <c r="M241" s="3396"/>
      <c r="N241" s="3397"/>
    </row>
    <row r="242" spans="1:16" s="1" customFormat="1" ht="28" hidden="1" customHeight="1" x14ac:dyDescent="0.2">
      <c r="A242" s="1006">
        <v>6</v>
      </c>
      <c r="B242" s="3413" t="s">
        <v>176</v>
      </c>
      <c r="C242" s="3413"/>
      <c r="D242" s="1108" t="s">
        <v>195</v>
      </c>
      <c r="E242" s="1123">
        <v>0.55700000000000005</v>
      </c>
      <c r="F242" s="287" t="e">
        <f t="shared" ref="F242:F248" si="21">G242/$L$237</f>
        <v>#DIV/0!</v>
      </c>
      <c r="G242" s="1038"/>
      <c r="H242" s="1124" t="e">
        <f t="shared" ref="H242:H247" si="22">-(F242-E242)*L241</f>
        <v>#DIV/0!</v>
      </c>
      <c r="I242" s="1039" t="e">
        <f>(F242-E242)*L237</f>
        <v>#DIV/0!</v>
      </c>
      <c r="J242" s="3442"/>
      <c r="K242" s="3442"/>
      <c r="L242" s="3442"/>
      <c r="M242" s="3442"/>
      <c r="N242" s="3442"/>
    </row>
    <row r="243" spans="1:16" s="1" customFormat="1" ht="28" hidden="1" customHeight="1" x14ac:dyDescent="0.2">
      <c r="A243" s="264">
        <v>7</v>
      </c>
      <c r="B243" s="3412" t="s">
        <v>177</v>
      </c>
      <c r="C243" s="3412"/>
      <c r="D243" s="223" t="s">
        <v>49</v>
      </c>
      <c r="E243" s="1096">
        <v>2.1999999999999999E-2</v>
      </c>
      <c r="F243" s="268" t="e">
        <f t="shared" si="21"/>
        <v>#DIV/0!</v>
      </c>
      <c r="G243" s="269"/>
      <c r="H243" s="531" t="e">
        <f t="shared" si="22"/>
        <v>#DIV/0!</v>
      </c>
      <c r="I243" s="445"/>
      <c r="J243" s="3439"/>
      <c r="K243" s="3439"/>
      <c r="L243" s="3439"/>
      <c r="M243" s="3439"/>
      <c r="N243" s="3439"/>
    </row>
    <row r="244" spans="1:16" s="1" customFormat="1" ht="28" hidden="1" customHeight="1" x14ac:dyDescent="0.2">
      <c r="A244" s="264">
        <v>8</v>
      </c>
      <c r="B244" s="3412" t="s">
        <v>178</v>
      </c>
      <c r="C244" s="3412"/>
      <c r="D244" s="223" t="s">
        <v>49</v>
      </c>
      <c r="E244" s="1097">
        <v>1.09E-2</v>
      </c>
      <c r="F244" s="270" t="e">
        <f>G244/$L$240</f>
        <v>#DIV/0!</v>
      </c>
      <c r="G244" s="269"/>
      <c r="H244" s="531" t="e">
        <f t="shared" si="22"/>
        <v>#DIV/0!</v>
      </c>
      <c r="I244" s="445"/>
      <c r="J244" s="2664"/>
      <c r="K244" s="2664"/>
      <c r="L244" s="2664"/>
      <c r="M244" s="2664"/>
      <c r="N244" s="2664"/>
    </row>
    <row r="245" spans="1:16" s="1" customFormat="1" ht="28" hidden="1" customHeight="1" x14ac:dyDescent="0.2">
      <c r="A245" s="264">
        <v>9</v>
      </c>
      <c r="B245" s="3412" t="s">
        <v>197</v>
      </c>
      <c r="C245" s="3412"/>
      <c r="D245" s="223" t="s">
        <v>49</v>
      </c>
      <c r="E245" s="1102">
        <v>1.84</v>
      </c>
      <c r="F245" s="261" t="e">
        <f t="shared" si="21"/>
        <v>#DIV/0!</v>
      </c>
      <c r="G245" s="269"/>
      <c r="H245" s="531" t="e">
        <f>-(F245-E245)*L248</f>
        <v>#DIV/0!</v>
      </c>
      <c r="I245" s="445" t="e">
        <f>(F245-E245)*L237</f>
        <v>#DIV/0!</v>
      </c>
      <c r="J245" s="3439"/>
      <c r="K245" s="3439"/>
      <c r="L245" s="3439"/>
      <c r="M245" s="3439"/>
      <c r="N245" s="3439"/>
    </row>
    <row r="246" spans="1:16" s="1" customFormat="1" ht="28" hidden="1" customHeight="1" x14ac:dyDescent="0.15">
      <c r="A246" s="264">
        <v>10</v>
      </c>
      <c r="B246" s="3412" t="s">
        <v>198</v>
      </c>
      <c r="C246" s="3412"/>
      <c r="D246" s="223" t="s">
        <v>49</v>
      </c>
      <c r="E246" s="1097">
        <v>5.3E-3</v>
      </c>
      <c r="F246" s="270" t="e">
        <f t="shared" si="21"/>
        <v>#DIV/0!</v>
      </c>
      <c r="G246" s="269"/>
      <c r="H246" s="531" t="e">
        <f>-(F246-E246)*L237</f>
        <v>#DIV/0!</v>
      </c>
      <c r="I246" s="445"/>
      <c r="J246" s="3448"/>
      <c r="K246" s="3448"/>
      <c r="L246" s="3448"/>
      <c r="M246" s="3448"/>
      <c r="N246" s="3448"/>
    </row>
    <row r="247" spans="1:16" s="1" customFormat="1" ht="28" hidden="1" customHeight="1" x14ac:dyDescent="0.2">
      <c r="A247" s="264">
        <v>11</v>
      </c>
      <c r="B247" s="3412" t="s">
        <v>185</v>
      </c>
      <c r="C247" s="3412"/>
      <c r="D247" s="223" t="s">
        <v>195</v>
      </c>
      <c r="E247" s="1097"/>
      <c r="F247" s="270"/>
      <c r="G247" s="269"/>
      <c r="H247" s="531">
        <f t="shared" si="22"/>
        <v>0</v>
      </c>
      <c r="I247" s="445"/>
      <c r="J247" s="3436" t="s">
        <v>742</v>
      </c>
      <c r="K247" s="3436"/>
      <c r="L247" s="3436"/>
      <c r="M247" s="3436"/>
      <c r="N247" s="3436"/>
    </row>
    <row r="248" spans="1:16" s="1" customFormat="1" ht="28" hidden="1" customHeight="1" x14ac:dyDescent="0.2">
      <c r="A248" s="264">
        <v>12</v>
      </c>
      <c r="B248" s="3412" t="s">
        <v>179</v>
      </c>
      <c r="C248" s="3412"/>
      <c r="D248" s="223" t="s">
        <v>49</v>
      </c>
      <c r="E248" s="1096">
        <v>2.7E-2</v>
      </c>
      <c r="F248" s="270" t="e">
        <f t="shared" si="21"/>
        <v>#DIV/0!</v>
      </c>
      <c r="G248" s="269"/>
      <c r="H248" s="531" t="e">
        <f>-(F248-E248)*#REF!</f>
        <v>#DIV/0!</v>
      </c>
      <c r="I248" s="445" t="e">
        <f>(F248-E248)*L237</f>
        <v>#DIV/0!</v>
      </c>
      <c r="J248" s="3439" t="s">
        <v>653</v>
      </c>
      <c r="K248" s="3439"/>
      <c r="L248" s="3439"/>
      <c r="M248" s="3439"/>
      <c r="N248" s="3439"/>
    </row>
    <row r="249" spans="1:16" s="1" customFormat="1" ht="26" customHeight="1" x14ac:dyDescent="0.2">
      <c r="A249" s="3061" t="s">
        <v>443</v>
      </c>
      <c r="B249" s="3061"/>
      <c r="C249" s="3061"/>
      <c r="D249" s="3061"/>
      <c r="E249" s="3061"/>
      <c r="F249" s="3061"/>
      <c r="G249" s="3061"/>
      <c r="H249" s="3061"/>
      <c r="I249" s="3061"/>
      <c r="J249" s="3061"/>
      <c r="K249" s="3061"/>
      <c r="L249" s="3061"/>
      <c r="M249" s="3061"/>
      <c r="N249" s="3061"/>
    </row>
    <row r="250" spans="1:16" s="1" customFormat="1" ht="37" customHeight="1" x14ac:dyDescent="0.2">
      <c r="A250" s="990" t="s">
        <v>39</v>
      </c>
      <c r="B250" s="1724" t="s">
        <v>34</v>
      </c>
      <c r="C250" s="241" t="s">
        <v>6</v>
      </c>
      <c r="D250" s="1712" t="s">
        <v>148</v>
      </c>
      <c r="E250" s="1689"/>
      <c r="F250" s="239" t="s">
        <v>17</v>
      </c>
      <c r="G250" s="240" t="s">
        <v>149</v>
      </c>
      <c r="H250" s="240" t="s">
        <v>150</v>
      </c>
      <c r="I250" s="241" t="s">
        <v>151</v>
      </c>
      <c r="J250" s="392" t="s">
        <v>1029</v>
      </c>
      <c r="K250" s="242" t="s">
        <v>1030</v>
      </c>
      <c r="L250" s="3051" t="s">
        <v>47</v>
      </c>
      <c r="M250" s="3052"/>
      <c r="N250" s="3052"/>
      <c r="O250" s="3052"/>
      <c r="P250" s="3053"/>
    </row>
    <row r="251" spans="1:16" s="1" customFormat="1" ht="26" customHeight="1" x14ac:dyDescent="0.2">
      <c r="A251" s="1536">
        <v>1</v>
      </c>
      <c r="B251" s="1593" t="s">
        <v>25</v>
      </c>
      <c r="C251" s="1593" t="s">
        <v>116</v>
      </c>
      <c r="D251" s="1519" t="s">
        <v>163</v>
      </c>
      <c r="E251" s="1519"/>
      <c r="F251" s="223" t="s">
        <v>49</v>
      </c>
      <c r="G251" s="1102">
        <v>21.01</v>
      </c>
      <c r="H251" s="1194">
        <f>I251/$N$252</f>
        <v>20.554063021000843</v>
      </c>
      <c r="I251" s="269">
        <v>8896226</v>
      </c>
      <c r="J251" s="531">
        <f>-(H251-G251)*$N$251</f>
        <v>196376.06910035273</v>
      </c>
      <c r="K251" s="445"/>
      <c r="L251" s="3393" t="s">
        <v>165</v>
      </c>
      <c r="M251" s="3394"/>
      <c r="N251" s="3443">
        <f>E196</f>
        <v>430708.79999999993</v>
      </c>
      <c r="O251" s="3444"/>
      <c r="P251" s="3445"/>
    </row>
    <row r="252" spans="1:16" s="1" customFormat="1" ht="26" customHeight="1" x14ac:dyDescent="0.2">
      <c r="A252" s="1536">
        <v>2</v>
      </c>
      <c r="B252" s="1568" t="s">
        <v>25</v>
      </c>
      <c r="C252" s="1568" t="s">
        <v>116</v>
      </c>
      <c r="D252" s="1519" t="s">
        <v>166</v>
      </c>
      <c r="E252" s="1519"/>
      <c r="F252" s="223" t="s">
        <v>49</v>
      </c>
      <c r="G252" s="1096">
        <v>0.50900000000000001</v>
      </c>
      <c r="H252" s="281">
        <f>I252/$N$251</f>
        <v>0.48088081785187586</v>
      </c>
      <c r="I252" s="269">
        <v>207119.6</v>
      </c>
      <c r="J252" s="531">
        <f>-(H252-G252)*$N$251</f>
        <v>12111.179199999971</v>
      </c>
      <c r="K252" s="445"/>
      <c r="L252" s="3068" t="s">
        <v>362</v>
      </c>
      <c r="M252" s="3430"/>
      <c r="N252" s="3443">
        <f>N251+M29</f>
        <v>432820.79999999993</v>
      </c>
      <c r="O252" s="3444"/>
      <c r="P252" s="3445"/>
    </row>
    <row r="253" spans="1:16" s="1" customFormat="1" ht="26" customHeight="1" x14ac:dyDescent="0.2">
      <c r="A253" s="1536">
        <v>3</v>
      </c>
      <c r="B253" s="1568" t="s">
        <v>25</v>
      </c>
      <c r="C253" s="1568" t="s">
        <v>116</v>
      </c>
      <c r="D253" s="1519" t="s">
        <v>744</v>
      </c>
      <c r="E253" s="1519"/>
      <c r="F253" s="223" t="s">
        <v>49</v>
      </c>
      <c r="G253" s="1096">
        <v>0.59299999999999997</v>
      </c>
      <c r="H253" s="281">
        <f>I253/$N$251</f>
        <v>0.57070879443373346</v>
      </c>
      <c r="I253" s="269">
        <v>245809.3</v>
      </c>
      <c r="J253" s="531">
        <f>-(H253-G253)*$N$251</f>
        <v>9601.0183999999699</v>
      </c>
      <c r="K253" s="445"/>
      <c r="L253" s="3178"/>
      <c r="M253" s="3179"/>
      <c r="N253" s="3179"/>
      <c r="O253" s="3179"/>
      <c r="P253" s="3180"/>
    </row>
    <row r="254" spans="1:16" s="1" customFormat="1" ht="26" customHeight="1" x14ac:dyDescent="0.2">
      <c r="A254" s="3446">
        <v>4</v>
      </c>
      <c r="B254" s="1568" t="s">
        <v>25</v>
      </c>
      <c r="C254" s="1568" t="s">
        <v>116</v>
      </c>
      <c r="D254" s="1519" t="s">
        <v>808</v>
      </c>
      <c r="E254" s="1519"/>
      <c r="F254" s="223" t="s">
        <v>195</v>
      </c>
      <c r="G254" s="1096">
        <v>0.627</v>
      </c>
      <c r="H254" s="281">
        <f>I254/422807</f>
        <v>0.62700002601659854</v>
      </c>
      <c r="I254" s="269">
        <v>265100</v>
      </c>
      <c r="J254" s="531"/>
      <c r="K254" s="445"/>
      <c r="L254" s="3178"/>
      <c r="M254" s="3179"/>
      <c r="N254" s="3179"/>
      <c r="O254" s="3179"/>
      <c r="P254" s="3180"/>
    </row>
    <row r="255" spans="1:16" s="1" customFormat="1" ht="26" customHeight="1" x14ac:dyDescent="0.2">
      <c r="A255" s="3447"/>
      <c r="B255" s="1568" t="s">
        <v>25</v>
      </c>
      <c r="C255" s="1568" t="s">
        <v>116</v>
      </c>
      <c r="D255" s="1519" t="s">
        <v>810</v>
      </c>
      <c r="E255" s="1519"/>
      <c r="F255" s="223" t="s">
        <v>195</v>
      </c>
      <c r="G255" s="1096">
        <v>0.78400000000000003</v>
      </c>
      <c r="H255" s="281">
        <f>I255/8125.9</f>
        <v>0.71499772332910816</v>
      </c>
      <c r="I255" s="269">
        <v>5810</v>
      </c>
      <c r="J255" s="531">
        <f>-(H255-G255)*8125.9</f>
        <v>560.70560000000023</v>
      </c>
      <c r="K255" s="445"/>
      <c r="L255" s="3178"/>
      <c r="M255" s="3179"/>
      <c r="N255" s="3179"/>
      <c r="O255" s="3179"/>
      <c r="P255" s="3180"/>
    </row>
    <row r="256" spans="1:16" s="1" customFormat="1" ht="26" customHeight="1" x14ac:dyDescent="0.2">
      <c r="A256" s="3464">
        <v>5</v>
      </c>
      <c r="B256" s="1567" t="s">
        <v>25</v>
      </c>
      <c r="C256" s="1567" t="s">
        <v>116</v>
      </c>
      <c r="D256" s="1519" t="s">
        <v>809</v>
      </c>
      <c r="E256" s="1519"/>
      <c r="F256" s="223" t="s">
        <v>49</v>
      </c>
      <c r="G256" s="1096">
        <v>2.5000000000000001E-2</v>
      </c>
      <c r="H256" s="281">
        <f>I256/421600</f>
        <v>2.5000000000000001E-2</v>
      </c>
      <c r="I256" s="1041">
        <v>10540</v>
      </c>
      <c r="J256" s="531">
        <f>-(H256-G256)*$N$251</f>
        <v>0</v>
      </c>
      <c r="K256" s="445"/>
      <c r="L256" s="3178"/>
      <c r="M256" s="3179"/>
      <c r="N256" s="3179"/>
      <c r="O256" s="3179"/>
      <c r="P256" s="3180"/>
    </row>
    <row r="257" spans="1:16" s="1" customFormat="1" ht="26" customHeight="1" x14ac:dyDescent="0.2">
      <c r="A257" s="3465"/>
      <c r="B257" s="1568" t="s">
        <v>25</v>
      </c>
      <c r="C257" s="1568" t="s">
        <v>116</v>
      </c>
      <c r="D257" s="1519" t="s">
        <v>811</v>
      </c>
      <c r="E257" s="1519"/>
      <c r="F257" s="223" t="s">
        <v>49</v>
      </c>
      <c r="G257" s="1096">
        <v>2.8000000000000001E-2</v>
      </c>
      <c r="H257" s="281">
        <f>I257/11296.3</f>
        <v>2.6999991147543888E-2</v>
      </c>
      <c r="I257" s="1041">
        <v>305</v>
      </c>
      <c r="J257" s="70">
        <f>-(H257-G257)*11296.3</f>
        <v>11.296399999999986</v>
      </c>
      <c r="K257" s="445"/>
      <c r="L257" s="3178"/>
      <c r="M257" s="3179"/>
      <c r="N257" s="3179"/>
      <c r="O257" s="3179"/>
      <c r="P257" s="3180"/>
    </row>
    <row r="258" spans="1:16" s="1" customFormat="1" ht="26" customHeight="1" x14ac:dyDescent="0.2">
      <c r="A258" s="1536">
        <v>6</v>
      </c>
      <c r="B258" s="1568" t="s">
        <v>25</v>
      </c>
      <c r="C258" s="1568" t="s">
        <v>116</v>
      </c>
      <c r="D258" s="1519" t="s">
        <v>178</v>
      </c>
      <c r="E258" s="1519"/>
      <c r="F258" s="223" t="s">
        <v>49</v>
      </c>
      <c r="G258" s="1097">
        <v>1.0699999999999999E-2</v>
      </c>
      <c r="H258" s="270">
        <f>I258/$N$251</f>
        <v>1.0656852146972619E-2</v>
      </c>
      <c r="I258" s="269">
        <v>4590</v>
      </c>
      <c r="J258" s="531"/>
      <c r="K258" s="445"/>
      <c r="L258" s="3178"/>
      <c r="M258" s="3179"/>
      <c r="N258" s="3179"/>
      <c r="O258" s="3179"/>
      <c r="P258" s="3180"/>
    </row>
    <row r="259" spans="1:16" s="1" customFormat="1" ht="26" customHeight="1" x14ac:dyDescent="0.2">
      <c r="A259" s="1693">
        <v>7</v>
      </c>
      <c r="B259" s="1568" t="s">
        <v>25</v>
      </c>
      <c r="C259" s="1568" t="s">
        <v>116</v>
      </c>
      <c r="D259" s="1519" t="s">
        <v>197</v>
      </c>
      <c r="E259" s="1519"/>
      <c r="F259" s="223" t="s">
        <v>49</v>
      </c>
      <c r="G259" s="1102">
        <v>1.79</v>
      </c>
      <c r="H259" s="261">
        <f>I259/$N$251</f>
        <v>1.7504369541555689</v>
      </c>
      <c r="I259" s="269">
        <v>753928.6</v>
      </c>
      <c r="J259" s="531">
        <f>-(H259-G259)*$N$251</f>
        <v>17040.151999999925</v>
      </c>
      <c r="K259" s="445"/>
      <c r="L259" s="3178"/>
      <c r="M259" s="3179"/>
      <c r="N259" s="3179"/>
      <c r="O259" s="3179"/>
      <c r="P259" s="3180"/>
    </row>
    <row r="260" spans="1:16" s="1" customFormat="1" ht="26" customHeight="1" x14ac:dyDescent="0.2">
      <c r="A260" s="1536">
        <v>8</v>
      </c>
      <c r="B260" s="1568" t="s">
        <v>25</v>
      </c>
      <c r="C260" s="1568" t="s">
        <v>116</v>
      </c>
      <c r="D260" s="1519" t="s">
        <v>198</v>
      </c>
      <c r="E260" s="1519"/>
      <c r="F260" s="223" t="s">
        <v>49</v>
      </c>
      <c r="G260" s="1097">
        <v>8.0999999999999996E-3</v>
      </c>
      <c r="H260" s="270">
        <f>I260/$N$251</f>
        <v>8.126139981351671E-3</v>
      </c>
      <c r="I260" s="269">
        <v>3500</v>
      </c>
      <c r="J260" s="531"/>
      <c r="K260" s="445"/>
      <c r="L260" s="3178"/>
      <c r="M260" s="3179"/>
      <c r="N260" s="3179"/>
      <c r="O260" s="3179"/>
      <c r="P260" s="3180"/>
    </row>
    <row r="261" spans="1:16" s="1" customFormat="1" ht="26" customHeight="1" x14ac:dyDescent="0.2">
      <c r="A261" s="1536">
        <v>9</v>
      </c>
      <c r="B261" s="1568" t="s">
        <v>25</v>
      </c>
      <c r="C261" s="1568" t="s">
        <v>116</v>
      </c>
      <c r="D261" s="1519" t="s">
        <v>199</v>
      </c>
      <c r="E261" s="1519"/>
      <c r="F261" s="223" t="s">
        <v>195</v>
      </c>
      <c r="G261" s="1096">
        <v>6.3E-2</v>
      </c>
      <c r="H261" s="268">
        <f>I261/$N$251</f>
        <v>6.2687365570427173E-2</v>
      </c>
      <c r="I261" s="269">
        <v>27000</v>
      </c>
      <c r="J261" s="531"/>
      <c r="K261" s="445"/>
      <c r="L261" s="3178"/>
      <c r="M261" s="3179"/>
      <c r="N261" s="3179"/>
      <c r="O261" s="3179"/>
      <c r="P261" s="3180"/>
    </row>
    <row r="262" spans="1:16" s="1" customFormat="1" ht="26" customHeight="1" x14ac:dyDescent="0.2">
      <c r="A262" s="1536">
        <v>10</v>
      </c>
      <c r="B262" s="1568" t="s">
        <v>25</v>
      </c>
      <c r="C262" s="1568" t="s">
        <v>116</v>
      </c>
      <c r="D262" s="1519" t="s">
        <v>185</v>
      </c>
      <c r="E262" s="1519"/>
      <c r="F262" s="223" t="s">
        <v>195</v>
      </c>
      <c r="G262" s="1097"/>
      <c r="H262" s="261"/>
      <c r="I262" s="269">
        <v>7000</v>
      </c>
      <c r="J262" s="531">
        <f>-(H262-G262)*$N$251</f>
        <v>0</v>
      </c>
      <c r="K262" s="445">
        <f>(H262-G262)*$N$251</f>
        <v>0</v>
      </c>
      <c r="L262" s="3178" t="s">
        <v>812</v>
      </c>
      <c r="M262" s="3179"/>
      <c r="N262" s="3179"/>
      <c r="O262" s="3179"/>
      <c r="P262" s="3180"/>
    </row>
    <row r="263" spans="1:16" s="1" customFormat="1" ht="26" customHeight="1" x14ac:dyDescent="0.2">
      <c r="A263" s="1536">
        <v>11</v>
      </c>
      <c r="B263" s="1568" t="s">
        <v>25</v>
      </c>
      <c r="C263" s="1568" t="s">
        <v>116</v>
      </c>
      <c r="D263" s="1519" t="s">
        <v>179</v>
      </c>
      <c r="E263" s="1519"/>
      <c r="F263" s="223" t="s">
        <v>49</v>
      </c>
      <c r="G263" s="1096">
        <v>2.5999999999999999E-2</v>
      </c>
      <c r="H263" s="268">
        <f>I263/$N$251</f>
        <v>7.4760487828435376E-2</v>
      </c>
      <c r="I263" s="269">
        <v>32200</v>
      </c>
      <c r="J263" s="531"/>
      <c r="K263" s="445">
        <f>(H263-G263)*$N$251</f>
        <v>21001.571200000006</v>
      </c>
      <c r="L263" s="3178" t="s">
        <v>653</v>
      </c>
      <c r="M263" s="3179"/>
      <c r="N263" s="3179"/>
      <c r="O263" s="3179"/>
      <c r="P263" s="3180"/>
    </row>
    <row r="264" spans="1:16" s="1" customFormat="1" ht="26" customHeight="1" x14ac:dyDescent="0.2">
      <c r="A264" s="1536">
        <v>12</v>
      </c>
      <c r="B264" s="1584" t="s">
        <v>25</v>
      </c>
      <c r="C264" s="1584" t="s">
        <v>116</v>
      </c>
      <c r="D264" s="1519" t="s">
        <v>206</v>
      </c>
      <c r="E264" s="1519"/>
      <c r="F264" s="223" t="s">
        <v>49</v>
      </c>
      <c r="G264" s="1096">
        <v>3.0000000000000001E-3</v>
      </c>
      <c r="H264" s="268">
        <f>I264/$N$251</f>
        <v>3.7148068486179066E-3</v>
      </c>
      <c r="I264" s="269">
        <v>1600</v>
      </c>
      <c r="J264" s="531"/>
      <c r="K264" s="445">
        <f>(H264-G264)*$N$251</f>
        <v>307.87360000000012</v>
      </c>
      <c r="L264" s="3178" t="s">
        <v>653</v>
      </c>
      <c r="M264" s="3179"/>
      <c r="N264" s="3179"/>
      <c r="O264" s="3179"/>
      <c r="P264" s="3180"/>
    </row>
    <row r="265" spans="1:16" s="1" customFormat="1" ht="26" customHeight="1" x14ac:dyDescent="0.2">
      <c r="A265" s="3199" t="s">
        <v>827</v>
      </c>
      <c r="B265" s="3199"/>
      <c r="C265" s="3199"/>
      <c r="D265" s="3199"/>
      <c r="E265" s="3199"/>
      <c r="F265" s="3199"/>
      <c r="G265" s="3199"/>
      <c r="H265" s="3199"/>
      <c r="I265" s="3199"/>
      <c r="J265" s="3199"/>
      <c r="K265" s="3199"/>
      <c r="L265" s="3199"/>
      <c r="M265" s="3199"/>
      <c r="N265" s="3199"/>
    </row>
    <row r="266" spans="1:16" s="1" customFormat="1" ht="26" customHeight="1" x14ac:dyDescent="0.2">
      <c r="A266" s="2475" t="s">
        <v>57</v>
      </c>
      <c r="B266" s="2475"/>
      <c r="C266" s="2475"/>
      <c r="D266" s="2475"/>
      <c r="E266" s="2475"/>
      <c r="F266" s="2475"/>
      <c r="G266" s="2475"/>
      <c r="H266" s="2475"/>
      <c r="I266" s="2475"/>
      <c r="J266" s="2475"/>
      <c r="K266" s="2475"/>
      <c r="L266" s="2475"/>
      <c r="M266" s="2475"/>
      <c r="N266" s="2475"/>
    </row>
    <row r="267" spans="1:16" s="1" customFormat="1" ht="26" customHeight="1" x14ac:dyDescent="0.2">
      <c r="A267" s="1" t="s">
        <v>908</v>
      </c>
      <c r="D267" s="43"/>
      <c r="E267" s="43"/>
      <c r="G267" s="43"/>
      <c r="K267" s="78"/>
      <c r="N267" s="1063"/>
    </row>
    <row r="268" spans="1:16" s="1" customFormat="1" ht="30" customHeight="1" x14ac:dyDescent="0.2">
      <c r="A268" s="2663" t="s">
        <v>831</v>
      </c>
      <c r="B268" s="2663"/>
      <c r="C268" s="2663"/>
      <c r="D268" s="2663"/>
      <c r="E268" s="2663"/>
      <c r="F268" s="2663"/>
      <c r="G268" s="2663"/>
      <c r="H268" s="2663"/>
      <c r="I268" s="2663"/>
      <c r="J268" s="2663"/>
      <c r="K268" s="2663"/>
      <c r="L268" s="2663"/>
      <c r="M268" s="2663"/>
      <c r="N268" s="2663"/>
    </row>
    <row r="269" spans="1:16" s="1" customFormat="1" ht="96" customHeight="1" x14ac:dyDescent="0.2">
      <c r="A269" s="3203" t="s">
        <v>832</v>
      </c>
      <c r="B269" s="3203"/>
      <c r="C269" s="3203"/>
      <c r="D269" s="3203"/>
      <c r="E269" s="3203"/>
      <c r="F269" s="3203"/>
      <c r="G269" s="3203"/>
      <c r="H269" s="3203"/>
      <c r="I269" s="3203"/>
      <c r="J269" s="3203"/>
      <c r="K269" s="3203"/>
      <c r="L269" s="3203"/>
      <c r="M269" s="3203"/>
      <c r="N269" s="1063"/>
    </row>
    <row r="270" spans="1:16" s="1" customFormat="1" ht="21" customHeight="1" x14ac:dyDescent="0.2">
      <c r="A270" s="2475" t="s">
        <v>414</v>
      </c>
      <c r="B270" s="2475"/>
      <c r="C270" s="2475"/>
      <c r="D270" s="2475"/>
      <c r="E270" s="2475"/>
      <c r="F270" s="2475"/>
      <c r="G270" s="2475"/>
      <c r="H270" s="2475"/>
      <c r="I270" s="2475"/>
      <c r="J270" s="2475"/>
      <c r="K270" s="2475"/>
      <c r="L270" s="2475"/>
      <c r="M270" s="2475"/>
      <c r="N270" s="2475"/>
    </row>
    <row r="271" spans="1:16" s="1" customFormat="1" ht="26" customHeight="1" x14ac:dyDescent="0.2">
      <c r="A271" s="2663" t="s">
        <v>843</v>
      </c>
      <c r="B271" s="2663"/>
      <c r="C271" s="2663"/>
      <c r="D271" s="2663"/>
      <c r="E271" s="2663"/>
      <c r="F271" s="2663"/>
      <c r="G271" s="2663"/>
      <c r="H271" s="2663"/>
      <c r="I271" s="2663"/>
      <c r="J271" s="2663"/>
      <c r="K271" s="2663"/>
      <c r="L271" s="2663"/>
      <c r="M271" s="2663"/>
      <c r="N271" s="2663"/>
    </row>
    <row r="272" spans="1:16" s="1" customFormat="1" ht="31" customHeight="1" x14ac:dyDescent="0.2">
      <c r="A272" s="2663" t="s">
        <v>831</v>
      </c>
      <c r="B272" s="2663"/>
      <c r="C272" s="2663"/>
      <c r="D272" s="2663"/>
      <c r="E272" s="2663"/>
      <c r="F272" s="2663"/>
      <c r="G272" s="2663"/>
      <c r="H272" s="2663"/>
      <c r="I272" s="2663"/>
      <c r="J272" s="2663"/>
      <c r="K272" s="2663"/>
      <c r="L272" s="2663"/>
      <c r="M272" s="2663"/>
      <c r="N272" s="2663"/>
    </row>
    <row r="273" spans="1:14" s="1" customFormat="1" ht="26" customHeight="1" x14ac:dyDescent="0.2">
      <c r="A273" s="2475" t="s">
        <v>60</v>
      </c>
      <c r="B273" s="2475"/>
      <c r="C273" s="2475"/>
      <c r="D273" s="2475"/>
      <c r="E273" s="2475"/>
      <c r="F273" s="2475"/>
      <c r="G273" s="2475"/>
      <c r="H273" s="2475"/>
      <c r="I273" s="2475"/>
      <c r="J273" s="2475"/>
      <c r="K273" s="2475"/>
      <c r="L273" s="2475"/>
      <c r="M273" s="2475"/>
      <c r="N273" s="2475"/>
    </row>
    <row r="274" spans="1:14" s="1" customFormat="1" ht="26" customHeight="1" x14ac:dyDescent="0.2">
      <c r="A274" s="79" t="s">
        <v>551</v>
      </c>
      <c r="B274" s="85"/>
      <c r="C274" s="85"/>
      <c r="D274" s="85"/>
      <c r="E274" s="85"/>
      <c r="F274" s="85"/>
      <c r="G274" s="85"/>
      <c r="H274" s="399"/>
      <c r="I274" s="450"/>
      <c r="J274" s="85"/>
      <c r="K274" s="85"/>
      <c r="L274" s="85"/>
      <c r="M274" s="85"/>
      <c r="N274" s="86"/>
    </row>
    <row r="275" spans="1:14" s="1" customFormat="1" ht="41" customHeight="1" x14ac:dyDescent="0.2">
      <c r="A275" s="2663" t="s">
        <v>909</v>
      </c>
      <c r="B275" s="2663"/>
      <c r="C275" s="2663"/>
      <c r="D275" s="2663"/>
      <c r="E275" s="2663"/>
      <c r="F275" s="2663"/>
      <c r="G275" s="2663"/>
      <c r="H275" s="2663"/>
      <c r="I275" s="2663"/>
      <c r="J275" s="2663"/>
      <c r="K275" s="2663"/>
      <c r="L275" s="2663"/>
      <c r="M275" s="2663"/>
      <c r="N275" s="2663"/>
    </row>
    <row r="276" spans="1:14" s="1" customFormat="1" ht="40" customHeight="1" x14ac:dyDescent="0.2">
      <c r="A276" s="2663" t="s">
        <v>892</v>
      </c>
      <c r="B276" s="2725"/>
      <c r="C276" s="2725"/>
      <c r="D276" s="2725"/>
      <c r="E276" s="2725"/>
      <c r="F276" s="2725"/>
      <c r="G276" s="2725"/>
      <c r="H276" s="2725"/>
      <c r="I276" s="2725"/>
      <c r="J276" s="2725"/>
      <c r="K276" s="2725"/>
      <c r="L276" s="2725"/>
      <c r="M276" s="2725"/>
      <c r="N276" s="2725"/>
    </row>
    <row r="277" spans="1:14" s="1" customFormat="1" ht="26" customHeight="1" x14ac:dyDescent="0.2">
      <c r="A277" s="42" t="s">
        <v>64</v>
      </c>
      <c r="B277" s="84"/>
      <c r="C277" s="84"/>
      <c r="D277" s="84"/>
      <c r="E277" s="84"/>
      <c r="F277" s="84"/>
      <c r="G277" s="84"/>
      <c r="H277" s="394"/>
      <c r="I277" s="451"/>
      <c r="J277" s="355"/>
      <c r="K277" s="355"/>
      <c r="L277" s="84"/>
      <c r="M277" s="84"/>
      <c r="N277" s="350"/>
    </row>
    <row r="278" spans="1:14" s="1" customFormat="1" ht="26" customHeight="1" x14ac:dyDescent="0.2">
      <c r="A278" s="79" t="s">
        <v>65</v>
      </c>
      <c r="B278" s="84"/>
      <c r="C278" s="84"/>
      <c r="D278" s="84"/>
      <c r="E278" s="84"/>
      <c r="F278" s="84"/>
      <c r="G278" s="84"/>
      <c r="H278" s="394"/>
      <c r="I278" s="451"/>
      <c r="J278" s="355"/>
      <c r="K278" s="355"/>
      <c r="L278" s="84"/>
      <c r="M278" s="84"/>
      <c r="N278" s="350"/>
    </row>
    <row r="279" spans="1:14" s="1" customFormat="1" ht="38" customHeight="1" x14ac:dyDescent="0.2">
      <c r="A279" s="2663" t="s">
        <v>834</v>
      </c>
      <c r="B279" s="2663"/>
      <c r="C279" s="2663"/>
      <c r="D279" s="2663"/>
      <c r="E279" s="2663"/>
      <c r="F279" s="2663"/>
      <c r="G279" s="2663"/>
      <c r="H279" s="2663"/>
      <c r="I279" s="2663"/>
      <c r="J279" s="2663"/>
      <c r="K279" s="2663"/>
      <c r="L279" s="2663"/>
      <c r="M279" s="2663"/>
      <c r="N279" s="2663"/>
    </row>
    <row r="280" spans="1:14" s="1" customFormat="1" ht="38" customHeight="1" x14ac:dyDescent="0.2">
      <c r="A280" s="2663" t="s">
        <v>835</v>
      </c>
      <c r="B280" s="2663"/>
      <c r="C280" s="2663"/>
      <c r="D280" s="2663"/>
      <c r="E280" s="2663"/>
      <c r="F280" s="2663"/>
      <c r="G280" s="2663"/>
      <c r="H280" s="2663"/>
      <c r="I280" s="2663"/>
      <c r="J280" s="2663"/>
      <c r="K280" s="2663"/>
      <c r="L280" s="2663"/>
      <c r="M280" s="2663"/>
      <c r="N280" s="2663"/>
    </row>
    <row r="281" spans="1:14" s="1" customFormat="1" ht="26" customHeight="1" x14ac:dyDescent="0.2">
      <c r="A281" s="79" t="s">
        <v>646</v>
      </c>
      <c r="B281" s="84"/>
      <c r="C281" s="84"/>
      <c r="D281" s="84"/>
      <c r="E281" s="84"/>
      <c r="F281" s="84"/>
      <c r="G281" s="84"/>
      <c r="H281" s="394"/>
      <c r="I281" s="451"/>
      <c r="J281" s="355"/>
      <c r="K281" s="355"/>
      <c r="L281" s="84"/>
      <c r="M281" s="84"/>
      <c r="N281" s="350"/>
    </row>
    <row r="282" spans="1:14" s="1" customFormat="1" ht="26" customHeight="1" x14ac:dyDescent="0.2">
      <c r="A282" s="79" t="s">
        <v>833</v>
      </c>
      <c r="H282" s="78"/>
      <c r="I282" s="447"/>
      <c r="J282" s="71"/>
      <c r="K282" s="71"/>
      <c r="N282" s="209"/>
    </row>
    <row r="283" spans="1:14" s="1" customFormat="1" ht="26" customHeight="1" x14ac:dyDescent="0.2">
      <c r="A283" s="335" t="s">
        <v>571</v>
      </c>
      <c r="H283" s="78"/>
      <c r="I283" s="447"/>
      <c r="J283" s="71"/>
      <c r="K283" s="71"/>
      <c r="N283" s="209"/>
    </row>
    <row r="284" spans="1:14" s="1" customFormat="1" ht="26" customHeight="1" x14ac:dyDescent="0.2">
      <c r="A284" s="79" t="s">
        <v>572</v>
      </c>
      <c r="H284" s="78"/>
      <c r="I284" s="447"/>
      <c r="J284" s="71"/>
      <c r="K284" s="71"/>
      <c r="N284" s="209"/>
    </row>
    <row r="285" spans="1:14" s="1" customFormat="1" ht="37" customHeight="1" x14ac:dyDescent="0.2">
      <c r="A285" s="2663" t="s">
        <v>836</v>
      </c>
      <c r="B285" s="2663"/>
      <c r="C285" s="2663"/>
      <c r="D285" s="2663"/>
      <c r="E285" s="2663"/>
      <c r="F285" s="2663"/>
      <c r="G285" s="2663"/>
      <c r="H285" s="2663"/>
      <c r="I285" s="2663"/>
      <c r="J285" s="2663"/>
      <c r="K285" s="2663"/>
      <c r="L285" s="2663"/>
      <c r="M285" s="2663"/>
      <c r="N285" s="2663"/>
    </row>
    <row r="286" spans="1:14" s="1" customFormat="1" ht="26" customHeight="1" x14ac:dyDescent="0.2">
      <c r="A286" s="2829" t="s">
        <v>758</v>
      </c>
      <c r="B286" s="2829"/>
      <c r="C286" s="2829"/>
      <c r="D286" s="2829"/>
      <c r="E286" s="2829"/>
      <c r="F286" s="2829"/>
      <c r="G286" s="2829"/>
      <c r="H286" s="2829"/>
      <c r="I286" s="2829"/>
      <c r="J286" s="2829"/>
      <c r="K286" s="2829"/>
      <c r="L286" s="2829"/>
      <c r="M286" s="2829"/>
      <c r="N286" s="2829"/>
    </row>
    <row r="287" spans="1:14" s="1" customFormat="1" ht="26" customHeight="1" x14ac:dyDescent="0.2">
      <c r="A287" s="2475" t="s">
        <v>820</v>
      </c>
      <c r="B287" s="2475"/>
      <c r="C287" s="2475"/>
      <c r="D287" s="2475"/>
      <c r="E287" s="2475"/>
      <c r="F287" s="2475"/>
      <c r="G287" s="2475"/>
      <c r="H287" s="2475"/>
      <c r="I287" s="2475"/>
      <c r="J287" s="2475"/>
      <c r="K287" s="2475"/>
      <c r="L287" s="2475"/>
      <c r="M287" s="2475"/>
      <c r="N287" s="2475"/>
    </row>
    <row r="288" spans="1:14" s="1" customFormat="1" ht="26" customHeight="1" x14ac:dyDescent="0.2">
      <c r="A288" s="957" t="s">
        <v>577</v>
      </c>
      <c r="B288" s="5"/>
      <c r="C288" s="5"/>
      <c r="D288" s="5"/>
      <c r="E288" s="5"/>
      <c r="F288" s="5"/>
      <c r="G288" s="5"/>
      <c r="H288" s="5"/>
      <c r="I288" s="5"/>
      <c r="J288" s="5"/>
      <c r="K288" s="5"/>
      <c r="L288" s="5"/>
      <c r="M288" s="5"/>
      <c r="N288" s="5"/>
    </row>
    <row r="289" spans="1:17" s="1" customFormat="1" ht="37" customHeight="1" x14ac:dyDescent="0.2">
      <c r="A289" s="2725" t="s">
        <v>670</v>
      </c>
      <c r="B289" s="2725"/>
      <c r="C289" s="2725"/>
      <c r="D289" s="2725"/>
      <c r="E289" s="2725"/>
      <c r="F289" s="2725"/>
      <c r="G289" s="2725"/>
      <c r="H289" s="2725"/>
      <c r="I289" s="2725"/>
      <c r="J289" s="2725"/>
      <c r="K289" s="2725"/>
      <c r="L289" s="2725"/>
      <c r="M289" s="2725"/>
      <c r="N289" s="2725"/>
    </row>
    <row r="290" spans="1:17" s="1" customFormat="1" ht="26" customHeight="1" x14ac:dyDescent="0.2">
      <c r="A290" s="3173" t="s">
        <v>837</v>
      </c>
      <c r="B290" s="3173"/>
      <c r="C290" s="3173"/>
      <c r="D290" s="3173"/>
      <c r="E290" s="3173"/>
      <c r="F290" s="3173"/>
      <c r="G290" s="3173"/>
      <c r="H290" s="3173"/>
      <c r="I290" s="3173"/>
      <c r="J290" s="3173"/>
      <c r="K290" s="3173"/>
      <c r="L290" s="3173"/>
      <c r="M290" s="3173"/>
      <c r="N290" s="3173"/>
    </row>
    <row r="291" spans="1:17" s="1" customFormat="1" ht="41" customHeight="1" x14ac:dyDescent="0.2">
      <c r="A291" s="2663" t="s">
        <v>894</v>
      </c>
      <c r="B291" s="2663"/>
      <c r="C291" s="2663"/>
      <c r="D291" s="2663"/>
      <c r="E291" s="2663"/>
      <c r="F291" s="2663"/>
      <c r="G291" s="2663"/>
      <c r="H291" s="2663"/>
      <c r="I291" s="2663"/>
      <c r="J291" s="2663"/>
      <c r="K291" s="2663"/>
      <c r="L291" s="2663"/>
      <c r="M291" s="2663"/>
      <c r="N291" s="2663"/>
    </row>
    <row r="292" spans="1:17" s="1" customFormat="1" ht="27" customHeight="1" x14ac:dyDescent="0.2">
      <c r="A292" s="2663" t="s">
        <v>893</v>
      </c>
      <c r="B292" s="2663"/>
      <c r="C292" s="2663"/>
      <c r="D292" s="2663"/>
      <c r="E292" s="2663"/>
      <c r="F292" s="2663"/>
      <c r="G292" s="2663"/>
      <c r="H292" s="2663"/>
      <c r="I292" s="2663"/>
      <c r="J292" s="2663"/>
      <c r="K292" s="2663"/>
      <c r="L292" s="2663"/>
      <c r="M292" s="2663"/>
      <c r="N292" s="2663"/>
    </row>
    <row r="293" spans="1:17" s="1" customFormat="1" ht="38" customHeight="1" x14ac:dyDescent="0.2">
      <c r="A293" s="2725" t="s">
        <v>895</v>
      </c>
      <c r="B293" s="2725"/>
      <c r="C293" s="2725"/>
      <c r="D293" s="2725"/>
      <c r="E293" s="2725"/>
      <c r="F293" s="2725"/>
      <c r="G293" s="2725"/>
      <c r="H293" s="2725"/>
      <c r="I293" s="2725"/>
      <c r="J293" s="2725"/>
      <c r="K293" s="2725"/>
      <c r="L293" s="2725"/>
      <c r="M293" s="2725"/>
      <c r="N293" s="2725"/>
    </row>
    <row r="294" spans="1:17" s="1" customFormat="1" ht="26" customHeight="1" x14ac:dyDescent="0.2">
      <c r="A294" s="1" t="s">
        <v>69</v>
      </c>
      <c r="E294" s="43"/>
      <c r="F294" s="43"/>
      <c r="H294" s="78"/>
      <c r="I294" s="447"/>
      <c r="J294" s="71"/>
      <c r="K294" s="71"/>
      <c r="N294" s="209"/>
    </row>
    <row r="295" spans="1:17" s="1" customFormat="1" ht="29" customHeight="1" x14ac:dyDescent="0.2">
      <c r="A295" s="42" t="s">
        <v>828</v>
      </c>
      <c r="H295" s="78"/>
      <c r="I295" s="447"/>
      <c r="J295" s="71"/>
      <c r="K295" s="71"/>
      <c r="N295" s="209"/>
    </row>
    <row r="296" spans="1:17" s="1" customFormat="1" ht="30" customHeight="1" x14ac:dyDescent="0.2">
      <c r="A296" s="42" t="s">
        <v>782</v>
      </c>
      <c r="H296" s="78"/>
      <c r="I296" s="447"/>
      <c r="J296" s="71"/>
      <c r="K296" s="71"/>
      <c r="N296" s="209"/>
    </row>
    <row r="297" spans="1:17" s="1" customFormat="1" ht="41" customHeight="1" x14ac:dyDescent="0.2">
      <c r="A297" s="3224" t="s">
        <v>39</v>
      </c>
      <c r="B297" s="3224" t="s">
        <v>34</v>
      </c>
      <c r="C297" s="3224" t="s">
        <v>6</v>
      </c>
      <c r="D297" s="3224" t="s">
        <v>40</v>
      </c>
      <c r="E297" s="3224" t="s">
        <v>1034</v>
      </c>
      <c r="F297" s="3226" t="s">
        <v>41</v>
      </c>
      <c r="G297" s="3227"/>
      <c r="H297" s="3228"/>
      <c r="I297" s="50" t="s">
        <v>42</v>
      </c>
      <c r="J297" s="1732" t="s">
        <v>43</v>
      </c>
      <c r="K297" s="406" t="s">
        <v>44</v>
      </c>
      <c r="L297" s="1732" t="s">
        <v>535</v>
      </c>
      <c r="M297" s="1732"/>
      <c r="N297" s="1731" t="s">
        <v>45</v>
      </c>
      <c r="O297" s="1732" t="s">
        <v>46</v>
      </c>
      <c r="P297" s="3229" t="s">
        <v>531</v>
      </c>
      <c r="Q297" s="3229" t="s">
        <v>47</v>
      </c>
    </row>
    <row r="298" spans="1:17" s="2" customFormat="1" ht="33" customHeight="1" x14ac:dyDescent="0.2">
      <c r="A298" s="3225"/>
      <c r="B298" s="3225"/>
      <c r="C298" s="3225" t="s">
        <v>6</v>
      </c>
      <c r="D298" s="3225"/>
      <c r="E298" s="3225"/>
      <c r="F298" s="50" t="s">
        <v>48</v>
      </c>
      <c r="G298" s="69" t="s">
        <v>527</v>
      </c>
      <c r="H298" s="69" t="s">
        <v>528</v>
      </c>
      <c r="I298" s="50" t="s">
        <v>164</v>
      </c>
      <c r="J298" s="50" t="s">
        <v>530</v>
      </c>
      <c r="K298" s="537" t="s">
        <v>529</v>
      </c>
      <c r="L298" s="50" t="s">
        <v>164</v>
      </c>
      <c r="M298" s="69" t="s">
        <v>532</v>
      </c>
      <c r="N298" s="406" t="s">
        <v>529</v>
      </c>
      <c r="O298" s="1732" t="s">
        <v>164</v>
      </c>
      <c r="P298" s="3230"/>
      <c r="Q298" s="3230"/>
    </row>
    <row r="299" spans="1:17" ht="57" customHeight="1" x14ac:dyDescent="0.2">
      <c r="A299" s="51">
        <v>1</v>
      </c>
      <c r="B299" s="51" t="s">
        <v>5</v>
      </c>
      <c r="C299" s="51" t="s">
        <v>115</v>
      </c>
      <c r="D299" s="894" t="s">
        <v>791</v>
      </c>
      <c r="E299" s="723" t="s">
        <v>1035</v>
      </c>
      <c r="F299" s="1190">
        <v>7403</v>
      </c>
      <c r="G299" s="1191" t="s">
        <v>785</v>
      </c>
      <c r="H299" s="1191" t="s">
        <v>786</v>
      </c>
      <c r="I299" s="55">
        <v>53616</v>
      </c>
      <c r="J299" s="1748"/>
      <c r="K299" s="1749"/>
      <c r="L299" s="1749"/>
      <c r="M299" s="1749"/>
      <c r="N299" s="1749"/>
      <c r="O299" s="1749"/>
      <c r="P299" s="1750"/>
      <c r="Q299" s="871" t="s">
        <v>788</v>
      </c>
    </row>
    <row r="300" spans="1:17" ht="49" customHeight="1" x14ac:dyDescent="0.2">
      <c r="A300" s="51">
        <v>2</v>
      </c>
      <c r="B300" s="51" t="s">
        <v>5</v>
      </c>
      <c r="C300" s="51" t="s">
        <v>115</v>
      </c>
      <c r="D300" s="894" t="s">
        <v>791</v>
      </c>
      <c r="E300" s="723" t="s">
        <v>1036</v>
      </c>
      <c r="F300" s="1190">
        <v>7403</v>
      </c>
      <c r="G300" s="1191" t="s">
        <v>785</v>
      </c>
      <c r="H300" s="1191" t="s">
        <v>786</v>
      </c>
      <c r="I300" s="61">
        <v>409152</v>
      </c>
      <c r="J300" s="66">
        <v>140333</v>
      </c>
      <c r="K300" s="70">
        <f>I300/J300</f>
        <v>2.9155793719224987</v>
      </c>
      <c r="L300" s="66">
        <v>39524</v>
      </c>
      <c r="M300" s="870">
        <f>L300/(L300+I300)*100</f>
        <v>8.8090292326756945</v>
      </c>
      <c r="N300" s="722">
        <f>(I300+L300)/J300</f>
        <v>3.1972237463746946</v>
      </c>
      <c r="O300" s="1168">
        <v>10461</v>
      </c>
      <c r="P300" s="70">
        <f>(I300+L300+O300)/J300</f>
        <v>3.2717678664319867</v>
      </c>
      <c r="Q300" s="871" t="s">
        <v>789</v>
      </c>
    </row>
    <row r="301" spans="1:17" ht="49" customHeight="1" x14ac:dyDescent="0.2">
      <c r="A301" s="51">
        <v>3</v>
      </c>
      <c r="B301" s="51" t="s">
        <v>5</v>
      </c>
      <c r="C301" s="51" t="s">
        <v>115</v>
      </c>
      <c r="D301" s="894" t="s">
        <v>787</v>
      </c>
      <c r="E301" s="723" t="s">
        <v>1036</v>
      </c>
      <c r="F301" s="1190">
        <v>7679</v>
      </c>
      <c r="G301" s="1191">
        <v>4.7</v>
      </c>
      <c r="H301" s="1192">
        <v>2</v>
      </c>
      <c r="I301" s="61">
        <v>452916</v>
      </c>
      <c r="J301" s="66">
        <v>168263.32</v>
      </c>
      <c r="K301" s="56">
        <f>I301/J301</f>
        <v>2.6917096370141751</v>
      </c>
      <c r="L301" s="66">
        <v>26178</v>
      </c>
      <c r="M301" s="870">
        <f>L301/(L301+I301)*100</f>
        <v>5.4640634197046927</v>
      </c>
      <c r="N301" s="722">
        <f>(I301+L301)/J301</f>
        <v>2.8472872162512899</v>
      </c>
      <c r="O301" s="1193">
        <v>0</v>
      </c>
      <c r="P301" s="1151" t="s">
        <v>850</v>
      </c>
      <c r="Q301" s="893" t="s">
        <v>790</v>
      </c>
    </row>
    <row r="302" spans="1:17" s="1" customFormat="1" ht="27" customHeight="1" x14ac:dyDescent="0.2">
      <c r="A302" s="3335" t="s">
        <v>896</v>
      </c>
      <c r="B302" s="3335"/>
      <c r="C302" s="3335"/>
      <c r="D302" s="3335"/>
      <c r="E302" s="3335"/>
      <c r="F302" s="3335"/>
      <c r="G302" s="3335"/>
      <c r="H302" s="3335"/>
      <c r="I302" s="58">
        <f>SUM(I299:I301)</f>
        <v>915684</v>
      </c>
      <c r="J302" s="65">
        <f>SUM(J299:J301)</f>
        <v>308596.32</v>
      </c>
      <c r="K302" s="59">
        <f>I302/J302</f>
        <v>2.9672550858675177</v>
      </c>
      <c r="L302" s="726">
        <f>SUM(L299:L301)</f>
        <v>65702</v>
      </c>
      <c r="M302" s="360">
        <f>L302/(L302+I302)*100</f>
        <v>6.694817329776459</v>
      </c>
      <c r="N302" s="360">
        <f>(I302+L302)/J302</f>
        <v>3.1801610596004513</v>
      </c>
      <c r="O302" s="65">
        <f>SUM(O299:O301)</f>
        <v>10461</v>
      </c>
      <c r="P302" s="59">
        <f>(I302+L302+O302)/J302</f>
        <v>3.2140597139978855</v>
      </c>
      <c r="Q302" s="264"/>
    </row>
    <row r="303" spans="1:17" s="1" customFormat="1" ht="27" customHeight="1" x14ac:dyDescent="0.2">
      <c r="A303" s="67"/>
      <c r="B303" s="67"/>
      <c r="C303" s="67"/>
      <c r="D303" s="67"/>
      <c r="E303" s="67"/>
      <c r="F303" s="1125"/>
      <c r="G303" s="1188"/>
      <c r="H303" s="1127"/>
      <c r="I303" s="1189"/>
      <c r="J303" s="1129"/>
      <c r="K303" s="1129"/>
      <c r="L303" s="1188"/>
      <c r="M303" s="1127"/>
      <c r="N303" s="272"/>
    </row>
    <row r="304" spans="1:17" s="1" customFormat="1" ht="24" customHeight="1" x14ac:dyDescent="0.2">
      <c r="A304" s="42" t="s">
        <v>51</v>
      </c>
      <c r="H304" s="78"/>
      <c r="I304" s="447"/>
      <c r="J304" s="71"/>
      <c r="K304" s="71"/>
      <c r="N304" s="209"/>
    </row>
    <row r="305" spans="1:17" ht="39" customHeight="1" x14ac:dyDescent="0.2">
      <c r="A305" s="3224" t="s">
        <v>39</v>
      </c>
      <c r="B305" s="3224" t="s">
        <v>34</v>
      </c>
      <c r="C305" s="3224" t="s">
        <v>6</v>
      </c>
      <c r="D305" s="3224" t="s">
        <v>40</v>
      </c>
      <c r="E305" s="3224" t="s">
        <v>1034</v>
      </c>
      <c r="F305" s="3226" t="s">
        <v>41</v>
      </c>
      <c r="G305" s="3227"/>
      <c r="H305" s="3228"/>
      <c r="I305" s="50" t="s">
        <v>42</v>
      </c>
      <c r="J305" s="1732" t="s">
        <v>43</v>
      </c>
      <c r="K305" s="406" t="s">
        <v>44</v>
      </c>
      <c r="L305" s="1732" t="s">
        <v>535</v>
      </c>
      <c r="M305" s="1732"/>
      <c r="N305" s="1731" t="s">
        <v>45</v>
      </c>
      <c r="O305" s="1732" t="s">
        <v>46</v>
      </c>
      <c r="P305" s="3229" t="s">
        <v>531</v>
      </c>
      <c r="Q305" s="3229" t="s">
        <v>47</v>
      </c>
    </row>
    <row r="306" spans="1:17" ht="37" customHeight="1" x14ac:dyDescent="0.2">
      <c r="A306" s="3225"/>
      <c r="B306" s="3225"/>
      <c r="C306" s="3225" t="s">
        <v>6</v>
      </c>
      <c r="D306" s="3225"/>
      <c r="E306" s="3225"/>
      <c r="F306" s="50" t="s">
        <v>48</v>
      </c>
      <c r="G306" s="69" t="s">
        <v>527</v>
      </c>
      <c r="H306" s="69" t="s">
        <v>528</v>
      </c>
      <c r="I306" s="50" t="s">
        <v>164</v>
      </c>
      <c r="J306" s="50" t="s">
        <v>530</v>
      </c>
      <c r="K306" s="537" t="s">
        <v>529</v>
      </c>
      <c r="L306" s="50" t="s">
        <v>164</v>
      </c>
      <c r="M306" s="69" t="s">
        <v>532</v>
      </c>
      <c r="N306" s="406" t="s">
        <v>529</v>
      </c>
      <c r="O306" s="1732" t="s">
        <v>164</v>
      </c>
      <c r="P306" s="3230"/>
      <c r="Q306" s="3230"/>
    </row>
    <row r="307" spans="1:17" ht="63" customHeight="1" x14ac:dyDescent="0.2">
      <c r="A307" s="51">
        <v>1</v>
      </c>
      <c r="B307" s="51" t="s">
        <v>5</v>
      </c>
      <c r="C307" s="51" t="s">
        <v>116</v>
      </c>
      <c r="D307" s="868" t="s">
        <v>680</v>
      </c>
      <c r="E307" s="723" t="s">
        <v>1036</v>
      </c>
      <c r="F307" s="1048">
        <v>7555</v>
      </c>
      <c r="G307" s="1047" t="s">
        <v>681</v>
      </c>
      <c r="H307" s="1047" t="s">
        <v>682</v>
      </c>
      <c r="I307" s="61">
        <v>99280</v>
      </c>
      <c r="J307" s="61">
        <v>35478.800000000003</v>
      </c>
      <c r="K307" s="70">
        <f>I307/J307</f>
        <v>2.7982908102867063</v>
      </c>
      <c r="L307" s="872">
        <v>8293</v>
      </c>
      <c r="M307" s="870">
        <f>L307/(L307+I307)*100</f>
        <v>7.7091835311834753</v>
      </c>
      <c r="N307" s="722">
        <f>(I307+L307)/J307</f>
        <v>3.032036032785776</v>
      </c>
      <c r="O307" s="1138"/>
      <c r="P307" s="70">
        <f>(I307+L307+O307)/J307</f>
        <v>3.032036032785776</v>
      </c>
      <c r="Q307" s="893" t="s">
        <v>792</v>
      </c>
    </row>
    <row r="308" spans="1:17" ht="63" customHeight="1" x14ac:dyDescent="0.2">
      <c r="A308" s="51">
        <v>2</v>
      </c>
      <c r="B308" s="51" t="s">
        <v>5</v>
      </c>
      <c r="C308" s="51" t="s">
        <v>116</v>
      </c>
      <c r="D308" s="868" t="s">
        <v>784</v>
      </c>
      <c r="E308" s="723" t="s">
        <v>1036</v>
      </c>
      <c r="F308" s="1135">
        <v>7403</v>
      </c>
      <c r="G308" s="1136" t="s">
        <v>785</v>
      </c>
      <c r="H308" s="1136" t="s">
        <v>786</v>
      </c>
      <c r="I308" s="61">
        <v>717191</v>
      </c>
      <c r="J308" s="66">
        <v>241772</v>
      </c>
      <c r="K308" s="70">
        <f>I308/J308</f>
        <v>2.9663939579438479</v>
      </c>
      <c r="L308" s="872">
        <v>70265</v>
      </c>
      <c r="M308" s="870">
        <f>L308/(L308+I308)*100</f>
        <v>8.9230382395968793</v>
      </c>
      <c r="N308" s="722">
        <f>(I308+L308)/J308</f>
        <v>3.2570190096454512</v>
      </c>
      <c r="O308" s="1138">
        <v>15691</v>
      </c>
      <c r="P308" s="70">
        <f>(I308+L308+O308)/J308</f>
        <v>3.3219189980642918</v>
      </c>
      <c r="Q308" s="893" t="s">
        <v>793</v>
      </c>
    </row>
    <row r="309" spans="1:17" ht="63" customHeight="1" x14ac:dyDescent="0.2">
      <c r="A309" s="51">
        <v>3</v>
      </c>
      <c r="B309" s="51" t="s">
        <v>5</v>
      </c>
      <c r="C309" s="51" t="s">
        <v>116</v>
      </c>
      <c r="D309" s="868" t="s">
        <v>787</v>
      </c>
      <c r="E309" s="723" t="s">
        <v>1036</v>
      </c>
      <c r="F309" s="1135">
        <v>7679</v>
      </c>
      <c r="G309" s="1136">
        <v>4.7</v>
      </c>
      <c r="H309" s="1137">
        <v>2</v>
      </c>
      <c r="I309" s="61">
        <v>463695</v>
      </c>
      <c r="J309" s="66">
        <v>153458</v>
      </c>
      <c r="K309" s="70">
        <f>I309/J309</f>
        <v>3.0216411004965527</v>
      </c>
      <c r="L309" s="872">
        <v>27247</v>
      </c>
      <c r="M309" s="870">
        <f>L309/(L309+I309)*100</f>
        <v>5.5499427630962517</v>
      </c>
      <c r="N309" s="722">
        <f>(I309+L309)/J309</f>
        <v>3.1991945678947986</v>
      </c>
      <c r="O309" s="1138"/>
      <c r="P309" s="1151" t="s">
        <v>850</v>
      </c>
      <c r="Q309" s="893" t="s">
        <v>794</v>
      </c>
    </row>
    <row r="310" spans="1:17" ht="27" customHeight="1" x14ac:dyDescent="0.2">
      <c r="A310" s="3336" t="s">
        <v>1037</v>
      </c>
      <c r="B310" s="3336"/>
      <c r="C310" s="3336"/>
      <c r="D310" s="3336"/>
      <c r="E310" s="3336"/>
      <c r="F310" s="3336"/>
      <c r="G310" s="3336"/>
      <c r="H310" s="3336"/>
      <c r="I310" s="888">
        <f>SUM(I307:I309)</f>
        <v>1280166</v>
      </c>
      <c r="J310" s="888">
        <f>SUM(J307:J309)</f>
        <v>430708.8</v>
      </c>
      <c r="K310" s="59">
        <f>I310/J310</f>
        <v>2.9722308901048691</v>
      </c>
      <c r="L310" s="726">
        <f>SUM(L307:L309)</f>
        <v>105805</v>
      </c>
      <c r="M310" s="360">
        <f>L310/(L310+I310)*100</f>
        <v>7.6339981139576523</v>
      </c>
      <c r="N310" s="360">
        <f>(I310+L310)/J310</f>
        <v>3.2178841017411299</v>
      </c>
      <c r="O310" s="60">
        <f>SUM(O307:O309)</f>
        <v>15691</v>
      </c>
      <c r="P310" s="59">
        <f>(I310+L310+O310)/J310</f>
        <v>3.2543147481546697</v>
      </c>
      <c r="Q310" s="893"/>
    </row>
    <row r="311" spans="1:17" s="1" customFormat="1" ht="27" hidden="1" customHeight="1" x14ac:dyDescent="0.2">
      <c r="A311" s="42" t="s">
        <v>686</v>
      </c>
      <c r="H311" s="78"/>
      <c r="I311" s="447"/>
      <c r="J311" s="71"/>
      <c r="K311" s="71"/>
      <c r="N311" s="209"/>
    </row>
    <row r="312" spans="1:17" s="1" customFormat="1" ht="41" hidden="1" customHeight="1" x14ac:dyDescent="0.2">
      <c r="A312" s="3301" t="s">
        <v>39</v>
      </c>
      <c r="B312" s="3301" t="s">
        <v>40</v>
      </c>
      <c r="C312" s="3301" t="s">
        <v>41</v>
      </c>
      <c r="D312" s="3301"/>
      <c r="E312" s="3301"/>
      <c r="F312" s="50" t="s">
        <v>42</v>
      </c>
      <c r="G312" s="50" t="s">
        <v>43</v>
      </c>
      <c r="H312" s="537" t="s">
        <v>44</v>
      </c>
      <c r="I312" s="3301" t="s">
        <v>535</v>
      </c>
      <c r="J312" s="3301"/>
      <c r="K312" s="69" t="s">
        <v>45</v>
      </c>
      <c r="L312" s="50" t="s">
        <v>46</v>
      </c>
      <c r="M312" s="3419" t="s">
        <v>531</v>
      </c>
      <c r="N312" s="3419" t="s">
        <v>47</v>
      </c>
    </row>
    <row r="313" spans="1:17" s="1" customFormat="1" ht="41" hidden="1" customHeight="1" x14ac:dyDescent="0.2">
      <c r="A313" s="3301"/>
      <c r="B313" s="3301"/>
      <c r="C313" s="50" t="s">
        <v>48</v>
      </c>
      <c r="D313" s="69" t="s">
        <v>527</v>
      </c>
      <c r="E313" s="69" t="s">
        <v>528</v>
      </c>
      <c r="F313" s="50" t="s">
        <v>164</v>
      </c>
      <c r="G313" s="50" t="s">
        <v>530</v>
      </c>
      <c r="H313" s="537" t="s">
        <v>529</v>
      </c>
      <c r="I313" s="50" t="s">
        <v>164</v>
      </c>
      <c r="J313" s="69" t="s">
        <v>532</v>
      </c>
      <c r="K313" s="537" t="s">
        <v>529</v>
      </c>
      <c r="L313" s="50" t="s">
        <v>164</v>
      </c>
      <c r="M313" s="3419"/>
      <c r="N313" s="3419"/>
    </row>
    <row r="314" spans="1:17" ht="64" hidden="1" customHeight="1" x14ac:dyDescent="0.2">
      <c r="A314" s="51">
        <v>1</v>
      </c>
      <c r="B314" s="894"/>
      <c r="C314" s="53"/>
      <c r="D314" s="54"/>
      <c r="E314" s="54"/>
      <c r="F314" s="55"/>
      <c r="G314" s="66"/>
      <c r="H314" s="70" t="e">
        <f>F314/G314</f>
        <v>#DIV/0!</v>
      </c>
      <c r="I314" s="66"/>
      <c r="J314" s="870" t="e">
        <f>I314/(I314+F314)*100</f>
        <v>#DIV/0!</v>
      </c>
      <c r="K314" s="722" t="e">
        <f>(F314+I314)/G314</f>
        <v>#DIV/0!</v>
      </c>
      <c r="L314" s="66"/>
      <c r="M314" s="70" t="e">
        <f>(F314+I314+L314)/G314</f>
        <v>#DIV/0!</v>
      </c>
      <c r="N314" s="893"/>
    </row>
    <row r="315" spans="1:17" s="1" customFormat="1" ht="64" hidden="1" customHeight="1" x14ac:dyDescent="0.2">
      <c r="A315" s="51"/>
      <c r="B315" s="894"/>
      <c r="C315" s="66"/>
      <c r="D315" s="870"/>
      <c r="E315" s="870"/>
      <c r="F315" s="55"/>
      <c r="G315" s="66"/>
      <c r="H315" s="70" t="e">
        <f>F315/G315</f>
        <v>#DIV/0!</v>
      </c>
      <c r="I315" s="66"/>
      <c r="J315" s="870" t="e">
        <f>I315/(I315+F315)*100</f>
        <v>#DIV/0!</v>
      </c>
      <c r="K315" s="722" t="e">
        <f>(F315+I315)/G315</f>
        <v>#DIV/0!</v>
      </c>
      <c r="L315" s="993">
        <v>0</v>
      </c>
      <c r="M315" s="70" t="e">
        <f>(F315+I315+L315)/G315</f>
        <v>#DIV/0!</v>
      </c>
      <c r="N315" s="893"/>
    </row>
    <row r="316" spans="1:17" s="1" customFormat="1" ht="32" hidden="1" customHeight="1" x14ac:dyDescent="0.2">
      <c r="A316" s="3336" t="s">
        <v>54</v>
      </c>
      <c r="B316" s="3336"/>
      <c r="C316" s="3336"/>
      <c r="D316" s="3336"/>
      <c r="E316" s="3336"/>
      <c r="F316" s="888">
        <f>F314+F315</f>
        <v>0</v>
      </c>
      <c r="G316" s="888">
        <f>G314+G315</f>
        <v>0</v>
      </c>
      <c r="H316" s="59" t="e">
        <f>F316/G316</f>
        <v>#DIV/0!</v>
      </c>
      <c r="I316" s="859">
        <f>I314+I315</f>
        <v>0</v>
      </c>
      <c r="J316" s="360" t="e">
        <f>I316/(I316+F316)*100</f>
        <v>#DIV/0!</v>
      </c>
      <c r="K316" s="360" t="e">
        <f>(F316+I316)/G316</f>
        <v>#DIV/0!</v>
      </c>
      <c r="L316" s="60">
        <f>L314+L315</f>
        <v>0</v>
      </c>
      <c r="M316" s="59" t="e">
        <f>(F316+I316+L316)/G316</f>
        <v>#DIV/0!</v>
      </c>
      <c r="N316" s="893"/>
    </row>
    <row r="317" spans="1:17" s="1" customFormat="1" ht="27" hidden="1" customHeight="1" x14ac:dyDescent="0.2">
      <c r="A317" s="42" t="s">
        <v>688</v>
      </c>
      <c r="H317" s="78"/>
      <c r="I317" s="447"/>
      <c r="J317" s="71"/>
      <c r="K317" s="71"/>
      <c r="N317" s="209"/>
    </row>
    <row r="318" spans="1:17" s="1" customFormat="1" ht="38" hidden="1" customHeight="1" x14ac:dyDescent="0.2">
      <c r="A318" s="3301" t="s">
        <v>39</v>
      </c>
      <c r="B318" s="3301" t="s">
        <v>40</v>
      </c>
      <c r="C318" s="3301" t="s">
        <v>41</v>
      </c>
      <c r="D318" s="3301"/>
      <c r="E318" s="3301"/>
      <c r="F318" s="50" t="s">
        <v>42</v>
      </c>
      <c r="G318" s="50" t="s">
        <v>43</v>
      </c>
      <c r="H318" s="537" t="s">
        <v>44</v>
      </c>
      <c r="I318" s="3301" t="s">
        <v>535</v>
      </c>
      <c r="J318" s="3301"/>
      <c r="K318" s="69" t="s">
        <v>45</v>
      </c>
      <c r="L318" s="50" t="s">
        <v>46</v>
      </c>
      <c r="M318" s="3419" t="s">
        <v>531</v>
      </c>
      <c r="N318" s="3419" t="s">
        <v>47</v>
      </c>
    </row>
    <row r="319" spans="1:17" s="1" customFormat="1" ht="32" hidden="1" customHeight="1" x14ac:dyDescent="0.2">
      <c r="A319" s="3301"/>
      <c r="B319" s="3301"/>
      <c r="C319" s="50" t="s">
        <v>48</v>
      </c>
      <c r="D319" s="69" t="s">
        <v>527</v>
      </c>
      <c r="E319" s="69" t="s">
        <v>528</v>
      </c>
      <c r="F319" s="50" t="s">
        <v>164</v>
      </c>
      <c r="G319" s="50" t="s">
        <v>530</v>
      </c>
      <c r="H319" s="537" t="s">
        <v>529</v>
      </c>
      <c r="I319" s="50" t="s">
        <v>164</v>
      </c>
      <c r="J319" s="69" t="s">
        <v>532</v>
      </c>
      <c r="K319" s="537" t="s">
        <v>529</v>
      </c>
      <c r="L319" s="50" t="s">
        <v>164</v>
      </c>
      <c r="M319" s="3419"/>
      <c r="N319" s="3419"/>
    </row>
    <row r="320" spans="1:17" ht="62" hidden="1" customHeight="1" x14ac:dyDescent="0.2">
      <c r="A320" s="51">
        <v>1</v>
      </c>
      <c r="B320" s="894"/>
      <c r="C320" s="53"/>
      <c r="D320" s="54"/>
      <c r="E320" s="54"/>
      <c r="F320" s="55"/>
      <c r="G320" s="1130"/>
      <c r="H320" s="70" t="e">
        <f>F320/G320</f>
        <v>#DIV/0!</v>
      </c>
      <c r="I320" s="66"/>
      <c r="J320" s="870" t="e">
        <f>I320/(I320+F320)*100</f>
        <v>#DIV/0!</v>
      </c>
      <c r="K320" s="722" t="e">
        <f>(F320+I320)/G320</f>
        <v>#DIV/0!</v>
      </c>
      <c r="L320" s="66"/>
      <c r="M320" s="70" t="e">
        <f>(F320+I320+L320)/G320</f>
        <v>#DIV/0!</v>
      </c>
      <c r="N320" s="893"/>
    </row>
    <row r="321" spans="1:14" ht="54" hidden="1" customHeight="1" x14ac:dyDescent="0.2">
      <c r="A321" s="51">
        <v>2</v>
      </c>
      <c r="B321" s="894"/>
      <c r="C321" s="53"/>
      <c r="D321" s="54"/>
      <c r="E321" s="54"/>
      <c r="F321" s="55"/>
      <c r="G321" s="66"/>
      <c r="H321" s="70" t="e">
        <f>F321/G321</f>
        <v>#DIV/0!</v>
      </c>
      <c r="I321" s="66"/>
      <c r="J321" s="870" t="e">
        <f>I321/(I321+F321)*100</f>
        <v>#DIV/0!</v>
      </c>
      <c r="K321" s="722" t="e">
        <f>(F321+I321)/G321</f>
        <v>#DIV/0!</v>
      </c>
      <c r="L321" s="1065">
        <v>0</v>
      </c>
      <c r="M321" s="70" t="e">
        <f>(F321+I321+L321)/G321</f>
        <v>#DIV/0!</v>
      </c>
      <c r="N321" s="893"/>
    </row>
    <row r="322" spans="1:14" s="1" customFormat="1" ht="27" hidden="1" customHeight="1" x14ac:dyDescent="0.2">
      <c r="A322" s="3336" t="s">
        <v>54</v>
      </c>
      <c r="B322" s="3336"/>
      <c r="C322" s="3336"/>
      <c r="D322" s="3336"/>
      <c r="E322" s="3336"/>
      <c r="F322" s="888">
        <f>F320+F321</f>
        <v>0</v>
      </c>
      <c r="G322" s="888">
        <f>G320+G321</f>
        <v>0</v>
      </c>
      <c r="H322" s="59" t="e">
        <f>F322/G322</f>
        <v>#DIV/0!</v>
      </c>
      <c r="I322" s="859">
        <f>I320+I321</f>
        <v>0</v>
      </c>
      <c r="J322" s="360" t="e">
        <f>I322/(I322+F322)*100</f>
        <v>#DIV/0!</v>
      </c>
      <c r="K322" s="360" t="e">
        <f>(F322+I322)/G322</f>
        <v>#DIV/0!</v>
      </c>
      <c r="L322" s="60">
        <f>L320+L321</f>
        <v>0</v>
      </c>
      <c r="M322" s="59" t="e">
        <f>(F322+I322+L322)/G322</f>
        <v>#DIV/0!</v>
      </c>
      <c r="N322" s="893"/>
    </row>
    <row r="323" spans="1:14" s="1" customFormat="1" ht="27" hidden="1" customHeight="1" x14ac:dyDescent="0.2">
      <c r="A323" s="3398" t="s">
        <v>692</v>
      </c>
      <c r="B323" s="3398"/>
      <c r="C323" s="3398"/>
      <c r="D323" s="3398"/>
      <c r="E323" s="3398"/>
      <c r="F323" s="3398"/>
      <c r="G323" s="3398"/>
      <c r="H323" s="3398"/>
      <c r="I323" s="3398"/>
      <c r="J323" s="3398"/>
      <c r="K323" s="3398"/>
      <c r="L323" s="3398"/>
      <c r="M323" s="3398"/>
      <c r="N323" s="3398"/>
    </row>
    <row r="324" spans="1:14" s="1" customFormat="1" ht="35" hidden="1" customHeight="1" x14ac:dyDescent="0.2">
      <c r="A324" s="3301" t="s">
        <v>39</v>
      </c>
      <c r="B324" s="3301" t="s">
        <v>40</v>
      </c>
      <c r="C324" s="3301" t="s">
        <v>41</v>
      </c>
      <c r="D324" s="3301"/>
      <c r="E324" s="3301"/>
      <c r="F324" s="50" t="s">
        <v>42</v>
      </c>
      <c r="G324" s="50" t="s">
        <v>43</v>
      </c>
      <c r="H324" s="537" t="s">
        <v>44</v>
      </c>
      <c r="I324" s="3301" t="s">
        <v>535</v>
      </c>
      <c r="J324" s="3301"/>
      <c r="K324" s="69" t="s">
        <v>45</v>
      </c>
      <c r="L324" s="50" t="s">
        <v>46</v>
      </c>
      <c r="M324" s="3419" t="s">
        <v>531</v>
      </c>
      <c r="N324" s="3419" t="s">
        <v>47</v>
      </c>
    </row>
    <row r="325" spans="1:14" s="1" customFormat="1" ht="32" hidden="1" customHeight="1" x14ac:dyDescent="0.2">
      <c r="A325" s="3301"/>
      <c r="B325" s="3301"/>
      <c r="C325" s="50" t="s">
        <v>48</v>
      </c>
      <c r="D325" s="69" t="s">
        <v>527</v>
      </c>
      <c r="E325" s="69" t="s">
        <v>528</v>
      </c>
      <c r="F325" s="50" t="s">
        <v>164</v>
      </c>
      <c r="G325" s="50" t="s">
        <v>530</v>
      </c>
      <c r="H325" s="537" t="s">
        <v>529</v>
      </c>
      <c r="I325" s="50" t="s">
        <v>164</v>
      </c>
      <c r="J325" s="69" t="s">
        <v>532</v>
      </c>
      <c r="K325" s="537" t="s">
        <v>529</v>
      </c>
      <c r="L325" s="50" t="s">
        <v>164</v>
      </c>
      <c r="M325" s="3419"/>
      <c r="N325" s="3419"/>
    </row>
    <row r="326" spans="1:14" ht="58" hidden="1" customHeight="1" x14ac:dyDescent="0.2">
      <c r="A326" s="51"/>
      <c r="B326" s="868"/>
      <c r="C326" s="1048"/>
      <c r="D326" s="1047"/>
      <c r="E326" s="1047"/>
      <c r="F326" s="55">
        <f>I307+F314+F320</f>
        <v>99280</v>
      </c>
      <c r="G326" s="55"/>
      <c r="H326" s="70" t="e">
        <f>F326/G326</f>
        <v>#DIV/0!</v>
      </c>
      <c r="I326" s="991"/>
      <c r="J326" s="870">
        <f>I326/(I326+F326)*100</f>
        <v>0</v>
      </c>
      <c r="K326" s="722" t="e">
        <f>(F326+I326)/G326</f>
        <v>#DIV/0!</v>
      </c>
      <c r="L326" s="991">
        <f>O307</f>
        <v>0</v>
      </c>
      <c r="M326" s="70" t="e">
        <f>(F326+I326+L326)/G326</f>
        <v>#DIV/0!</v>
      </c>
      <c r="N326" s="1066"/>
    </row>
    <row r="327" spans="1:14" s="1" customFormat="1" ht="58" hidden="1" customHeight="1" x14ac:dyDescent="0.2">
      <c r="A327" s="51"/>
      <c r="B327" s="894"/>
      <c r="C327" s="66"/>
      <c r="D327" s="870"/>
      <c r="E327" s="870"/>
      <c r="F327" s="55"/>
      <c r="G327" s="55"/>
      <c r="H327" s="70" t="e">
        <f>F327/G327</f>
        <v>#DIV/0!</v>
      </c>
      <c r="I327" s="66"/>
      <c r="J327" s="870" t="e">
        <f>I327/(I327+F327)*100</f>
        <v>#DIV/0!</v>
      </c>
      <c r="K327" s="722" t="e">
        <f>(F327+I327)/G327</f>
        <v>#DIV/0!</v>
      </c>
      <c r="L327" s="66">
        <f>O309+L314</f>
        <v>0</v>
      </c>
      <c r="M327" s="70" t="e">
        <f>(F327+I327+L327)/G327</f>
        <v>#DIV/0!</v>
      </c>
      <c r="N327" s="893"/>
    </row>
    <row r="328" spans="1:14" s="1" customFormat="1" ht="58" hidden="1" customHeight="1" x14ac:dyDescent="0.2">
      <c r="A328" s="51"/>
      <c r="B328" s="894"/>
      <c r="C328" s="66"/>
      <c r="D328" s="870"/>
      <c r="E328" s="870"/>
      <c r="F328" s="55"/>
      <c r="G328" s="66"/>
      <c r="H328" s="56" t="e">
        <f>F328/G328</f>
        <v>#DIV/0!</v>
      </c>
      <c r="I328" s="66">
        <f>I315</f>
        <v>0</v>
      </c>
      <c r="J328" s="870" t="e">
        <f>I328/(I328+F328)*100</f>
        <v>#DIV/0!</v>
      </c>
      <c r="K328" s="722" t="e">
        <f>(F328+I328)/G328</f>
        <v>#DIV/0!</v>
      </c>
      <c r="L328" s="993">
        <v>0</v>
      </c>
      <c r="M328" s="70" t="e">
        <f>(F328+I328+L328)/G328</f>
        <v>#DIV/0!</v>
      </c>
      <c r="N328" s="893"/>
    </row>
    <row r="329" spans="1:14" s="1" customFormat="1" ht="27" hidden="1" customHeight="1" x14ac:dyDescent="0.2">
      <c r="A329" s="3335" t="s">
        <v>54</v>
      </c>
      <c r="B329" s="3335"/>
      <c r="C329" s="3335"/>
      <c r="D329" s="3335"/>
      <c r="E329" s="3335"/>
      <c r="F329" s="58">
        <f>SUM(F326:F328)</f>
        <v>99280</v>
      </c>
      <c r="G329" s="60">
        <f>SUM(G326:G328)</f>
        <v>0</v>
      </c>
      <c r="H329" s="59" t="e">
        <f>F329/G329</f>
        <v>#DIV/0!</v>
      </c>
      <c r="I329" s="859">
        <f>SUM(I326:I328)</f>
        <v>0</v>
      </c>
      <c r="J329" s="360">
        <f>I329/(I329+F329)*100</f>
        <v>0</v>
      </c>
      <c r="K329" s="360" t="e">
        <f>(F329+I329)/G329</f>
        <v>#DIV/0!</v>
      </c>
      <c r="L329" s="60">
        <f>SUM(L326:L328)</f>
        <v>0</v>
      </c>
      <c r="M329" s="59" t="e">
        <f>(F329+I329+L329)/G329</f>
        <v>#DIV/0!</v>
      </c>
      <c r="N329" s="264"/>
    </row>
    <row r="330" spans="1:14" s="1" customFormat="1" ht="23" customHeight="1" x14ac:dyDescent="0.2">
      <c r="A330" s="42" t="s">
        <v>783</v>
      </c>
      <c r="H330" s="78"/>
      <c r="I330" s="447"/>
      <c r="J330" s="71"/>
      <c r="K330" s="71"/>
      <c r="N330" s="209"/>
    </row>
    <row r="331" spans="1:14" s="1" customFormat="1" ht="34" customHeight="1" x14ac:dyDescent="0.2">
      <c r="A331" s="3356" t="s">
        <v>39</v>
      </c>
      <c r="B331" s="3356" t="s">
        <v>40</v>
      </c>
      <c r="C331" s="3452" t="s">
        <v>41</v>
      </c>
      <c r="D331" s="3453"/>
      <c r="E331" s="3454"/>
      <c r="F331" s="935" t="s">
        <v>42</v>
      </c>
      <c r="G331" s="935" t="s">
        <v>43</v>
      </c>
      <c r="H331" s="936" t="s">
        <v>533</v>
      </c>
      <c r="I331" s="3339" t="s">
        <v>535</v>
      </c>
      <c r="J331" s="3340"/>
      <c r="K331" s="937" t="s">
        <v>45</v>
      </c>
      <c r="L331" s="935" t="s">
        <v>46</v>
      </c>
      <c r="M331" s="3331" t="s">
        <v>531</v>
      </c>
      <c r="N331" s="3331" t="s">
        <v>47</v>
      </c>
    </row>
    <row r="332" spans="1:14" s="1" customFormat="1" ht="35" customHeight="1" x14ac:dyDescent="0.2">
      <c r="A332" s="3357"/>
      <c r="B332" s="3357"/>
      <c r="C332" s="935" t="s">
        <v>48</v>
      </c>
      <c r="D332" s="937" t="s">
        <v>527</v>
      </c>
      <c r="E332" s="937" t="s">
        <v>528</v>
      </c>
      <c r="F332" s="935" t="s">
        <v>164</v>
      </c>
      <c r="G332" s="935" t="s">
        <v>530</v>
      </c>
      <c r="H332" s="936" t="s">
        <v>534</v>
      </c>
      <c r="I332" s="935" t="s">
        <v>164</v>
      </c>
      <c r="J332" s="937" t="s">
        <v>532</v>
      </c>
      <c r="K332" s="936" t="s">
        <v>534</v>
      </c>
      <c r="L332" s="935" t="s">
        <v>164</v>
      </c>
      <c r="M332" s="3332"/>
      <c r="N332" s="3332"/>
    </row>
    <row r="333" spans="1:14" ht="62" customHeight="1" x14ac:dyDescent="0.2">
      <c r="A333" s="51">
        <v>1</v>
      </c>
      <c r="B333" s="868" t="s">
        <v>680</v>
      </c>
      <c r="C333" s="1048">
        <v>7555</v>
      </c>
      <c r="D333" s="1047" t="s">
        <v>681</v>
      </c>
      <c r="E333" s="1047" t="s">
        <v>682</v>
      </c>
      <c r="F333" s="61">
        <f>I307</f>
        <v>99280</v>
      </c>
      <c r="G333" s="61">
        <f>J307</f>
        <v>35478.800000000003</v>
      </c>
      <c r="H333" s="70">
        <f>F333/G333</f>
        <v>2.7982908102867063</v>
      </c>
      <c r="I333" s="1139">
        <f>L307</f>
        <v>8293</v>
      </c>
      <c r="J333" s="992">
        <f>I333/(I333+F333)*100</f>
        <v>7.7091835311834753</v>
      </c>
      <c r="K333" s="722">
        <f>(F333+I333)/G333</f>
        <v>3.032036032785776</v>
      </c>
      <c r="L333" s="991"/>
      <c r="M333" s="70">
        <f>(F333+I333+L333)/G333</f>
        <v>3.032036032785776</v>
      </c>
      <c r="N333" s="893" t="s">
        <v>792</v>
      </c>
    </row>
    <row r="334" spans="1:14" ht="62" customHeight="1" x14ac:dyDescent="0.2">
      <c r="A334" s="51">
        <v>2</v>
      </c>
      <c r="B334" s="894" t="s">
        <v>784</v>
      </c>
      <c r="C334" s="1190">
        <v>7403</v>
      </c>
      <c r="D334" s="1191" t="s">
        <v>785</v>
      </c>
      <c r="E334" s="1191" t="s">
        <v>786</v>
      </c>
      <c r="F334" s="55">
        <f>I299</f>
        <v>53616</v>
      </c>
      <c r="G334" s="3455"/>
      <c r="H334" s="3456"/>
      <c r="I334" s="3456"/>
      <c r="J334" s="3456"/>
      <c r="K334" s="3456"/>
      <c r="L334" s="3456"/>
      <c r="M334" s="3457"/>
      <c r="N334" s="893" t="s">
        <v>788</v>
      </c>
    </row>
    <row r="335" spans="1:14" ht="62" customHeight="1" x14ac:dyDescent="0.2">
      <c r="A335" s="51">
        <v>3</v>
      </c>
      <c r="B335" s="894" t="s">
        <v>784</v>
      </c>
      <c r="C335" s="1190">
        <v>7403</v>
      </c>
      <c r="D335" s="1191" t="s">
        <v>785</v>
      </c>
      <c r="E335" s="1191" t="s">
        <v>786</v>
      </c>
      <c r="F335" s="55">
        <f>I300+I308</f>
        <v>1126343</v>
      </c>
      <c r="G335" s="66">
        <f>J300+J308</f>
        <v>382105</v>
      </c>
      <c r="H335" s="56">
        <f>F335/G335</f>
        <v>2.9477316444432815</v>
      </c>
      <c r="I335" s="55">
        <f>L300+L308</f>
        <v>109789</v>
      </c>
      <c r="J335" s="870">
        <f>I335/(I335+F335)*100</f>
        <v>8.8816566515550122</v>
      </c>
      <c r="K335" s="722">
        <f>(F335+I335)/G335</f>
        <v>3.2350584263487785</v>
      </c>
      <c r="L335" s="55">
        <f>O300+O308</f>
        <v>26152</v>
      </c>
      <c r="M335" s="70">
        <f>(F335+I335+L335)/G335</f>
        <v>3.3035003467633244</v>
      </c>
      <c r="N335" s="893" t="s">
        <v>793</v>
      </c>
    </row>
    <row r="336" spans="1:14" ht="62" customHeight="1" x14ac:dyDescent="0.2">
      <c r="A336" s="51">
        <v>4</v>
      </c>
      <c r="B336" s="894" t="s">
        <v>787</v>
      </c>
      <c r="C336" s="1190">
        <v>7679</v>
      </c>
      <c r="D336" s="1191">
        <v>4.7</v>
      </c>
      <c r="E336" s="1192">
        <v>2</v>
      </c>
      <c r="F336" s="61">
        <f>I301+I309</f>
        <v>916611</v>
      </c>
      <c r="G336" s="61">
        <f>J301+J309</f>
        <v>321721.32</v>
      </c>
      <c r="H336" s="56">
        <f>F336/G336</f>
        <v>2.849083797119818</v>
      </c>
      <c r="I336" s="66">
        <f>L301+L309</f>
        <v>53425</v>
      </c>
      <c r="J336" s="870">
        <f>I336/(I336+F336)*100</f>
        <v>5.5075275556783456</v>
      </c>
      <c r="K336" s="722">
        <f>(F336+I336)/G336</f>
        <v>3.0151436653312249</v>
      </c>
      <c r="L336" s="1065">
        <f>O301+O309</f>
        <v>0</v>
      </c>
      <c r="M336" s="1151" t="s">
        <v>850</v>
      </c>
      <c r="N336" s="893" t="s">
        <v>794</v>
      </c>
    </row>
    <row r="337" spans="1:18" ht="27" customHeight="1" x14ac:dyDescent="0.2">
      <c r="A337" s="3458" t="s">
        <v>54</v>
      </c>
      <c r="B337" s="3459"/>
      <c r="C337" s="3459"/>
      <c r="D337" s="3459"/>
      <c r="E337" s="3460"/>
      <c r="F337" s="1141">
        <f>F333+F335+F336</f>
        <v>2142234</v>
      </c>
      <c r="G337" s="1141">
        <f>SUM(G333:G336)</f>
        <v>739305.12</v>
      </c>
      <c r="H337" s="1142">
        <f>F337/G337</f>
        <v>2.8976317653528492</v>
      </c>
      <c r="I337" s="1169">
        <f>SUM(I333:I336)</f>
        <v>171507</v>
      </c>
      <c r="J337" s="1143">
        <f>I337/(I337+F337)*100</f>
        <v>7.4125409888142189</v>
      </c>
      <c r="K337" s="1143">
        <f>(F337+I337)/G337</f>
        <v>3.1296158208670324</v>
      </c>
      <c r="L337" s="1144">
        <f>SUM(L332:L335)</f>
        <v>26152</v>
      </c>
      <c r="M337" s="1142">
        <f>(F337+I337+L337)/G337</f>
        <v>3.1649895783218707</v>
      </c>
      <c r="N337" s="1140"/>
    </row>
    <row r="338" spans="1:18" s="1" customFormat="1" ht="27" customHeight="1" x14ac:dyDescent="0.2">
      <c r="A338" s="3449" t="s">
        <v>914</v>
      </c>
      <c r="B338" s="3450"/>
      <c r="C338" s="3450"/>
      <c r="D338" s="3450"/>
      <c r="E338" s="3451"/>
      <c r="F338" s="1145">
        <f>SUM(F333:F336)</f>
        <v>2195850</v>
      </c>
      <c r="G338" s="1145">
        <f>SUM(G333:G336)</f>
        <v>739305.12</v>
      </c>
      <c r="H338" s="1146">
        <f>F338/G338</f>
        <v>2.970153919669865</v>
      </c>
      <c r="I338" s="1170">
        <f>SUM(I333:I336)</f>
        <v>171507</v>
      </c>
      <c r="J338" s="1147">
        <f>I338/(I338+F338)*100</f>
        <v>7.2446614515681409</v>
      </c>
      <c r="K338" s="1147">
        <f>(F338+I338)/G338</f>
        <v>3.2021379751840486</v>
      </c>
      <c r="L338" s="1148">
        <f>SUM(L333:L336)</f>
        <v>26152</v>
      </c>
      <c r="M338" s="1146">
        <f>(F338+I338+L338)/G338</f>
        <v>3.2375117326388865</v>
      </c>
      <c r="N338" s="1149"/>
    </row>
    <row r="339" spans="1:18" s="1" customFormat="1" ht="26" customHeight="1" x14ac:dyDescent="0.2">
      <c r="A339" s="1001" t="s">
        <v>515</v>
      </c>
      <c r="B339" s="1002"/>
      <c r="C339" s="1002"/>
      <c r="D339" s="1002"/>
      <c r="E339" s="1002"/>
      <c r="F339" s="1002"/>
      <c r="G339" s="1002"/>
      <c r="H339" s="1002"/>
      <c r="I339" s="1003"/>
      <c r="J339" s="1003"/>
      <c r="K339" s="1004"/>
      <c r="L339" s="1004"/>
      <c r="M339" s="1005"/>
      <c r="N339" s="1005"/>
      <c r="O339" s="876"/>
      <c r="P339" s="876"/>
      <c r="Q339" s="876"/>
      <c r="R339" s="876"/>
    </row>
    <row r="340" spans="1:18" s="1" customFormat="1" ht="46" customHeight="1" x14ac:dyDescent="0.2">
      <c r="A340" s="3197" t="s">
        <v>795</v>
      </c>
      <c r="B340" s="3197"/>
      <c r="C340" s="3197"/>
      <c r="D340" s="3197"/>
      <c r="E340" s="3197"/>
      <c r="F340" s="3197"/>
      <c r="G340" s="3197"/>
      <c r="H340" s="3197"/>
      <c r="I340" s="3197"/>
      <c r="J340" s="3197"/>
      <c r="K340" s="3197"/>
      <c r="L340" s="3197"/>
      <c r="M340" s="3197"/>
      <c r="N340" s="3197"/>
      <c r="O340" s="1000"/>
      <c r="P340" s="1000"/>
      <c r="Q340" s="1000"/>
      <c r="R340" s="1000"/>
    </row>
    <row r="341" spans="1:18" s="1" customFormat="1" ht="28" customHeight="1" x14ac:dyDescent="0.2">
      <c r="A341" s="3197" t="s">
        <v>796</v>
      </c>
      <c r="B341" s="3197"/>
      <c r="C341" s="3197"/>
      <c r="D341" s="3197"/>
      <c r="E341" s="3197"/>
      <c r="F341" s="3197"/>
      <c r="G341" s="3197"/>
      <c r="H341" s="3197"/>
      <c r="I341" s="3197"/>
      <c r="J341" s="3197"/>
      <c r="K341" s="3197"/>
      <c r="L341" s="3197"/>
      <c r="M341" s="3197"/>
      <c r="N341" s="3197"/>
      <c r="O341" s="1000"/>
      <c r="P341" s="1000"/>
      <c r="Q341" s="1000"/>
      <c r="R341" s="1000"/>
    </row>
    <row r="342" spans="1:18" s="1" customFormat="1" ht="28" customHeight="1" x14ac:dyDescent="0.2">
      <c r="A342" s="3197" t="s">
        <v>842</v>
      </c>
      <c r="B342" s="3197"/>
      <c r="C342" s="3197"/>
      <c r="D342" s="3197"/>
      <c r="E342" s="3197"/>
      <c r="F342" s="3197"/>
      <c r="G342" s="3197"/>
      <c r="H342" s="3197"/>
      <c r="I342" s="3197"/>
      <c r="J342" s="3197"/>
      <c r="K342" s="3197"/>
      <c r="L342" s="3197"/>
      <c r="M342" s="3197"/>
      <c r="N342" s="3197"/>
      <c r="O342" s="1000"/>
      <c r="P342" s="1000"/>
      <c r="Q342" s="1000"/>
      <c r="R342" s="1000"/>
    </row>
    <row r="343" spans="1:18" s="1" customFormat="1" ht="28" customHeight="1" x14ac:dyDescent="0.2">
      <c r="A343" s="3197" t="s">
        <v>797</v>
      </c>
      <c r="B343" s="3197"/>
      <c r="C343" s="3197"/>
      <c r="D343" s="3197"/>
      <c r="E343" s="3197"/>
      <c r="F343" s="3197"/>
      <c r="G343" s="3197"/>
      <c r="H343" s="3197"/>
      <c r="I343" s="3197"/>
      <c r="J343" s="3197"/>
      <c r="K343" s="3197"/>
      <c r="L343" s="3197"/>
      <c r="M343" s="3197"/>
      <c r="N343" s="1068"/>
      <c r="O343" s="1068"/>
      <c r="P343" s="1068"/>
      <c r="Q343" s="1068"/>
      <c r="R343" s="1068"/>
    </row>
    <row r="344" spans="1:18" s="1" customFormat="1" ht="45" customHeight="1" x14ac:dyDescent="0.2">
      <c r="A344" s="3197" t="s">
        <v>798</v>
      </c>
      <c r="B344" s="3197"/>
      <c r="C344" s="3197"/>
      <c r="D344" s="3197"/>
      <c r="E344" s="3197"/>
      <c r="F344" s="3197"/>
      <c r="G344" s="3197"/>
      <c r="H344" s="3197"/>
      <c r="I344" s="3197"/>
      <c r="J344" s="3197"/>
      <c r="K344" s="3197"/>
      <c r="L344" s="3197"/>
      <c r="M344" s="3197"/>
      <c r="N344" s="3197"/>
      <c r="O344" s="1000"/>
      <c r="P344" s="1000"/>
      <c r="Q344" s="1000"/>
      <c r="R344" s="1150"/>
    </row>
    <row r="345" spans="1:18" s="1" customFormat="1" ht="24" customHeight="1" x14ac:dyDescent="0.2">
      <c r="A345" s="3435" t="s">
        <v>799</v>
      </c>
      <c r="B345" s="3435"/>
      <c r="C345" s="3435"/>
      <c r="D345" s="3435"/>
      <c r="E345" s="3435"/>
      <c r="F345" s="3435"/>
      <c r="G345" s="3435"/>
      <c r="H345" s="3435"/>
      <c r="I345" s="3435"/>
      <c r="J345" s="3435"/>
      <c r="K345" s="3435"/>
      <c r="L345" s="3435"/>
      <c r="M345" s="3435"/>
      <c r="N345" s="3435"/>
      <c r="O345" s="999"/>
      <c r="P345" s="999"/>
      <c r="Q345" s="999"/>
      <c r="R345" s="994"/>
    </row>
    <row r="346" spans="1:18" s="1" customFormat="1" ht="26" customHeight="1" x14ac:dyDescent="0.2">
      <c r="A346" s="3186" t="s">
        <v>800</v>
      </c>
      <c r="B346" s="3186"/>
      <c r="C346" s="3186"/>
      <c r="D346" s="3186"/>
      <c r="E346" s="3186"/>
      <c r="F346" s="3186"/>
      <c r="G346" s="3186"/>
      <c r="H346" s="3186"/>
      <c r="I346" s="3186"/>
      <c r="J346" s="3186"/>
      <c r="K346" s="3186"/>
      <c r="L346" s="3186"/>
      <c r="M346" s="3186"/>
      <c r="N346" s="3186"/>
      <c r="O346" s="998"/>
      <c r="P346" s="998"/>
      <c r="Q346" s="998"/>
      <c r="R346" s="995"/>
    </row>
    <row r="347" spans="1:18" s="1" customFormat="1" ht="26" customHeight="1" x14ac:dyDescent="0.2">
      <c r="A347" s="3186" t="s">
        <v>801</v>
      </c>
      <c r="B347" s="3186"/>
      <c r="C347" s="3186"/>
      <c r="D347" s="3186"/>
      <c r="E347" s="3186"/>
      <c r="F347" s="3186"/>
      <c r="G347" s="3186"/>
      <c r="H347" s="3186"/>
      <c r="I347" s="3186"/>
      <c r="J347" s="3186"/>
      <c r="K347" s="3186"/>
      <c r="L347" s="3186"/>
      <c r="M347" s="3186"/>
      <c r="N347" s="3186"/>
      <c r="O347" s="998"/>
      <c r="P347" s="998"/>
      <c r="Q347" s="998"/>
      <c r="R347" s="995"/>
    </row>
    <row r="348" spans="1:18" s="1" customFormat="1" ht="26" customHeight="1" x14ac:dyDescent="0.2">
      <c r="A348" s="3186" t="s">
        <v>802</v>
      </c>
      <c r="B348" s="3186"/>
      <c r="C348" s="3186"/>
      <c r="D348" s="3186"/>
      <c r="E348" s="3186"/>
      <c r="F348" s="3186"/>
      <c r="G348" s="3186"/>
      <c r="H348" s="3186"/>
      <c r="I348" s="3186"/>
      <c r="J348" s="3186"/>
      <c r="K348" s="3186"/>
      <c r="L348" s="3186"/>
      <c r="M348" s="3186"/>
      <c r="N348" s="3186"/>
      <c r="O348" s="998"/>
      <c r="P348" s="998"/>
      <c r="Q348" s="998"/>
      <c r="R348" s="996"/>
    </row>
    <row r="349" spans="1:18" s="1" customFormat="1" ht="26" customHeight="1" x14ac:dyDescent="0.2">
      <c r="A349" s="2475" t="s">
        <v>829</v>
      </c>
      <c r="B349" s="2475"/>
      <c r="C349" s="2475"/>
      <c r="D349" s="2475"/>
      <c r="E349" s="2475"/>
      <c r="F349" s="2475"/>
      <c r="G349" s="2475"/>
      <c r="H349" s="2475"/>
      <c r="I349" s="2475"/>
      <c r="J349" s="2475"/>
      <c r="K349" s="2475"/>
      <c r="L349" s="2475"/>
      <c r="M349" s="2475"/>
      <c r="N349" s="2475"/>
      <c r="O349" s="75"/>
    </row>
    <row r="350" spans="1:18" s="1" customFormat="1" ht="39" customHeight="1" x14ac:dyDescent="0.2">
      <c r="A350" s="3017" t="s">
        <v>39</v>
      </c>
      <c r="B350" s="3017" t="s">
        <v>467</v>
      </c>
      <c r="C350" s="3192" t="s">
        <v>262</v>
      </c>
      <c r="D350" s="3192"/>
      <c r="E350" s="3017" t="s">
        <v>263</v>
      </c>
      <c r="F350" s="3017"/>
      <c r="G350" s="3193" t="s">
        <v>816</v>
      </c>
      <c r="H350" s="3193"/>
      <c r="I350" s="3194" t="s">
        <v>264</v>
      </c>
      <c r="J350" s="3194"/>
      <c r="K350" s="3184" t="s">
        <v>815</v>
      </c>
      <c r="L350" s="3184"/>
      <c r="M350" s="3185" t="s">
        <v>564</v>
      </c>
      <c r="N350" s="3185"/>
      <c r="O350" s="3196"/>
      <c r="P350" s="3196"/>
    </row>
    <row r="351" spans="1:18" s="1" customFormat="1" ht="44" customHeight="1" x14ac:dyDescent="0.2">
      <c r="A351" s="3017"/>
      <c r="B351" s="3017"/>
      <c r="C351" s="812" t="s">
        <v>5</v>
      </c>
      <c r="D351" s="812" t="s">
        <v>25</v>
      </c>
      <c r="E351" s="804" t="s">
        <v>5</v>
      </c>
      <c r="F351" s="804" t="s">
        <v>25</v>
      </c>
      <c r="G351" s="1198" t="s">
        <v>814</v>
      </c>
      <c r="H351" s="990" t="s">
        <v>640</v>
      </c>
      <c r="I351" s="804" t="s">
        <v>5</v>
      </c>
      <c r="J351" s="804" t="s">
        <v>25</v>
      </c>
      <c r="K351" s="804" t="s">
        <v>5</v>
      </c>
      <c r="L351" s="804" t="s">
        <v>25</v>
      </c>
      <c r="M351" s="808" t="s">
        <v>5</v>
      </c>
      <c r="N351" s="808" t="s">
        <v>25</v>
      </c>
      <c r="O351" s="75"/>
    </row>
    <row r="352" spans="1:18" s="1" customFormat="1" ht="24" customHeight="1" x14ac:dyDescent="0.2">
      <c r="A352" s="51">
        <v>1</v>
      </c>
      <c r="B352" s="51" t="s">
        <v>469</v>
      </c>
      <c r="C352" s="811">
        <v>3</v>
      </c>
      <c r="D352" s="811">
        <v>3</v>
      </c>
      <c r="E352" s="805"/>
      <c r="F352" s="805"/>
      <c r="G352" s="806"/>
      <c r="H352" s="806"/>
      <c r="I352" s="806"/>
      <c r="J352" s="805"/>
      <c r="K352" s="805">
        <v>3</v>
      </c>
      <c r="L352" s="805">
        <v>3</v>
      </c>
      <c r="M352" s="954">
        <f t="shared" ref="M352:N359" si="23">C352-K352</f>
        <v>0</v>
      </c>
      <c r="N352" s="954">
        <f t="shared" si="23"/>
        <v>0</v>
      </c>
      <c r="O352" s="75"/>
    </row>
    <row r="353" spans="1:15" s="1" customFormat="1" ht="24" customHeight="1" x14ac:dyDescent="0.2">
      <c r="A353" s="51">
        <v>2</v>
      </c>
      <c r="B353" s="51" t="s">
        <v>470</v>
      </c>
      <c r="C353" s="811">
        <v>5</v>
      </c>
      <c r="D353" s="811">
        <v>5</v>
      </c>
      <c r="E353" s="805"/>
      <c r="F353" s="805"/>
      <c r="G353" s="806"/>
      <c r="H353" s="806"/>
      <c r="I353" s="806"/>
      <c r="J353" s="805"/>
      <c r="K353" s="805">
        <v>5</v>
      </c>
      <c r="L353" s="805">
        <v>4</v>
      </c>
      <c r="M353" s="954">
        <f t="shared" si="23"/>
        <v>0</v>
      </c>
      <c r="N353" s="954">
        <f t="shared" si="23"/>
        <v>1</v>
      </c>
      <c r="O353" s="953"/>
    </row>
    <row r="354" spans="1:15" s="1" customFormat="1" ht="24" customHeight="1" x14ac:dyDescent="0.2">
      <c r="A354" s="51">
        <v>3</v>
      </c>
      <c r="B354" s="51" t="s">
        <v>471</v>
      </c>
      <c r="C354" s="811">
        <v>30</v>
      </c>
      <c r="D354" s="811">
        <v>30</v>
      </c>
      <c r="E354" s="805">
        <v>2</v>
      </c>
      <c r="F354" s="805">
        <v>1</v>
      </c>
      <c r="G354" s="806">
        <v>4</v>
      </c>
      <c r="H354" s="806">
        <v>1</v>
      </c>
      <c r="I354" s="806">
        <v>1</v>
      </c>
      <c r="J354" s="805">
        <v>1</v>
      </c>
      <c r="K354" s="805">
        <v>24</v>
      </c>
      <c r="L354" s="805">
        <v>24</v>
      </c>
      <c r="M354" s="954">
        <f t="shared" si="23"/>
        <v>6</v>
      </c>
      <c r="N354" s="954">
        <f t="shared" si="23"/>
        <v>6</v>
      </c>
      <c r="O354" s="953"/>
    </row>
    <row r="355" spans="1:15" s="1" customFormat="1" ht="24" customHeight="1" x14ac:dyDescent="0.2">
      <c r="A355" s="51">
        <v>4</v>
      </c>
      <c r="B355" s="51" t="s">
        <v>472</v>
      </c>
      <c r="C355" s="811">
        <v>19</v>
      </c>
      <c r="D355" s="811">
        <v>19</v>
      </c>
      <c r="E355" s="805">
        <v>1</v>
      </c>
      <c r="F355" s="805"/>
      <c r="G355" s="806">
        <v>1</v>
      </c>
      <c r="H355" s="806">
        <v>3</v>
      </c>
      <c r="I355" s="806">
        <v>2</v>
      </c>
      <c r="J355" s="805"/>
      <c r="K355" s="805">
        <v>15</v>
      </c>
      <c r="L355" s="805">
        <v>15</v>
      </c>
      <c r="M355" s="954">
        <f t="shared" si="23"/>
        <v>4</v>
      </c>
      <c r="N355" s="954">
        <f t="shared" si="23"/>
        <v>4</v>
      </c>
      <c r="O355" s="953"/>
    </row>
    <row r="356" spans="1:15" s="1" customFormat="1" ht="24" customHeight="1" x14ac:dyDescent="0.2">
      <c r="A356" s="51">
        <v>5</v>
      </c>
      <c r="B356" s="51" t="s">
        <v>473</v>
      </c>
      <c r="C356" s="811">
        <v>51</v>
      </c>
      <c r="D356" s="811">
        <v>51</v>
      </c>
      <c r="E356" s="805">
        <v>7</v>
      </c>
      <c r="F356" s="805">
        <v>8</v>
      </c>
      <c r="G356" s="806">
        <v>2</v>
      </c>
      <c r="H356" s="806"/>
      <c r="I356" s="806">
        <v>4</v>
      </c>
      <c r="J356" s="805"/>
      <c r="K356" s="805">
        <v>46</v>
      </c>
      <c r="L356" s="805">
        <v>49</v>
      </c>
      <c r="M356" s="954">
        <f t="shared" si="23"/>
        <v>5</v>
      </c>
      <c r="N356" s="954">
        <f t="shared" si="23"/>
        <v>2</v>
      </c>
      <c r="O356" s="953"/>
    </row>
    <row r="357" spans="1:15" s="1" customFormat="1" ht="24" customHeight="1" x14ac:dyDescent="0.2">
      <c r="A357" s="51">
        <v>6</v>
      </c>
      <c r="B357" s="51" t="s">
        <v>474</v>
      </c>
      <c r="C357" s="811">
        <v>6</v>
      </c>
      <c r="D357" s="811">
        <v>6</v>
      </c>
      <c r="E357" s="805"/>
      <c r="F357" s="805">
        <v>1</v>
      </c>
      <c r="G357" s="806"/>
      <c r="H357" s="806"/>
      <c r="I357" s="806"/>
      <c r="J357" s="805">
        <v>1</v>
      </c>
      <c r="K357" s="805">
        <v>6</v>
      </c>
      <c r="L357" s="805">
        <v>6</v>
      </c>
      <c r="M357" s="954">
        <f t="shared" si="23"/>
        <v>0</v>
      </c>
      <c r="N357" s="954">
        <f t="shared" si="23"/>
        <v>0</v>
      </c>
      <c r="O357" s="953"/>
    </row>
    <row r="358" spans="1:15" s="1" customFormat="1" ht="24" customHeight="1" x14ac:dyDescent="0.2">
      <c r="A358" s="51">
        <v>7</v>
      </c>
      <c r="B358" s="51" t="s">
        <v>475</v>
      </c>
      <c r="C358" s="811">
        <v>2</v>
      </c>
      <c r="D358" s="811">
        <v>2</v>
      </c>
      <c r="E358" s="805"/>
      <c r="F358" s="805"/>
      <c r="G358" s="806"/>
      <c r="H358" s="806"/>
      <c r="I358" s="806"/>
      <c r="J358" s="805"/>
      <c r="K358" s="805">
        <v>2</v>
      </c>
      <c r="L358" s="805">
        <v>2</v>
      </c>
      <c r="M358" s="954">
        <f t="shared" si="23"/>
        <v>0</v>
      </c>
      <c r="N358" s="954">
        <f t="shared" si="23"/>
        <v>0</v>
      </c>
      <c r="O358" s="953"/>
    </row>
    <row r="359" spans="1:15" s="1" customFormat="1" ht="24" customHeight="1" x14ac:dyDescent="0.2">
      <c r="A359" s="3017" t="s">
        <v>476</v>
      </c>
      <c r="B359" s="3017"/>
      <c r="C359" s="813">
        <f t="shared" ref="C359:L359" si="24">SUM(C352:C358)</f>
        <v>116</v>
      </c>
      <c r="D359" s="813">
        <f t="shared" si="24"/>
        <v>116</v>
      </c>
      <c r="E359" s="807">
        <f t="shared" si="24"/>
        <v>10</v>
      </c>
      <c r="F359" s="807">
        <f t="shared" si="24"/>
        <v>10</v>
      </c>
      <c r="G359" s="807">
        <f t="shared" si="24"/>
        <v>7</v>
      </c>
      <c r="H359" s="807">
        <f t="shared" si="24"/>
        <v>4</v>
      </c>
      <c r="I359" s="807">
        <f t="shared" si="24"/>
        <v>7</v>
      </c>
      <c r="J359" s="807">
        <f t="shared" si="24"/>
        <v>2</v>
      </c>
      <c r="K359" s="813">
        <f t="shared" si="24"/>
        <v>101</v>
      </c>
      <c r="L359" s="813">
        <f t="shared" si="24"/>
        <v>103</v>
      </c>
      <c r="M359" s="814">
        <f t="shared" si="23"/>
        <v>15</v>
      </c>
      <c r="N359" s="814">
        <f t="shared" si="23"/>
        <v>13</v>
      </c>
      <c r="O359" s="953"/>
    </row>
    <row r="360" spans="1:15" s="1" customFormat="1" ht="4" customHeight="1" x14ac:dyDescent="0.2">
      <c r="A360" s="67"/>
      <c r="B360" s="67"/>
      <c r="C360" s="1057"/>
      <c r="D360" s="1057"/>
      <c r="E360" s="1058"/>
      <c r="F360" s="1058"/>
      <c r="G360" s="1058"/>
      <c r="H360" s="1058"/>
      <c r="I360" s="1058"/>
      <c r="J360" s="1058"/>
      <c r="K360" s="1057"/>
      <c r="L360" s="1057"/>
      <c r="M360" s="1059"/>
      <c r="N360" s="1059"/>
      <c r="O360" s="953"/>
    </row>
    <row r="361" spans="1:15" s="1" customFormat="1" ht="23" customHeight="1" x14ac:dyDescent="0.2">
      <c r="A361" s="51">
        <v>8</v>
      </c>
      <c r="B361" s="51" t="s">
        <v>663</v>
      </c>
      <c r="C361" s="805">
        <v>59</v>
      </c>
      <c r="D361" s="805"/>
      <c r="E361" s="805"/>
      <c r="F361" s="805"/>
      <c r="G361" s="806"/>
      <c r="H361" s="806"/>
      <c r="I361" s="806"/>
      <c r="J361" s="805"/>
      <c r="K361" s="805"/>
      <c r="L361" s="805"/>
      <c r="M361" s="1060">
        <v>62</v>
      </c>
      <c r="N361" s="1060">
        <f>C361-M361</f>
        <v>-3</v>
      </c>
      <c r="O361" s="953"/>
    </row>
    <row r="362" spans="1:15" s="1" customFormat="1" ht="23" customHeight="1" x14ac:dyDescent="0.2">
      <c r="A362" s="51">
        <v>9</v>
      </c>
      <c r="B362" s="51" t="s">
        <v>665</v>
      </c>
      <c r="C362" s="805">
        <v>26</v>
      </c>
      <c r="D362" s="805"/>
      <c r="E362" s="805"/>
      <c r="F362" s="805"/>
      <c r="G362" s="806"/>
      <c r="H362" s="806"/>
      <c r="I362" s="806"/>
      <c r="J362" s="805"/>
      <c r="K362" s="805"/>
      <c r="L362" s="805"/>
      <c r="M362" s="1060">
        <f>C362-K362</f>
        <v>26</v>
      </c>
      <c r="N362" s="1060">
        <f>C362-M362</f>
        <v>0</v>
      </c>
      <c r="O362" s="953"/>
    </row>
    <row r="363" spans="1:15" s="1" customFormat="1" ht="23" customHeight="1" x14ac:dyDescent="0.2">
      <c r="A363" s="51">
        <v>10</v>
      </c>
      <c r="B363" s="51" t="s">
        <v>666</v>
      </c>
      <c r="C363" s="805">
        <v>23</v>
      </c>
      <c r="D363" s="805"/>
      <c r="E363" s="805"/>
      <c r="F363" s="805"/>
      <c r="G363" s="806"/>
      <c r="H363" s="806"/>
      <c r="I363" s="806"/>
      <c r="J363" s="805"/>
      <c r="K363" s="805"/>
      <c r="L363" s="805"/>
      <c r="M363" s="1060">
        <f>C363-K363</f>
        <v>23</v>
      </c>
      <c r="N363" s="1060">
        <f>C363-M363</f>
        <v>0</v>
      </c>
      <c r="O363" s="953"/>
    </row>
    <row r="364" spans="1:15" s="1" customFormat="1" ht="19" customHeight="1" x14ac:dyDescent="0.2">
      <c r="A364" s="3161" t="s">
        <v>889</v>
      </c>
      <c r="B364" s="3161"/>
      <c r="C364" s="3161"/>
      <c r="D364" s="3161"/>
      <c r="E364" s="3161"/>
      <c r="F364" s="3161"/>
      <c r="G364" s="3161"/>
      <c r="H364" s="3161"/>
      <c r="I364" s="3161"/>
      <c r="J364" s="3161"/>
      <c r="K364" s="3161"/>
      <c r="L364" s="3161"/>
      <c r="M364" s="3161"/>
      <c r="N364" s="3161"/>
      <c r="O364" s="953"/>
    </row>
    <row r="365" spans="1:15" s="1" customFormat="1" ht="51" customHeight="1" x14ac:dyDescent="0.2">
      <c r="A365" s="3183" t="s">
        <v>913</v>
      </c>
      <c r="B365" s="3183"/>
      <c r="C365" s="3183"/>
      <c r="D365" s="3183"/>
      <c r="E365" s="3183"/>
      <c r="F365" s="3183"/>
      <c r="G365" s="3183"/>
      <c r="H365" s="3183"/>
      <c r="I365" s="3183"/>
      <c r="J365" s="3183"/>
      <c r="K365" s="3183"/>
      <c r="L365" s="3183"/>
      <c r="M365" s="3183"/>
      <c r="N365" s="3183"/>
      <c r="O365" s="942"/>
    </row>
    <row r="366" spans="1:15" s="1" customFormat="1" ht="27" customHeight="1" x14ac:dyDescent="0.2">
      <c r="A366" s="3183" t="s">
        <v>847</v>
      </c>
      <c r="B366" s="3183"/>
      <c r="C366" s="3183"/>
      <c r="D366" s="3183"/>
      <c r="E366" s="3183"/>
      <c r="F366" s="3183"/>
      <c r="G366" s="3183"/>
      <c r="H366" s="3183"/>
      <c r="I366" s="3183"/>
      <c r="J366" s="3183"/>
      <c r="K366" s="3183"/>
      <c r="L366" s="3183"/>
      <c r="M366" s="3183"/>
      <c r="N366" s="3183"/>
      <c r="O366" s="942"/>
    </row>
    <row r="367" spans="1:15" s="1" customFormat="1" ht="26" customHeight="1" x14ac:dyDescent="0.2">
      <c r="A367" s="42" t="s">
        <v>830</v>
      </c>
      <c r="B367" s="42"/>
      <c r="E367" s="43"/>
      <c r="F367" s="43"/>
      <c r="H367" s="78"/>
      <c r="I367" s="447"/>
      <c r="J367" s="71"/>
      <c r="K367" s="71"/>
      <c r="N367" s="209"/>
      <c r="O367" s="75"/>
    </row>
    <row r="368" spans="1:15" s="1" customFormat="1" ht="31" customHeight="1" x14ac:dyDescent="0.2">
      <c r="A368" s="2665" t="s">
        <v>34</v>
      </c>
      <c r="B368" s="3174" t="s">
        <v>6</v>
      </c>
      <c r="C368" s="3174"/>
      <c r="D368" s="2602" t="s">
        <v>7</v>
      </c>
      <c r="E368" s="3174" t="s">
        <v>8</v>
      </c>
      <c r="F368" s="3174"/>
      <c r="G368" s="3174"/>
      <c r="H368" s="3039" t="s">
        <v>9</v>
      </c>
      <c r="I368" s="2602" t="s">
        <v>10</v>
      </c>
      <c r="J368" s="8" t="s">
        <v>35</v>
      </c>
      <c r="K368" s="8" t="s">
        <v>12</v>
      </c>
      <c r="L368" s="7" t="s">
        <v>13</v>
      </c>
      <c r="M368" s="7" t="s">
        <v>14</v>
      </c>
      <c r="N368" s="8" t="s">
        <v>15</v>
      </c>
      <c r="O368" s="75"/>
    </row>
    <row r="369" spans="1:15" s="1" customFormat="1" ht="31" customHeight="1" x14ac:dyDescent="0.2">
      <c r="A369" s="2665"/>
      <c r="B369" s="8" t="s">
        <v>36</v>
      </c>
      <c r="C369" s="7" t="s">
        <v>17</v>
      </c>
      <c r="D369" s="2602"/>
      <c r="E369" s="9" t="s">
        <v>18</v>
      </c>
      <c r="F369" s="9" t="s">
        <v>19</v>
      </c>
      <c r="G369" s="7" t="s">
        <v>20</v>
      </c>
      <c r="H369" s="3039"/>
      <c r="I369" s="2602"/>
      <c r="J369" s="8" t="s">
        <v>21</v>
      </c>
      <c r="K369" s="8" t="s">
        <v>22</v>
      </c>
      <c r="L369" s="3174" t="s">
        <v>22</v>
      </c>
      <c r="M369" s="3174"/>
      <c r="N369" s="8" t="s">
        <v>23</v>
      </c>
      <c r="O369" s="75"/>
    </row>
    <row r="370" spans="1:15" s="1" customFormat="1" ht="31" customHeight="1" x14ac:dyDescent="0.2">
      <c r="A370" s="3208" t="s">
        <v>818</v>
      </c>
      <c r="B370" s="2551" t="s">
        <v>412</v>
      </c>
      <c r="C370" s="12" t="s">
        <v>21</v>
      </c>
      <c r="D370" s="14">
        <f>I370*J370*100/K371</f>
        <v>487459.18367346941</v>
      </c>
      <c r="E370" s="14">
        <f>E371*H370/100</f>
        <v>425161.9</v>
      </c>
      <c r="F370" s="14">
        <f>F371*H370/100</f>
        <v>28662.6</v>
      </c>
      <c r="G370" s="14">
        <f>G371*H370/100</f>
        <v>23885.5</v>
      </c>
      <c r="H370" s="853">
        <f>J370*I370</f>
        <v>477710</v>
      </c>
      <c r="I370" s="434">
        <v>31</v>
      </c>
      <c r="J370" s="357">
        <v>15410</v>
      </c>
      <c r="K370" s="348"/>
      <c r="L370" s="28"/>
      <c r="M370" s="28"/>
      <c r="N370" s="348">
        <v>40</v>
      </c>
      <c r="O370" s="75"/>
    </row>
    <row r="371" spans="1:15" s="1" customFormat="1" ht="31" customHeight="1" x14ac:dyDescent="0.2">
      <c r="A371" s="3208"/>
      <c r="B371" s="2551"/>
      <c r="C371" s="12" t="s">
        <v>22</v>
      </c>
      <c r="D371" s="13"/>
      <c r="E371" s="16">
        <v>89</v>
      </c>
      <c r="F371" s="16">
        <v>6</v>
      </c>
      <c r="G371" s="16">
        <v>5</v>
      </c>
      <c r="H371" s="396">
        <v>100</v>
      </c>
      <c r="I371" s="435"/>
      <c r="J371" s="362"/>
      <c r="K371" s="365">
        <v>98</v>
      </c>
      <c r="L371" s="2933">
        <v>2</v>
      </c>
      <c r="M371" s="2933"/>
      <c r="N371" s="348"/>
      <c r="O371" s="75"/>
    </row>
    <row r="372" spans="1:15" s="1" customFormat="1" ht="28" hidden="1" customHeight="1" x14ac:dyDescent="0.2">
      <c r="A372" s="3208" t="s">
        <v>754</v>
      </c>
      <c r="B372" s="2551" t="s">
        <v>412</v>
      </c>
      <c r="C372" s="12" t="s">
        <v>21</v>
      </c>
      <c r="D372" s="14">
        <f>I372*J372*100/K373</f>
        <v>0</v>
      </c>
      <c r="E372" s="14">
        <f>E373*H372/100</f>
        <v>0</v>
      </c>
      <c r="F372" s="14">
        <f>F373*H372/100</f>
        <v>0</v>
      </c>
      <c r="G372" s="14">
        <f>G373*H372/100</f>
        <v>0</v>
      </c>
      <c r="H372" s="853">
        <f>J372*I372</f>
        <v>0</v>
      </c>
      <c r="I372" s="434"/>
      <c r="J372" s="357"/>
      <c r="K372" s="348"/>
      <c r="L372" s="28"/>
      <c r="M372" s="28"/>
      <c r="N372" s="348"/>
      <c r="O372" s="75"/>
    </row>
    <row r="373" spans="1:15" s="1" customFormat="1" ht="28" hidden="1" customHeight="1" x14ac:dyDescent="0.2">
      <c r="A373" s="3208"/>
      <c r="B373" s="2551"/>
      <c r="C373" s="12" t="s">
        <v>22</v>
      </c>
      <c r="D373" s="13"/>
      <c r="E373" s="16">
        <v>89</v>
      </c>
      <c r="F373" s="16">
        <v>6</v>
      </c>
      <c r="G373" s="16">
        <v>5</v>
      </c>
      <c r="H373" s="396">
        <v>100</v>
      </c>
      <c r="I373" s="435"/>
      <c r="J373" s="362"/>
      <c r="K373" s="365">
        <v>98</v>
      </c>
      <c r="L373" s="2933">
        <v>2</v>
      </c>
      <c r="M373" s="2933"/>
      <c r="N373" s="348">
        <v>40</v>
      </c>
      <c r="O373" s="75"/>
    </row>
    <row r="374" spans="1:15" s="1" customFormat="1" ht="30" customHeight="1" x14ac:dyDescent="0.2">
      <c r="A374" s="3032" t="s">
        <v>606</v>
      </c>
      <c r="B374" s="3032"/>
      <c r="C374" s="31" t="s">
        <v>21</v>
      </c>
      <c r="D374" s="842">
        <f t="shared" ref="D374:I374" si="25">D370+D372</f>
        <v>487459.18367346941</v>
      </c>
      <c r="E374" s="842">
        <f t="shared" si="25"/>
        <v>425161.9</v>
      </c>
      <c r="F374" s="842">
        <f t="shared" si="25"/>
        <v>28662.6</v>
      </c>
      <c r="G374" s="842">
        <f t="shared" si="25"/>
        <v>23885.5</v>
      </c>
      <c r="H374" s="842">
        <f t="shared" si="25"/>
        <v>477710</v>
      </c>
      <c r="I374" s="34">
        <f t="shared" si="25"/>
        <v>31</v>
      </c>
      <c r="J374" s="842">
        <f>H374/I374</f>
        <v>15410</v>
      </c>
      <c r="K374" s="368"/>
      <c r="L374" s="826"/>
      <c r="M374" s="826"/>
      <c r="N374" s="367"/>
      <c r="O374" s="75"/>
    </row>
    <row r="375" spans="1:15" s="1" customFormat="1" ht="30" customHeight="1" x14ac:dyDescent="0.2">
      <c r="A375" s="3032"/>
      <c r="B375" s="3032"/>
      <c r="C375" s="31" t="s">
        <v>22</v>
      </c>
      <c r="D375" s="32"/>
      <c r="E375" s="975">
        <f>+E374/H374*100</f>
        <v>89</v>
      </c>
      <c r="F375" s="975">
        <f>+F374/H374*100</f>
        <v>6</v>
      </c>
      <c r="G375" s="975">
        <f>+G374/H374*100</f>
        <v>5</v>
      </c>
      <c r="H375" s="397">
        <v>100</v>
      </c>
      <c r="I375" s="436"/>
      <c r="J375" s="358"/>
      <c r="K375" s="976">
        <f>+H374/D374*100</f>
        <v>98</v>
      </c>
      <c r="L375" s="3033">
        <f>100-K375</f>
        <v>2</v>
      </c>
      <c r="M375" s="3033"/>
      <c r="N375" s="367"/>
      <c r="O375" s="75"/>
    </row>
    <row r="376" spans="1:15" s="1" customFormat="1" ht="26" customHeight="1" x14ac:dyDescent="0.2">
      <c r="A376" s="2665" t="s">
        <v>25</v>
      </c>
      <c r="B376" s="2551" t="s">
        <v>492</v>
      </c>
      <c r="C376" s="12" t="s">
        <v>21</v>
      </c>
      <c r="D376" s="14">
        <f>I376*J376*100/K377</f>
        <v>313387.75510204083</v>
      </c>
      <c r="E376" s="14">
        <f>E377*H376/100</f>
        <v>273336.8</v>
      </c>
      <c r="F376" s="14">
        <f>F377*H376/100</f>
        <v>24569.599999999999</v>
      </c>
      <c r="G376" s="14">
        <f>G377*H376/100</f>
        <v>9213.6</v>
      </c>
      <c r="H376" s="853">
        <f>J376*I376</f>
        <v>307120</v>
      </c>
      <c r="I376" s="434">
        <v>22</v>
      </c>
      <c r="J376" s="357">
        <v>13960</v>
      </c>
      <c r="K376" s="348"/>
      <c r="L376" s="28"/>
      <c r="M376" s="28"/>
      <c r="N376" s="348">
        <v>40</v>
      </c>
      <c r="O376" s="75"/>
    </row>
    <row r="377" spans="1:15" s="1" customFormat="1" ht="26" customHeight="1" x14ac:dyDescent="0.2">
      <c r="A377" s="2665"/>
      <c r="B377" s="2551"/>
      <c r="C377" s="12" t="s">
        <v>22</v>
      </c>
      <c r="D377" s="13"/>
      <c r="E377" s="16">
        <v>89</v>
      </c>
      <c r="F377" s="16">
        <v>8</v>
      </c>
      <c r="G377" s="16">
        <v>3</v>
      </c>
      <c r="H377" s="396">
        <v>100</v>
      </c>
      <c r="I377" s="435"/>
      <c r="J377" s="362"/>
      <c r="K377" s="365">
        <v>98</v>
      </c>
      <c r="L377" s="2933">
        <v>2</v>
      </c>
      <c r="M377" s="2933"/>
      <c r="N377" s="348"/>
      <c r="O377" s="75"/>
    </row>
    <row r="378" spans="1:15" s="1" customFormat="1" ht="26" customHeight="1" x14ac:dyDescent="0.2">
      <c r="A378" s="2665"/>
      <c r="B378" s="2551" t="s">
        <v>819</v>
      </c>
      <c r="C378" s="12" t="s">
        <v>21</v>
      </c>
      <c r="D378" s="14">
        <f>I378*J378*100/K379</f>
        <v>103428.57142857143</v>
      </c>
      <c r="E378" s="14">
        <f>E379*H378/100</f>
        <v>95278.399999999994</v>
      </c>
      <c r="F378" s="14">
        <f>F379*H378/100</f>
        <v>3040.8</v>
      </c>
      <c r="G378" s="14">
        <f>G379*H378/100</f>
        <v>3040.8</v>
      </c>
      <c r="H378" s="853">
        <f>J378*I378</f>
        <v>101360</v>
      </c>
      <c r="I378" s="434">
        <v>8</v>
      </c>
      <c r="J378" s="357">
        <v>12670</v>
      </c>
      <c r="K378" s="348"/>
      <c r="L378" s="28"/>
      <c r="M378" s="28"/>
      <c r="N378" s="348">
        <v>100</v>
      </c>
      <c r="O378" s="75"/>
    </row>
    <row r="379" spans="1:15" s="1" customFormat="1" ht="26" customHeight="1" x14ac:dyDescent="0.2">
      <c r="A379" s="2665"/>
      <c r="B379" s="2551"/>
      <c r="C379" s="12" t="s">
        <v>22</v>
      </c>
      <c r="D379" s="13"/>
      <c r="E379" s="16">
        <v>94</v>
      </c>
      <c r="F379" s="16">
        <v>3</v>
      </c>
      <c r="G379" s="16">
        <v>3</v>
      </c>
      <c r="H379" s="396">
        <v>100</v>
      </c>
      <c r="I379" s="435"/>
      <c r="J379" s="362"/>
      <c r="K379" s="365">
        <v>98</v>
      </c>
      <c r="L379" s="2933">
        <v>2</v>
      </c>
      <c r="M379" s="2933"/>
      <c r="N379" s="348"/>
      <c r="O379" s="75"/>
    </row>
    <row r="380" spans="1:15" s="1" customFormat="1" ht="26" hidden="1" customHeight="1" x14ac:dyDescent="0.2">
      <c r="A380" s="729"/>
      <c r="B380" s="2551" t="s">
        <v>492</v>
      </c>
      <c r="C380" s="12" t="s">
        <v>21</v>
      </c>
      <c r="D380" s="14">
        <f>I380*J380*100/K381</f>
        <v>0</v>
      </c>
      <c r="E380" s="14">
        <f>E381*H380/100</f>
        <v>0</v>
      </c>
      <c r="F380" s="14">
        <f>F381*H380/100</f>
        <v>0</v>
      </c>
      <c r="G380" s="14">
        <f>G381*H380/100</f>
        <v>0</v>
      </c>
      <c r="H380" s="853">
        <f>J380*I380</f>
        <v>0</v>
      </c>
      <c r="I380" s="434"/>
      <c r="J380" s="357"/>
      <c r="K380" s="348"/>
      <c r="L380" s="28"/>
      <c r="M380" s="28"/>
      <c r="N380" s="348">
        <v>40</v>
      </c>
      <c r="O380" s="75"/>
    </row>
    <row r="381" spans="1:15" s="1" customFormat="1" ht="27" hidden="1" customHeight="1" x14ac:dyDescent="0.2">
      <c r="A381" s="729"/>
      <c r="B381" s="2551"/>
      <c r="C381" s="12" t="s">
        <v>22</v>
      </c>
      <c r="D381" s="13"/>
      <c r="E381" s="16">
        <v>89</v>
      </c>
      <c r="F381" s="16">
        <v>8</v>
      </c>
      <c r="G381" s="16">
        <v>3</v>
      </c>
      <c r="H381" s="396">
        <v>100</v>
      </c>
      <c r="I381" s="435"/>
      <c r="J381" s="362"/>
      <c r="K381" s="365">
        <v>98</v>
      </c>
      <c r="L381" s="2933">
        <v>2</v>
      </c>
      <c r="M381" s="2933"/>
      <c r="N381" s="348"/>
      <c r="O381" s="75"/>
    </row>
    <row r="382" spans="1:15" s="1" customFormat="1" ht="27" customHeight="1" x14ac:dyDescent="0.2">
      <c r="A382" s="3032" t="s">
        <v>607</v>
      </c>
      <c r="B382" s="3032"/>
      <c r="C382" s="31" t="s">
        <v>21</v>
      </c>
      <c r="D382" s="842">
        <f t="shared" ref="D382:I382" si="26">D376+D378+D380</f>
        <v>416816.32653061225</v>
      </c>
      <c r="E382" s="842">
        <f t="shared" si="26"/>
        <v>368615.19999999995</v>
      </c>
      <c r="F382" s="842">
        <f t="shared" si="26"/>
        <v>27610.399999999998</v>
      </c>
      <c r="G382" s="842">
        <f t="shared" si="26"/>
        <v>12254.400000000001</v>
      </c>
      <c r="H382" s="842">
        <f t="shared" si="26"/>
        <v>408480</v>
      </c>
      <c r="I382" s="34">
        <f t="shared" si="26"/>
        <v>30</v>
      </c>
      <c r="J382" s="842">
        <f>H382/I382</f>
        <v>13616</v>
      </c>
      <c r="K382" s="368"/>
      <c r="L382" s="826"/>
      <c r="M382" s="826"/>
      <c r="N382" s="367"/>
      <c r="O382" s="75"/>
    </row>
    <row r="383" spans="1:15" s="1" customFormat="1" ht="27" customHeight="1" x14ac:dyDescent="0.2">
      <c r="A383" s="3032"/>
      <c r="B383" s="3032"/>
      <c r="C383" s="31" t="s">
        <v>22</v>
      </c>
      <c r="D383" s="32"/>
      <c r="E383" s="975">
        <f>+E382/H382*100</f>
        <v>90.240697218958076</v>
      </c>
      <c r="F383" s="975">
        <f>+F382/H382*100</f>
        <v>6.7593027810419111</v>
      </c>
      <c r="G383" s="975">
        <f>+G382/H382*100</f>
        <v>3.0000000000000004</v>
      </c>
      <c r="H383" s="397">
        <v>100</v>
      </c>
      <c r="I383" s="436"/>
      <c r="J383" s="358"/>
      <c r="K383" s="976">
        <f>+H382/D382*100</f>
        <v>98</v>
      </c>
      <c r="L383" s="3033">
        <f>100-K383</f>
        <v>2</v>
      </c>
      <c r="M383" s="3033"/>
      <c r="N383" s="367"/>
      <c r="O383" s="75"/>
    </row>
    <row r="384" spans="1:15" s="1" customFormat="1" ht="27" customHeight="1" x14ac:dyDescent="0.2">
      <c r="A384" s="3034" t="s">
        <v>608</v>
      </c>
      <c r="B384" s="3034"/>
      <c r="C384" s="977" t="s">
        <v>21</v>
      </c>
      <c r="D384" s="978">
        <f t="shared" ref="D384:I384" si="27">D382+D374</f>
        <v>904275.51020408166</v>
      </c>
      <c r="E384" s="978">
        <f t="shared" si="27"/>
        <v>793777.1</v>
      </c>
      <c r="F384" s="978">
        <f t="shared" si="27"/>
        <v>56273</v>
      </c>
      <c r="G384" s="978">
        <f t="shared" si="27"/>
        <v>36139.9</v>
      </c>
      <c r="H384" s="978">
        <f t="shared" si="27"/>
        <v>886190</v>
      </c>
      <c r="I384" s="979">
        <f t="shared" si="27"/>
        <v>61</v>
      </c>
      <c r="J384" s="978">
        <f>H384/I384</f>
        <v>14527.704918032787</v>
      </c>
      <c r="K384" s="980"/>
      <c r="L384" s="981"/>
      <c r="M384" s="981"/>
      <c r="N384" s="982"/>
      <c r="O384" s="75"/>
    </row>
    <row r="385" spans="1:15" s="1" customFormat="1" ht="27" customHeight="1" x14ac:dyDescent="0.2">
      <c r="A385" s="3034"/>
      <c r="B385" s="3034"/>
      <c r="C385" s="977" t="s">
        <v>22</v>
      </c>
      <c r="D385" s="983"/>
      <c r="E385" s="984">
        <f>+E384/H384*100</f>
        <v>89.571886390051787</v>
      </c>
      <c r="F385" s="984">
        <f>+F384/H384*100</f>
        <v>6.3499926652298031</v>
      </c>
      <c r="G385" s="984">
        <f>+G384/H384*100</f>
        <v>4.0781209447184015</v>
      </c>
      <c r="H385" s="985">
        <v>100</v>
      </c>
      <c r="I385" s="986"/>
      <c r="J385" s="987"/>
      <c r="K385" s="988">
        <f>+H384/D384*100</f>
        <v>98</v>
      </c>
      <c r="L385" s="3035">
        <f>100-K385</f>
        <v>2</v>
      </c>
      <c r="M385" s="3035"/>
      <c r="N385" s="982"/>
      <c r="O385" s="75"/>
    </row>
    <row r="386" spans="1:15" s="340" customFormat="1" ht="26" customHeight="1" x14ac:dyDescent="0.15">
      <c r="A386" s="2475" t="s">
        <v>817</v>
      </c>
      <c r="B386" s="2475"/>
      <c r="C386" s="2475"/>
      <c r="D386" s="2475"/>
      <c r="E386" s="2475"/>
      <c r="F386" s="2475"/>
      <c r="G386" s="2475"/>
      <c r="H386" s="2475"/>
      <c r="I386" s="2475"/>
      <c r="J386" s="2475"/>
      <c r="K386" s="2475"/>
      <c r="L386" s="2475"/>
      <c r="M386" s="2475"/>
      <c r="N386" s="2475"/>
    </row>
    <row r="387" spans="1:15" s="340" customFormat="1" ht="45" customHeight="1" x14ac:dyDescent="0.15">
      <c r="A387" s="2664" t="s">
        <v>34</v>
      </c>
      <c r="B387" s="3174" t="s">
        <v>6</v>
      </c>
      <c r="C387" s="3174"/>
      <c r="D387" s="2602" t="s">
        <v>7</v>
      </c>
      <c r="E387" s="3174" t="s">
        <v>8</v>
      </c>
      <c r="F387" s="3174"/>
      <c r="G387" s="3174"/>
      <c r="H387" s="3039" t="s">
        <v>9</v>
      </c>
      <c r="I387" s="2602" t="s">
        <v>10</v>
      </c>
      <c r="J387" s="8" t="s">
        <v>35</v>
      </c>
      <c r="K387" s="8" t="s">
        <v>12</v>
      </c>
      <c r="L387" s="7" t="s">
        <v>13</v>
      </c>
      <c r="M387" s="7" t="s">
        <v>14</v>
      </c>
      <c r="N387" s="8" t="s">
        <v>15</v>
      </c>
    </row>
    <row r="388" spans="1:15" s="340" customFormat="1" ht="35" customHeight="1" x14ac:dyDescent="0.15">
      <c r="A388" s="2664"/>
      <c r="B388" s="8" t="s">
        <v>37</v>
      </c>
      <c r="C388" s="7" t="s">
        <v>17</v>
      </c>
      <c r="D388" s="2602"/>
      <c r="E388" s="9" t="s">
        <v>18</v>
      </c>
      <c r="F388" s="9" t="s">
        <v>19</v>
      </c>
      <c r="G388" s="7" t="s">
        <v>20</v>
      </c>
      <c r="H388" s="3039"/>
      <c r="I388" s="2602"/>
      <c r="J388" s="8" t="s">
        <v>21</v>
      </c>
      <c r="K388" s="8" t="s">
        <v>22</v>
      </c>
      <c r="L388" s="3174" t="s">
        <v>22</v>
      </c>
      <c r="M388" s="3174"/>
      <c r="N388" s="8" t="s">
        <v>23</v>
      </c>
    </row>
    <row r="389" spans="1:15" s="340" customFormat="1" ht="35" customHeight="1" x14ac:dyDescent="0.15">
      <c r="A389" s="3208" t="s">
        <v>818</v>
      </c>
      <c r="B389" s="2551" t="s">
        <v>412</v>
      </c>
      <c r="C389" s="12" t="s">
        <v>21</v>
      </c>
      <c r="D389" s="14">
        <f>I389*J389*100/K390</f>
        <v>497208.36734693876</v>
      </c>
      <c r="E389" s="14">
        <f>E390*H389/100</f>
        <v>443410.42200000002</v>
      </c>
      <c r="F389" s="14">
        <f>F390*H389/100</f>
        <v>19490.567999999999</v>
      </c>
      <c r="G389" s="14">
        <f>G390*H389/100</f>
        <v>24363.21</v>
      </c>
      <c r="H389" s="853">
        <f>J389*I389</f>
        <v>487264.2</v>
      </c>
      <c r="I389" s="434">
        <v>31</v>
      </c>
      <c r="J389" s="357">
        <f>J370*1.02</f>
        <v>15718.2</v>
      </c>
      <c r="K389" s="348"/>
      <c r="L389" s="28"/>
      <c r="M389" s="28"/>
      <c r="N389" s="348">
        <v>25</v>
      </c>
    </row>
    <row r="390" spans="1:15" s="340" customFormat="1" ht="35" customHeight="1" x14ac:dyDescent="0.15">
      <c r="A390" s="3208"/>
      <c r="B390" s="2551"/>
      <c r="C390" s="12" t="s">
        <v>22</v>
      </c>
      <c r="D390" s="13"/>
      <c r="E390" s="16">
        <v>91</v>
      </c>
      <c r="F390" s="16">
        <v>4</v>
      </c>
      <c r="G390" s="16">
        <v>5</v>
      </c>
      <c r="H390" s="396">
        <v>100</v>
      </c>
      <c r="I390" s="435"/>
      <c r="J390" s="362"/>
      <c r="K390" s="365">
        <v>98</v>
      </c>
      <c r="L390" s="2933">
        <v>2</v>
      </c>
      <c r="M390" s="2933"/>
      <c r="N390" s="348"/>
    </row>
    <row r="391" spans="1:15" s="340" customFormat="1" ht="28" hidden="1" customHeight="1" x14ac:dyDescent="0.15">
      <c r="A391" s="3208" t="s">
        <v>754</v>
      </c>
      <c r="B391" s="2551" t="s">
        <v>412</v>
      </c>
      <c r="C391" s="12" t="s">
        <v>21</v>
      </c>
      <c r="D391" s="14">
        <f>I391*J391*100/K392</f>
        <v>0</v>
      </c>
      <c r="E391" s="14">
        <f>E392*H391/100</f>
        <v>0</v>
      </c>
      <c r="F391" s="14">
        <f>F392*H391/100</f>
        <v>0</v>
      </c>
      <c r="G391" s="14">
        <f>G392*H391/100</f>
        <v>0</v>
      </c>
      <c r="H391" s="853">
        <f>J391*I391</f>
        <v>0</v>
      </c>
      <c r="I391" s="434"/>
      <c r="J391" s="357">
        <f>J372*1.02</f>
        <v>0</v>
      </c>
      <c r="K391" s="348"/>
      <c r="L391" s="28"/>
      <c r="M391" s="28"/>
      <c r="N391" s="348">
        <v>25</v>
      </c>
    </row>
    <row r="392" spans="1:15" s="340" customFormat="1" ht="28" hidden="1" customHeight="1" x14ac:dyDescent="0.15">
      <c r="A392" s="3208"/>
      <c r="B392" s="2551"/>
      <c r="C392" s="12" t="s">
        <v>22</v>
      </c>
      <c r="D392" s="13"/>
      <c r="E392" s="16">
        <v>91</v>
      </c>
      <c r="F392" s="16">
        <v>5</v>
      </c>
      <c r="G392" s="16">
        <v>4</v>
      </c>
      <c r="H392" s="396">
        <v>100</v>
      </c>
      <c r="I392" s="435"/>
      <c r="J392" s="362"/>
      <c r="K392" s="365">
        <v>98</v>
      </c>
      <c r="L392" s="2933">
        <v>2</v>
      </c>
      <c r="M392" s="2933"/>
      <c r="N392" s="348"/>
    </row>
    <row r="393" spans="1:15" s="340" customFormat="1" ht="35" customHeight="1" x14ac:dyDescent="0.15">
      <c r="A393" s="3032" t="s">
        <v>609</v>
      </c>
      <c r="B393" s="3032"/>
      <c r="C393" s="31" t="s">
        <v>21</v>
      </c>
      <c r="D393" s="842">
        <f t="shared" ref="D393:I393" si="28">D389+D391</f>
        <v>497208.36734693876</v>
      </c>
      <c r="E393" s="842">
        <f t="shared" si="28"/>
        <v>443410.42200000002</v>
      </c>
      <c r="F393" s="842">
        <f t="shared" si="28"/>
        <v>19490.567999999999</v>
      </c>
      <c r="G393" s="842">
        <f t="shared" si="28"/>
        <v>24363.21</v>
      </c>
      <c r="H393" s="842">
        <f t="shared" si="28"/>
        <v>487264.2</v>
      </c>
      <c r="I393" s="34">
        <f t="shared" si="28"/>
        <v>31</v>
      </c>
      <c r="J393" s="842">
        <f>H393/I393</f>
        <v>15718.2</v>
      </c>
      <c r="K393" s="368"/>
      <c r="L393" s="826"/>
      <c r="M393" s="826"/>
      <c r="N393" s="367"/>
    </row>
    <row r="394" spans="1:15" s="340" customFormat="1" ht="35" customHeight="1" x14ac:dyDescent="0.15">
      <c r="A394" s="3032"/>
      <c r="B394" s="3032"/>
      <c r="C394" s="31" t="s">
        <v>22</v>
      </c>
      <c r="D394" s="32"/>
      <c r="E394" s="33">
        <f>+E393/H393*100</f>
        <v>91</v>
      </c>
      <c r="F394" s="33">
        <f>+F393/H393*100</f>
        <v>4</v>
      </c>
      <c r="G394" s="33">
        <f>+G393/H393*100</f>
        <v>5</v>
      </c>
      <c r="H394" s="397">
        <v>100</v>
      </c>
      <c r="I394" s="436"/>
      <c r="J394" s="358"/>
      <c r="K394" s="976">
        <f>+H393/D393*100</f>
        <v>98.000000000000014</v>
      </c>
      <c r="L394" s="3033">
        <f>100-K394</f>
        <v>1.9999999999999858</v>
      </c>
      <c r="M394" s="3033"/>
      <c r="N394" s="367"/>
    </row>
    <row r="395" spans="1:15" s="340" customFormat="1" ht="35" customHeight="1" x14ac:dyDescent="0.15">
      <c r="A395" s="2665" t="s">
        <v>25</v>
      </c>
      <c r="B395" s="2551" t="s">
        <v>492</v>
      </c>
      <c r="C395" s="12" t="s">
        <v>21</v>
      </c>
      <c r="D395" s="14">
        <f>I395*J395*100/K396</f>
        <v>319655.51020408166</v>
      </c>
      <c r="E395" s="14">
        <f>E396*H395/100</f>
        <v>285068.78400000004</v>
      </c>
      <c r="F395" s="14">
        <f>F396*H395/100</f>
        <v>18795.744000000002</v>
      </c>
      <c r="G395" s="14">
        <f>G396*H395/100</f>
        <v>9397.8720000000012</v>
      </c>
      <c r="H395" s="853">
        <f>J395*I395</f>
        <v>313262.40000000002</v>
      </c>
      <c r="I395" s="434">
        <v>22</v>
      </c>
      <c r="J395" s="357">
        <f>J376+J376*2%</f>
        <v>14239.2</v>
      </c>
      <c r="K395" s="348"/>
      <c r="L395" s="28"/>
      <c r="M395" s="28"/>
      <c r="N395" s="348">
        <v>25</v>
      </c>
    </row>
    <row r="396" spans="1:15" s="340" customFormat="1" ht="35" customHeight="1" x14ac:dyDescent="0.15">
      <c r="A396" s="2665"/>
      <c r="B396" s="2551"/>
      <c r="C396" s="12" t="s">
        <v>22</v>
      </c>
      <c r="D396" s="13"/>
      <c r="E396" s="16">
        <v>91</v>
      </c>
      <c r="F396" s="16">
        <v>6</v>
      </c>
      <c r="G396" s="16">
        <v>3</v>
      </c>
      <c r="H396" s="396">
        <v>100</v>
      </c>
      <c r="I396" s="435"/>
      <c r="J396" s="362"/>
      <c r="K396" s="365">
        <v>98</v>
      </c>
      <c r="L396" s="2933">
        <v>2</v>
      </c>
      <c r="M396" s="2933"/>
      <c r="N396" s="348"/>
    </row>
    <row r="397" spans="1:15" s="340" customFormat="1" ht="35" customHeight="1" x14ac:dyDescent="0.15">
      <c r="A397" s="2665"/>
      <c r="B397" s="2551" t="s">
        <v>819</v>
      </c>
      <c r="C397" s="12" t="s">
        <v>21</v>
      </c>
      <c r="D397" s="14">
        <f>I397*J397*100/K398</f>
        <v>105497.14285714286</v>
      </c>
      <c r="E397" s="14">
        <f>E398*H397/100</f>
        <v>99251.712</v>
      </c>
      <c r="F397" s="14">
        <f>F398*H397/100</f>
        <v>2067.7440000000001</v>
      </c>
      <c r="G397" s="14">
        <f>G398*H397/100</f>
        <v>2067.7440000000001</v>
      </c>
      <c r="H397" s="853">
        <f>J397*I397</f>
        <v>103387.2</v>
      </c>
      <c r="I397" s="434">
        <v>8</v>
      </c>
      <c r="J397" s="357">
        <f>J378+J378*2%</f>
        <v>12923.4</v>
      </c>
      <c r="K397" s="348"/>
      <c r="L397" s="28"/>
      <c r="M397" s="28"/>
      <c r="N397" s="348">
        <v>80</v>
      </c>
    </row>
    <row r="398" spans="1:15" s="340" customFormat="1" ht="35" customHeight="1" x14ac:dyDescent="0.15">
      <c r="A398" s="2665"/>
      <c r="B398" s="2551"/>
      <c r="C398" s="12" t="s">
        <v>22</v>
      </c>
      <c r="D398" s="13"/>
      <c r="E398" s="16">
        <v>96</v>
      </c>
      <c r="F398" s="16">
        <v>2</v>
      </c>
      <c r="G398" s="16">
        <v>2</v>
      </c>
      <c r="H398" s="396">
        <v>100</v>
      </c>
      <c r="I398" s="435"/>
      <c r="J398" s="362"/>
      <c r="K398" s="365">
        <v>98</v>
      </c>
      <c r="L398" s="2933">
        <v>2</v>
      </c>
      <c r="M398" s="2933"/>
      <c r="N398" s="348"/>
    </row>
    <row r="399" spans="1:15" s="340" customFormat="1" ht="25" hidden="1" customHeight="1" x14ac:dyDescent="0.15">
      <c r="A399" s="2665"/>
      <c r="B399" s="2551" t="s">
        <v>492</v>
      </c>
      <c r="C399" s="12" t="s">
        <v>21</v>
      </c>
      <c r="D399" s="14">
        <f>I399*J399*100/K400</f>
        <v>0</v>
      </c>
      <c r="E399" s="14">
        <f>E400*H399/100</f>
        <v>0</v>
      </c>
      <c r="F399" s="14">
        <f>F400*H399/100</f>
        <v>0</v>
      </c>
      <c r="G399" s="14">
        <f>G400*H399/100</f>
        <v>0</v>
      </c>
      <c r="H399" s="853">
        <f>J399*I399</f>
        <v>0</v>
      </c>
      <c r="I399" s="434"/>
      <c r="J399" s="357">
        <f>J380+J380*2%</f>
        <v>0</v>
      </c>
      <c r="K399" s="348"/>
      <c r="L399" s="28"/>
      <c r="M399" s="28"/>
      <c r="N399" s="348"/>
    </row>
    <row r="400" spans="1:15" s="340" customFormat="1" ht="26" hidden="1" customHeight="1" x14ac:dyDescent="0.15">
      <c r="A400" s="2665"/>
      <c r="B400" s="2551"/>
      <c r="C400" s="12" t="s">
        <v>22</v>
      </c>
      <c r="D400" s="13"/>
      <c r="E400" s="16">
        <v>91</v>
      </c>
      <c r="F400" s="16">
        <v>6</v>
      </c>
      <c r="G400" s="16">
        <v>3</v>
      </c>
      <c r="H400" s="396">
        <v>100</v>
      </c>
      <c r="I400" s="435"/>
      <c r="J400" s="362"/>
      <c r="K400" s="365">
        <v>98</v>
      </c>
      <c r="L400" s="2933">
        <v>2</v>
      </c>
      <c r="M400" s="2933"/>
      <c r="N400" s="348"/>
    </row>
    <row r="401" spans="1:14" s="340" customFormat="1" ht="25" customHeight="1" x14ac:dyDescent="0.15">
      <c r="A401" s="3032" t="s">
        <v>611</v>
      </c>
      <c r="B401" s="3032"/>
      <c r="C401" s="31" t="s">
        <v>21</v>
      </c>
      <c r="D401" s="842">
        <f t="shared" ref="D401:I401" si="29">D395+D397+D399</f>
        <v>425152.6530612245</v>
      </c>
      <c r="E401" s="842">
        <f t="shared" si="29"/>
        <v>384320.49600000004</v>
      </c>
      <c r="F401" s="842">
        <f t="shared" si="29"/>
        <v>20863.488000000001</v>
      </c>
      <c r="G401" s="842">
        <f t="shared" si="29"/>
        <v>11465.616000000002</v>
      </c>
      <c r="H401" s="842">
        <f t="shared" si="29"/>
        <v>416649.60000000003</v>
      </c>
      <c r="I401" s="34">
        <f t="shared" si="29"/>
        <v>30</v>
      </c>
      <c r="J401" s="842">
        <f>H401/I401</f>
        <v>13888.320000000002</v>
      </c>
      <c r="K401" s="368"/>
      <c r="L401" s="826"/>
      <c r="M401" s="826"/>
      <c r="N401" s="367"/>
    </row>
    <row r="402" spans="1:14" s="340" customFormat="1" ht="25" customHeight="1" x14ac:dyDescent="0.15">
      <c r="A402" s="3032"/>
      <c r="B402" s="3032"/>
      <c r="C402" s="31" t="s">
        <v>22</v>
      </c>
      <c r="D402" s="32"/>
      <c r="E402" s="975">
        <f>+E401/H401*100</f>
        <v>92.24069721895809</v>
      </c>
      <c r="F402" s="975">
        <f>+F401/H401*100</f>
        <v>5.0074422248335289</v>
      </c>
      <c r="G402" s="975">
        <f>+G401/H401*100</f>
        <v>2.7518605562083827</v>
      </c>
      <c r="H402" s="397">
        <v>100</v>
      </c>
      <c r="I402" s="436"/>
      <c r="J402" s="358"/>
      <c r="K402" s="976">
        <f>+H401/D401*100</f>
        <v>98.000000000000014</v>
      </c>
      <c r="L402" s="3033">
        <f>100-K402</f>
        <v>1.9999999999999858</v>
      </c>
      <c r="M402" s="3033"/>
      <c r="N402" s="367"/>
    </row>
    <row r="403" spans="1:14" s="340" customFormat="1" ht="25" customHeight="1" x14ac:dyDescent="0.15">
      <c r="A403" s="3461" t="s">
        <v>610</v>
      </c>
      <c r="B403" s="3461"/>
      <c r="C403" s="1152" t="s">
        <v>21</v>
      </c>
      <c r="D403" s="1153">
        <f t="shared" ref="D403:I403" si="30">D401+D393</f>
        <v>922361.02040816331</v>
      </c>
      <c r="E403" s="1153">
        <f t="shared" si="30"/>
        <v>827730.91800000006</v>
      </c>
      <c r="F403" s="1153">
        <f t="shared" si="30"/>
        <v>40354.055999999997</v>
      </c>
      <c r="G403" s="1153">
        <f t="shared" si="30"/>
        <v>35828.826000000001</v>
      </c>
      <c r="H403" s="1153">
        <f t="shared" si="30"/>
        <v>903913.8</v>
      </c>
      <c r="I403" s="1154">
        <f t="shared" si="30"/>
        <v>61</v>
      </c>
      <c r="J403" s="1153">
        <f>H403/I403</f>
        <v>14818.259016393444</v>
      </c>
      <c r="K403" s="1155"/>
      <c r="L403" s="1156"/>
      <c r="M403" s="1156"/>
      <c r="N403" s="1157"/>
    </row>
    <row r="404" spans="1:14" s="340" customFormat="1" ht="25" customHeight="1" x14ac:dyDescent="0.15">
      <c r="A404" s="3461"/>
      <c r="B404" s="3461"/>
      <c r="C404" s="1158" t="s">
        <v>22</v>
      </c>
      <c r="D404" s="1159"/>
      <c r="E404" s="1164">
        <f>+E403/H403*100</f>
        <v>91.571886390051787</v>
      </c>
      <c r="F404" s="1164">
        <f>+F403/H403*100</f>
        <v>4.464369943240162</v>
      </c>
      <c r="G404" s="1164">
        <f>+G403/H403*100</f>
        <v>3.9637436667080426</v>
      </c>
      <c r="H404" s="1160">
        <v>100</v>
      </c>
      <c r="I404" s="1161"/>
      <c r="J404" s="1162"/>
      <c r="K404" s="1163">
        <f>+H403/D403*100</f>
        <v>98</v>
      </c>
      <c r="L404" s="3462">
        <f>100-K404</f>
        <v>2</v>
      </c>
      <c r="M404" s="3462"/>
      <c r="N404" s="1157"/>
    </row>
    <row r="405" spans="1:14" s="340" customFormat="1" ht="22" customHeight="1" x14ac:dyDescent="0.15">
      <c r="A405" s="3200" t="s">
        <v>597</v>
      </c>
      <c r="B405" s="3200"/>
      <c r="C405" s="3200"/>
      <c r="D405" s="3200"/>
      <c r="E405" s="3200"/>
      <c r="F405" s="3200"/>
      <c r="G405" s="3200"/>
      <c r="H405" s="3200"/>
      <c r="I405" s="3200"/>
      <c r="J405" s="3200"/>
      <c r="K405" s="3200"/>
      <c r="L405" s="3200"/>
      <c r="M405" s="3200"/>
      <c r="N405" s="3200"/>
    </row>
    <row r="406" spans="1:14" s="340" customFormat="1" ht="22" customHeight="1" x14ac:dyDescent="0.15">
      <c r="A406" s="3198" t="s">
        <v>849</v>
      </c>
      <c r="B406" s="3198"/>
      <c r="C406" s="3198"/>
      <c r="D406" s="3198"/>
      <c r="E406" s="3198"/>
      <c r="F406" s="3198"/>
      <c r="G406" s="3198"/>
      <c r="H406" s="3198"/>
      <c r="I406" s="3198"/>
      <c r="J406" s="3198"/>
      <c r="K406" s="3198"/>
      <c r="L406" s="3198"/>
      <c r="M406" s="3198"/>
      <c r="N406" s="3198"/>
    </row>
    <row r="407" spans="1:14" s="340" customFormat="1" ht="22" customHeight="1" x14ac:dyDescent="0.15">
      <c r="A407" s="3198" t="s">
        <v>848</v>
      </c>
      <c r="B407" s="3198"/>
      <c r="C407" s="3198"/>
      <c r="D407" s="3198"/>
      <c r="E407" s="3198"/>
      <c r="F407" s="3198"/>
      <c r="G407" s="3198"/>
      <c r="H407" s="3198"/>
      <c r="I407" s="3198"/>
      <c r="J407" s="3198"/>
      <c r="K407" s="3198"/>
      <c r="L407" s="3198"/>
      <c r="M407" s="3198"/>
      <c r="N407" s="3198"/>
    </row>
    <row r="408" spans="1:14" s="340" customFormat="1" ht="24" customHeight="1" x14ac:dyDescent="0.15">
      <c r="A408" s="3463" t="s">
        <v>821</v>
      </c>
      <c r="B408" s="3463"/>
      <c r="C408" s="3463"/>
      <c r="D408" s="3463"/>
      <c r="E408" s="3463"/>
      <c r="F408" s="3463"/>
      <c r="G408" s="3463"/>
      <c r="H408" s="3463"/>
      <c r="I408" s="3463"/>
      <c r="J408" s="3463"/>
      <c r="K408" s="3463"/>
      <c r="L408" s="3463"/>
      <c r="M408" s="3463"/>
      <c r="N408" s="3463"/>
    </row>
    <row r="409" spans="1:14" s="340" customFormat="1" ht="24" customHeight="1" x14ac:dyDescent="0.15">
      <c r="A409" s="2832" t="s">
        <v>912</v>
      </c>
      <c r="B409" s="2832"/>
      <c r="C409" s="2832"/>
      <c r="D409" s="2832"/>
      <c r="E409" s="2832"/>
      <c r="F409" s="2832"/>
      <c r="G409" s="2832"/>
      <c r="H409" s="2832"/>
      <c r="I409" s="2832"/>
      <c r="J409" s="2832"/>
      <c r="K409" s="2832"/>
      <c r="L409" s="2832"/>
      <c r="M409" s="2832"/>
      <c r="N409" s="2832"/>
    </row>
    <row r="410" spans="1:14" s="340" customFormat="1" ht="24" customHeight="1" x14ac:dyDescent="0.15">
      <c r="A410" s="79" t="s">
        <v>910</v>
      </c>
      <c r="B410" s="1253"/>
      <c r="C410" s="1253"/>
      <c r="D410" s="1253"/>
      <c r="E410" s="1253"/>
      <c r="F410" s="1253"/>
      <c r="G410" s="1253"/>
      <c r="H410" s="1253"/>
      <c r="I410" s="1253"/>
      <c r="J410" s="1253"/>
      <c r="K410" s="1253"/>
      <c r="L410" s="1253"/>
      <c r="M410" s="1253"/>
      <c r="N410" s="1253"/>
    </row>
    <row r="411" spans="1:14" s="340" customFormat="1" ht="24" customHeight="1" x14ac:dyDescent="0.15">
      <c r="A411" s="79" t="s">
        <v>911</v>
      </c>
      <c r="B411" s="1253"/>
      <c r="C411" s="1253"/>
      <c r="D411" s="1253"/>
      <c r="E411" s="1253"/>
      <c r="F411" s="1253"/>
      <c r="G411" s="1253"/>
      <c r="H411" s="1253"/>
      <c r="I411" s="1253"/>
      <c r="J411" s="1253"/>
      <c r="K411" s="1253"/>
      <c r="L411" s="1253"/>
      <c r="M411" s="1253"/>
      <c r="N411" s="1253"/>
    </row>
    <row r="412" spans="1:14" s="340" customFormat="1" ht="24" customHeight="1" x14ac:dyDescent="0.15">
      <c r="A412" s="2663" t="s">
        <v>899</v>
      </c>
      <c r="B412" s="2725"/>
      <c r="C412" s="2725"/>
      <c r="D412" s="2725"/>
      <c r="E412" s="2725"/>
      <c r="F412" s="2725"/>
      <c r="G412" s="2725"/>
      <c r="H412" s="2725"/>
      <c r="I412" s="2725"/>
      <c r="J412" s="2725"/>
      <c r="K412" s="2725"/>
      <c r="L412" s="2725"/>
      <c r="M412" s="2725"/>
      <c r="N412" s="2725"/>
    </row>
    <row r="413" spans="1:14" s="340" customFormat="1" ht="24" customHeight="1" x14ac:dyDescent="0.15">
      <c r="A413" s="2663" t="s">
        <v>901</v>
      </c>
      <c r="B413" s="2725"/>
      <c r="C413" s="2725"/>
      <c r="D413" s="2725"/>
      <c r="E413" s="2725"/>
      <c r="F413" s="2725"/>
      <c r="G413" s="2725"/>
      <c r="H413" s="2725"/>
      <c r="I413" s="2725"/>
      <c r="J413" s="2725"/>
      <c r="K413" s="2725"/>
      <c r="L413" s="2725"/>
      <c r="M413" s="2725"/>
      <c r="N413" s="2725"/>
    </row>
    <row r="414" spans="1:14" s="340" customFormat="1" ht="36" customHeight="1" x14ac:dyDescent="0.15">
      <c r="A414" s="2663" t="s">
        <v>900</v>
      </c>
      <c r="B414" s="2663"/>
      <c r="C414" s="2663"/>
      <c r="D414" s="2663"/>
      <c r="E414" s="2663"/>
      <c r="F414" s="2663"/>
      <c r="G414" s="2663"/>
      <c r="H414" s="2663"/>
      <c r="I414" s="2663"/>
      <c r="J414" s="2663"/>
      <c r="K414" s="2663"/>
      <c r="L414" s="2663"/>
      <c r="M414" s="2663"/>
      <c r="N414" s="2663"/>
    </row>
    <row r="415" spans="1:14" s="340" customFormat="1" ht="24" customHeight="1" x14ac:dyDescent="0.15">
      <c r="A415" s="2663" t="s">
        <v>822</v>
      </c>
      <c r="B415" s="2663"/>
      <c r="C415" s="2663"/>
      <c r="D415" s="2663"/>
      <c r="E415" s="2663"/>
      <c r="F415" s="2663"/>
      <c r="G415" s="2663"/>
      <c r="H415" s="2663"/>
      <c r="I415" s="2663"/>
      <c r="J415" s="2663"/>
      <c r="K415" s="2663"/>
      <c r="L415" s="2663"/>
      <c r="M415" s="2663"/>
      <c r="N415" s="2663"/>
    </row>
    <row r="416" spans="1:14" s="340" customFormat="1" ht="35" customHeight="1" x14ac:dyDescent="0.15">
      <c r="A416" s="2663" t="s">
        <v>823</v>
      </c>
      <c r="B416" s="2663"/>
      <c r="C416" s="2663"/>
      <c r="D416" s="2663"/>
      <c r="E416" s="2663"/>
      <c r="F416" s="2663"/>
      <c r="G416" s="2663"/>
      <c r="H416" s="2663"/>
      <c r="I416" s="2663"/>
      <c r="J416" s="2663"/>
      <c r="K416" s="2663"/>
      <c r="L416" s="2663"/>
      <c r="M416" s="2663"/>
      <c r="N416" s="2663"/>
    </row>
    <row r="417" spans="1:14" s="340" customFormat="1" ht="24" customHeight="1" x14ac:dyDescent="0.15">
      <c r="A417" s="2663" t="s">
        <v>898</v>
      </c>
      <c r="B417" s="2663"/>
      <c r="C417" s="2663"/>
      <c r="D417" s="2663"/>
      <c r="E417" s="2663"/>
      <c r="F417" s="2663"/>
      <c r="G417" s="2663"/>
      <c r="H417" s="2663"/>
      <c r="I417" s="2663"/>
      <c r="J417" s="2663"/>
      <c r="K417" s="2663"/>
      <c r="L417" s="2663"/>
      <c r="M417" s="2663"/>
      <c r="N417" s="2663"/>
    </row>
    <row r="418" spans="1:14" s="340" customFormat="1" ht="24" customHeight="1" x14ac:dyDescent="0.15">
      <c r="A418" s="2663" t="s">
        <v>824</v>
      </c>
      <c r="B418" s="2663"/>
      <c r="C418" s="2663"/>
      <c r="D418" s="2663"/>
      <c r="E418" s="2663"/>
      <c r="F418" s="2663"/>
      <c r="G418" s="2663"/>
      <c r="H418" s="2663"/>
      <c r="I418" s="2663"/>
      <c r="J418" s="2663"/>
      <c r="K418" s="2663"/>
      <c r="L418" s="2663"/>
      <c r="M418" s="2663"/>
      <c r="N418" s="2663"/>
    </row>
    <row r="419" spans="1:14" s="340" customFormat="1" ht="55" customHeight="1" x14ac:dyDescent="0.15">
      <c r="A419" s="2663" t="s">
        <v>825</v>
      </c>
      <c r="B419" s="2663"/>
      <c r="C419" s="2663"/>
      <c r="D419" s="2663"/>
      <c r="E419" s="2663"/>
      <c r="F419" s="2663"/>
      <c r="G419" s="2663"/>
      <c r="H419" s="2663"/>
      <c r="I419" s="2663"/>
      <c r="J419" s="2663"/>
      <c r="K419" s="2663"/>
      <c r="L419" s="2663"/>
      <c r="M419" s="2663"/>
      <c r="N419" s="2663"/>
    </row>
    <row r="420" spans="1:14" s="340" customFormat="1" ht="24" customHeight="1" x14ac:dyDescent="0.15">
      <c r="A420" s="2663" t="s">
        <v>826</v>
      </c>
      <c r="B420" s="2663"/>
      <c r="C420" s="2663"/>
      <c r="D420" s="2663"/>
      <c r="E420" s="2663"/>
      <c r="F420" s="2663"/>
      <c r="G420" s="2663"/>
      <c r="H420" s="2663"/>
      <c r="I420" s="2663"/>
      <c r="J420" s="2663"/>
      <c r="K420" s="2663"/>
      <c r="L420" s="2663"/>
      <c r="M420" s="2663"/>
      <c r="N420" s="2663"/>
    </row>
    <row r="421" spans="1:14" s="84" customFormat="1" ht="22.5" customHeight="1" x14ac:dyDescent="0.2">
      <c r="A421" s="88" t="s">
        <v>494</v>
      </c>
      <c r="H421" s="394"/>
      <c r="I421" s="451"/>
      <c r="J421" s="355"/>
      <c r="K421" s="355"/>
      <c r="N421" s="350"/>
    </row>
    <row r="422" spans="1:14" s="1" customFormat="1" ht="16" x14ac:dyDescent="0.2">
      <c r="A422" s="1029" t="s">
        <v>655</v>
      </c>
      <c r="C422" s="42"/>
      <c r="E422" s="43"/>
      <c r="F422" s="43"/>
      <c r="H422" s="78"/>
      <c r="I422" s="447"/>
      <c r="J422" s="2682" t="s">
        <v>915</v>
      </c>
      <c r="K422" s="2682"/>
      <c r="L422" s="2682"/>
      <c r="M422" s="2682"/>
      <c r="N422" s="2682"/>
    </row>
    <row r="423" spans="1:14" s="84" customFormat="1" ht="24" customHeight="1" x14ac:dyDescent="0.15">
      <c r="A423" s="1031" t="s">
        <v>656</v>
      </c>
      <c r="B423" s="1030"/>
      <c r="C423" s="1031"/>
      <c r="E423" s="339"/>
      <c r="F423" s="339"/>
      <c r="H423" s="339"/>
      <c r="I423" s="339"/>
      <c r="J423" s="2683" t="s">
        <v>897</v>
      </c>
      <c r="K423" s="2683"/>
      <c r="L423" s="2683"/>
      <c r="M423" s="2683"/>
      <c r="N423" s="2683"/>
    </row>
    <row r="424" spans="1:14" x14ac:dyDescent="0.15">
      <c r="A424" s="94" t="s">
        <v>657</v>
      </c>
      <c r="B424" s="1030"/>
      <c r="C424" s="1031"/>
    </row>
    <row r="425" spans="1:14" x14ac:dyDescent="0.15">
      <c r="A425" s="1032" t="s">
        <v>658</v>
      </c>
      <c r="B425" s="1030"/>
      <c r="C425" s="1031"/>
    </row>
    <row r="426" spans="1:14" x14ac:dyDescent="0.2">
      <c r="A426" s="3434" t="s">
        <v>838</v>
      </c>
      <c r="B426" s="3434"/>
      <c r="C426" s="1031"/>
    </row>
    <row r="427" spans="1:14" x14ac:dyDescent="0.15">
      <c r="A427" s="1029" t="s">
        <v>659</v>
      </c>
      <c r="B427" s="1030"/>
      <c r="C427" s="1031"/>
    </row>
    <row r="428" spans="1:14" x14ac:dyDescent="0.2">
      <c r="A428" s="94" t="s">
        <v>660</v>
      </c>
      <c r="B428" s="92"/>
    </row>
    <row r="429" spans="1:14" x14ac:dyDescent="0.2">
      <c r="B429" s="92"/>
    </row>
  </sheetData>
  <mergeCells count="314">
    <mergeCell ref="J248:N248"/>
    <mergeCell ref="D52:D53"/>
    <mergeCell ref="E52:E53"/>
    <mergeCell ref="F52:I52"/>
    <mergeCell ref="K52:K53"/>
    <mergeCell ref="B70:D71"/>
    <mergeCell ref="B80:D81"/>
    <mergeCell ref="B90:D91"/>
    <mergeCell ref="A92:D93"/>
    <mergeCell ref="A102:A103"/>
    <mergeCell ref="B102:B103"/>
    <mergeCell ref="C102:C103"/>
    <mergeCell ref="D102:D103"/>
    <mergeCell ref="E102:E103"/>
    <mergeCell ref="F102:I102"/>
    <mergeCell ref="K102:K103"/>
    <mergeCell ref="A95:N95"/>
    <mergeCell ref="B96:C96"/>
    <mergeCell ref="I96:N96"/>
    <mergeCell ref="B240:C240"/>
    <mergeCell ref="J240:K240"/>
    <mergeCell ref="L240:N240"/>
    <mergeCell ref="B241:C241"/>
    <mergeCell ref="J241:N241"/>
    <mergeCell ref="A256:A257"/>
    <mergeCell ref="A324:A325"/>
    <mergeCell ref="B324:B325"/>
    <mergeCell ref="C324:E324"/>
    <mergeCell ref="I324:J324"/>
    <mergeCell ref="M324:M325"/>
    <mergeCell ref="N324:N325"/>
    <mergeCell ref="A316:E316"/>
    <mergeCell ref="A318:A319"/>
    <mergeCell ref="B318:B319"/>
    <mergeCell ref="C318:E318"/>
    <mergeCell ref="I318:J318"/>
    <mergeCell ref="M318:M319"/>
    <mergeCell ref="A312:A313"/>
    <mergeCell ref="B312:B313"/>
    <mergeCell ref="L256:P256"/>
    <mergeCell ref="L257:P257"/>
    <mergeCell ref="L258:P258"/>
    <mergeCell ref="L259:P259"/>
    <mergeCell ref="L263:P263"/>
    <mergeCell ref="L264:P264"/>
    <mergeCell ref="A323:N323"/>
    <mergeCell ref="A269:M269"/>
    <mergeCell ref="A272:N272"/>
    <mergeCell ref="A49:N49"/>
    <mergeCell ref="N318:N319"/>
    <mergeCell ref="A322:E322"/>
    <mergeCell ref="A292:N292"/>
    <mergeCell ref="A293:N293"/>
    <mergeCell ref="A273:N273"/>
    <mergeCell ref="A279:N279"/>
    <mergeCell ref="A280:N280"/>
    <mergeCell ref="A285:N285"/>
    <mergeCell ref="A275:N275"/>
    <mergeCell ref="A276:N276"/>
    <mergeCell ref="A286:N286"/>
    <mergeCell ref="A287:N287"/>
    <mergeCell ref="A289:N289"/>
    <mergeCell ref="A290:N290"/>
    <mergeCell ref="C312:E312"/>
    <mergeCell ref="I312:J312"/>
    <mergeCell ref="M312:M313"/>
    <mergeCell ref="N312:N313"/>
    <mergeCell ref="A305:A306"/>
    <mergeCell ref="B305:B306"/>
    <mergeCell ref="A265:N265"/>
    <mergeCell ref="A266:N266"/>
    <mergeCell ref="A268:N268"/>
    <mergeCell ref="J422:N422"/>
    <mergeCell ref="J423:N423"/>
    <mergeCell ref="G334:M334"/>
    <mergeCell ref="A337:E337"/>
    <mergeCell ref="A343:M343"/>
    <mergeCell ref="A407:N407"/>
    <mergeCell ref="A401:B402"/>
    <mergeCell ref="L402:M402"/>
    <mergeCell ref="A403:B404"/>
    <mergeCell ref="L404:M404"/>
    <mergeCell ref="A405:N405"/>
    <mergeCell ref="A406:N406"/>
    <mergeCell ref="A408:N408"/>
    <mergeCell ref="A412:N412"/>
    <mergeCell ref="A413:N413"/>
    <mergeCell ref="A414:N414"/>
    <mergeCell ref="A415:N415"/>
    <mergeCell ref="A416:N416"/>
    <mergeCell ref="A417:N417"/>
    <mergeCell ref="A418:N418"/>
    <mergeCell ref="A419:N419"/>
    <mergeCell ref="A340:N340"/>
    <mergeCell ref="A420:N420"/>
    <mergeCell ref="A393:B394"/>
    <mergeCell ref="L394:M394"/>
    <mergeCell ref="A395:A400"/>
    <mergeCell ref="B395:B396"/>
    <mergeCell ref="L396:M396"/>
    <mergeCell ref="B397:B398"/>
    <mergeCell ref="L398:M398"/>
    <mergeCell ref="B399:B400"/>
    <mergeCell ref="L400:M400"/>
    <mergeCell ref="A409:N409"/>
    <mergeCell ref="I387:I388"/>
    <mergeCell ref="L388:M388"/>
    <mergeCell ref="A389:A390"/>
    <mergeCell ref="B389:B390"/>
    <mergeCell ref="L390:M390"/>
    <mergeCell ref="A391:A392"/>
    <mergeCell ref="B391:B392"/>
    <mergeCell ref="L392:M392"/>
    <mergeCell ref="A382:B383"/>
    <mergeCell ref="L383:M383"/>
    <mergeCell ref="A384:B385"/>
    <mergeCell ref="L385:M385"/>
    <mergeCell ref="A386:N386"/>
    <mergeCell ref="A387:A388"/>
    <mergeCell ref="B387:C387"/>
    <mergeCell ref="D387:D388"/>
    <mergeCell ref="E387:G387"/>
    <mergeCell ref="H387:H388"/>
    <mergeCell ref="A374:B375"/>
    <mergeCell ref="L375:M375"/>
    <mergeCell ref="B376:B377"/>
    <mergeCell ref="L377:M377"/>
    <mergeCell ref="B378:B379"/>
    <mergeCell ref="L379:M379"/>
    <mergeCell ref="B380:B381"/>
    <mergeCell ref="L381:M381"/>
    <mergeCell ref="A376:A379"/>
    <mergeCell ref="A370:A371"/>
    <mergeCell ref="B370:B371"/>
    <mergeCell ref="L371:M371"/>
    <mergeCell ref="A372:A373"/>
    <mergeCell ref="B372:B373"/>
    <mergeCell ref="L373:M373"/>
    <mergeCell ref="A366:N366"/>
    <mergeCell ref="A368:A369"/>
    <mergeCell ref="B368:C368"/>
    <mergeCell ref="D368:D369"/>
    <mergeCell ref="E368:G368"/>
    <mergeCell ref="H368:H369"/>
    <mergeCell ref="I368:I369"/>
    <mergeCell ref="L369:M369"/>
    <mergeCell ref="K350:L350"/>
    <mergeCell ref="M350:N350"/>
    <mergeCell ref="O350:P350"/>
    <mergeCell ref="A359:B359"/>
    <mergeCell ref="A364:N364"/>
    <mergeCell ref="A365:N365"/>
    <mergeCell ref="A350:A351"/>
    <mergeCell ref="B350:B351"/>
    <mergeCell ref="C350:D350"/>
    <mergeCell ref="E350:F350"/>
    <mergeCell ref="G350:H350"/>
    <mergeCell ref="I350:J350"/>
    <mergeCell ref="A270:N270"/>
    <mergeCell ref="A271:N271"/>
    <mergeCell ref="A291:N291"/>
    <mergeCell ref="A349:N349"/>
    <mergeCell ref="N331:N332"/>
    <mergeCell ref="A338:E338"/>
    <mergeCell ref="A344:N344"/>
    <mergeCell ref="A329:E329"/>
    <mergeCell ref="A331:A332"/>
    <mergeCell ref="B331:B332"/>
    <mergeCell ref="C331:E331"/>
    <mergeCell ref="I331:J331"/>
    <mergeCell ref="M331:M332"/>
    <mergeCell ref="L260:P260"/>
    <mergeCell ref="L261:P261"/>
    <mergeCell ref="L262:P262"/>
    <mergeCell ref="L252:M252"/>
    <mergeCell ref="N252:P252"/>
    <mergeCell ref="L253:P253"/>
    <mergeCell ref="L254:P254"/>
    <mergeCell ref="L255:P255"/>
    <mergeCell ref="B243:C243"/>
    <mergeCell ref="J243:N243"/>
    <mergeCell ref="B244:C244"/>
    <mergeCell ref="J244:N244"/>
    <mergeCell ref="B245:C245"/>
    <mergeCell ref="J245:N245"/>
    <mergeCell ref="A249:N249"/>
    <mergeCell ref="A254:A255"/>
    <mergeCell ref="L250:P250"/>
    <mergeCell ref="L251:M251"/>
    <mergeCell ref="N251:P251"/>
    <mergeCell ref="B246:C246"/>
    <mergeCell ref="J246:N246"/>
    <mergeCell ref="B247:C247"/>
    <mergeCell ref="J247:N247"/>
    <mergeCell ref="B248:C248"/>
    <mergeCell ref="B242:C242"/>
    <mergeCell ref="J242:N242"/>
    <mergeCell ref="B238:C238"/>
    <mergeCell ref="J238:K238"/>
    <mergeCell ref="L238:N238"/>
    <mergeCell ref="B239:C239"/>
    <mergeCell ref="J239:K239"/>
    <mergeCell ref="L239:N239"/>
    <mergeCell ref="B234:C234"/>
    <mergeCell ref="J234:N234"/>
    <mergeCell ref="A235:N235"/>
    <mergeCell ref="B236:C236"/>
    <mergeCell ref="J236:N236"/>
    <mergeCell ref="B237:C237"/>
    <mergeCell ref="J237:K237"/>
    <mergeCell ref="L237:N237"/>
    <mergeCell ref="J230:N230"/>
    <mergeCell ref="B226:C226"/>
    <mergeCell ref="J226:N226"/>
    <mergeCell ref="B227:C227"/>
    <mergeCell ref="J227:N227"/>
    <mergeCell ref="L225:N225"/>
    <mergeCell ref="B223:C223"/>
    <mergeCell ref="J223:K223"/>
    <mergeCell ref="L223:N223"/>
    <mergeCell ref="B225:C225"/>
    <mergeCell ref="J225:K225"/>
    <mergeCell ref="I98:N98"/>
    <mergeCell ref="A220:N220"/>
    <mergeCell ref="A198:N198"/>
    <mergeCell ref="A199:N199"/>
    <mergeCell ref="L200:P200"/>
    <mergeCell ref="B188:D189"/>
    <mergeCell ref="B170:D171"/>
    <mergeCell ref="L201:N201"/>
    <mergeCell ref="L202:N202"/>
    <mergeCell ref="L203:N203"/>
    <mergeCell ref="L204:N204"/>
    <mergeCell ref="L205:N205"/>
    <mergeCell ref="O201:P201"/>
    <mergeCell ref="O202:P202"/>
    <mergeCell ref="O203:P203"/>
    <mergeCell ref="O204:P204"/>
    <mergeCell ref="O205:P205"/>
    <mergeCell ref="B99:C99"/>
    <mergeCell ref="I99:N99"/>
    <mergeCell ref="A426:B426"/>
    <mergeCell ref="A341:N341"/>
    <mergeCell ref="A342:N342"/>
    <mergeCell ref="A345:N345"/>
    <mergeCell ref="A346:N346"/>
    <mergeCell ref="A347:N347"/>
    <mergeCell ref="A348:N348"/>
    <mergeCell ref="E305:E306"/>
    <mergeCell ref="B154:D155"/>
    <mergeCell ref="B231:C231"/>
    <mergeCell ref="J231:N231"/>
    <mergeCell ref="B232:C232"/>
    <mergeCell ref="J232:N232"/>
    <mergeCell ref="B233:C233"/>
    <mergeCell ref="J233:N233"/>
    <mergeCell ref="J221:N221"/>
    <mergeCell ref="B222:C222"/>
    <mergeCell ref="J222:K222"/>
    <mergeCell ref="L222:N222"/>
    <mergeCell ref="B228:C228"/>
    <mergeCell ref="J228:N228"/>
    <mergeCell ref="B229:C229"/>
    <mergeCell ref="J229:N229"/>
    <mergeCell ref="B230:C230"/>
    <mergeCell ref="A33:B38"/>
    <mergeCell ref="C297:C298"/>
    <mergeCell ref="D297:D298"/>
    <mergeCell ref="E297:E298"/>
    <mergeCell ref="A302:H302"/>
    <mergeCell ref="A45:N45"/>
    <mergeCell ref="A46:N46"/>
    <mergeCell ref="A52:A53"/>
    <mergeCell ref="B52:B53"/>
    <mergeCell ref="C52:C53"/>
    <mergeCell ref="B224:C224"/>
    <mergeCell ref="J224:K224"/>
    <mergeCell ref="L224:N224"/>
    <mergeCell ref="B221:C221"/>
    <mergeCell ref="A47:N47"/>
    <mergeCell ref="A48:N48"/>
    <mergeCell ref="A39:B44"/>
    <mergeCell ref="B138:D139"/>
    <mergeCell ref="B122:D123"/>
    <mergeCell ref="A100:C100"/>
    <mergeCell ref="I100:N100"/>
    <mergeCell ref="B97:C97"/>
    <mergeCell ref="I97:N97"/>
    <mergeCell ref="B98:C98"/>
    <mergeCell ref="A1:N1"/>
    <mergeCell ref="A2:N2"/>
    <mergeCell ref="A3:N3"/>
    <mergeCell ref="A4:N4"/>
    <mergeCell ref="A5:N5"/>
    <mergeCell ref="D6:D7"/>
    <mergeCell ref="A6:A7"/>
    <mergeCell ref="B6:B7"/>
    <mergeCell ref="C6:C7"/>
    <mergeCell ref="E6:E7"/>
    <mergeCell ref="F6:H6"/>
    <mergeCell ref="I6:I7"/>
    <mergeCell ref="J6:J7"/>
    <mergeCell ref="L7:N7"/>
    <mergeCell ref="P297:P298"/>
    <mergeCell ref="F297:H297"/>
    <mergeCell ref="Q297:Q298"/>
    <mergeCell ref="C305:C306"/>
    <mergeCell ref="D305:D306"/>
    <mergeCell ref="F305:H305"/>
    <mergeCell ref="P305:P306"/>
    <mergeCell ref="Q305:Q306"/>
    <mergeCell ref="A310:H310"/>
    <mergeCell ref="A297:A298"/>
    <mergeCell ref="B297:B298"/>
  </mergeCells>
  <pageMargins left="0" right="0" top="0.25" bottom="0" header="0.3" footer="0.3"/>
  <pageSetup paperSize="9" orientation="landscape" horizontalDpi="0" verticalDpi="0"/>
  <drawing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EAE8F-EF94-E047-8BE2-A664F308049E}">
  <sheetPr codeName="Sheet17"/>
  <dimension ref="A1:U424"/>
  <sheetViews>
    <sheetView topLeftCell="A90" zoomScale="190" zoomScaleNormal="190" workbookViewId="0">
      <selection activeCell="B26" sqref="B26:N29"/>
    </sheetView>
  </sheetViews>
  <sheetFormatPr baseColWidth="10" defaultColWidth="8.6640625" defaultRowHeight="14" x14ac:dyDescent="0.2"/>
  <cols>
    <col min="1" max="1" width="6.5" style="4" customWidth="1"/>
    <col min="2" max="2" width="12" style="4" customWidth="1"/>
    <col min="3" max="3" width="7.5" style="4" customWidth="1"/>
    <col min="4" max="4" width="10.1640625" style="4" customWidth="1"/>
    <col min="5" max="6" width="10.1640625" style="93" customWidth="1"/>
    <col min="7" max="7" width="11.1640625" style="4" customWidth="1"/>
    <col min="8" max="8" width="13.1640625" style="395" customWidth="1"/>
    <col min="9" max="9" width="10.6640625" style="452" customWidth="1"/>
    <col min="10" max="10" width="11" style="356" customWidth="1"/>
    <col min="11" max="11" width="8.1640625" style="356" customWidth="1"/>
    <col min="12" max="13" width="7.6640625" style="4" customWidth="1"/>
    <col min="14" max="14" width="9.83203125" style="272" customWidth="1"/>
    <col min="15" max="15" width="9" style="4" bestFit="1" customWidth="1"/>
    <col min="16" max="20" width="8.6640625" style="4"/>
    <col min="21" max="21" width="9" style="4" bestFit="1" customWidth="1"/>
    <col min="22" max="16384" width="8.6640625" style="4"/>
  </cols>
  <sheetData>
    <row r="1" spans="1:21" s="1" customFormat="1" ht="21" customHeight="1" x14ac:dyDescent="0.2">
      <c r="A1" s="2995" t="s">
        <v>0</v>
      </c>
      <c r="B1" s="2996"/>
      <c r="C1" s="2996"/>
      <c r="D1" s="2996"/>
      <c r="E1" s="2996"/>
      <c r="F1" s="2996"/>
      <c r="G1" s="2996"/>
      <c r="H1" s="2996"/>
      <c r="I1" s="2996"/>
      <c r="J1" s="2996"/>
      <c r="K1" s="2996"/>
      <c r="L1" s="2996"/>
      <c r="M1" s="2996"/>
      <c r="N1" s="2997"/>
    </row>
    <row r="2" spans="1:21" s="1" customFormat="1" ht="21" customHeight="1" x14ac:dyDescent="0.2">
      <c r="A2" s="2998" t="s">
        <v>1</v>
      </c>
      <c r="B2" s="2532"/>
      <c r="C2" s="2532"/>
      <c r="D2" s="2532"/>
      <c r="E2" s="2532"/>
      <c r="F2" s="2532"/>
      <c r="G2" s="2532"/>
      <c r="H2" s="2532"/>
      <c r="I2" s="2532"/>
      <c r="J2" s="2532"/>
      <c r="K2" s="2532"/>
      <c r="L2" s="2532"/>
      <c r="M2" s="2532"/>
      <c r="N2" s="2999"/>
    </row>
    <row r="3" spans="1:21" s="1" customFormat="1" ht="21" customHeight="1" thickBot="1" x14ac:dyDescent="0.25">
      <c r="A3" s="3000" t="s">
        <v>2</v>
      </c>
      <c r="B3" s="3001"/>
      <c r="C3" s="3001"/>
      <c r="D3" s="3001"/>
      <c r="E3" s="3001"/>
      <c r="F3" s="3001"/>
      <c r="G3" s="3001"/>
      <c r="H3" s="3001"/>
      <c r="I3" s="3001"/>
      <c r="J3" s="3001"/>
      <c r="K3" s="3001"/>
      <c r="L3" s="3001"/>
      <c r="M3" s="3001"/>
      <c r="N3" s="3002"/>
    </row>
    <row r="4" spans="1:21" ht="25" customHeight="1" x14ac:dyDescent="0.2">
      <c r="A4" s="3550" t="s">
        <v>1069</v>
      </c>
      <c r="B4" s="3550"/>
      <c r="C4" s="3550"/>
      <c r="D4" s="3550"/>
      <c r="E4" s="3550"/>
      <c r="F4" s="3550"/>
      <c r="G4" s="3550"/>
      <c r="H4" s="3550"/>
      <c r="I4" s="3550"/>
      <c r="J4" s="3550"/>
      <c r="K4" s="3550"/>
      <c r="L4" s="3550"/>
      <c r="M4" s="3550"/>
      <c r="N4" s="3550"/>
    </row>
    <row r="5" spans="1:21" s="1" customFormat="1" ht="23" customHeight="1" thickBot="1" x14ac:dyDescent="0.25">
      <c r="A5" s="2475" t="s">
        <v>507</v>
      </c>
      <c r="B5" s="2475"/>
      <c r="C5" s="2475"/>
      <c r="D5" s="2475"/>
      <c r="E5" s="2475"/>
      <c r="F5" s="2475"/>
      <c r="G5" s="2475"/>
      <c r="H5" s="2475"/>
      <c r="I5" s="2475"/>
      <c r="J5" s="2475"/>
      <c r="K5" s="2475"/>
      <c r="L5" s="2475"/>
      <c r="M5" s="2475"/>
      <c r="N5" s="2475"/>
    </row>
    <row r="6" spans="1:21" s="71" customFormat="1" ht="33" customHeight="1" x14ac:dyDescent="0.2">
      <c r="A6" s="3551" t="s">
        <v>5</v>
      </c>
      <c r="B6" s="2817" t="s">
        <v>6</v>
      </c>
      <c r="C6" s="2817"/>
      <c r="D6" s="2817" t="s">
        <v>7</v>
      </c>
      <c r="E6" s="2817" t="s">
        <v>8</v>
      </c>
      <c r="F6" s="2817"/>
      <c r="G6" s="2817"/>
      <c r="H6" s="3038" t="s">
        <v>9</v>
      </c>
      <c r="I6" s="2817" t="s">
        <v>10</v>
      </c>
      <c r="J6" s="6" t="s">
        <v>11</v>
      </c>
      <c r="K6" s="6" t="s">
        <v>12</v>
      </c>
      <c r="L6" s="6" t="s">
        <v>13</v>
      </c>
      <c r="M6" s="6" t="s">
        <v>14</v>
      </c>
      <c r="N6" s="1767" t="s">
        <v>15</v>
      </c>
    </row>
    <row r="7" spans="1:21" s="71" customFormat="1" ht="33" customHeight="1" x14ac:dyDescent="0.2">
      <c r="A7" s="3552"/>
      <c r="B7" s="8" t="s">
        <v>16</v>
      </c>
      <c r="C7" s="8" t="s">
        <v>17</v>
      </c>
      <c r="D7" s="2602"/>
      <c r="E7" s="10" t="s">
        <v>18</v>
      </c>
      <c r="F7" s="10" t="s">
        <v>19</v>
      </c>
      <c r="G7" s="8" t="s">
        <v>20</v>
      </c>
      <c r="H7" s="3039"/>
      <c r="I7" s="2602"/>
      <c r="J7" s="8" t="s">
        <v>21</v>
      </c>
      <c r="K7" s="8" t="s">
        <v>22</v>
      </c>
      <c r="L7" s="2602" t="s">
        <v>22</v>
      </c>
      <c r="M7" s="2602"/>
      <c r="N7" s="1768" t="s">
        <v>23</v>
      </c>
      <c r="U7" s="1109"/>
    </row>
    <row r="8" spans="1:21" s="1" customFormat="1" ht="21" customHeight="1" x14ac:dyDescent="0.2">
      <c r="A8" s="3552"/>
      <c r="B8" s="2551" t="s">
        <v>24</v>
      </c>
      <c r="C8" s="12" t="s">
        <v>21</v>
      </c>
      <c r="D8" s="848">
        <f>I8*J8*100/K9</f>
        <v>487459.18367346941</v>
      </c>
      <c r="E8" s="848">
        <f>E9*$H$8/100</f>
        <v>425161.9</v>
      </c>
      <c r="F8" s="848">
        <f>F9*$H$8/100</f>
        <v>28662.6</v>
      </c>
      <c r="G8" s="848">
        <f>G9*$H$8/100</f>
        <v>23885.5</v>
      </c>
      <c r="H8" s="849">
        <f>I8*J8</f>
        <v>477710</v>
      </c>
      <c r="I8" s="574">
        <v>31</v>
      </c>
      <c r="J8" s="575">
        <v>15410</v>
      </c>
      <c r="K8" s="348"/>
      <c r="L8" s="28"/>
      <c r="M8" s="28"/>
      <c r="N8" s="952">
        <v>40</v>
      </c>
      <c r="U8" s="1109"/>
    </row>
    <row r="9" spans="1:21" s="1" customFormat="1" ht="21" customHeight="1" x14ac:dyDescent="0.2">
      <c r="A9" s="3552"/>
      <c r="B9" s="2551"/>
      <c r="C9" s="577" t="s">
        <v>22</v>
      </c>
      <c r="D9" s="578"/>
      <c r="E9" s="578">
        <v>89</v>
      </c>
      <c r="F9" s="578">
        <v>6</v>
      </c>
      <c r="G9" s="578">
        <v>5</v>
      </c>
      <c r="H9" s="1132">
        <f>SUM(E9:G9)</f>
        <v>100</v>
      </c>
      <c r="I9" s="580"/>
      <c r="J9" s="581"/>
      <c r="K9" s="365">
        <v>98</v>
      </c>
      <c r="L9" s="3548">
        <f>100-K9</f>
        <v>2</v>
      </c>
      <c r="M9" s="3548"/>
      <c r="N9" s="952"/>
      <c r="U9" s="1109"/>
    </row>
    <row r="10" spans="1:21" s="1" customFormat="1" ht="21" customHeight="1" x14ac:dyDescent="0.2">
      <c r="A10" s="3552"/>
      <c r="B10" s="2551" t="s">
        <v>1070</v>
      </c>
      <c r="C10" s="12" t="s">
        <v>21</v>
      </c>
      <c r="D10" s="853">
        <v>496824</v>
      </c>
      <c r="E10" s="895">
        <v>435301.92</v>
      </c>
      <c r="F10" s="895">
        <v>20079.36</v>
      </c>
      <c r="G10" s="895">
        <v>32441.759999999998</v>
      </c>
      <c r="H10" s="849">
        <f>SUM(E10:G10)</f>
        <v>487823.04</v>
      </c>
      <c r="I10" s="574">
        <v>31</v>
      </c>
      <c r="J10" s="575">
        <f>+H10/I10</f>
        <v>15736.227096774193</v>
      </c>
      <c r="K10" s="584"/>
      <c r="L10" s="73">
        <v>2462.4</v>
      </c>
      <c r="M10" s="73">
        <v>1621.44</v>
      </c>
      <c r="N10" s="1769">
        <v>20</v>
      </c>
      <c r="U10" s="1109"/>
    </row>
    <row r="11" spans="1:21" s="1" customFormat="1" ht="21" customHeight="1" x14ac:dyDescent="0.2">
      <c r="A11" s="3552"/>
      <c r="B11" s="2551"/>
      <c r="C11" s="577" t="s">
        <v>22</v>
      </c>
      <c r="D11" s="578"/>
      <c r="E11" s="578">
        <f>+E10/H10*100</f>
        <v>89.233571255675002</v>
      </c>
      <c r="F11" s="578">
        <f>+F10/H10*100</f>
        <v>4.1161155487858876</v>
      </c>
      <c r="G11" s="578">
        <f>+G10/H10*100</f>
        <v>6.6503131955391037</v>
      </c>
      <c r="H11" s="1132">
        <f>SUM(E11:G11)</f>
        <v>99.999999999999986</v>
      </c>
      <c r="I11" s="580"/>
      <c r="J11" s="581"/>
      <c r="K11" s="365">
        <f>(H10/D10)*100</f>
        <v>98.188300082121643</v>
      </c>
      <c r="L11" s="3549">
        <f>100-K11</f>
        <v>1.8116999178783573</v>
      </c>
      <c r="M11" s="3549"/>
      <c r="N11" s="910"/>
      <c r="U11" s="1111"/>
    </row>
    <row r="12" spans="1:21" s="1" customFormat="1" ht="21" customHeight="1" x14ac:dyDescent="0.2">
      <c r="A12" s="3552"/>
      <c r="B12" s="2792" t="s">
        <v>83</v>
      </c>
      <c r="C12" s="606" t="s">
        <v>21</v>
      </c>
      <c r="D12" s="709">
        <f t="shared" ref="D12:J13" si="0">D10-D8</f>
        <v>9364.8163265305921</v>
      </c>
      <c r="E12" s="709">
        <f t="shared" si="0"/>
        <v>10140.01999999996</v>
      </c>
      <c r="F12" s="709">
        <f t="shared" si="0"/>
        <v>-8583.239999999998</v>
      </c>
      <c r="G12" s="709">
        <f t="shared" si="0"/>
        <v>8556.2599999999984</v>
      </c>
      <c r="H12" s="709">
        <f t="shared" si="0"/>
        <v>10113.039999999979</v>
      </c>
      <c r="I12" s="600">
        <f t="shared" si="0"/>
        <v>0</v>
      </c>
      <c r="J12" s="709">
        <f t="shared" si="0"/>
        <v>326.22709677419334</v>
      </c>
      <c r="K12" s="944"/>
      <c r="L12" s="3543"/>
      <c r="M12" s="3543"/>
      <c r="N12" s="955"/>
    </row>
    <row r="13" spans="1:21" s="1" customFormat="1" ht="21" customHeight="1" thickBot="1" x14ac:dyDescent="0.25">
      <c r="A13" s="3553"/>
      <c r="B13" s="3554"/>
      <c r="C13" s="711" t="s">
        <v>22</v>
      </c>
      <c r="D13" s="712"/>
      <c r="E13" s="712">
        <f>E11-E9</f>
        <v>0.23357125567500248</v>
      </c>
      <c r="F13" s="712">
        <f t="shared" si="0"/>
        <v>-1.8838844512141124</v>
      </c>
      <c r="G13" s="712">
        <f t="shared" si="0"/>
        <v>1.6503131955391037</v>
      </c>
      <c r="H13" s="712">
        <f t="shared" si="0"/>
        <v>0</v>
      </c>
      <c r="I13" s="713"/>
      <c r="J13" s="714"/>
      <c r="K13" s="715"/>
      <c r="L13" s="716"/>
      <c r="M13" s="716"/>
      <c r="N13" s="717"/>
      <c r="U13" s="1111"/>
    </row>
    <row r="14" spans="1:21" s="273" customFormat="1" ht="25" hidden="1" customHeight="1" x14ac:dyDescent="0.2">
      <c r="A14" s="3041" t="s">
        <v>25</v>
      </c>
      <c r="B14" s="3545" t="s">
        <v>27</v>
      </c>
      <c r="C14" s="592" t="s">
        <v>21</v>
      </c>
      <c r="D14" s="596"/>
      <c r="E14" s="596">
        <f>E15*$H$14/100</f>
        <v>0</v>
      </c>
      <c r="F14" s="596">
        <f>F15*$H$14/100</f>
        <v>0</v>
      </c>
      <c r="G14" s="596">
        <f>G15*$H$14/100</f>
        <v>0</v>
      </c>
      <c r="H14" s="943">
        <f>I14*J14</f>
        <v>0</v>
      </c>
      <c r="I14" s="595"/>
      <c r="J14" s="596"/>
      <c r="K14" s="596"/>
      <c r="L14" s="597"/>
      <c r="M14" s="597"/>
      <c r="N14" s="597">
        <v>100</v>
      </c>
      <c r="P14" s="1"/>
      <c r="Q14" s="1"/>
      <c r="R14" s="1"/>
      <c r="S14" s="1"/>
      <c r="T14" s="1"/>
      <c r="U14" s="1110"/>
    </row>
    <row r="15" spans="1:21" s="1" customFormat="1" ht="25" hidden="1" customHeight="1" x14ac:dyDescent="0.2">
      <c r="A15" s="3116"/>
      <c r="B15" s="2927"/>
      <c r="C15" s="17" t="s">
        <v>22</v>
      </c>
      <c r="D15" s="23"/>
      <c r="E15" s="378"/>
      <c r="F15" s="379"/>
      <c r="G15" s="379"/>
      <c r="H15" s="1088">
        <f>SUM(E15:G15)</f>
        <v>0</v>
      </c>
      <c r="I15" s="430"/>
      <c r="J15" s="380"/>
      <c r="K15" s="365"/>
      <c r="L15" s="3546">
        <f>100-K15</f>
        <v>100</v>
      </c>
      <c r="M15" s="3546"/>
      <c r="N15" s="381"/>
      <c r="U15" s="1111"/>
    </row>
    <row r="16" spans="1:21" s="1" customFormat="1" ht="25" hidden="1" customHeight="1" x14ac:dyDescent="0.2">
      <c r="A16" s="3116"/>
      <c r="B16" s="2927" t="s">
        <v>1071</v>
      </c>
      <c r="C16" s="17" t="s">
        <v>21</v>
      </c>
      <c r="D16" s="845"/>
      <c r="E16" s="839"/>
      <c r="F16" s="840">
        <v>0</v>
      </c>
      <c r="G16" s="840"/>
      <c r="H16" s="836">
        <f>SUM(E16:G16)</f>
        <v>0</v>
      </c>
      <c r="I16" s="431"/>
      <c r="J16" s="21" t="e">
        <f>+H16/I16</f>
        <v>#DIV/0!</v>
      </c>
      <c r="K16" s="17"/>
      <c r="L16" s="1084"/>
      <c r="M16" s="1084"/>
      <c r="N16" s="970"/>
    </row>
    <row r="17" spans="1:14" s="1" customFormat="1" ht="25" hidden="1" customHeight="1" x14ac:dyDescent="0.2">
      <c r="A17" s="3116"/>
      <c r="B17" s="2927"/>
      <c r="C17" s="17" t="s">
        <v>22</v>
      </c>
      <c r="D17" s="23"/>
      <c r="E17" s="378" t="e">
        <f>+E16/$H$16*100</f>
        <v>#DIV/0!</v>
      </c>
      <c r="F17" s="378" t="e">
        <f>+F16/$H$16*100</f>
        <v>#DIV/0!</v>
      </c>
      <c r="G17" s="378" t="e">
        <f>+G16/$H$16*100</f>
        <v>#DIV/0!</v>
      </c>
      <c r="H17" s="1088" t="e">
        <f>SUM(E17:G17)</f>
        <v>#DIV/0!</v>
      </c>
      <c r="I17" s="431"/>
      <c r="J17" s="21"/>
      <c r="K17" s="365" t="e">
        <f>H16/D16*100</f>
        <v>#DIV/0!</v>
      </c>
      <c r="L17" s="3547" t="e">
        <f>100-K17</f>
        <v>#DIV/0!</v>
      </c>
      <c r="M17" s="3547"/>
      <c r="N17" s="381"/>
    </row>
    <row r="18" spans="1:14" s="1" customFormat="1" ht="25" hidden="1" customHeight="1" x14ac:dyDescent="0.2">
      <c r="A18" s="3116"/>
      <c r="B18" s="2792" t="s">
        <v>83</v>
      </c>
      <c r="C18" s="606" t="s">
        <v>21</v>
      </c>
      <c r="D18" s="709">
        <f t="shared" ref="D18:J19" si="1">D16-D14</f>
        <v>0</v>
      </c>
      <c r="E18" s="709">
        <f t="shared" si="1"/>
        <v>0</v>
      </c>
      <c r="F18" s="709">
        <f t="shared" si="1"/>
        <v>0</v>
      </c>
      <c r="G18" s="709">
        <f t="shared" si="1"/>
        <v>0</v>
      </c>
      <c r="H18" s="709">
        <f t="shared" si="1"/>
        <v>0</v>
      </c>
      <c r="I18" s="600">
        <f t="shared" si="1"/>
        <v>0</v>
      </c>
      <c r="J18" s="709" t="e">
        <f t="shared" si="1"/>
        <v>#DIV/0!</v>
      </c>
      <c r="K18" s="944"/>
      <c r="L18" s="3543"/>
      <c r="M18" s="3543"/>
      <c r="N18" s="709"/>
    </row>
    <row r="19" spans="1:14" s="1" customFormat="1" ht="25" hidden="1" customHeight="1" x14ac:dyDescent="0.2">
      <c r="A19" s="3116"/>
      <c r="B19" s="3370"/>
      <c r="C19" s="599" t="s">
        <v>22</v>
      </c>
      <c r="D19" s="600"/>
      <c r="E19" s="600" t="e">
        <f>E17-E15</f>
        <v>#DIV/0!</v>
      </c>
      <c r="F19" s="600" t="e">
        <f t="shared" si="1"/>
        <v>#DIV/0!</v>
      </c>
      <c r="G19" s="600" t="e">
        <f t="shared" si="1"/>
        <v>#DIV/0!</v>
      </c>
      <c r="H19" s="600" t="e">
        <f t="shared" si="1"/>
        <v>#DIV/0!</v>
      </c>
      <c r="I19" s="601"/>
      <c r="J19" s="602"/>
      <c r="K19" s="603"/>
      <c r="L19" s="604"/>
      <c r="M19" s="604"/>
      <c r="N19" s="605"/>
    </row>
    <row r="20" spans="1:14" s="1" customFormat="1" ht="25" customHeight="1" x14ac:dyDescent="0.2">
      <c r="A20" s="3116"/>
      <c r="B20" s="2927" t="s">
        <v>724</v>
      </c>
      <c r="C20" s="17" t="s">
        <v>21</v>
      </c>
      <c r="D20" s="771"/>
      <c r="E20" s="771">
        <f>E21*$H$20/100</f>
        <v>0</v>
      </c>
      <c r="F20" s="771">
        <f>F21*$H$20/100</f>
        <v>0</v>
      </c>
      <c r="G20" s="771">
        <f>G21*$H$20/100</f>
        <v>0</v>
      </c>
      <c r="H20" s="1770">
        <f>I20*J20</f>
        <v>0</v>
      </c>
      <c r="I20" s="1771"/>
      <c r="J20" s="1772"/>
      <c r="K20" s="771"/>
      <c r="L20" s="970"/>
      <c r="M20" s="970"/>
      <c r="N20" s="970">
        <v>100</v>
      </c>
    </row>
    <row r="21" spans="1:14" s="1" customFormat="1" ht="25" customHeight="1" x14ac:dyDescent="0.2">
      <c r="A21" s="3116"/>
      <c r="B21" s="2927"/>
      <c r="C21" s="17" t="s">
        <v>22</v>
      </c>
      <c r="D21" s="1773"/>
      <c r="E21" s="775"/>
      <c r="F21" s="776"/>
      <c r="G21" s="776"/>
      <c r="H21" s="1774">
        <f>SUM(E21:G21)</f>
        <v>0</v>
      </c>
      <c r="I21" s="1775"/>
      <c r="J21" s="1776"/>
      <c r="K21" s="1777"/>
      <c r="L21" s="3542"/>
      <c r="M21" s="3542"/>
      <c r="N21" s="970"/>
    </row>
    <row r="22" spans="1:14" s="1" customFormat="1" ht="25" customHeight="1" x14ac:dyDescent="0.2">
      <c r="A22" s="3116"/>
      <c r="B22" s="2927" t="s">
        <v>1072</v>
      </c>
      <c r="C22" s="17" t="s">
        <v>21</v>
      </c>
      <c r="D22" s="1423">
        <v>6377</v>
      </c>
      <c r="E22" s="23">
        <v>4168.8</v>
      </c>
      <c r="F22" s="1447"/>
      <c r="G22" s="1447">
        <v>270</v>
      </c>
      <c r="H22" s="836">
        <f>SUM(E22:G22)</f>
        <v>4438.8</v>
      </c>
      <c r="I22" s="431">
        <v>0.5</v>
      </c>
      <c r="J22" s="21">
        <f>+H22/I22</f>
        <v>8877.6</v>
      </c>
      <c r="K22" s="17"/>
      <c r="L22" s="432">
        <v>64.8</v>
      </c>
      <c r="M22" s="432"/>
      <c r="N22" s="381">
        <v>54</v>
      </c>
    </row>
    <row r="23" spans="1:14" s="1" customFormat="1" ht="25" customHeight="1" x14ac:dyDescent="0.2">
      <c r="A23" s="3116"/>
      <c r="B23" s="2927"/>
      <c r="C23" s="17" t="s">
        <v>22</v>
      </c>
      <c r="D23" s="23"/>
      <c r="E23" s="378">
        <f>+E22/$H$22*100</f>
        <v>93.917274939172742</v>
      </c>
      <c r="F23" s="378">
        <f>+F22/$H$22*100</f>
        <v>0</v>
      </c>
      <c r="G23" s="378">
        <f>+G22/$H$22*100</f>
        <v>6.0827250608272498</v>
      </c>
      <c r="H23" s="1088">
        <f>SUM(E23:G23)</f>
        <v>99.999999999999986</v>
      </c>
      <c r="I23" s="431"/>
      <c r="J23" s="21"/>
      <c r="K23" s="365">
        <f>H22/D22*100</f>
        <v>69.606397992786583</v>
      </c>
      <c r="L23" s="1778">
        <f>100-K23</f>
        <v>30.393602007213417</v>
      </c>
      <c r="M23" s="1778"/>
      <c r="N23" s="381"/>
    </row>
    <row r="24" spans="1:14" s="1" customFormat="1" ht="25" customHeight="1" x14ac:dyDescent="0.2">
      <c r="A24" s="3116"/>
      <c r="B24" s="2792" t="s">
        <v>83</v>
      </c>
      <c r="C24" s="606" t="s">
        <v>21</v>
      </c>
      <c r="D24" s="709">
        <f t="shared" ref="D24:J25" si="2">D22-D20</f>
        <v>6377</v>
      </c>
      <c r="E24" s="709">
        <f t="shared" si="2"/>
        <v>4168.8</v>
      </c>
      <c r="F24" s="709">
        <f t="shared" si="2"/>
        <v>0</v>
      </c>
      <c r="G24" s="709">
        <f t="shared" si="2"/>
        <v>270</v>
      </c>
      <c r="H24" s="709">
        <f t="shared" si="2"/>
        <v>4438.8</v>
      </c>
      <c r="I24" s="600">
        <f t="shared" si="2"/>
        <v>0.5</v>
      </c>
      <c r="J24" s="709">
        <f t="shared" si="2"/>
        <v>8877.6</v>
      </c>
      <c r="K24" s="944"/>
      <c r="L24" s="3543"/>
      <c r="M24" s="3543"/>
      <c r="N24" s="709"/>
    </row>
    <row r="25" spans="1:14" s="1" customFormat="1" ht="25" customHeight="1" x14ac:dyDescent="0.2">
      <c r="A25" s="3116"/>
      <c r="B25" s="3370"/>
      <c r="C25" s="599" t="s">
        <v>22</v>
      </c>
      <c r="D25" s="709"/>
      <c r="E25" s="600">
        <f>E23-E21</f>
        <v>93.917274939172742</v>
      </c>
      <c r="F25" s="600">
        <f t="shared" si="2"/>
        <v>0</v>
      </c>
      <c r="G25" s="600">
        <f t="shared" si="2"/>
        <v>6.0827250608272498</v>
      </c>
      <c r="H25" s="600">
        <f t="shared" si="2"/>
        <v>99.999999999999986</v>
      </c>
      <c r="I25" s="601"/>
      <c r="J25" s="602"/>
      <c r="K25" s="603"/>
      <c r="L25" s="604"/>
      <c r="M25" s="604"/>
      <c r="N25" s="605"/>
    </row>
    <row r="26" spans="1:14" s="1" customFormat="1" ht="25" customHeight="1" x14ac:dyDescent="0.2">
      <c r="A26" s="3116" t="s">
        <v>25</v>
      </c>
      <c r="B26" s="2927" t="s">
        <v>26</v>
      </c>
      <c r="C26" s="17" t="s">
        <v>21</v>
      </c>
      <c r="D26" s="21">
        <f>H26*100/K27</f>
        <v>427346.93877551018</v>
      </c>
      <c r="E26" s="21">
        <f>E27*$H$26/100</f>
        <v>372732</v>
      </c>
      <c r="F26" s="21">
        <f>F27*$H$26/100</f>
        <v>33504</v>
      </c>
      <c r="G26" s="21">
        <f>G27*$H$26/100</f>
        <v>12564</v>
      </c>
      <c r="H26" s="836">
        <f>I26*J26</f>
        <v>418800</v>
      </c>
      <c r="I26" s="18">
        <v>30</v>
      </c>
      <c r="J26" s="1085">
        <v>13960</v>
      </c>
      <c r="K26" s="21"/>
      <c r="L26" s="381"/>
      <c r="M26" s="381"/>
      <c r="N26" s="381">
        <v>40</v>
      </c>
    </row>
    <row r="27" spans="1:14" s="1" customFormat="1" ht="25" customHeight="1" x14ac:dyDescent="0.2">
      <c r="A27" s="3116"/>
      <c r="B27" s="2927"/>
      <c r="C27" s="17" t="s">
        <v>22</v>
      </c>
      <c r="D27" s="23"/>
      <c r="E27" s="378">
        <v>89</v>
      </c>
      <c r="F27" s="379">
        <v>8</v>
      </c>
      <c r="G27" s="379">
        <v>3</v>
      </c>
      <c r="H27" s="1088">
        <f>SUM(E27:G27)</f>
        <v>100</v>
      </c>
      <c r="I27" s="430"/>
      <c r="J27" s="380"/>
      <c r="K27" s="365">
        <v>98</v>
      </c>
      <c r="L27" s="3544">
        <f>100-K27</f>
        <v>2</v>
      </c>
      <c r="M27" s="3544"/>
      <c r="N27" s="381"/>
    </row>
    <row r="28" spans="1:14" s="1" customFormat="1" ht="25" customHeight="1" x14ac:dyDescent="0.2">
      <c r="A28" s="3116"/>
      <c r="B28" s="2927" t="s">
        <v>1073</v>
      </c>
      <c r="C28" s="17" t="s">
        <v>21</v>
      </c>
      <c r="D28" s="845">
        <v>436577</v>
      </c>
      <c r="E28" s="839">
        <v>405588.8</v>
      </c>
      <c r="F28" s="840">
        <v>0</v>
      </c>
      <c r="G28" s="840">
        <v>26259.519999999997</v>
      </c>
      <c r="H28" s="836">
        <f>SUM(E28:G28)</f>
        <v>431848.32</v>
      </c>
      <c r="I28" s="431">
        <v>30</v>
      </c>
      <c r="J28" s="21">
        <f>+H28/I28</f>
        <v>14394.944</v>
      </c>
      <c r="K28" s="17"/>
      <c r="L28" s="1084">
        <v>2235.1999999999998</v>
      </c>
      <c r="M28" s="1084"/>
      <c r="N28" s="970">
        <v>12</v>
      </c>
    </row>
    <row r="29" spans="1:14" s="1" customFormat="1" ht="25" customHeight="1" x14ac:dyDescent="0.2">
      <c r="A29" s="3116"/>
      <c r="B29" s="2927"/>
      <c r="C29" s="17" t="s">
        <v>22</v>
      </c>
      <c r="D29" s="23"/>
      <c r="E29" s="378">
        <f>+E28/$H$28*100</f>
        <v>93.919272396382141</v>
      </c>
      <c r="F29" s="378">
        <f>+F28/$H$28*100</f>
        <v>0</v>
      </c>
      <c r="G29" s="378">
        <f>+G28/$H$28*100</f>
        <v>6.0807276036178619</v>
      </c>
      <c r="H29" s="1088">
        <f>SUM(E29:G29)</f>
        <v>100</v>
      </c>
      <c r="I29" s="431"/>
      <c r="J29" s="21"/>
      <c r="K29" s="365">
        <f>H28/D28*100</f>
        <v>98.916873770262754</v>
      </c>
      <c r="L29" s="3544">
        <f>100-K29</f>
        <v>1.0831262297372461</v>
      </c>
      <c r="M29" s="3544"/>
      <c r="N29" s="381"/>
    </row>
    <row r="30" spans="1:14" s="1" customFormat="1" ht="25" customHeight="1" x14ac:dyDescent="0.2">
      <c r="A30" s="3116"/>
      <c r="B30" s="2792" t="s">
        <v>83</v>
      </c>
      <c r="C30" s="606" t="s">
        <v>21</v>
      </c>
      <c r="D30" s="709">
        <f t="shared" ref="D30:J31" si="3">D28-D26</f>
        <v>9230.0612244898221</v>
      </c>
      <c r="E30" s="709">
        <f t="shared" si="3"/>
        <v>32856.799999999988</v>
      </c>
      <c r="F30" s="709">
        <f t="shared" si="3"/>
        <v>-33504</v>
      </c>
      <c r="G30" s="709">
        <f t="shared" si="3"/>
        <v>13695.519999999997</v>
      </c>
      <c r="H30" s="709">
        <f t="shared" si="3"/>
        <v>13048.320000000007</v>
      </c>
      <c r="I30" s="600">
        <f t="shared" si="3"/>
        <v>0</v>
      </c>
      <c r="J30" s="709">
        <f t="shared" si="3"/>
        <v>434.94399999999951</v>
      </c>
      <c r="K30" s="944"/>
      <c r="L30" s="3543"/>
      <c r="M30" s="3543"/>
      <c r="N30" s="709"/>
    </row>
    <row r="31" spans="1:14" s="1" customFormat="1" ht="25" customHeight="1" x14ac:dyDescent="0.2">
      <c r="A31" s="3116"/>
      <c r="B31" s="3370"/>
      <c r="C31" s="599" t="s">
        <v>22</v>
      </c>
      <c r="D31" s="600"/>
      <c r="E31" s="600">
        <f>E29-E27</f>
        <v>4.9192723963821408</v>
      </c>
      <c r="F31" s="600">
        <f t="shared" si="3"/>
        <v>-8</v>
      </c>
      <c r="G31" s="600">
        <f t="shared" si="3"/>
        <v>3.0807276036178619</v>
      </c>
      <c r="H31" s="600">
        <f t="shared" si="3"/>
        <v>0</v>
      </c>
      <c r="I31" s="601"/>
      <c r="J31" s="602"/>
      <c r="K31" s="603"/>
      <c r="L31" s="604"/>
      <c r="M31" s="604"/>
      <c r="N31" s="605"/>
    </row>
    <row r="32" spans="1:14" s="1" customFormat="1" ht="42" customHeight="1" x14ac:dyDescent="0.2">
      <c r="A32" s="3419" t="s">
        <v>674</v>
      </c>
      <c r="B32" s="3529" t="s">
        <v>1074</v>
      </c>
      <c r="C32" s="509" t="s">
        <v>21</v>
      </c>
      <c r="D32" s="731" cm="1">
        <f t="array" ref="D32">SUM(SUMIF($B:$B, {"Kế hoạch 50x50";"Kế hoạch 60x60";"Kế hoạch 40x80"}, D:D))</f>
        <v>427346.93877551018</v>
      </c>
      <c r="E32" s="731" cm="1">
        <f t="array" ref="E32">SUM(SUMIF($B:$B, {"Kế hoạch 50x50";"Kế hoạch 60x60";"Kế hoạch 40x80"}, E:E))</f>
        <v>372732</v>
      </c>
      <c r="F32" s="731" cm="1">
        <f t="array" ref="F32">SUM(SUMIF($B:$B, {"Kế hoạch 50x50";"Kế hoạch 60x60";"Kế hoạch 40x80"}, F:F))</f>
        <v>33504</v>
      </c>
      <c r="G32" s="731" cm="1">
        <f t="array" ref="G32">SUM(SUMIF($B:$B, {"Kế hoạch 50x50";"Kế hoạch 60x60";"Kế hoạch 40x80"}, G:G))</f>
        <v>12564</v>
      </c>
      <c r="H32" s="731">
        <f>SUM(E32:G32)</f>
        <v>418800</v>
      </c>
      <c r="I32" s="511">
        <f>I20+I26</f>
        <v>30</v>
      </c>
      <c r="J32" s="514">
        <f>H32/I32</f>
        <v>13960</v>
      </c>
      <c r="K32" s="515"/>
      <c r="L32" s="516"/>
      <c r="M32" s="516"/>
      <c r="N32" s="1010"/>
    </row>
    <row r="33" spans="1:14" s="1" customFormat="1" ht="42" customHeight="1" x14ac:dyDescent="0.2">
      <c r="A33" s="3419"/>
      <c r="B33" s="3529"/>
      <c r="C33" s="509" t="s">
        <v>22</v>
      </c>
      <c r="D33" s="511"/>
      <c r="E33" s="518">
        <f>E32/$H$32*100</f>
        <v>89</v>
      </c>
      <c r="F33" s="518">
        <f>F32/$H$32*100</f>
        <v>8</v>
      </c>
      <c r="G33" s="518">
        <f>G32/$H$32*100</f>
        <v>3</v>
      </c>
      <c r="H33" s="1133">
        <f>SUM(E33:G33)</f>
        <v>100</v>
      </c>
      <c r="I33" s="520"/>
      <c r="J33" s="521"/>
      <c r="K33" s="825">
        <f>H32/D32*100</f>
        <v>98.000000000000014</v>
      </c>
      <c r="L33" s="3540">
        <f>100-K33</f>
        <v>1.9999999999999858</v>
      </c>
      <c r="M33" s="3540"/>
      <c r="N33" s="1011"/>
    </row>
    <row r="34" spans="1:14" s="1" customFormat="1" ht="42" customHeight="1" x14ac:dyDescent="0.2">
      <c r="A34" s="3419"/>
      <c r="B34" s="3529" t="s">
        <v>1075</v>
      </c>
      <c r="C34" s="509" t="s">
        <v>21</v>
      </c>
      <c r="D34" s="731" cm="1">
        <f t="array" ref="D34">SUM(SUMIF($B:$B, {"Thực hiện 50x50";"Thực hiện 60x60";"Thực hiện 40x80"}, D:D))</f>
        <v>442954</v>
      </c>
      <c r="E34" s="731" cm="1">
        <f t="array" ref="E34">SUM(SUMIF($B:$B, {"Thực hiện 50x50";"Thực hiện 60x60";"Thực hiện 40x80"}, E:E))</f>
        <v>409757.6</v>
      </c>
      <c r="F34" s="731" cm="1">
        <f t="array" ref="F34">SUM(SUMIF($B:$B, {"Thực hiện 50x50";"Thực hiện 60x60";"Thực hiện 40x80"}, F:F))</f>
        <v>0</v>
      </c>
      <c r="G34" s="731" cm="1">
        <f t="array" ref="G34">SUM(SUMIF($B:$B, {"Thực hiện 50x50";"Thực hiện 60x60";"Thực hiện 40x80"}, G:G))</f>
        <v>26529.519999999997</v>
      </c>
      <c r="H34" s="731">
        <f>SUM(E34:G34)</f>
        <v>436287.12</v>
      </c>
      <c r="I34" s="511">
        <f>I22+I28</f>
        <v>30.5</v>
      </c>
      <c r="J34" s="514">
        <f>+H34/I34</f>
        <v>14304.495737704918</v>
      </c>
      <c r="K34" s="1086"/>
      <c r="L34" s="1087"/>
      <c r="M34" s="1087"/>
      <c r="N34" s="1049">
        <f>I22*N22+I28*N28/I34</f>
        <v>38.803278688524593</v>
      </c>
    </row>
    <row r="35" spans="1:14" s="1" customFormat="1" ht="42" customHeight="1" x14ac:dyDescent="0.2">
      <c r="A35" s="3419"/>
      <c r="B35" s="3529"/>
      <c r="C35" s="509" t="s">
        <v>22</v>
      </c>
      <c r="D35" s="511"/>
      <c r="E35" s="518">
        <f>+E34/$H$34*100</f>
        <v>93.919252074184527</v>
      </c>
      <c r="F35" s="518">
        <f>+F34/$H$34*100</f>
        <v>0</v>
      </c>
      <c r="G35" s="518">
        <f>+G34/$H$34*100</f>
        <v>6.0807479258154578</v>
      </c>
      <c r="H35" s="1133">
        <f>SUM(E35:G35)</f>
        <v>99.999999999999986</v>
      </c>
      <c r="I35" s="520"/>
      <c r="J35" s="521"/>
      <c r="K35" s="522">
        <f>+H34/D34*100</f>
        <v>98.494904662786652</v>
      </c>
      <c r="L35" s="3540">
        <f>100-K35</f>
        <v>1.5050953372133478</v>
      </c>
      <c r="M35" s="3540"/>
      <c r="N35" s="1011"/>
    </row>
    <row r="36" spans="1:14" s="1" customFormat="1" ht="42" customHeight="1" x14ac:dyDescent="0.2">
      <c r="A36" s="3419"/>
      <c r="B36" s="2792" t="s">
        <v>83</v>
      </c>
      <c r="C36" s="606" t="s">
        <v>21</v>
      </c>
      <c r="D36" s="838">
        <f>D34-D32</f>
        <v>15607.061224489822</v>
      </c>
      <c r="E36" s="838">
        <f t="shared" ref="E36:K37" si="4">E34-E32</f>
        <v>37025.599999999977</v>
      </c>
      <c r="F36" s="838">
        <f t="shared" si="4"/>
        <v>-33504</v>
      </c>
      <c r="G36" s="838">
        <f t="shared" si="4"/>
        <v>13965.519999999997</v>
      </c>
      <c r="H36" s="838">
        <f t="shared" si="4"/>
        <v>17487.119999999995</v>
      </c>
      <c r="I36" s="622">
        <f t="shared" si="4"/>
        <v>0.5</v>
      </c>
      <c r="J36" s="838">
        <f t="shared" si="4"/>
        <v>344.4957377049177</v>
      </c>
      <c r="K36" s="838">
        <f t="shared" si="4"/>
        <v>0</v>
      </c>
      <c r="L36" s="3541"/>
      <c r="M36" s="3541"/>
      <c r="N36" s="948"/>
    </row>
    <row r="37" spans="1:14" s="1" customFormat="1" ht="42" customHeight="1" x14ac:dyDescent="0.2">
      <c r="A37" s="3419"/>
      <c r="B37" s="3370"/>
      <c r="C37" s="599" t="s">
        <v>22</v>
      </c>
      <c r="D37" s="622"/>
      <c r="E37" s="600">
        <f>E35-E33</f>
        <v>4.9192520741845271</v>
      </c>
      <c r="F37" s="600">
        <f t="shared" si="4"/>
        <v>-8</v>
      </c>
      <c r="G37" s="600">
        <f t="shared" si="4"/>
        <v>3.0807479258154578</v>
      </c>
      <c r="H37" s="600">
        <f t="shared" si="4"/>
        <v>0</v>
      </c>
      <c r="I37" s="601"/>
      <c r="J37" s="602"/>
      <c r="K37" s="603"/>
      <c r="L37" s="604"/>
      <c r="M37" s="604"/>
      <c r="N37" s="1012"/>
    </row>
    <row r="38" spans="1:14" s="1" customFormat="1" ht="42" customHeight="1" x14ac:dyDescent="0.2">
      <c r="A38" s="3538" t="s">
        <v>28</v>
      </c>
      <c r="B38" s="3470" t="s">
        <v>1076</v>
      </c>
      <c r="C38" s="31" t="s">
        <v>21</v>
      </c>
      <c r="D38" s="842">
        <f t="shared" ref="D38:I38" si="5">D8+D32</f>
        <v>914806.12244897964</v>
      </c>
      <c r="E38" s="842">
        <f t="shared" si="5"/>
        <v>797893.9</v>
      </c>
      <c r="F38" s="842">
        <f t="shared" si="5"/>
        <v>62166.6</v>
      </c>
      <c r="G38" s="842">
        <f t="shared" si="5"/>
        <v>36449.5</v>
      </c>
      <c r="H38" s="842">
        <f t="shared" si="5"/>
        <v>896510</v>
      </c>
      <c r="I38" s="34">
        <f t="shared" si="5"/>
        <v>61</v>
      </c>
      <c r="J38" s="359">
        <f>+H38/I38</f>
        <v>14696.88524590164</v>
      </c>
      <c r="K38" s="368"/>
      <c r="L38" s="826"/>
      <c r="M38" s="826"/>
      <c r="N38" s="1056"/>
    </row>
    <row r="39" spans="1:14" s="1" customFormat="1" ht="42" customHeight="1" x14ac:dyDescent="0.2">
      <c r="A39" s="3538"/>
      <c r="B39" s="3470"/>
      <c r="C39" s="31" t="s">
        <v>22</v>
      </c>
      <c r="D39" s="32"/>
      <c r="E39" s="33">
        <f>+E38/H38*100</f>
        <v>89</v>
      </c>
      <c r="F39" s="33">
        <f>+F38/H38*100</f>
        <v>6.9342896342483629</v>
      </c>
      <c r="G39" s="33">
        <f>+G38/H38*100</f>
        <v>4.0657103657516371</v>
      </c>
      <c r="H39" s="1134">
        <v>100</v>
      </c>
      <c r="I39" s="436"/>
      <c r="J39" s="358"/>
      <c r="K39" s="976">
        <f>+H38/D38*100</f>
        <v>98</v>
      </c>
      <c r="L39" s="3033">
        <f>100-K39</f>
        <v>2</v>
      </c>
      <c r="M39" s="3033"/>
      <c r="N39" s="1056"/>
    </row>
    <row r="40" spans="1:14" s="1" customFormat="1" ht="42" customHeight="1" x14ac:dyDescent="0.2">
      <c r="A40" s="3538"/>
      <c r="B40" s="3470" t="s">
        <v>1077</v>
      </c>
      <c r="C40" s="31" t="s">
        <v>21</v>
      </c>
      <c r="D40" s="842">
        <f t="shared" ref="D40:I40" si="6">D10+D34</f>
        <v>939778</v>
      </c>
      <c r="E40" s="842">
        <f t="shared" si="6"/>
        <v>845059.52</v>
      </c>
      <c r="F40" s="842">
        <f t="shared" si="6"/>
        <v>20079.36</v>
      </c>
      <c r="G40" s="842">
        <f t="shared" si="6"/>
        <v>58971.28</v>
      </c>
      <c r="H40" s="842">
        <f t="shared" si="6"/>
        <v>924110.15999999992</v>
      </c>
      <c r="I40" s="34">
        <f t="shared" si="6"/>
        <v>61.5</v>
      </c>
      <c r="J40" s="359">
        <f>H40/I40</f>
        <v>15026.181463414632</v>
      </c>
      <c r="K40" s="1089"/>
      <c r="L40" s="1090"/>
      <c r="M40" s="1090"/>
      <c r="N40" s="1056"/>
    </row>
    <row r="41" spans="1:14" s="1" customFormat="1" ht="42" customHeight="1" x14ac:dyDescent="0.2">
      <c r="A41" s="3538"/>
      <c r="B41" s="3470"/>
      <c r="C41" s="31" t="s">
        <v>22</v>
      </c>
      <c r="D41" s="32"/>
      <c r="E41" s="33">
        <f>E40/$H$40*100</f>
        <v>91.445755774398165</v>
      </c>
      <c r="F41" s="33">
        <f>F40/$H$40*100</f>
        <v>2.1728318623831604</v>
      </c>
      <c r="G41" s="33">
        <f>G40/$H$40*100</f>
        <v>6.381412363218689</v>
      </c>
      <c r="H41" s="1134">
        <f>SUM(E41:G41)</f>
        <v>100.00000000000001</v>
      </c>
      <c r="I41" s="436"/>
      <c r="J41" s="358"/>
      <c r="K41" s="976">
        <f>H40/D40*100</f>
        <v>98.332814771148065</v>
      </c>
      <c r="L41" s="3033">
        <f>100-K41</f>
        <v>1.6671852288519347</v>
      </c>
      <c r="M41" s="3033"/>
      <c r="N41" s="1056"/>
    </row>
    <row r="42" spans="1:14" s="1" customFormat="1" ht="42" customHeight="1" x14ac:dyDescent="0.2">
      <c r="A42" s="3538"/>
      <c r="B42" s="3032" t="s">
        <v>30</v>
      </c>
      <c r="C42" s="31" t="s">
        <v>21</v>
      </c>
      <c r="D42" s="844">
        <f>D40-D38</f>
        <v>24971.877551020356</v>
      </c>
      <c r="E42" s="844">
        <f t="shared" ref="E42:J43" si="7">E40-E38</f>
        <v>47165.619999999995</v>
      </c>
      <c r="F42" s="844">
        <f t="shared" si="7"/>
        <v>-42087.24</v>
      </c>
      <c r="G42" s="844">
        <f t="shared" si="7"/>
        <v>22521.78</v>
      </c>
      <c r="H42" s="844">
        <f t="shared" si="7"/>
        <v>27600.159999999916</v>
      </c>
      <c r="I42" s="32">
        <f t="shared" si="7"/>
        <v>0.5</v>
      </c>
      <c r="J42" s="844">
        <f t="shared" si="7"/>
        <v>329.29621751299237</v>
      </c>
      <c r="K42" s="368"/>
      <c r="L42" s="36"/>
      <c r="M42" s="36"/>
      <c r="N42" s="367"/>
    </row>
    <row r="43" spans="1:14" s="1" customFormat="1" ht="42" customHeight="1" x14ac:dyDescent="0.2">
      <c r="A43" s="3538"/>
      <c r="B43" s="3032"/>
      <c r="C43" s="31" t="s">
        <v>22</v>
      </c>
      <c r="D43" s="32"/>
      <c r="E43" s="33">
        <f>E41-E39</f>
        <v>2.4457557743981653</v>
      </c>
      <c r="F43" s="33">
        <f t="shared" si="7"/>
        <v>-4.7614577718652029</v>
      </c>
      <c r="G43" s="33">
        <f t="shared" si="7"/>
        <v>2.3157019974670519</v>
      </c>
      <c r="H43" s="397"/>
      <c r="I43" s="437"/>
      <c r="J43" s="827"/>
      <c r="K43" s="368"/>
      <c r="L43" s="3539"/>
      <c r="M43" s="3539"/>
      <c r="N43" s="828"/>
    </row>
    <row r="44" spans="1:14" s="1" customFormat="1" ht="29" customHeight="1" x14ac:dyDescent="0.2">
      <c r="A44" s="2941" t="s">
        <v>32</v>
      </c>
      <c r="B44" s="2941"/>
      <c r="C44" s="2941"/>
      <c r="D44" s="2941"/>
      <c r="E44" s="2941"/>
      <c r="F44" s="2941"/>
      <c r="G44" s="2941"/>
      <c r="H44" s="2941"/>
      <c r="I44" s="2941"/>
      <c r="J44" s="2941"/>
      <c r="K44" s="2941"/>
      <c r="L44" s="2941"/>
      <c r="M44" s="2941"/>
      <c r="N44" s="2941"/>
    </row>
    <row r="45" spans="1:14" s="1" customFormat="1" ht="32" customHeight="1" x14ac:dyDescent="0.2">
      <c r="A45" s="2909" t="s">
        <v>1078</v>
      </c>
      <c r="B45" s="2909"/>
      <c r="C45" s="2909"/>
      <c r="D45" s="2909"/>
      <c r="E45" s="2909"/>
      <c r="F45" s="2909"/>
      <c r="G45" s="2909"/>
      <c r="H45" s="2909"/>
      <c r="I45" s="2909"/>
      <c r="J45" s="2909"/>
      <c r="K45" s="2909"/>
      <c r="L45" s="2909"/>
      <c r="M45" s="2909"/>
      <c r="N45" s="2909"/>
    </row>
    <row r="46" spans="1:14" s="1" customFormat="1" ht="35" customHeight="1" x14ac:dyDescent="0.2">
      <c r="A46" s="3198" t="s">
        <v>1079</v>
      </c>
      <c r="B46" s="3198"/>
      <c r="C46" s="3198"/>
      <c r="D46" s="3198"/>
      <c r="E46" s="3198"/>
      <c r="F46" s="3198"/>
      <c r="G46" s="3198"/>
      <c r="H46" s="3198"/>
      <c r="I46" s="3198"/>
      <c r="J46" s="3198"/>
      <c r="K46" s="3198"/>
      <c r="L46" s="3198"/>
      <c r="M46" s="3198"/>
      <c r="N46" s="3198"/>
    </row>
    <row r="47" spans="1:14" s="1" customFormat="1" ht="30" customHeight="1" x14ac:dyDescent="0.2">
      <c r="A47" s="42" t="s">
        <v>1080</v>
      </c>
      <c r="B47" s="41"/>
      <c r="C47" s="41"/>
      <c r="D47" s="41"/>
      <c r="E47" s="41"/>
      <c r="F47" s="41"/>
      <c r="G47" s="41"/>
      <c r="H47" s="399"/>
      <c r="I47" s="439"/>
      <c r="J47" s="41"/>
      <c r="K47" s="41"/>
      <c r="L47" s="41"/>
      <c r="M47" s="41"/>
      <c r="N47" s="41"/>
    </row>
    <row r="48" spans="1:14" s="1" customFormat="1" ht="28" customHeight="1" x14ac:dyDescent="0.2">
      <c r="A48" s="42" t="s">
        <v>312</v>
      </c>
      <c r="B48" s="41"/>
      <c r="C48" s="41"/>
      <c r="D48" s="41"/>
      <c r="E48" s="41"/>
      <c r="F48" s="41"/>
      <c r="G48" s="41"/>
      <c r="H48" s="399"/>
      <c r="I48" s="439"/>
      <c r="J48" s="41"/>
      <c r="K48" s="41"/>
      <c r="L48" s="41"/>
      <c r="M48" s="41"/>
      <c r="N48" s="41"/>
    </row>
    <row r="49" spans="1:14" s="1" customFormat="1" ht="25" customHeight="1" x14ac:dyDescent="0.2">
      <c r="A49" s="3536" t="s">
        <v>39</v>
      </c>
      <c r="B49" s="3537" t="s">
        <v>105</v>
      </c>
      <c r="C49" s="3537" t="s">
        <v>17</v>
      </c>
      <c r="D49" s="3537" t="s">
        <v>106</v>
      </c>
      <c r="E49" s="3537"/>
      <c r="F49" s="3537"/>
      <c r="G49" s="3537"/>
      <c r="H49" s="1781" t="s">
        <v>107</v>
      </c>
      <c r="I49" s="3537" t="s">
        <v>47</v>
      </c>
      <c r="J49" s="3537"/>
      <c r="K49" s="3537"/>
      <c r="L49" s="3537"/>
      <c r="M49" s="3537"/>
      <c r="N49" s="3537"/>
    </row>
    <row r="50" spans="1:14" s="1" customFormat="1" ht="35" customHeight="1" x14ac:dyDescent="0.2">
      <c r="A50" s="3536"/>
      <c r="B50" s="3537"/>
      <c r="C50" s="3537"/>
      <c r="D50" s="1780" t="s">
        <v>18</v>
      </c>
      <c r="E50" s="1780" t="s">
        <v>19</v>
      </c>
      <c r="F50" s="1780" t="s">
        <v>20</v>
      </c>
      <c r="G50" s="1780" t="s">
        <v>108</v>
      </c>
      <c r="H50" s="1781" t="s">
        <v>22</v>
      </c>
      <c r="I50" s="3537"/>
      <c r="J50" s="3537"/>
      <c r="K50" s="3537"/>
      <c r="L50" s="3537"/>
      <c r="M50" s="3537"/>
      <c r="N50" s="3537"/>
    </row>
    <row r="51" spans="1:14" s="1" customFormat="1" ht="27" customHeight="1" x14ac:dyDescent="0.2">
      <c r="A51" s="2664">
        <v>1</v>
      </c>
      <c r="B51" s="3535" t="s">
        <v>120</v>
      </c>
      <c r="C51" s="57" t="s">
        <v>21</v>
      </c>
      <c r="D51" s="834">
        <v>236507.04</v>
      </c>
      <c r="E51" s="834">
        <v>13550.4</v>
      </c>
      <c r="F51" s="834">
        <v>11314.08</v>
      </c>
      <c r="G51" s="831">
        <f>SUM(D51:F51)</f>
        <v>261371.51999999999</v>
      </c>
      <c r="H51" s="216">
        <f>(G51/$G$89)*100</f>
        <v>53.579184313782093</v>
      </c>
      <c r="I51" s="2599" t="s">
        <v>121</v>
      </c>
      <c r="J51" s="2599"/>
      <c r="K51" s="2599"/>
      <c r="L51" s="2599"/>
      <c r="M51" s="2599"/>
      <c r="N51" s="2599"/>
    </row>
    <row r="52" spans="1:14" s="1" customFormat="1" ht="27" customHeight="1" x14ac:dyDescent="0.2">
      <c r="A52" s="2664"/>
      <c r="B52" s="3535"/>
      <c r="C52" s="57" t="s">
        <v>22</v>
      </c>
      <c r="D52" s="739">
        <f>D51/$G$51*100</f>
        <v>90.486920686691505</v>
      </c>
      <c r="E52" s="739">
        <f>E51/$G$51*100</f>
        <v>5.1843444917028449</v>
      </c>
      <c r="F52" s="739">
        <f>F51/$G$51*100</f>
        <v>4.3287348216056589</v>
      </c>
      <c r="G52" s="216"/>
      <c r="H52" s="216">
        <f t="shared" ref="H52:H89" si="8">(G52/$G$89)*100</f>
        <v>0</v>
      </c>
      <c r="I52" s="2599"/>
      <c r="J52" s="2599"/>
      <c r="K52" s="2599"/>
      <c r="L52" s="2599"/>
      <c r="M52" s="2599"/>
      <c r="N52" s="2599"/>
    </row>
    <row r="53" spans="1:14" s="1" customFormat="1" ht="27" customHeight="1" x14ac:dyDescent="0.2">
      <c r="A53" s="2664">
        <v>2</v>
      </c>
      <c r="B53" s="3535" t="s">
        <v>146</v>
      </c>
      <c r="C53" s="57" t="s">
        <v>21</v>
      </c>
      <c r="D53" s="831">
        <v>7600.32</v>
      </c>
      <c r="E53" s="214"/>
      <c r="F53" s="831">
        <v>855.36</v>
      </c>
      <c r="G53" s="831">
        <f>SUM(D53:F53)</f>
        <v>8455.68</v>
      </c>
      <c r="H53" s="216">
        <f t="shared" si="8"/>
        <v>1.7333504324356419</v>
      </c>
      <c r="I53" s="2599"/>
      <c r="J53" s="2599"/>
      <c r="K53" s="2599"/>
      <c r="L53" s="2599"/>
      <c r="M53" s="2599"/>
      <c r="N53" s="2599"/>
    </row>
    <row r="54" spans="1:14" s="1" customFormat="1" ht="27" customHeight="1" x14ac:dyDescent="0.2">
      <c r="A54" s="2664"/>
      <c r="B54" s="3535"/>
      <c r="C54" s="57" t="s">
        <v>22</v>
      </c>
      <c r="D54" s="216">
        <f>D53/$G$53*100</f>
        <v>89.884196185286086</v>
      </c>
      <c r="E54" s="216">
        <f>E53/$G$53*100</f>
        <v>0</v>
      </c>
      <c r="F54" s="216">
        <f>F53/$G$53*100</f>
        <v>10.115803814713896</v>
      </c>
      <c r="G54" s="831"/>
      <c r="H54" s="216">
        <f t="shared" si="8"/>
        <v>0</v>
      </c>
      <c r="I54" s="2599"/>
      <c r="J54" s="2599"/>
      <c r="K54" s="2599"/>
      <c r="L54" s="2599"/>
      <c r="M54" s="2599"/>
      <c r="N54" s="2599"/>
    </row>
    <row r="55" spans="1:14" s="1" customFormat="1" ht="27" customHeight="1" x14ac:dyDescent="0.2">
      <c r="A55" s="2664">
        <v>3</v>
      </c>
      <c r="B55" s="3535" t="s">
        <v>125</v>
      </c>
      <c r="C55" s="57" t="s">
        <v>21</v>
      </c>
      <c r="D55" s="831">
        <v>29383.200000000001</v>
      </c>
      <c r="E55" s="214"/>
      <c r="F55" s="831">
        <v>3088.8</v>
      </c>
      <c r="G55" s="831">
        <f>SUM(D55:F55)</f>
        <v>32472</v>
      </c>
      <c r="H55" s="216">
        <f t="shared" si="8"/>
        <v>6.6565143479945039</v>
      </c>
      <c r="I55" s="2599"/>
      <c r="J55" s="2599"/>
      <c r="K55" s="2599"/>
      <c r="L55" s="2599"/>
      <c r="M55" s="2599"/>
      <c r="N55" s="2599"/>
    </row>
    <row r="56" spans="1:14" s="1" customFormat="1" ht="27" customHeight="1" x14ac:dyDescent="0.2">
      <c r="A56" s="2664"/>
      <c r="B56" s="3535"/>
      <c r="C56" s="57" t="s">
        <v>22</v>
      </c>
      <c r="D56" s="216">
        <f>D55/$G$55*100</f>
        <v>90.487804878048777</v>
      </c>
      <c r="E56" s="216">
        <f>E55/$G$55*100</f>
        <v>0</v>
      </c>
      <c r="F56" s="216">
        <f>F55/$G$55*100</f>
        <v>9.5121951219512191</v>
      </c>
      <c r="G56" s="214"/>
      <c r="H56" s="216">
        <f t="shared" si="8"/>
        <v>0</v>
      </c>
      <c r="I56" s="2599"/>
      <c r="J56" s="2599"/>
      <c r="K56" s="2599"/>
      <c r="L56" s="2599"/>
      <c r="M56" s="2599"/>
      <c r="N56" s="2599"/>
    </row>
    <row r="57" spans="1:14" s="1" customFormat="1" ht="27" customHeight="1" x14ac:dyDescent="0.2">
      <c r="A57" s="2664">
        <v>4</v>
      </c>
      <c r="B57" s="3534" t="s">
        <v>114</v>
      </c>
      <c r="C57" s="57" t="s">
        <v>21</v>
      </c>
      <c r="D57" s="831">
        <v>6933.6</v>
      </c>
      <c r="E57" s="214"/>
      <c r="F57" s="831">
        <v>961.92</v>
      </c>
      <c r="G57" s="831">
        <f t="shared" ref="G57:G63" si="9">SUM(D57:F57)</f>
        <v>7895.52</v>
      </c>
      <c r="H57" s="216">
        <f t="shared" si="8"/>
        <v>1.6185218700689075</v>
      </c>
      <c r="I57" s="2599"/>
      <c r="J57" s="2599"/>
      <c r="K57" s="2599"/>
      <c r="L57" s="2599"/>
      <c r="M57" s="2599"/>
      <c r="N57" s="2599"/>
    </row>
    <row r="58" spans="1:14" s="1" customFormat="1" ht="27" customHeight="1" x14ac:dyDescent="0.2">
      <c r="A58" s="2664"/>
      <c r="B58" s="3534"/>
      <c r="C58" s="57" t="s">
        <v>22</v>
      </c>
      <c r="D58" s="216">
        <f>D57/$G$57*100</f>
        <v>87.816888564654377</v>
      </c>
      <c r="E58" s="216">
        <f>E57/$G$57*100</f>
        <v>0</v>
      </c>
      <c r="F58" s="216">
        <f>F57/$G$57*100</f>
        <v>12.183111435345612</v>
      </c>
      <c r="G58" s="214"/>
      <c r="H58" s="216">
        <f t="shared" si="8"/>
        <v>0</v>
      </c>
      <c r="I58" s="2599"/>
      <c r="J58" s="2599"/>
      <c r="K58" s="2599"/>
      <c r="L58" s="2599"/>
      <c r="M58" s="2599"/>
      <c r="N58" s="2599"/>
    </row>
    <row r="59" spans="1:14" s="1" customFormat="1" ht="27" customHeight="1" x14ac:dyDescent="0.2">
      <c r="A59" s="2664">
        <v>5</v>
      </c>
      <c r="B59" s="3534" t="s">
        <v>129</v>
      </c>
      <c r="C59" s="57" t="s">
        <v>21</v>
      </c>
      <c r="D59" s="831">
        <v>16656.48</v>
      </c>
      <c r="E59" s="831">
        <v>1382.4</v>
      </c>
      <c r="F59" s="831">
        <v>992.16</v>
      </c>
      <c r="G59" s="831">
        <f t="shared" si="9"/>
        <v>19031.04</v>
      </c>
      <c r="H59" s="216">
        <f t="shared" si="8"/>
        <v>3.9012192294055592</v>
      </c>
      <c r="I59" s="2599"/>
      <c r="J59" s="2599"/>
      <c r="K59" s="2599"/>
      <c r="L59" s="2599"/>
      <c r="M59" s="2599"/>
      <c r="N59" s="2599"/>
    </row>
    <row r="60" spans="1:14" s="1" customFormat="1" ht="27" customHeight="1" x14ac:dyDescent="0.2">
      <c r="A60" s="2664"/>
      <c r="B60" s="3534"/>
      <c r="C60" s="57" t="s">
        <v>22</v>
      </c>
      <c r="D60" s="216">
        <f>D59/$G$59*100</f>
        <v>87.522699757869233</v>
      </c>
      <c r="E60" s="216">
        <f>E59/$G$59*100</f>
        <v>7.2639225181598057</v>
      </c>
      <c r="F60" s="216">
        <f>F59/$G$59*100</f>
        <v>5.213377723970944</v>
      </c>
      <c r="G60" s="214"/>
      <c r="H60" s="216">
        <f t="shared" si="8"/>
        <v>0</v>
      </c>
      <c r="I60" s="2599"/>
      <c r="J60" s="2599"/>
      <c r="K60" s="2599"/>
      <c r="L60" s="2599"/>
      <c r="M60" s="2599"/>
      <c r="N60" s="2599"/>
    </row>
    <row r="61" spans="1:14" s="1" customFormat="1" ht="27" customHeight="1" x14ac:dyDescent="0.2">
      <c r="A61" s="2664">
        <v>6</v>
      </c>
      <c r="B61" s="3534" t="s">
        <v>112</v>
      </c>
      <c r="C61" s="57" t="s">
        <v>21</v>
      </c>
      <c r="D61" s="831">
        <v>10496.16</v>
      </c>
      <c r="E61" s="831">
        <v>259.2</v>
      </c>
      <c r="F61" s="831">
        <v>339.84</v>
      </c>
      <c r="G61" s="831">
        <f t="shared" si="9"/>
        <v>11095.2</v>
      </c>
      <c r="H61" s="216">
        <f t="shared" si="8"/>
        <v>2.2744320643590976</v>
      </c>
      <c r="I61" s="2599"/>
      <c r="J61" s="2599"/>
      <c r="K61" s="2599"/>
      <c r="L61" s="2599"/>
      <c r="M61" s="2599"/>
      <c r="N61" s="2599"/>
    </row>
    <row r="62" spans="1:14" s="1" customFormat="1" ht="27" customHeight="1" x14ac:dyDescent="0.2">
      <c r="A62" s="2664"/>
      <c r="B62" s="3534"/>
      <c r="C62" s="57" t="s">
        <v>22</v>
      </c>
      <c r="D62" s="216">
        <f>D61/$G$61*100</f>
        <v>94.600908500973389</v>
      </c>
      <c r="E62" s="216">
        <f>E61/$G$61*100</f>
        <v>2.3361453601557427</v>
      </c>
      <c r="F62" s="216">
        <f>F61/$G$61*100</f>
        <v>3.062946138870863</v>
      </c>
      <c r="G62" s="214"/>
      <c r="H62" s="216">
        <f t="shared" si="8"/>
        <v>0</v>
      </c>
      <c r="I62" s="2599"/>
      <c r="J62" s="2599"/>
      <c r="K62" s="2599"/>
      <c r="L62" s="2599"/>
      <c r="M62" s="2599"/>
      <c r="N62" s="2599"/>
    </row>
    <row r="63" spans="1:14" s="1" customFormat="1" ht="27" customHeight="1" x14ac:dyDescent="0.2">
      <c r="A63" s="2664">
        <v>7</v>
      </c>
      <c r="B63" s="3534" t="s">
        <v>128</v>
      </c>
      <c r="C63" s="57" t="s">
        <v>21</v>
      </c>
      <c r="D63" s="831">
        <v>4546.08</v>
      </c>
      <c r="E63" s="214"/>
      <c r="F63" s="831">
        <v>1101.5999999999999</v>
      </c>
      <c r="G63" s="831">
        <f t="shared" si="9"/>
        <v>5647.68</v>
      </c>
      <c r="H63" s="216">
        <f t="shared" si="8"/>
        <v>1.1577316750702635</v>
      </c>
      <c r="I63" s="2599"/>
      <c r="J63" s="2599"/>
      <c r="K63" s="2599"/>
      <c r="L63" s="2599"/>
      <c r="M63" s="2599"/>
      <c r="N63" s="2599"/>
    </row>
    <row r="64" spans="1:14" s="1" customFormat="1" ht="27" customHeight="1" x14ac:dyDescent="0.2">
      <c r="A64" s="2664"/>
      <c r="B64" s="3534"/>
      <c r="C64" s="57" t="s">
        <v>22</v>
      </c>
      <c r="D64" s="216">
        <f>D63/$G$63*100</f>
        <v>80.494645588985207</v>
      </c>
      <c r="E64" s="216">
        <f>E63/$G$63*100</f>
        <v>0</v>
      </c>
      <c r="F64" s="216">
        <f>F63/$G$63*100</f>
        <v>19.505354411014785</v>
      </c>
      <c r="G64" s="214"/>
      <c r="H64" s="216">
        <f t="shared" si="8"/>
        <v>0</v>
      </c>
      <c r="I64" s="2599"/>
      <c r="J64" s="2599"/>
      <c r="K64" s="2599"/>
      <c r="L64" s="2599"/>
      <c r="M64" s="2599"/>
      <c r="N64" s="2599"/>
    </row>
    <row r="65" spans="1:14" s="1" customFormat="1" ht="27" customHeight="1" x14ac:dyDescent="0.2">
      <c r="A65" s="2664">
        <v>8</v>
      </c>
      <c r="B65" s="3534" t="s">
        <v>541</v>
      </c>
      <c r="C65" s="57" t="s">
        <v>21</v>
      </c>
      <c r="D65" s="831">
        <v>30880.799999999999</v>
      </c>
      <c r="E65" s="831">
        <v>1900.8</v>
      </c>
      <c r="F65" s="831">
        <v>1458.72</v>
      </c>
      <c r="G65" s="831">
        <f>SUM(D65:F65)</f>
        <v>34240.32</v>
      </c>
      <c r="H65" s="216">
        <f t="shared" si="8"/>
        <v>7.0190065705815208</v>
      </c>
      <c r="I65" s="2599"/>
      <c r="J65" s="2599"/>
      <c r="K65" s="2599"/>
      <c r="L65" s="2599"/>
      <c r="M65" s="2599"/>
      <c r="N65" s="2599"/>
    </row>
    <row r="66" spans="1:14" s="1" customFormat="1" ht="27" customHeight="1" x14ac:dyDescent="0.2">
      <c r="A66" s="2664"/>
      <c r="B66" s="3534"/>
      <c r="C66" s="57" t="s">
        <v>22</v>
      </c>
      <c r="D66" s="216">
        <f>D65/$G$65*100</f>
        <v>90.188409454117249</v>
      </c>
      <c r="E66" s="216">
        <f>E65/$G$65*100</f>
        <v>5.5513499873832952</v>
      </c>
      <c r="F66" s="216">
        <f>F65/$G$65*100</f>
        <v>4.2602405584994534</v>
      </c>
      <c r="G66" s="214"/>
      <c r="H66" s="216">
        <f t="shared" si="8"/>
        <v>0</v>
      </c>
      <c r="I66" s="2599"/>
      <c r="J66" s="2599"/>
      <c r="K66" s="2599"/>
      <c r="L66" s="2599"/>
      <c r="M66" s="2599"/>
      <c r="N66" s="2599"/>
    </row>
    <row r="67" spans="1:14" s="1" customFormat="1" ht="50" customHeight="1" x14ac:dyDescent="0.2">
      <c r="A67" s="1663"/>
      <c r="B67" s="1663" t="s">
        <v>1081</v>
      </c>
      <c r="C67" s="414" t="s">
        <v>21</v>
      </c>
      <c r="D67" s="832">
        <f>SUMIFS(D51:D66,$C$51:$C$66,"m2")</f>
        <v>343003.67999999993</v>
      </c>
      <c r="E67" s="832">
        <f>SUMIFS(E51:E66,$C$51:$C$66,"m2")</f>
        <v>17092.8</v>
      </c>
      <c r="F67" s="832">
        <f>SUMIFS(F51:F66,$C$51:$C$66,"m2")</f>
        <v>20112.480000000003</v>
      </c>
      <c r="G67" s="832">
        <f>SUM(D67:F67)</f>
        <v>380208.9599999999</v>
      </c>
      <c r="H67" s="216"/>
      <c r="I67" s="2599"/>
      <c r="J67" s="2599"/>
      <c r="K67" s="2599"/>
      <c r="L67" s="2599"/>
      <c r="M67" s="2599"/>
      <c r="N67" s="2599"/>
    </row>
    <row r="68" spans="1:14" s="1" customFormat="1" ht="27" customHeight="1" x14ac:dyDescent="0.2">
      <c r="A68" s="1663"/>
      <c r="B68" s="1663"/>
      <c r="C68" s="414" t="s">
        <v>22</v>
      </c>
      <c r="D68" s="417">
        <f>D67/$G$67*100</f>
        <v>90.214517827249523</v>
      </c>
      <c r="E68" s="417">
        <f>E67/$G$67*100</f>
        <v>4.4956331381564505</v>
      </c>
      <c r="F68" s="417">
        <f>F67/$G$67*100</f>
        <v>5.2898490345940319</v>
      </c>
      <c r="G68" s="415"/>
      <c r="H68" s="216"/>
      <c r="I68" s="2599"/>
      <c r="J68" s="2599"/>
      <c r="K68" s="2599"/>
      <c r="L68" s="2599"/>
      <c r="M68" s="2599"/>
      <c r="N68" s="2599"/>
    </row>
    <row r="69" spans="1:14" s="1" customFormat="1" ht="35" customHeight="1" x14ac:dyDescent="0.2">
      <c r="A69" s="2664">
        <v>1</v>
      </c>
      <c r="B69" s="3533" t="s">
        <v>109</v>
      </c>
      <c r="C69" s="57" t="s">
        <v>21</v>
      </c>
      <c r="D69" s="834">
        <v>23015.52</v>
      </c>
      <c r="E69" s="738">
        <v>2986.56</v>
      </c>
      <c r="F69" s="738">
        <v>8298.56</v>
      </c>
      <c r="G69" s="831">
        <f>SUM(D69:F69)</f>
        <v>34300.639999999999</v>
      </c>
      <c r="H69" s="216">
        <f t="shared" si="8"/>
        <v>7.0313717142582579</v>
      </c>
      <c r="I69" s="2599" t="s">
        <v>110</v>
      </c>
      <c r="J69" s="2599"/>
      <c r="K69" s="2599"/>
      <c r="L69" s="2599"/>
      <c r="M69" s="2599"/>
      <c r="N69" s="2599"/>
    </row>
    <row r="70" spans="1:14" s="1" customFormat="1" ht="35" customHeight="1" x14ac:dyDescent="0.2">
      <c r="A70" s="2664"/>
      <c r="B70" s="3533"/>
      <c r="C70" s="57" t="s">
        <v>22</v>
      </c>
      <c r="D70" s="215">
        <f>D69/$G$69*100</f>
        <v>67.099389399148237</v>
      </c>
      <c r="E70" s="215">
        <f>E69/$G$69*100</f>
        <v>8.7070095485098822</v>
      </c>
      <c r="F70" s="215">
        <f>F69/$G$69*100</f>
        <v>24.193601052341879</v>
      </c>
      <c r="G70" s="214"/>
      <c r="H70" s="216">
        <f t="shared" si="8"/>
        <v>0</v>
      </c>
      <c r="I70" s="2599"/>
      <c r="J70" s="2599"/>
      <c r="K70" s="2599"/>
      <c r="L70" s="2599"/>
      <c r="M70" s="2599"/>
      <c r="N70" s="2599"/>
    </row>
    <row r="71" spans="1:14" s="1" customFormat="1" ht="35" customHeight="1" x14ac:dyDescent="0.2">
      <c r="A71" s="2664">
        <v>2</v>
      </c>
      <c r="B71" s="3533" t="s">
        <v>113</v>
      </c>
      <c r="C71" s="57" t="s">
        <v>21</v>
      </c>
      <c r="D71" s="834">
        <v>51068.160000000003</v>
      </c>
      <c r="E71" s="834"/>
      <c r="F71" s="834"/>
      <c r="G71" s="831">
        <f>SUM(D71:F71)</f>
        <v>51068.160000000003</v>
      </c>
      <c r="H71" s="216">
        <f t="shared" si="8"/>
        <v>10.468586467285014</v>
      </c>
      <c r="I71" s="2599"/>
      <c r="J71" s="2599"/>
      <c r="K71" s="2599"/>
      <c r="L71" s="2599"/>
      <c r="M71" s="2599"/>
      <c r="N71" s="2599"/>
    </row>
    <row r="72" spans="1:14" s="1" customFormat="1" ht="35" customHeight="1" x14ac:dyDescent="0.2">
      <c r="A72" s="2664"/>
      <c r="B72" s="3533"/>
      <c r="C72" s="57" t="s">
        <v>22</v>
      </c>
      <c r="D72" s="216">
        <f>D71/$G$71*100</f>
        <v>100</v>
      </c>
      <c r="E72" s="216">
        <f>E71/$G$71*100</f>
        <v>0</v>
      </c>
      <c r="F72" s="216">
        <f>F71/$G$71*100</f>
        <v>0</v>
      </c>
      <c r="G72" s="214"/>
      <c r="H72" s="216">
        <f t="shared" si="8"/>
        <v>0</v>
      </c>
      <c r="I72" s="2599"/>
      <c r="J72" s="2599"/>
      <c r="K72" s="2599"/>
      <c r="L72" s="2599"/>
      <c r="M72" s="2599"/>
      <c r="N72" s="2599"/>
    </row>
    <row r="73" spans="1:14" s="1" customFormat="1" ht="35" customHeight="1" x14ac:dyDescent="0.2">
      <c r="A73" s="2664">
        <v>3</v>
      </c>
      <c r="B73" s="3533" t="s">
        <v>114</v>
      </c>
      <c r="C73" s="57" t="s">
        <v>21</v>
      </c>
      <c r="D73" s="834">
        <v>18214.560000000001</v>
      </c>
      <c r="E73" s="738"/>
      <c r="F73" s="834">
        <v>4030.56</v>
      </c>
      <c r="G73" s="831">
        <f>SUM(D73:F73)</f>
        <v>22245.120000000003</v>
      </c>
      <c r="H73" s="216">
        <f t="shared" si="8"/>
        <v>4.5600813147591612</v>
      </c>
      <c r="I73" s="2599"/>
      <c r="J73" s="2599"/>
      <c r="K73" s="2599"/>
      <c r="L73" s="2599"/>
      <c r="M73" s="2599"/>
      <c r="N73" s="2599"/>
    </row>
    <row r="74" spans="1:14" s="1" customFormat="1" ht="35" customHeight="1" x14ac:dyDescent="0.2">
      <c r="A74" s="2664"/>
      <c r="B74" s="3533"/>
      <c r="C74" s="57" t="s">
        <v>22</v>
      </c>
      <c r="D74" s="216">
        <f>D73/$G$73*100</f>
        <v>81.88114966338685</v>
      </c>
      <c r="E74" s="216">
        <f>E73/$G$73*100</f>
        <v>0</v>
      </c>
      <c r="F74" s="216">
        <f>F73/$G$73*100</f>
        <v>18.11885033661315</v>
      </c>
      <c r="G74" s="214"/>
      <c r="H74" s="216">
        <f t="shared" si="8"/>
        <v>0</v>
      </c>
      <c r="I74" s="2599"/>
      <c r="J74" s="2599"/>
      <c r="K74" s="2599"/>
      <c r="L74" s="2599"/>
      <c r="M74" s="2599"/>
      <c r="N74" s="2599"/>
    </row>
    <row r="75" spans="1:14" s="1" customFormat="1" ht="23" customHeight="1" x14ac:dyDescent="0.2">
      <c r="A75" s="321"/>
      <c r="B75" s="924" t="s">
        <v>129</v>
      </c>
      <c r="C75" s="57" t="s">
        <v>21</v>
      </c>
      <c r="D75" s="738"/>
      <c r="E75" s="738"/>
      <c r="F75" s="738"/>
      <c r="G75" s="214">
        <f>SUM(D75:F75)</f>
        <v>0</v>
      </c>
      <c r="H75" s="216">
        <f t="shared" si="8"/>
        <v>0</v>
      </c>
      <c r="I75" s="1014"/>
      <c r="J75" s="1014"/>
      <c r="K75" s="1014"/>
      <c r="L75" s="1014"/>
      <c r="M75" s="1014"/>
      <c r="N75" s="1014"/>
    </row>
    <row r="76" spans="1:14" s="1" customFormat="1" ht="23" customHeight="1" x14ac:dyDescent="0.2">
      <c r="A76" s="321"/>
      <c r="B76" s="924"/>
      <c r="C76" s="57" t="s">
        <v>22</v>
      </c>
      <c r="D76" s="216" t="e">
        <f>D75/$G$75*100</f>
        <v>#DIV/0!</v>
      </c>
      <c r="E76" s="216" t="e">
        <f>E75/$G$75*100</f>
        <v>#DIV/0!</v>
      </c>
      <c r="F76" s="216" t="e">
        <f>F75/$G$75*100</f>
        <v>#DIV/0!</v>
      </c>
      <c r="G76" s="214" t="e">
        <f>SUM(D76:F76)</f>
        <v>#DIV/0!</v>
      </c>
      <c r="H76" s="216" t="e">
        <f t="shared" si="8"/>
        <v>#DIV/0!</v>
      </c>
      <c r="I76" s="1014"/>
      <c r="J76" s="1014"/>
      <c r="K76" s="1014"/>
      <c r="L76" s="1014"/>
      <c r="M76" s="1014"/>
      <c r="N76" s="1014"/>
    </row>
    <row r="77" spans="1:14" s="1" customFormat="1" ht="35" customHeight="1" x14ac:dyDescent="0.2">
      <c r="B77" s="1664" t="s">
        <v>1082</v>
      </c>
      <c r="C77" s="971" t="s">
        <v>21</v>
      </c>
      <c r="D77" s="972">
        <f>SUMIFS(D69:D74, $C$69:$C$74, "m2")</f>
        <v>92298.240000000005</v>
      </c>
      <c r="E77" s="972">
        <f>SUMIFS(E69:E74, $C$69:$C$74, "m2")</f>
        <v>2986.56</v>
      </c>
      <c r="F77" s="972">
        <f>SUMIFS(F69:F74, $C$69:$C$74, "m2")</f>
        <v>12329.119999999999</v>
      </c>
      <c r="G77" s="972">
        <f>SUM(D77:F77)</f>
        <v>107613.92</v>
      </c>
      <c r="H77" s="216"/>
      <c r="I77" s="2599"/>
      <c r="J77" s="2599"/>
      <c r="K77" s="2599"/>
      <c r="L77" s="2599"/>
      <c r="M77" s="2599"/>
      <c r="N77" s="2599"/>
    </row>
    <row r="78" spans="1:14" s="1" customFormat="1" ht="35" customHeight="1" x14ac:dyDescent="0.2">
      <c r="A78" s="1664"/>
      <c r="B78" s="1664"/>
      <c r="C78" s="971" t="s">
        <v>22</v>
      </c>
      <c r="D78" s="973"/>
      <c r="E78" s="973">
        <f>E77/$G$77*100</f>
        <v>2.7752543537118619</v>
      </c>
      <c r="F78" s="973">
        <f>F77/$G$77*100</f>
        <v>11.456807818170734</v>
      </c>
      <c r="G78" s="974"/>
      <c r="H78" s="216">
        <f t="shared" si="8"/>
        <v>0</v>
      </c>
      <c r="I78" s="2599"/>
      <c r="J78" s="2599"/>
      <c r="K78" s="2599"/>
      <c r="L78" s="2599"/>
      <c r="M78" s="2599"/>
      <c r="N78" s="2599"/>
    </row>
    <row r="79" spans="1:14" s="1" customFormat="1" ht="29" customHeight="1" x14ac:dyDescent="0.2">
      <c r="A79" s="2904" t="s">
        <v>125</v>
      </c>
      <c r="B79" s="2904"/>
      <c r="C79" s="57" t="s">
        <v>21</v>
      </c>
      <c r="D79" s="738"/>
      <c r="E79" s="738"/>
      <c r="F79" s="738"/>
      <c r="G79" s="831">
        <f>SUM(D79:F79)</f>
        <v>0</v>
      </c>
      <c r="H79" s="216">
        <f t="shared" si="8"/>
        <v>0</v>
      </c>
      <c r="I79" s="3433" t="s">
        <v>131</v>
      </c>
      <c r="J79" s="3433"/>
      <c r="K79" s="3433"/>
      <c r="L79" s="3433"/>
      <c r="M79" s="3433"/>
      <c r="N79" s="3433"/>
    </row>
    <row r="80" spans="1:14" s="1" customFormat="1" ht="29" customHeight="1" x14ac:dyDescent="0.2">
      <c r="A80" s="2904"/>
      <c r="B80" s="2904"/>
      <c r="C80" s="57" t="s">
        <v>22</v>
      </c>
      <c r="D80" s="216" t="e">
        <f>D79/$G$79*100</f>
        <v>#DIV/0!</v>
      </c>
      <c r="E80" s="216" t="e">
        <f>E79/$G$79*100</f>
        <v>#DIV/0!</v>
      </c>
      <c r="F80" s="216" t="e">
        <f>F79/$G$79*100</f>
        <v>#DIV/0!</v>
      </c>
      <c r="G80" s="216"/>
      <c r="H80" s="216">
        <f t="shared" si="8"/>
        <v>0</v>
      </c>
      <c r="I80" s="3433"/>
      <c r="J80" s="3433"/>
      <c r="K80" s="3433"/>
      <c r="L80" s="3433"/>
      <c r="M80" s="3433"/>
      <c r="N80" s="3433"/>
    </row>
    <row r="81" spans="1:14" s="1" customFormat="1" ht="29" customHeight="1" x14ac:dyDescent="0.2">
      <c r="A81" s="2904" t="s">
        <v>313</v>
      </c>
      <c r="B81" s="2904"/>
      <c r="C81" s="57" t="s">
        <v>21</v>
      </c>
      <c r="D81" s="834"/>
      <c r="E81" s="738"/>
      <c r="F81" s="738"/>
      <c r="G81" s="831">
        <f>SUM(D81:F81)</f>
        <v>0</v>
      </c>
      <c r="H81" s="216">
        <f t="shared" si="8"/>
        <v>0</v>
      </c>
      <c r="I81" s="3433"/>
      <c r="J81" s="3433"/>
      <c r="K81" s="3433"/>
      <c r="L81" s="3433"/>
      <c r="M81" s="3433"/>
      <c r="N81" s="3433"/>
    </row>
    <row r="82" spans="1:14" s="1" customFormat="1" ht="29" customHeight="1" x14ac:dyDescent="0.2">
      <c r="A82" s="2904"/>
      <c r="B82" s="2904"/>
      <c r="C82" s="57" t="s">
        <v>22</v>
      </c>
      <c r="D82" s="216" t="e">
        <f>D81/$G$81*100</f>
        <v>#DIV/0!</v>
      </c>
      <c r="E82" s="216" t="e">
        <f>E81/$G$81*100</f>
        <v>#DIV/0!</v>
      </c>
      <c r="F82" s="216" t="e">
        <f>F81/$G$81*100</f>
        <v>#DIV/0!</v>
      </c>
      <c r="G82" s="216"/>
      <c r="H82" s="216">
        <f t="shared" si="8"/>
        <v>0</v>
      </c>
      <c r="I82" s="3433"/>
      <c r="J82" s="3433"/>
      <c r="K82" s="3433"/>
      <c r="L82" s="3433"/>
      <c r="M82" s="3433"/>
      <c r="N82" s="3433"/>
    </row>
    <row r="83" spans="1:14" s="1" customFormat="1" ht="29" customHeight="1" x14ac:dyDescent="0.2">
      <c r="A83" s="2905" t="s">
        <v>109</v>
      </c>
      <c r="B83" s="2905"/>
      <c r="C83" s="57" t="s">
        <v>21</v>
      </c>
      <c r="D83" s="834"/>
      <c r="E83" s="738"/>
      <c r="F83" s="738"/>
      <c r="G83" s="831">
        <f>SUM(D83:F83)</f>
        <v>0</v>
      </c>
      <c r="H83" s="216">
        <f t="shared" si="8"/>
        <v>0</v>
      </c>
      <c r="I83" s="3433"/>
      <c r="J83" s="3433"/>
      <c r="K83" s="3433"/>
      <c r="L83" s="3433"/>
      <c r="M83" s="3433"/>
      <c r="N83" s="3433"/>
    </row>
    <row r="84" spans="1:14" s="1" customFormat="1" ht="29" customHeight="1" x14ac:dyDescent="0.2">
      <c r="A84" s="2905"/>
      <c r="B84" s="2905"/>
      <c r="C84" s="57" t="s">
        <v>22</v>
      </c>
      <c r="D84" s="216" t="e">
        <f>D83/$G$83*100</f>
        <v>#DIV/0!</v>
      </c>
      <c r="E84" s="216" t="e">
        <f>E83/$G$83*100</f>
        <v>#DIV/0!</v>
      </c>
      <c r="F84" s="216" t="e">
        <f>F83/$G$83*100</f>
        <v>#DIV/0!</v>
      </c>
      <c r="G84" s="216"/>
      <c r="H84" s="216">
        <f t="shared" si="8"/>
        <v>0</v>
      </c>
      <c r="I84" s="3433"/>
      <c r="J84" s="3433"/>
      <c r="K84" s="3433"/>
      <c r="L84" s="3433"/>
      <c r="M84" s="3433"/>
      <c r="N84" s="3433"/>
    </row>
    <row r="85" spans="1:14" s="1" customFormat="1" ht="29" customHeight="1" x14ac:dyDescent="0.2">
      <c r="A85" s="2904" t="s">
        <v>129</v>
      </c>
      <c r="B85" s="2904"/>
      <c r="C85" s="57" t="s">
        <v>21</v>
      </c>
      <c r="D85" s="831"/>
      <c r="E85" s="831"/>
      <c r="F85" s="831"/>
      <c r="G85" s="831">
        <f>SUM(D85:F85)</f>
        <v>0</v>
      </c>
      <c r="H85" s="216">
        <f t="shared" si="8"/>
        <v>0</v>
      </c>
      <c r="I85" s="3433"/>
      <c r="J85" s="3433"/>
      <c r="K85" s="3433"/>
      <c r="L85" s="3433"/>
      <c r="M85" s="3433"/>
      <c r="N85" s="3433"/>
    </row>
    <row r="86" spans="1:14" s="1" customFormat="1" ht="29" customHeight="1" x14ac:dyDescent="0.2">
      <c r="A86" s="2904"/>
      <c r="B86" s="2904"/>
      <c r="C86" s="57" t="s">
        <v>22</v>
      </c>
      <c r="D86" s="216" t="e">
        <f>D85/$G$85*100</f>
        <v>#DIV/0!</v>
      </c>
      <c r="E86" s="216" t="e">
        <f>E85/$G$85*100</f>
        <v>#DIV/0!</v>
      </c>
      <c r="F86" s="216" t="e">
        <f>F85/$G$85*100</f>
        <v>#DIV/0!</v>
      </c>
      <c r="G86" s="216"/>
      <c r="H86" s="216">
        <f t="shared" si="8"/>
        <v>0</v>
      </c>
      <c r="I86" s="3433"/>
      <c r="J86" s="3433"/>
      <c r="K86" s="3433"/>
      <c r="L86" s="3433"/>
      <c r="M86" s="3433"/>
      <c r="N86" s="3433"/>
    </row>
    <row r="87" spans="1:14" s="1" customFormat="1" ht="29" customHeight="1" x14ac:dyDescent="0.2">
      <c r="B87" s="1663" t="s">
        <v>1083</v>
      </c>
      <c r="C87" s="414" t="s">
        <v>21</v>
      </c>
      <c r="D87" s="832">
        <f>D79+D81+D83+D85</f>
        <v>0</v>
      </c>
      <c r="E87" s="832">
        <f>E79+E81+E83+E85</f>
        <v>0</v>
      </c>
      <c r="F87" s="832">
        <f>F79+F81+F83+F85</f>
        <v>0</v>
      </c>
      <c r="G87" s="832">
        <f>SUM(D87:F87)</f>
        <v>0</v>
      </c>
      <c r="H87" s="216">
        <f t="shared" si="8"/>
        <v>0</v>
      </c>
      <c r="I87" s="3433"/>
      <c r="J87" s="3433"/>
      <c r="K87" s="3433"/>
      <c r="L87" s="3433"/>
      <c r="M87" s="3433"/>
      <c r="N87" s="3433"/>
    </row>
    <row r="88" spans="1:14" s="1" customFormat="1" ht="29" customHeight="1" x14ac:dyDescent="0.2">
      <c r="A88" s="1663"/>
      <c r="B88" s="1663"/>
      <c r="C88" s="414" t="s">
        <v>22</v>
      </c>
      <c r="D88" s="417" t="e">
        <f>D87/$G$87*100</f>
        <v>#DIV/0!</v>
      </c>
      <c r="E88" s="417" t="e">
        <f>E87/$G$87*100</f>
        <v>#DIV/0!</v>
      </c>
      <c r="F88" s="417" t="e">
        <f>F87/$G$87*100</f>
        <v>#DIV/0!</v>
      </c>
      <c r="G88" s="415"/>
      <c r="H88" s="216">
        <f t="shared" si="8"/>
        <v>0</v>
      </c>
      <c r="I88" s="3433"/>
      <c r="J88" s="3433"/>
      <c r="K88" s="3433"/>
      <c r="L88" s="3433"/>
      <c r="M88" s="3433"/>
      <c r="N88" s="3433"/>
    </row>
    <row r="89" spans="1:14" s="1" customFormat="1" ht="39" customHeight="1" x14ac:dyDescent="0.2">
      <c r="A89" s="3530" t="s">
        <v>124</v>
      </c>
      <c r="B89" s="3530"/>
      <c r="C89" s="387" t="s">
        <v>21</v>
      </c>
      <c r="D89" s="896">
        <f>SUMIFS(D51:D88,$B$51:$B$88,"TỔNG MEN*",$C$51:$C$88,"m2")</f>
        <v>435301.91999999993</v>
      </c>
      <c r="E89" s="896">
        <f>SUMIFS(E51:E88,$B$51:$B$88,"TỔNG MEN*",$C$51:$C$88,"m2")</f>
        <v>20079.36</v>
      </c>
      <c r="F89" s="896">
        <f>SUMIFS(F51:F88,$B$51:$B$88,"TỔNG MEN*",$C$51:$C$88,"m2")</f>
        <v>32441.600000000002</v>
      </c>
      <c r="G89" s="896">
        <f>SUM(D89:F89)</f>
        <v>487822.87999999989</v>
      </c>
      <c r="H89" s="549">
        <f t="shared" si="8"/>
        <v>100</v>
      </c>
      <c r="I89" s="3531"/>
      <c r="J89" s="3531"/>
      <c r="K89" s="3531"/>
      <c r="L89" s="3531"/>
      <c r="M89" s="3531"/>
      <c r="N89" s="3531"/>
    </row>
    <row r="90" spans="1:14" s="1" customFormat="1" ht="39" customHeight="1" x14ac:dyDescent="0.2">
      <c r="A90" s="3530"/>
      <c r="B90" s="3530"/>
      <c r="C90" s="387" t="s">
        <v>22</v>
      </c>
      <c r="D90" s="389">
        <f>D89/$G$89*100</f>
        <v>89.233600523206306</v>
      </c>
      <c r="E90" s="389">
        <f>E89/$G$89*100</f>
        <v>4.116116898821967</v>
      </c>
      <c r="F90" s="389">
        <f>F89/$G$89*100</f>
        <v>6.650282577971744</v>
      </c>
      <c r="G90" s="389"/>
      <c r="H90" s="389"/>
      <c r="I90" s="3532"/>
      <c r="J90" s="3532"/>
      <c r="K90" s="3532"/>
      <c r="L90" s="3532"/>
      <c r="M90" s="3532"/>
      <c r="N90" s="3532"/>
    </row>
    <row r="91" spans="1:14" s="1" customFormat="1" ht="29" customHeight="1" x14ac:dyDescent="0.2">
      <c r="A91" s="3207" t="s">
        <v>506</v>
      </c>
      <c r="B91" s="3207"/>
      <c r="C91" s="3207"/>
      <c r="D91" s="3207"/>
      <c r="E91" s="3207"/>
      <c r="F91" s="3207"/>
      <c r="G91" s="3207"/>
      <c r="H91" s="3207"/>
      <c r="I91" s="3207"/>
      <c r="J91" s="3207"/>
      <c r="K91" s="3207"/>
      <c r="L91" s="3207"/>
      <c r="M91" s="3207"/>
      <c r="N91" s="3207"/>
    </row>
    <row r="92" spans="1:14" s="1" customFormat="1" ht="38" customHeight="1" x14ac:dyDescent="0.2">
      <c r="A92" s="221" t="s">
        <v>39</v>
      </c>
      <c r="B92" s="2551" t="s">
        <v>134</v>
      </c>
      <c r="C92" s="2551"/>
      <c r="D92" s="222" t="s">
        <v>6</v>
      </c>
      <c r="E92" s="222" t="s">
        <v>135</v>
      </c>
      <c r="F92" s="222" t="s">
        <v>43</v>
      </c>
      <c r="G92" s="222" t="s">
        <v>10</v>
      </c>
      <c r="H92" s="391" t="s">
        <v>314</v>
      </c>
      <c r="I92" s="2605" t="s">
        <v>47</v>
      </c>
      <c r="J92" s="2605"/>
      <c r="K92" s="2605"/>
      <c r="L92" s="2605"/>
      <c r="M92" s="2605"/>
      <c r="N92" s="2605"/>
    </row>
    <row r="93" spans="1:14" s="1" customFormat="1" ht="38" customHeight="1" x14ac:dyDescent="0.2">
      <c r="A93" s="223">
        <v>1</v>
      </c>
      <c r="B93" s="2599" t="s">
        <v>137</v>
      </c>
      <c r="C93" s="2599"/>
      <c r="D93" s="224" t="s">
        <v>138</v>
      </c>
      <c r="E93" s="735" t="s">
        <v>139</v>
      </c>
      <c r="F93" s="830">
        <f>G67</f>
        <v>380208.9599999999</v>
      </c>
      <c r="G93" s="224">
        <f>F93/$J$10</f>
        <v>24.161379831506107</v>
      </c>
      <c r="H93" s="214">
        <f>F93/$F$96*100</f>
        <v>77.939960503697563</v>
      </c>
      <c r="I93" s="2600"/>
      <c r="J93" s="2600"/>
      <c r="K93" s="2600"/>
      <c r="L93" s="2600"/>
      <c r="M93" s="2600"/>
      <c r="N93" s="2600"/>
    </row>
    <row r="94" spans="1:14" s="1" customFormat="1" ht="38" customHeight="1" x14ac:dyDescent="0.2">
      <c r="A94" s="223">
        <v>2</v>
      </c>
      <c r="B94" s="2599" t="s">
        <v>137</v>
      </c>
      <c r="C94" s="2599"/>
      <c r="D94" s="224" t="s">
        <v>138</v>
      </c>
      <c r="E94" s="224" t="s">
        <v>140</v>
      </c>
      <c r="F94" s="830">
        <f>G77</f>
        <v>107613.92</v>
      </c>
      <c r="G94" s="224">
        <f>F94/$J$10</f>
        <v>6.8386100008724471</v>
      </c>
      <c r="H94" s="214">
        <f>F94/$F$96*100</f>
        <v>22.060039496302434</v>
      </c>
      <c r="I94" s="2600"/>
      <c r="J94" s="2600"/>
      <c r="K94" s="2600"/>
      <c r="L94" s="2600"/>
      <c r="M94" s="2600"/>
      <c r="N94" s="2600"/>
    </row>
    <row r="95" spans="1:14" s="1" customFormat="1" ht="38" customHeight="1" x14ac:dyDescent="0.2">
      <c r="A95" s="223">
        <v>3</v>
      </c>
      <c r="B95" s="2599" t="s">
        <v>137</v>
      </c>
      <c r="C95" s="2599"/>
      <c r="D95" s="224" t="s">
        <v>138</v>
      </c>
      <c r="E95" s="224" t="s">
        <v>141</v>
      </c>
      <c r="F95" s="830">
        <f>G87</f>
        <v>0</v>
      </c>
      <c r="G95" s="224">
        <f>F95/$J$10</f>
        <v>0</v>
      </c>
      <c r="H95" s="214">
        <f>F95/$F$96*100</f>
        <v>0</v>
      </c>
      <c r="I95" s="2600"/>
      <c r="J95" s="2600"/>
      <c r="K95" s="2600"/>
      <c r="L95" s="2600"/>
      <c r="M95" s="2600"/>
      <c r="N95" s="2600"/>
    </row>
    <row r="96" spans="1:14" s="1" customFormat="1" ht="38" customHeight="1" x14ac:dyDescent="0.2">
      <c r="A96" s="3377" t="s">
        <v>1084</v>
      </c>
      <c r="B96" s="3377"/>
      <c r="C96" s="3377"/>
      <c r="D96" s="225" t="s">
        <v>142</v>
      </c>
      <c r="E96" s="225" t="s">
        <v>142</v>
      </c>
      <c r="F96" s="860">
        <f>SUM(F93:F95)</f>
        <v>487822.87999999989</v>
      </c>
      <c r="G96" s="226">
        <f>SUM(G93:G95)</f>
        <v>30.999989832378553</v>
      </c>
      <c r="H96" s="227">
        <f>SUM(H93:H95)</f>
        <v>100</v>
      </c>
      <c r="I96" s="2603"/>
      <c r="J96" s="2603"/>
      <c r="K96" s="2603"/>
      <c r="L96" s="2603"/>
      <c r="M96" s="2603"/>
      <c r="N96" s="2603"/>
    </row>
    <row r="97" spans="1:14" s="1" customFormat="1" ht="22" customHeight="1" x14ac:dyDescent="0.2">
      <c r="A97" s="459"/>
      <c r="B97" s="459"/>
      <c r="C97" s="459"/>
      <c r="D97" s="460"/>
      <c r="E97" s="460"/>
      <c r="F97" s="1782"/>
      <c r="G97" s="462"/>
      <c r="H97" s="463"/>
      <c r="I97" s="464"/>
      <c r="J97" s="464"/>
      <c r="K97" s="464"/>
      <c r="L97" s="464"/>
      <c r="M97" s="464"/>
      <c r="N97" s="464"/>
    </row>
    <row r="98" spans="1:14" s="1" customFormat="1" ht="29" customHeight="1" x14ac:dyDescent="0.2">
      <c r="A98" s="42" t="s">
        <v>497</v>
      </c>
      <c r="B98" s="459"/>
      <c r="C98" s="459"/>
      <c r="D98" s="460"/>
      <c r="E98" s="460"/>
      <c r="F98" s="461"/>
      <c r="G98" s="462"/>
      <c r="H98" s="463"/>
      <c r="I98" s="465"/>
      <c r="J98" s="464"/>
      <c r="K98" s="41"/>
      <c r="L98" s="41"/>
      <c r="M98" s="41"/>
      <c r="N98" s="41"/>
    </row>
    <row r="99" spans="1:14" s="1" customFormat="1" ht="26" customHeight="1" x14ac:dyDescent="0.2">
      <c r="A99" s="3528" t="s">
        <v>39</v>
      </c>
      <c r="B99" s="3529" t="s">
        <v>105</v>
      </c>
      <c r="C99" s="3529" t="s">
        <v>17</v>
      </c>
      <c r="D99" s="3529" t="s">
        <v>106</v>
      </c>
      <c r="E99" s="3529"/>
      <c r="F99" s="3529"/>
      <c r="G99" s="3529"/>
      <c r="H99" s="1784" t="s">
        <v>107</v>
      </c>
      <c r="I99" s="3529" t="s">
        <v>47</v>
      </c>
      <c r="J99" s="3529"/>
      <c r="K99" s="3529"/>
      <c r="L99" s="3529"/>
      <c r="M99" s="3529"/>
      <c r="N99" s="3529"/>
    </row>
    <row r="100" spans="1:14" s="1" customFormat="1" ht="37" customHeight="1" x14ac:dyDescent="0.2">
      <c r="A100" s="3528"/>
      <c r="B100" s="3529"/>
      <c r="C100" s="3529"/>
      <c r="D100" s="1779" t="s">
        <v>18</v>
      </c>
      <c r="E100" s="1779" t="s">
        <v>19</v>
      </c>
      <c r="F100" s="1779" t="s">
        <v>20</v>
      </c>
      <c r="G100" s="1779" t="s">
        <v>108</v>
      </c>
      <c r="H100" s="1784" t="s">
        <v>22</v>
      </c>
      <c r="I100" s="3529"/>
      <c r="J100" s="3529"/>
      <c r="K100" s="3529"/>
      <c r="L100" s="3529"/>
      <c r="M100" s="3529"/>
      <c r="N100" s="3529"/>
    </row>
    <row r="101" spans="1:14" s="1" customFormat="1" ht="25" hidden="1" customHeight="1" x14ac:dyDescent="0.2">
      <c r="A101" s="2664">
        <v>1</v>
      </c>
      <c r="B101" s="3525" t="s">
        <v>109</v>
      </c>
      <c r="C101" s="57" t="s">
        <v>21</v>
      </c>
      <c r="D101" s="834"/>
      <c r="E101" s="738"/>
      <c r="F101" s="834"/>
      <c r="G101" s="831">
        <f>SUM(D101:F101)</f>
        <v>0</v>
      </c>
      <c r="H101" s="214" t="e">
        <f>(G101/$G$119*100)</f>
        <v>#DIV/0!</v>
      </c>
      <c r="I101" s="2599" t="s">
        <v>770</v>
      </c>
      <c r="J101" s="2599"/>
      <c r="K101" s="2599"/>
      <c r="L101" s="2599"/>
      <c r="M101" s="2599"/>
      <c r="N101" s="2599"/>
    </row>
    <row r="102" spans="1:14" s="1" customFormat="1" ht="25" hidden="1" customHeight="1" x14ac:dyDescent="0.2">
      <c r="A102" s="2664"/>
      <c r="B102" s="3525"/>
      <c r="C102" s="57" t="s">
        <v>22</v>
      </c>
      <c r="D102" s="739" t="e">
        <f>D101/$G$101*100</f>
        <v>#DIV/0!</v>
      </c>
      <c r="E102" s="739"/>
      <c r="F102" s="739" t="e">
        <f>F101/$G$101*100</f>
        <v>#DIV/0!</v>
      </c>
      <c r="G102" s="216"/>
      <c r="H102" s="214" t="e">
        <f t="shared" ref="H102:H134" si="10">(G102/$G$119*100)</f>
        <v>#DIV/0!</v>
      </c>
      <c r="I102" s="2599"/>
      <c r="J102" s="2599"/>
      <c r="K102" s="2599"/>
      <c r="L102" s="2599"/>
      <c r="M102" s="2599"/>
      <c r="N102" s="2599"/>
    </row>
    <row r="103" spans="1:14" s="1" customFormat="1" ht="25" hidden="1" customHeight="1" x14ac:dyDescent="0.2">
      <c r="A103" s="2664">
        <v>2</v>
      </c>
      <c r="B103" s="3525" t="s">
        <v>129</v>
      </c>
      <c r="C103" s="57" t="s">
        <v>21</v>
      </c>
      <c r="D103" s="831"/>
      <c r="E103" s="214"/>
      <c r="F103" s="831"/>
      <c r="G103" s="831">
        <f>SUM(D103:F103)</f>
        <v>0</v>
      </c>
      <c r="H103" s="214" t="e">
        <f t="shared" si="10"/>
        <v>#DIV/0!</v>
      </c>
      <c r="I103" s="2599"/>
      <c r="J103" s="2599"/>
      <c r="K103" s="2599"/>
      <c r="L103" s="2599"/>
      <c r="M103" s="2599"/>
      <c r="N103" s="2599"/>
    </row>
    <row r="104" spans="1:14" s="1" customFormat="1" ht="25" hidden="1" customHeight="1" x14ac:dyDescent="0.2">
      <c r="A104" s="2664"/>
      <c r="B104" s="3525"/>
      <c r="C104" s="57" t="s">
        <v>22</v>
      </c>
      <c r="D104" s="216" t="e">
        <f>D103/$G$103*100</f>
        <v>#DIV/0!</v>
      </c>
      <c r="E104" s="216" t="e">
        <f>E103/$G$103*100</f>
        <v>#DIV/0!</v>
      </c>
      <c r="F104" s="216" t="e">
        <f>F103/$G$103*100</f>
        <v>#DIV/0!</v>
      </c>
      <c r="G104" s="216"/>
      <c r="H104" s="214" t="e">
        <f t="shared" si="10"/>
        <v>#DIV/0!</v>
      </c>
      <c r="I104" s="2599"/>
      <c r="J104" s="2599"/>
      <c r="K104" s="2599"/>
      <c r="L104" s="2599"/>
      <c r="M104" s="2599"/>
      <c r="N104" s="2599"/>
    </row>
    <row r="105" spans="1:14" s="1" customFormat="1" ht="25" hidden="1" customHeight="1" x14ac:dyDescent="0.2">
      <c r="A105" s="2664">
        <v>3</v>
      </c>
      <c r="B105" s="3525" t="s">
        <v>146</v>
      </c>
      <c r="C105" s="57" t="s">
        <v>21</v>
      </c>
      <c r="D105" s="831"/>
      <c r="E105" s="214"/>
      <c r="F105" s="831"/>
      <c r="G105" s="831">
        <f>SUM(D105:F105)</f>
        <v>0</v>
      </c>
      <c r="H105" s="214" t="e">
        <f t="shared" si="10"/>
        <v>#DIV/0!</v>
      </c>
      <c r="I105" s="2599"/>
      <c r="J105" s="2599"/>
      <c r="K105" s="2599"/>
      <c r="L105" s="2599"/>
      <c r="M105" s="2599"/>
      <c r="N105" s="2599"/>
    </row>
    <row r="106" spans="1:14" s="1" customFormat="1" ht="25" hidden="1" customHeight="1" x14ac:dyDescent="0.2">
      <c r="A106" s="2664"/>
      <c r="B106" s="3525"/>
      <c r="C106" s="57" t="s">
        <v>22</v>
      </c>
      <c r="D106" s="216" t="e">
        <f>D105/$G$105*100</f>
        <v>#DIV/0!</v>
      </c>
      <c r="E106" s="216" t="e">
        <f>E105/$G$105*100</f>
        <v>#DIV/0!</v>
      </c>
      <c r="F106" s="216" t="e">
        <f>F105/$G$105*100</f>
        <v>#DIV/0!</v>
      </c>
      <c r="G106" s="216"/>
      <c r="H106" s="214" t="e">
        <f t="shared" si="10"/>
        <v>#DIV/0!</v>
      </c>
      <c r="I106" s="2599"/>
      <c r="J106" s="2599"/>
      <c r="K106" s="2599"/>
      <c r="L106" s="2599"/>
      <c r="M106" s="2599"/>
      <c r="N106" s="2599"/>
    </row>
    <row r="107" spans="1:14" s="1" customFormat="1" ht="25" hidden="1" customHeight="1" x14ac:dyDescent="0.2">
      <c r="A107" s="2664">
        <v>4</v>
      </c>
      <c r="B107" s="3525" t="s">
        <v>541</v>
      </c>
      <c r="C107" s="57" t="s">
        <v>21</v>
      </c>
      <c r="D107" s="831"/>
      <c r="E107" s="214"/>
      <c r="F107" s="831"/>
      <c r="G107" s="831">
        <f>SUM(D107:F107)</f>
        <v>0</v>
      </c>
      <c r="H107" s="214" t="e">
        <f t="shared" si="10"/>
        <v>#DIV/0!</v>
      </c>
      <c r="I107" s="2599"/>
      <c r="J107" s="2599"/>
      <c r="K107" s="2599"/>
      <c r="L107" s="2599"/>
      <c r="M107" s="2599"/>
      <c r="N107" s="2599"/>
    </row>
    <row r="108" spans="1:14" s="1" customFormat="1" ht="25" hidden="1" customHeight="1" x14ac:dyDescent="0.2">
      <c r="A108" s="2664"/>
      <c r="B108" s="3525"/>
      <c r="C108" s="57" t="s">
        <v>22</v>
      </c>
      <c r="D108" s="216" t="e">
        <f>D107/$G$107*100</f>
        <v>#DIV/0!</v>
      </c>
      <c r="E108" s="216" t="e">
        <f>E107/$G$107*100</f>
        <v>#DIV/0!</v>
      </c>
      <c r="F108" s="216" t="e">
        <f>F107/$G$107*100</f>
        <v>#DIV/0!</v>
      </c>
      <c r="G108" s="216"/>
      <c r="H108" s="214" t="e">
        <f t="shared" si="10"/>
        <v>#DIV/0!</v>
      </c>
      <c r="I108" s="2599"/>
      <c r="J108" s="2599"/>
      <c r="K108" s="2599"/>
      <c r="L108" s="2599"/>
      <c r="M108" s="2599"/>
      <c r="N108" s="2599"/>
    </row>
    <row r="109" spans="1:14" s="1" customFormat="1" ht="25" hidden="1" customHeight="1" x14ac:dyDescent="0.2">
      <c r="A109" s="2664">
        <v>5</v>
      </c>
      <c r="B109" s="3525" t="s">
        <v>117</v>
      </c>
      <c r="C109" s="57" t="s">
        <v>21</v>
      </c>
      <c r="D109" s="831"/>
      <c r="E109" s="214"/>
      <c r="F109" s="831"/>
      <c r="G109" s="831">
        <f t="shared" ref="G109:G115" si="11">SUM(D109:F109)</f>
        <v>0</v>
      </c>
      <c r="H109" s="214" t="e">
        <f t="shared" si="10"/>
        <v>#DIV/0!</v>
      </c>
      <c r="I109" s="2599"/>
      <c r="J109" s="2599"/>
      <c r="K109" s="2599"/>
      <c r="L109" s="2599"/>
      <c r="M109" s="2599"/>
      <c r="N109" s="2599"/>
    </row>
    <row r="110" spans="1:14" s="1" customFormat="1" ht="25" hidden="1" customHeight="1" x14ac:dyDescent="0.2">
      <c r="A110" s="2664"/>
      <c r="B110" s="3525"/>
      <c r="C110" s="57" t="s">
        <v>22</v>
      </c>
      <c r="D110" s="216" t="e">
        <f>D109/$G$109*100</f>
        <v>#DIV/0!</v>
      </c>
      <c r="E110" s="216" t="e">
        <f>E109/$G$109*100</f>
        <v>#DIV/0!</v>
      </c>
      <c r="F110" s="216" t="e">
        <f>F109/$G$109*100</f>
        <v>#DIV/0!</v>
      </c>
      <c r="G110" s="216"/>
      <c r="H110" s="214" t="e">
        <f t="shared" si="10"/>
        <v>#DIV/0!</v>
      </c>
      <c r="I110" s="2599"/>
      <c r="J110" s="2599"/>
      <c r="K110" s="2599"/>
      <c r="L110" s="2599"/>
      <c r="M110" s="2599"/>
      <c r="N110" s="2599"/>
    </row>
    <row r="111" spans="1:14" s="1" customFormat="1" ht="25" hidden="1" customHeight="1" x14ac:dyDescent="0.2">
      <c r="A111" s="2664">
        <v>6</v>
      </c>
      <c r="B111" s="3525" t="s">
        <v>322</v>
      </c>
      <c r="C111" s="57" t="s">
        <v>21</v>
      </c>
      <c r="D111" s="831"/>
      <c r="E111" s="214"/>
      <c r="F111" s="831"/>
      <c r="G111" s="831">
        <f t="shared" si="11"/>
        <v>0</v>
      </c>
      <c r="H111" s="214" t="e">
        <f t="shared" si="10"/>
        <v>#DIV/0!</v>
      </c>
      <c r="I111" s="2599"/>
      <c r="J111" s="2599"/>
      <c r="K111" s="2599"/>
      <c r="L111" s="2599"/>
      <c r="M111" s="2599"/>
      <c r="N111" s="2599"/>
    </row>
    <row r="112" spans="1:14" s="1" customFormat="1" ht="25" hidden="1" customHeight="1" x14ac:dyDescent="0.2">
      <c r="A112" s="2664"/>
      <c r="B112" s="3525"/>
      <c r="C112" s="57" t="s">
        <v>22</v>
      </c>
      <c r="D112" s="216" t="e">
        <f>D111/$G$111*100</f>
        <v>#DIV/0!</v>
      </c>
      <c r="E112" s="216" t="e">
        <f>E111/$G$111*100</f>
        <v>#DIV/0!</v>
      </c>
      <c r="F112" s="216" t="e">
        <f>F111/$G$111*100</f>
        <v>#DIV/0!</v>
      </c>
      <c r="G112" s="214"/>
      <c r="H112" s="214" t="e">
        <f t="shared" si="10"/>
        <v>#DIV/0!</v>
      </c>
      <c r="I112" s="2599"/>
      <c r="J112" s="2599"/>
      <c r="K112" s="2599"/>
      <c r="L112" s="2599"/>
      <c r="M112" s="2599"/>
      <c r="N112" s="2599"/>
    </row>
    <row r="113" spans="1:16" s="1" customFormat="1" ht="23" hidden="1" customHeight="1" x14ac:dyDescent="0.2">
      <c r="A113" s="2664">
        <v>7</v>
      </c>
      <c r="B113" s="3525" t="s">
        <v>125</v>
      </c>
      <c r="C113" s="57" t="s">
        <v>21</v>
      </c>
      <c r="D113" s="831"/>
      <c r="E113" s="214"/>
      <c r="F113" s="831"/>
      <c r="G113" s="831">
        <f>SUM(D113:F113)</f>
        <v>0</v>
      </c>
      <c r="H113" s="214" t="e">
        <f t="shared" si="10"/>
        <v>#DIV/0!</v>
      </c>
      <c r="I113" s="2599"/>
      <c r="J113" s="2599"/>
      <c r="K113" s="2599"/>
      <c r="L113" s="2599"/>
      <c r="M113" s="2599"/>
      <c r="N113" s="2599"/>
    </row>
    <row r="114" spans="1:16" s="1" customFormat="1" ht="23" hidden="1" customHeight="1" x14ac:dyDescent="0.2">
      <c r="A114" s="2664"/>
      <c r="B114" s="3525"/>
      <c r="C114" s="57" t="s">
        <v>22</v>
      </c>
      <c r="D114" s="216" t="e">
        <f>D113/$G$113*100</f>
        <v>#DIV/0!</v>
      </c>
      <c r="E114" s="216" t="e">
        <f>E113/$G$113*100</f>
        <v>#DIV/0!</v>
      </c>
      <c r="F114" s="216" t="e">
        <f>F113/$G$113*100</f>
        <v>#DIV/0!</v>
      </c>
      <c r="G114" s="214"/>
      <c r="H114" s="214" t="e">
        <f t="shared" si="10"/>
        <v>#DIV/0!</v>
      </c>
      <c r="I114" s="2599"/>
      <c r="J114" s="2599"/>
      <c r="K114" s="2599"/>
      <c r="L114" s="2599"/>
      <c r="M114" s="2599"/>
      <c r="N114" s="2599"/>
    </row>
    <row r="115" spans="1:16" s="1" customFormat="1" ht="23" hidden="1" customHeight="1" x14ac:dyDescent="0.2">
      <c r="A115" s="2664">
        <v>8</v>
      </c>
      <c r="B115" s="3525" t="s">
        <v>637</v>
      </c>
      <c r="C115" s="57" t="s">
        <v>21</v>
      </c>
      <c r="D115" s="831"/>
      <c r="E115" s="214"/>
      <c r="F115" s="831"/>
      <c r="G115" s="831">
        <f t="shared" si="11"/>
        <v>0</v>
      </c>
      <c r="H115" s="214" t="e">
        <f t="shared" si="10"/>
        <v>#DIV/0!</v>
      </c>
      <c r="I115" s="2599"/>
      <c r="J115" s="2599"/>
      <c r="K115" s="2599"/>
      <c r="L115" s="2599"/>
      <c r="M115" s="2599"/>
      <c r="N115" s="2599"/>
    </row>
    <row r="116" spans="1:16" s="1" customFormat="1" ht="23" hidden="1" customHeight="1" x14ac:dyDescent="0.2">
      <c r="A116" s="2664"/>
      <c r="B116" s="3525"/>
      <c r="C116" s="57" t="s">
        <v>22</v>
      </c>
      <c r="D116" s="216" t="e">
        <f>D115/$G$115*100</f>
        <v>#DIV/0!</v>
      </c>
      <c r="E116" s="216" t="e">
        <f>E115/$G$115*100</f>
        <v>#DIV/0!</v>
      </c>
      <c r="F116" s="216" t="e">
        <f>F115/$G$115*100</f>
        <v>#DIV/0!</v>
      </c>
      <c r="G116" s="214"/>
      <c r="H116" s="214" t="e">
        <f t="shared" si="10"/>
        <v>#DIV/0!</v>
      </c>
      <c r="I116" s="2599"/>
      <c r="J116" s="2599"/>
      <c r="K116" s="2599"/>
      <c r="L116" s="2599"/>
      <c r="M116" s="2599"/>
      <c r="N116" s="2599"/>
    </row>
    <row r="117" spans="1:16" s="1" customFormat="1" ht="23" hidden="1" customHeight="1" x14ac:dyDescent="0.2">
      <c r="A117" s="2664">
        <v>9</v>
      </c>
      <c r="B117" s="3525" t="s">
        <v>144</v>
      </c>
      <c r="C117" s="57" t="s">
        <v>21</v>
      </c>
      <c r="D117" s="831"/>
      <c r="E117" s="214"/>
      <c r="F117" s="831"/>
      <c r="G117" s="831"/>
      <c r="H117" s="214" t="e">
        <f t="shared" si="10"/>
        <v>#DIV/0!</v>
      </c>
      <c r="I117" s="2599"/>
      <c r="J117" s="2599"/>
      <c r="K117" s="2599"/>
      <c r="L117" s="2599"/>
      <c r="M117" s="2599"/>
      <c r="N117" s="2599"/>
    </row>
    <row r="118" spans="1:16" s="1" customFormat="1" ht="23" hidden="1" customHeight="1" x14ac:dyDescent="0.2">
      <c r="A118" s="2664"/>
      <c r="B118" s="3525"/>
      <c r="C118" s="57" t="s">
        <v>22</v>
      </c>
      <c r="D118" s="216" t="e">
        <f>D117/$G$117*100</f>
        <v>#DIV/0!</v>
      </c>
      <c r="E118" s="216" t="e">
        <f>E117/$G$117*100</f>
        <v>#DIV/0!</v>
      </c>
      <c r="F118" s="216" t="e">
        <f>F117/$G$117*100</f>
        <v>#DIV/0!</v>
      </c>
      <c r="G118" s="214"/>
      <c r="H118" s="214" t="e">
        <f t="shared" si="10"/>
        <v>#DIV/0!</v>
      </c>
      <c r="I118" s="2599"/>
      <c r="J118" s="2599"/>
      <c r="K118" s="2599"/>
      <c r="L118" s="2599"/>
      <c r="M118" s="2599"/>
      <c r="N118" s="2599"/>
    </row>
    <row r="119" spans="1:16" s="1" customFormat="1" ht="31" hidden="1" customHeight="1" x14ac:dyDescent="0.2">
      <c r="A119" s="3526" t="s">
        <v>1085</v>
      </c>
      <c r="B119" s="3526"/>
      <c r="C119" s="1092" t="s">
        <v>21</v>
      </c>
      <c r="D119" s="1112">
        <f>SUMIFS(D101:D118,$C$101:$C$118,"m2")</f>
        <v>0</v>
      </c>
      <c r="E119" s="1112">
        <f>SUMIFS(E101:E118,$C$101:$C$118,"m2")</f>
        <v>0</v>
      </c>
      <c r="F119" s="1112">
        <f>SUMIFS(F101:F118,$C$101:$C$118,"m2")</f>
        <v>0</v>
      </c>
      <c r="G119" s="1112">
        <f>SUM(D119:F119)</f>
        <v>0</v>
      </c>
      <c r="H119" s="1091"/>
      <c r="I119" s="3527"/>
      <c r="J119" s="3527"/>
      <c r="K119" s="3527"/>
      <c r="L119" s="3527"/>
      <c r="M119" s="3527"/>
      <c r="N119" s="3527"/>
    </row>
    <row r="120" spans="1:16" s="1" customFormat="1" ht="31" hidden="1" customHeight="1" x14ac:dyDescent="0.2">
      <c r="A120" s="3526"/>
      <c r="B120" s="3526"/>
      <c r="C120" s="1092" t="s">
        <v>22</v>
      </c>
      <c r="D120" s="1093" t="e">
        <f>D119/$G$119*100</f>
        <v>#DIV/0!</v>
      </c>
      <c r="E120" s="1093" t="e">
        <f>E119/$G$119*100</f>
        <v>#DIV/0!</v>
      </c>
      <c r="F120" s="1093" t="e">
        <f>F119/$G$119*100</f>
        <v>#DIV/0!</v>
      </c>
      <c r="G120" s="1094"/>
      <c r="H120" s="1091"/>
      <c r="I120" s="3527"/>
      <c r="J120" s="3527"/>
      <c r="K120" s="3527"/>
      <c r="L120" s="3527"/>
      <c r="M120" s="3527"/>
      <c r="N120" s="3527"/>
    </row>
    <row r="121" spans="1:16" s="1" customFormat="1" ht="26" hidden="1" customHeight="1" x14ac:dyDescent="0.2">
      <c r="A121" s="2664">
        <v>1</v>
      </c>
      <c r="B121" s="3518" t="s">
        <v>129</v>
      </c>
      <c r="C121" s="57" t="s">
        <v>21</v>
      </c>
      <c r="D121" s="834"/>
      <c r="E121" s="738"/>
      <c r="F121" s="834"/>
      <c r="G121" s="831">
        <f>SUM(D121:F121)</f>
        <v>0</v>
      </c>
      <c r="H121" s="214" t="e">
        <f t="shared" si="10"/>
        <v>#DIV/0!</v>
      </c>
      <c r="I121" s="2599" t="s">
        <v>771</v>
      </c>
      <c r="J121" s="2599"/>
      <c r="K121" s="2599"/>
      <c r="L121" s="2599"/>
      <c r="M121" s="2599"/>
      <c r="N121" s="2599"/>
    </row>
    <row r="122" spans="1:16" s="1" customFormat="1" ht="26" hidden="1" customHeight="1" x14ac:dyDescent="0.2">
      <c r="A122" s="2664"/>
      <c r="B122" s="3518"/>
      <c r="C122" s="57" t="s">
        <v>22</v>
      </c>
      <c r="D122" s="739" t="e">
        <f>D121/$G$121*100</f>
        <v>#DIV/0!</v>
      </c>
      <c r="E122" s="739" t="e">
        <f>E121/$G$121*100</f>
        <v>#DIV/0!</v>
      </c>
      <c r="F122" s="739" t="e">
        <f>F121/$G$121*100</f>
        <v>#DIV/0!</v>
      </c>
      <c r="G122" s="216"/>
      <c r="H122" s="214" t="e">
        <f t="shared" si="10"/>
        <v>#DIV/0!</v>
      </c>
      <c r="I122" s="2599"/>
      <c r="J122" s="2599"/>
      <c r="K122" s="2599"/>
      <c r="L122" s="2599"/>
      <c r="M122" s="2599"/>
      <c r="N122" s="2599"/>
    </row>
    <row r="123" spans="1:16" s="1" customFormat="1" ht="26" hidden="1" customHeight="1" x14ac:dyDescent="0.2">
      <c r="A123" s="2664">
        <v>2</v>
      </c>
      <c r="B123" s="3520" t="s">
        <v>109</v>
      </c>
      <c r="C123" s="57" t="s">
        <v>21</v>
      </c>
      <c r="D123" s="831"/>
      <c r="E123" s="214"/>
      <c r="F123" s="831"/>
      <c r="G123" s="831">
        <f>SUM(D123:F123)</f>
        <v>0</v>
      </c>
      <c r="H123" s="214" t="e">
        <f t="shared" si="10"/>
        <v>#DIV/0!</v>
      </c>
      <c r="I123" s="2599"/>
      <c r="J123" s="2599"/>
      <c r="K123" s="2599"/>
      <c r="L123" s="2599"/>
      <c r="M123" s="2599"/>
      <c r="N123" s="2599"/>
    </row>
    <row r="124" spans="1:16" s="1" customFormat="1" ht="26" hidden="1" customHeight="1" x14ac:dyDescent="0.2">
      <c r="A124" s="2664"/>
      <c r="B124" s="3520"/>
      <c r="C124" s="57" t="s">
        <v>22</v>
      </c>
      <c r="D124" s="216" t="e">
        <f>D123/$G$123*100</f>
        <v>#DIV/0!</v>
      </c>
      <c r="E124" s="216" t="e">
        <f>E123/$G$123*100</f>
        <v>#DIV/0!</v>
      </c>
      <c r="F124" s="216" t="e">
        <f>F123/$G$123*100</f>
        <v>#DIV/0!</v>
      </c>
      <c r="G124" s="216"/>
      <c r="H124" s="214" t="e">
        <f t="shared" si="10"/>
        <v>#DIV/0!</v>
      </c>
      <c r="I124" s="2599"/>
      <c r="J124" s="2599"/>
      <c r="K124" s="2599"/>
      <c r="L124" s="2599"/>
      <c r="M124" s="2599"/>
      <c r="N124" s="2599"/>
    </row>
    <row r="125" spans="1:16" s="1" customFormat="1" ht="26" hidden="1" customHeight="1" x14ac:dyDescent="0.2">
      <c r="A125" s="2664">
        <v>3</v>
      </c>
      <c r="B125" s="3518" t="s">
        <v>322</v>
      </c>
      <c r="C125" s="57" t="s">
        <v>21</v>
      </c>
      <c r="D125" s="831"/>
      <c r="E125" s="214"/>
      <c r="F125" s="831"/>
      <c r="G125" s="831">
        <f>SUM(D125:F125)</f>
        <v>0</v>
      </c>
      <c r="H125" s="214" t="e">
        <f t="shared" si="10"/>
        <v>#DIV/0!</v>
      </c>
      <c r="I125" s="2599"/>
      <c r="J125" s="2599"/>
      <c r="K125" s="2599"/>
      <c r="L125" s="2599"/>
      <c r="M125" s="2599"/>
      <c r="N125" s="2599"/>
    </row>
    <row r="126" spans="1:16" s="1" customFormat="1" ht="26" hidden="1" customHeight="1" x14ac:dyDescent="0.2">
      <c r="A126" s="2664"/>
      <c r="B126" s="3518"/>
      <c r="C126" s="57" t="s">
        <v>22</v>
      </c>
      <c r="D126" s="216" t="e">
        <f>D125/$G$125*100</f>
        <v>#DIV/0!</v>
      </c>
      <c r="E126" s="216" t="e">
        <f>E125/$G$125*100</f>
        <v>#DIV/0!</v>
      </c>
      <c r="F126" s="216" t="e">
        <f>F125/$G$125*100</f>
        <v>#DIV/0!</v>
      </c>
      <c r="G126" s="216"/>
      <c r="H126" s="214" t="e">
        <f t="shared" si="10"/>
        <v>#DIV/0!</v>
      </c>
      <c r="I126" s="2599"/>
      <c r="J126" s="2599"/>
      <c r="K126" s="2599"/>
      <c r="L126" s="2599"/>
      <c r="M126" s="2599"/>
      <c r="N126" s="2599"/>
      <c r="P126" s="3521"/>
    </row>
    <row r="127" spans="1:16" s="1" customFormat="1" ht="26" hidden="1" customHeight="1" x14ac:dyDescent="0.2">
      <c r="A127" s="2664">
        <v>4</v>
      </c>
      <c r="B127" s="3518" t="s">
        <v>117</v>
      </c>
      <c r="C127" s="57" t="s">
        <v>21</v>
      </c>
      <c r="D127" s="831"/>
      <c r="E127" s="214"/>
      <c r="F127" s="831"/>
      <c r="G127" s="831">
        <f>SUM(D127:F127)</f>
        <v>0</v>
      </c>
      <c r="H127" s="214" t="e">
        <f t="shared" si="10"/>
        <v>#DIV/0!</v>
      </c>
      <c r="I127" s="2599"/>
      <c r="J127" s="2599"/>
      <c r="K127" s="2599"/>
      <c r="L127" s="2599"/>
      <c r="M127" s="2599"/>
      <c r="N127" s="2599"/>
      <c r="P127" s="3521"/>
    </row>
    <row r="128" spans="1:16" s="1" customFormat="1" ht="26" hidden="1" customHeight="1" x14ac:dyDescent="0.2">
      <c r="A128" s="2664"/>
      <c r="B128" s="3518"/>
      <c r="C128" s="57" t="s">
        <v>22</v>
      </c>
      <c r="D128" s="216" t="e">
        <f>D127/$G$127*100</f>
        <v>#DIV/0!</v>
      </c>
      <c r="E128" s="216" t="e">
        <f>E127/$G$127*100</f>
        <v>#DIV/0!</v>
      </c>
      <c r="F128" s="216" t="e">
        <f>F127/$G$127*100</f>
        <v>#DIV/0!</v>
      </c>
      <c r="G128" s="216"/>
      <c r="H128" s="214" t="e">
        <f t="shared" si="10"/>
        <v>#DIV/0!</v>
      </c>
      <c r="I128" s="2599"/>
      <c r="J128" s="2599"/>
      <c r="K128" s="2599"/>
      <c r="L128" s="2599"/>
      <c r="M128" s="2599"/>
      <c r="N128" s="2599"/>
    </row>
    <row r="129" spans="1:16" s="1" customFormat="1" ht="26" hidden="1" customHeight="1" x14ac:dyDescent="0.2">
      <c r="A129" s="2664">
        <v>5</v>
      </c>
      <c r="B129" s="3522" t="s">
        <v>125</v>
      </c>
      <c r="C129" s="57" t="s">
        <v>21</v>
      </c>
      <c r="D129" s="831"/>
      <c r="E129" s="214"/>
      <c r="F129" s="831"/>
      <c r="G129" s="831">
        <f t="shared" ref="G129:G134" si="12">SUM(D129:F129)</f>
        <v>0</v>
      </c>
      <c r="H129" s="214" t="e">
        <f t="shared" si="10"/>
        <v>#DIV/0!</v>
      </c>
      <c r="I129" s="2599"/>
      <c r="J129" s="2599"/>
      <c r="K129" s="2599"/>
      <c r="L129" s="2599"/>
      <c r="M129" s="2599"/>
      <c r="N129" s="2599"/>
      <c r="P129" s="3521"/>
    </row>
    <row r="130" spans="1:16" s="1" customFormat="1" ht="26" hidden="1" customHeight="1" x14ac:dyDescent="0.2">
      <c r="A130" s="2664"/>
      <c r="B130" s="3523"/>
      <c r="C130" s="57" t="s">
        <v>22</v>
      </c>
      <c r="D130" s="216" t="e">
        <f>D129/$G$129*100</f>
        <v>#DIV/0!</v>
      </c>
      <c r="E130" s="216" t="e">
        <f>E129/$G$129*100</f>
        <v>#DIV/0!</v>
      </c>
      <c r="F130" s="216" t="e">
        <f>F129/$G$129*100</f>
        <v>#DIV/0!</v>
      </c>
      <c r="G130" s="216"/>
      <c r="H130" s="214" t="e">
        <f t="shared" si="10"/>
        <v>#DIV/0!</v>
      </c>
      <c r="I130" s="2599"/>
      <c r="J130" s="2599"/>
      <c r="K130" s="2599"/>
      <c r="L130" s="2599"/>
      <c r="M130" s="2599"/>
      <c r="N130" s="2599"/>
      <c r="P130" s="3521"/>
    </row>
    <row r="131" spans="1:16" s="1" customFormat="1" ht="26" hidden="1" customHeight="1" x14ac:dyDescent="0.2">
      <c r="A131" s="2664">
        <v>6</v>
      </c>
      <c r="B131" s="3518" t="s">
        <v>322</v>
      </c>
      <c r="C131" s="57" t="s">
        <v>21</v>
      </c>
      <c r="D131" s="831"/>
      <c r="E131" s="214"/>
      <c r="F131" s="831"/>
      <c r="G131" s="831">
        <f t="shared" si="12"/>
        <v>0</v>
      </c>
      <c r="H131" s="214" t="e">
        <f t="shared" si="10"/>
        <v>#DIV/0!</v>
      </c>
      <c r="I131" s="2599"/>
      <c r="J131" s="2599"/>
      <c r="K131" s="2599"/>
      <c r="L131" s="2599"/>
      <c r="M131" s="2599"/>
      <c r="N131" s="2599"/>
    </row>
    <row r="132" spans="1:16" s="1" customFormat="1" ht="26" hidden="1" customHeight="1" x14ac:dyDescent="0.2">
      <c r="A132" s="2664"/>
      <c r="B132" s="3518"/>
      <c r="C132" s="57" t="s">
        <v>22</v>
      </c>
      <c r="D132" s="216" t="e">
        <f>D131/$G$131*100</f>
        <v>#DIV/0!</v>
      </c>
      <c r="E132" s="216" t="e">
        <f>E131/$G$131*100</f>
        <v>#DIV/0!</v>
      </c>
      <c r="F132" s="216" t="e">
        <f>F131/$G$131*100</f>
        <v>#DIV/0!</v>
      </c>
      <c r="G132" s="214"/>
      <c r="H132" s="214" t="e">
        <f t="shared" si="10"/>
        <v>#DIV/0!</v>
      </c>
      <c r="I132" s="2599"/>
      <c r="J132" s="2599"/>
      <c r="K132" s="2599"/>
      <c r="L132" s="2599"/>
      <c r="M132" s="2599"/>
      <c r="N132" s="2599"/>
    </row>
    <row r="133" spans="1:16" s="1" customFormat="1" ht="26" hidden="1" customHeight="1" x14ac:dyDescent="0.2">
      <c r="A133" s="2664">
        <v>7</v>
      </c>
      <c r="B133" s="3518" t="s">
        <v>541</v>
      </c>
      <c r="C133" s="57" t="s">
        <v>21</v>
      </c>
      <c r="D133" s="831"/>
      <c r="E133" s="214"/>
      <c r="F133" s="831"/>
      <c r="G133" s="831">
        <f t="shared" si="12"/>
        <v>0</v>
      </c>
      <c r="H133" s="214" t="e">
        <f t="shared" si="10"/>
        <v>#DIV/0!</v>
      </c>
      <c r="I133" s="2599"/>
      <c r="J133" s="2599"/>
      <c r="K133" s="2599"/>
      <c r="L133" s="2599"/>
      <c r="M133" s="2599"/>
      <c r="N133" s="2599"/>
    </row>
    <row r="134" spans="1:16" s="1" customFormat="1" ht="26" hidden="1" customHeight="1" x14ac:dyDescent="0.2">
      <c r="A134" s="2664"/>
      <c r="B134" s="3518"/>
      <c r="C134" s="57" t="s">
        <v>22</v>
      </c>
      <c r="D134" s="216" t="e">
        <f>D133/$G$117*100</f>
        <v>#DIV/0!</v>
      </c>
      <c r="E134" s="216" t="e">
        <f>E133/$G$117*100</f>
        <v>#DIV/0!</v>
      </c>
      <c r="F134" s="216" t="e">
        <f>F133/$G$117*100</f>
        <v>#DIV/0!</v>
      </c>
      <c r="G134" s="214" t="e">
        <f t="shared" si="12"/>
        <v>#DIV/0!</v>
      </c>
      <c r="H134" s="214" t="e">
        <f t="shared" si="10"/>
        <v>#DIV/0!</v>
      </c>
      <c r="I134" s="2599"/>
      <c r="J134" s="2599"/>
      <c r="K134" s="2599"/>
      <c r="L134" s="2599"/>
      <c r="M134" s="2599"/>
      <c r="N134" s="2599"/>
    </row>
    <row r="135" spans="1:16" s="1" customFormat="1" ht="26" hidden="1" customHeight="1" x14ac:dyDescent="0.2">
      <c r="A135" s="3518" t="s">
        <v>1086</v>
      </c>
      <c r="B135" s="3518"/>
      <c r="C135" s="971" t="s">
        <v>21</v>
      </c>
      <c r="D135" s="972">
        <f>SUMIFS(D121:D134,$C$121:$C$134,"m2")</f>
        <v>0</v>
      </c>
      <c r="E135" s="972">
        <f>SUMIFS(E121:E134,$C$121:$C$134,"m2")</f>
        <v>0</v>
      </c>
      <c r="F135" s="972">
        <f>SUMIFS(F121:F134,$C$121:$C$134,"m2")</f>
        <v>0</v>
      </c>
      <c r="G135" s="972">
        <f>SUM(D135:F135)</f>
        <v>0</v>
      </c>
      <c r="H135" s="214"/>
      <c r="I135" s="2599"/>
      <c r="J135" s="2599"/>
      <c r="K135" s="2599"/>
      <c r="L135" s="2599"/>
      <c r="M135" s="2599"/>
      <c r="N135" s="2599"/>
    </row>
    <row r="136" spans="1:16" s="1" customFormat="1" ht="30" hidden="1" customHeight="1" x14ac:dyDescent="0.2">
      <c r="A136" s="3518"/>
      <c r="B136" s="3518"/>
      <c r="C136" s="971" t="s">
        <v>22</v>
      </c>
      <c r="D136" s="973" t="e">
        <f>D135/$G$135*100</f>
        <v>#DIV/0!</v>
      </c>
      <c r="E136" s="973" t="e">
        <f>E135/$G$135*100</f>
        <v>#DIV/0!</v>
      </c>
      <c r="F136" s="973" t="e">
        <f>F135/$G$135*100</f>
        <v>#DIV/0!</v>
      </c>
      <c r="G136" s="974"/>
      <c r="H136" s="214"/>
      <c r="I136" s="3524"/>
      <c r="J136" s="3524"/>
      <c r="K136" s="3524"/>
      <c r="L136" s="3524"/>
      <c r="M136" s="3524"/>
      <c r="N136" s="3524"/>
    </row>
    <row r="137" spans="1:16" s="1" customFormat="1" ht="34" hidden="1" customHeight="1" x14ac:dyDescent="0.2">
      <c r="A137" s="2664">
        <v>1</v>
      </c>
      <c r="B137" s="3520" t="s">
        <v>109</v>
      </c>
      <c r="C137" s="57" t="s">
        <v>21</v>
      </c>
      <c r="D137" s="834"/>
      <c r="E137" s="738"/>
      <c r="F137" s="834"/>
      <c r="G137" s="831">
        <f>SUM(D137:F137)</f>
        <v>0</v>
      </c>
      <c r="H137" s="214" t="e">
        <f t="shared" ref="H137:H150" si="13">(G137/$G$119*100)</f>
        <v>#DIV/0!</v>
      </c>
      <c r="I137" s="2647" t="s">
        <v>772</v>
      </c>
      <c r="J137" s="2648"/>
      <c r="K137" s="2648"/>
      <c r="L137" s="2648"/>
      <c r="M137" s="2648"/>
      <c r="N137" s="2649"/>
    </row>
    <row r="138" spans="1:16" s="1" customFormat="1" ht="34" hidden="1" customHeight="1" x14ac:dyDescent="0.2">
      <c r="A138" s="2664"/>
      <c r="B138" s="3520"/>
      <c r="C138" s="57" t="s">
        <v>22</v>
      </c>
      <c r="D138" s="739" t="e">
        <f>D137/$G$137*100</f>
        <v>#DIV/0!</v>
      </c>
      <c r="E138" s="739"/>
      <c r="F138" s="739" t="e">
        <f>F137/$G$137*100</f>
        <v>#DIV/0!</v>
      </c>
      <c r="G138" s="216"/>
      <c r="H138" s="214" t="e">
        <f t="shared" si="13"/>
        <v>#DIV/0!</v>
      </c>
      <c r="I138" s="2650"/>
      <c r="J138" s="2507"/>
      <c r="K138" s="2507"/>
      <c r="L138" s="2507"/>
      <c r="M138" s="2507"/>
      <c r="N138" s="2651"/>
    </row>
    <row r="139" spans="1:16" s="1" customFormat="1" ht="34" hidden="1" customHeight="1" x14ac:dyDescent="0.2">
      <c r="A139" s="2664">
        <v>2</v>
      </c>
      <c r="B139" s="3518" t="s">
        <v>117</v>
      </c>
      <c r="C139" s="57" t="s">
        <v>21</v>
      </c>
      <c r="D139" s="831"/>
      <c r="E139" s="214"/>
      <c r="F139" s="831"/>
      <c r="G139" s="831">
        <f>SUM(D139:F139)</f>
        <v>0</v>
      </c>
      <c r="H139" s="214" t="e">
        <f t="shared" si="13"/>
        <v>#DIV/0!</v>
      </c>
      <c r="I139" s="2650"/>
      <c r="J139" s="2507"/>
      <c r="K139" s="2507"/>
      <c r="L139" s="2507"/>
      <c r="M139" s="2507"/>
      <c r="N139" s="2651"/>
    </row>
    <row r="140" spans="1:16" s="1" customFormat="1" ht="34" hidden="1" customHeight="1" x14ac:dyDescent="0.2">
      <c r="A140" s="2664"/>
      <c r="B140" s="3518"/>
      <c r="C140" s="57" t="s">
        <v>22</v>
      </c>
      <c r="D140" s="216" t="e">
        <f>D139/$G$139*100</f>
        <v>#DIV/0!</v>
      </c>
      <c r="E140" s="216" t="e">
        <f>E139/$G$139*100</f>
        <v>#DIV/0!</v>
      </c>
      <c r="F140" s="216" t="e">
        <f>F139/$G$139*100</f>
        <v>#DIV/0!</v>
      </c>
      <c r="G140" s="216"/>
      <c r="H140" s="214" t="e">
        <f t="shared" si="13"/>
        <v>#DIV/0!</v>
      </c>
      <c r="I140" s="2650"/>
      <c r="J140" s="2507"/>
      <c r="K140" s="2507"/>
      <c r="L140" s="2507"/>
      <c r="M140" s="2507"/>
      <c r="N140" s="2651"/>
    </row>
    <row r="141" spans="1:16" s="1" customFormat="1" ht="34" hidden="1" customHeight="1" x14ac:dyDescent="0.2">
      <c r="A141" s="2664">
        <v>3</v>
      </c>
      <c r="B141" s="3518" t="s">
        <v>125</v>
      </c>
      <c r="C141" s="57" t="s">
        <v>21</v>
      </c>
      <c r="D141" s="831"/>
      <c r="E141" s="214"/>
      <c r="F141" s="831"/>
      <c r="G141" s="831">
        <f>SUM(D141:F141)</f>
        <v>0</v>
      </c>
      <c r="H141" s="214" t="e">
        <f t="shared" si="13"/>
        <v>#DIV/0!</v>
      </c>
      <c r="I141" s="2650"/>
      <c r="J141" s="2507"/>
      <c r="K141" s="2507"/>
      <c r="L141" s="2507"/>
      <c r="M141" s="2507"/>
      <c r="N141" s="2651"/>
    </row>
    <row r="142" spans="1:16" s="1" customFormat="1" ht="34" hidden="1" customHeight="1" x14ac:dyDescent="0.2">
      <c r="A142" s="2664"/>
      <c r="B142" s="3518"/>
      <c r="C142" s="57" t="s">
        <v>22</v>
      </c>
      <c r="D142" s="216" t="e">
        <f>D141/$G$141*100</f>
        <v>#DIV/0!</v>
      </c>
      <c r="E142" s="216" t="e">
        <f>E141/$G$141*100</f>
        <v>#DIV/0!</v>
      </c>
      <c r="F142" s="216" t="e">
        <f>F141/$G$141*100</f>
        <v>#DIV/0!</v>
      </c>
      <c r="G142" s="216"/>
      <c r="H142" s="214" t="e">
        <f t="shared" si="13"/>
        <v>#DIV/0!</v>
      </c>
      <c r="I142" s="2650"/>
      <c r="J142" s="2507"/>
      <c r="K142" s="2507"/>
      <c r="L142" s="2507"/>
      <c r="M142" s="2507"/>
      <c r="N142" s="2651"/>
    </row>
    <row r="143" spans="1:16" s="1" customFormat="1" ht="34" hidden="1" customHeight="1" x14ac:dyDescent="0.2">
      <c r="A143" s="2664">
        <v>4</v>
      </c>
      <c r="B143" s="3519" t="s">
        <v>129</v>
      </c>
      <c r="C143" s="57" t="s">
        <v>21</v>
      </c>
      <c r="D143" s="831"/>
      <c r="E143" s="214"/>
      <c r="F143" s="831"/>
      <c r="G143" s="831">
        <f>SUM(D143:F143)</f>
        <v>0</v>
      </c>
      <c r="H143" s="214" t="e">
        <f t="shared" si="13"/>
        <v>#DIV/0!</v>
      </c>
      <c r="I143" s="2650"/>
      <c r="J143" s="2507"/>
      <c r="K143" s="2507"/>
      <c r="L143" s="2507"/>
      <c r="M143" s="2507"/>
      <c r="N143" s="2651"/>
    </row>
    <row r="144" spans="1:16" s="1" customFormat="1" ht="30" hidden="1" customHeight="1" x14ac:dyDescent="0.2">
      <c r="A144" s="2664"/>
      <c r="B144" s="3519"/>
      <c r="C144" s="57" t="s">
        <v>22</v>
      </c>
      <c r="D144" s="216" t="e">
        <f>D143/$G$143*100</f>
        <v>#DIV/0!</v>
      </c>
      <c r="E144" s="216" t="e">
        <f>E143/$G$143*100</f>
        <v>#DIV/0!</v>
      </c>
      <c r="F144" s="216" t="e">
        <f>F143/$G$143*100</f>
        <v>#DIV/0!</v>
      </c>
      <c r="G144" s="216"/>
      <c r="H144" s="214" t="e">
        <f t="shared" si="13"/>
        <v>#DIV/0!</v>
      </c>
      <c r="I144" s="2650"/>
      <c r="J144" s="2507"/>
      <c r="K144" s="2507"/>
      <c r="L144" s="2507"/>
      <c r="M144" s="2507"/>
      <c r="N144" s="2651"/>
    </row>
    <row r="145" spans="1:14" s="1" customFormat="1" ht="30" hidden="1" customHeight="1" x14ac:dyDescent="0.2">
      <c r="A145" s="2664">
        <v>5</v>
      </c>
      <c r="B145" s="3518" t="s">
        <v>146</v>
      </c>
      <c r="C145" s="57" t="s">
        <v>21</v>
      </c>
      <c r="D145" s="831"/>
      <c r="E145" s="214"/>
      <c r="F145" s="831"/>
      <c r="G145" s="831">
        <f>SUM(D145:F145)</f>
        <v>0</v>
      </c>
      <c r="H145" s="214" t="e">
        <f t="shared" si="13"/>
        <v>#DIV/0!</v>
      </c>
      <c r="I145" s="2650"/>
      <c r="J145" s="2507"/>
      <c r="K145" s="2507"/>
      <c r="L145" s="2507"/>
      <c r="M145" s="2507"/>
      <c r="N145" s="2651"/>
    </row>
    <row r="146" spans="1:14" s="1" customFormat="1" ht="30" hidden="1" customHeight="1" x14ac:dyDescent="0.2">
      <c r="A146" s="2664"/>
      <c r="B146" s="3518"/>
      <c r="C146" s="57" t="s">
        <v>22</v>
      </c>
      <c r="D146" s="216" t="e">
        <f>D145/$G$145*100</f>
        <v>#DIV/0!</v>
      </c>
      <c r="E146" s="216" t="e">
        <f>E145/$G$145*100</f>
        <v>#DIV/0!</v>
      </c>
      <c r="F146" s="216" t="e">
        <f>F145/$G$145*100</f>
        <v>#DIV/0!</v>
      </c>
      <c r="G146" s="216"/>
      <c r="H146" s="214" t="e">
        <f t="shared" si="13"/>
        <v>#DIV/0!</v>
      </c>
      <c r="I146" s="2650"/>
      <c r="J146" s="2507"/>
      <c r="K146" s="2507"/>
      <c r="L146" s="2507"/>
      <c r="M146" s="2507"/>
      <c r="N146" s="2651"/>
    </row>
    <row r="147" spans="1:14" s="1" customFormat="1" ht="30" hidden="1" customHeight="1" x14ac:dyDescent="0.2">
      <c r="A147" s="2664">
        <v>6</v>
      </c>
      <c r="B147" s="3518" t="s">
        <v>146</v>
      </c>
      <c r="C147" s="57" t="s">
        <v>21</v>
      </c>
      <c r="D147" s="831"/>
      <c r="E147" s="214"/>
      <c r="F147" s="831"/>
      <c r="G147" s="831">
        <f>SUM(D147:F147)</f>
        <v>0</v>
      </c>
      <c r="H147" s="214" t="e">
        <f t="shared" si="13"/>
        <v>#DIV/0!</v>
      </c>
      <c r="I147" s="2650"/>
      <c r="J147" s="2507"/>
      <c r="K147" s="2507"/>
      <c r="L147" s="2507"/>
      <c r="M147" s="2507"/>
      <c r="N147" s="2651"/>
    </row>
    <row r="148" spans="1:14" s="1" customFormat="1" ht="30" hidden="1" customHeight="1" x14ac:dyDescent="0.2">
      <c r="A148" s="2664"/>
      <c r="B148" s="3518"/>
      <c r="C148" s="57" t="s">
        <v>22</v>
      </c>
      <c r="D148" s="216" t="e">
        <f>D147/$G$131*100</f>
        <v>#DIV/0!</v>
      </c>
      <c r="E148" s="216" t="e">
        <f>E147/$G$131*100</f>
        <v>#DIV/0!</v>
      </c>
      <c r="F148" s="216" t="e">
        <f>F147/$G$131*100</f>
        <v>#DIV/0!</v>
      </c>
      <c r="G148" s="214"/>
      <c r="H148" s="214" t="e">
        <f t="shared" si="13"/>
        <v>#DIV/0!</v>
      </c>
      <c r="I148" s="2650"/>
      <c r="J148" s="2507"/>
      <c r="K148" s="2507"/>
      <c r="L148" s="2507"/>
      <c r="M148" s="2507"/>
      <c r="N148" s="2651"/>
    </row>
    <row r="149" spans="1:14" s="1" customFormat="1" ht="30" hidden="1" customHeight="1" x14ac:dyDescent="0.2">
      <c r="A149" s="2664">
        <v>7</v>
      </c>
      <c r="B149" s="3518" t="s">
        <v>541</v>
      </c>
      <c r="C149" s="57" t="s">
        <v>21</v>
      </c>
      <c r="D149" s="831"/>
      <c r="E149" s="214"/>
      <c r="F149" s="831"/>
      <c r="G149" s="831">
        <f>SUM(D149:F149)</f>
        <v>0</v>
      </c>
      <c r="H149" s="214" t="e">
        <f t="shared" si="13"/>
        <v>#DIV/0!</v>
      </c>
      <c r="I149" s="2650"/>
      <c r="J149" s="2507"/>
      <c r="K149" s="2507"/>
      <c r="L149" s="2507"/>
      <c r="M149" s="2507"/>
      <c r="N149" s="2651"/>
    </row>
    <row r="150" spans="1:14" s="1" customFormat="1" ht="30" hidden="1" customHeight="1" x14ac:dyDescent="0.2">
      <c r="A150" s="2664"/>
      <c r="B150" s="3518"/>
      <c r="C150" s="57" t="s">
        <v>22</v>
      </c>
      <c r="D150" s="216" t="e">
        <f>D149/$G$117*100</f>
        <v>#DIV/0!</v>
      </c>
      <c r="E150" s="216" t="e">
        <f>E149/$G$117*100</f>
        <v>#DIV/0!</v>
      </c>
      <c r="F150" s="216" t="e">
        <f>F149/$G$117*100</f>
        <v>#DIV/0!</v>
      </c>
      <c r="G150" s="214" t="e">
        <f>SUM(D150:F150)</f>
        <v>#DIV/0!</v>
      </c>
      <c r="H150" s="214" t="e">
        <f t="shared" si="13"/>
        <v>#DIV/0!</v>
      </c>
      <c r="I150" s="2650"/>
      <c r="J150" s="2507"/>
      <c r="K150" s="2507"/>
      <c r="L150" s="2507"/>
      <c r="M150" s="2507"/>
      <c r="N150" s="2651"/>
    </row>
    <row r="151" spans="1:14" s="1" customFormat="1" ht="30" hidden="1" customHeight="1" x14ac:dyDescent="0.2">
      <c r="A151" s="3518" t="s">
        <v>1087</v>
      </c>
      <c r="B151" s="3518"/>
      <c r="C151" s="971" t="s">
        <v>21</v>
      </c>
      <c r="D151" s="972">
        <f>SUMIFS(D137:D150,$C$137:$C$150,"m2")</f>
        <v>0</v>
      </c>
      <c r="E151" s="972">
        <f>SUMIFS(E137:E150,$C$137:$C$150,"m2")</f>
        <v>0</v>
      </c>
      <c r="F151" s="972">
        <f>SUMIFS(F137:F150,$C$137:$C$150,"m2")</f>
        <v>0</v>
      </c>
      <c r="G151" s="972">
        <f>SUM(D151:F151)</f>
        <v>0</v>
      </c>
      <c r="H151" s="1095"/>
      <c r="I151" s="2650"/>
      <c r="J151" s="2507"/>
      <c r="K151" s="2507"/>
      <c r="L151" s="2507"/>
      <c r="M151" s="2507"/>
      <c r="N151" s="2651"/>
    </row>
    <row r="152" spans="1:14" s="1" customFormat="1" ht="30" hidden="1" customHeight="1" x14ac:dyDescent="0.2">
      <c r="A152" s="3518"/>
      <c r="B152" s="3518"/>
      <c r="C152" s="971" t="s">
        <v>22</v>
      </c>
      <c r="D152" s="973" t="e">
        <f>D151/$G$151*100</f>
        <v>#DIV/0!</v>
      </c>
      <c r="E152" s="973" t="e">
        <f>E151/$G$151*100</f>
        <v>#DIV/0!</v>
      </c>
      <c r="F152" s="973" t="e">
        <f>F151/$G$151*100</f>
        <v>#DIV/0!</v>
      </c>
      <c r="G152" s="974"/>
      <c r="H152" s="1095"/>
      <c r="I152" s="2652"/>
      <c r="J152" s="2596"/>
      <c r="K152" s="2596"/>
      <c r="L152" s="2596"/>
      <c r="M152" s="2596"/>
      <c r="N152" s="2653"/>
    </row>
    <row r="153" spans="1:14" s="1" customFormat="1" ht="26" hidden="1" customHeight="1" x14ac:dyDescent="0.2">
      <c r="A153" s="2664">
        <v>1</v>
      </c>
      <c r="B153" s="3520" t="s">
        <v>109</v>
      </c>
      <c r="C153" s="57" t="s">
        <v>21</v>
      </c>
      <c r="D153" s="834"/>
      <c r="E153" s="738"/>
      <c r="F153" s="834"/>
      <c r="G153" s="831">
        <f>SUM(D153:F153)</f>
        <v>0</v>
      </c>
      <c r="H153" s="214" t="e">
        <f t="shared" ref="H153:H166" si="14">(G153/$G$119*100)</f>
        <v>#DIV/0!</v>
      </c>
      <c r="I153" s="2599" t="s">
        <v>773</v>
      </c>
      <c r="J153" s="2599"/>
      <c r="K153" s="2599"/>
      <c r="L153" s="2599"/>
      <c r="M153" s="2599"/>
      <c r="N153" s="2599"/>
    </row>
    <row r="154" spans="1:14" s="1" customFormat="1" ht="26" hidden="1" customHeight="1" x14ac:dyDescent="0.2">
      <c r="A154" s="2664"/>
      <c r="B154" s="3520"/>
      <c r="C154" s="57" t="s">
        <v>22</v>
      </c>
      <c r="D154" s="739" t="e">
        <f>D153/$G$153*100</f>
        <v>#DIV/0!</v>
      </c>
      <c r="E154" s="739"/>
      <c r="F154" s="739" t="e">
        <f>F153/$G$153*100</f>
        <v>#DIV/0!</v>
      </c>
      <c r="G154" s="216"/>
      <c r="H154" s="214" t="e">
        <f t="shared" si="14"/>
        <v>#DIV/0!</v>
      </c>
      <c r="I154" s="2599"/>
      <c r="J154" s="2599"/>
      <c r="K154" s="2599"/>
      <c r="L154" s="2599"/>
      <c r="M154" s="2599"/>
      <c r="N154" s="2599"/>
    </row>
    <row r="155" spans="1:14" s="1" customFormat="1" ht="26" hidden="1" customHeight="1" x14ac:dyDescent="0.2">
      <c r="A155" s="2664">
        <v>2</v>
      </c>
      <c r="B155" s="3518" t="s">
        <v>117</v>
      </c>
      <c r="C155" s="57" t="s">
        <v>21</v>
      </c>
      <c r="D155" s="831"/>
      <c r="E155" s="214"/>
      <c r="F155" s="831"/>
      <c r="G155" s="831">
        <f>SUM(D155:F155)</f>
        <v>0</v>
      </c>
      <c r="H155" s="214" t="e">
        <f t="shared" si="14"/>
        <v>#DIV/0!</v>
      </c>
      <c r="I155" s="2599"/>
      <c r="J155" s="2599"/>
      <c r="K155" s="2599"/>
      <c r="L155" s="2599"/>
      <c r="M155" s="2599"/>
      <c r="N155" s="2599"/>
    </row>
    <row r="156" spans="1:14" s="1" customFormat="1" ht="1" hidden="1" customHeight="1" x14ac:dyDescent="0.2">
      <c r="A156" s="2664"/>
      <c r="B156" s="3518"/>
      <c r="C156" s="57" t="s">
        <v>22</v>
      </c>
      <c r="D156" s="216" t="e">
        <f>D155/$G$155*100</f>
        <v>#DIV/0!</v>
      </c>
      <c r="E156" s="216" t="e">
        <f>E155/$G$155*100</f>
        <v>#DIV/0!</v>
      </c>
      <c r="F156" s="216" t="e">
        <f>F155/$G$155*100</f>
        <v>#DIV/0!</v>
      </c>
      <c r="G156" s="216"/>
      <c r="H156" s="214" t="e">
        <f t="shared" si="14"/>
        <v>#DIV/0!</v>
      </c>
      <c r="I156" s="2599"/>
      <c r="J156" s="2599"/>
      <c r="K156" s="2599"/>
      <c r="L156" s="2599"/>
      <c r="M156" s="2599"/>
      <c r="N156" s="2599"/>
    </row>
    <row r="157" spans="1:14" s="1" customFormat="1" ht="26" customHeight="1" x14ac:dyDescent="0.2">
      <c r="A157" s="2664">
        <v>1</v>
      </c>
      <c r="B157" s="3518" t="s">
        <v>125</v>
      </c>
      <c r="C157" s="57" t="s">
        <v>21</v>
      </c>
      <c r="D157" s="831">
        <v>4168.8</v>
      </c>
      <c r="E157" s="214"/>
      <c r="F157" s="831">
        <v>270</v>
      </c>
      <c r="G157" s="831">
        <f>SUM(D157:F157)</f>
        <v>4438.8</v>
      </c>
      <c r="H157" s="214">
        <f>(G157/$G$157*100)</f>
        <v>100</v>
      </c>
      <c r="I157" s="2599"/>
      <c r="J157" s="2599"/>
      <c r="K157" s="2599"/>
      <c r="L157" s="2599"/>
      <c r="M157" s="2599"/>
      <c r="N157" s="2599"/>
    </row>
    <row r="158" spans="1:14" s="1" customFormat="1" ht="26" customHeight="1" x14ac:dyDescent="0.2">
      <c r="A158" s="2664"/>
      <c r="B158" s="3518"/>
      <c r="C158" s="57" t="s">
        <v>22</v>
      </c>
      <c r="D158" s="216">
        <f>D157/$G$157*100</f>
        <v>93.917274939172742</v>
      </c>
      <c r="E158" s="216">
        <f>E157/$G$157*100</f>
        <v>0</v>
      </c>
      <c r="F158" s="216">
        <f>F157/$G$157*100</f>
        <v>6.0827250608272498</v>
      </c>
      <c r="G158" s="216"/>
      <c r="H158" s="214">
        <f>(G158/$G$157*100)</f>
        <v>0</v>
      </c>
      <c r="I158" s="2599"/>
      <c r="J158" s="2599"/>
      <c r="K158" s="2599"/>
      <c r="L158" s="2599"/>
      <c r="M158" s="2599"/>
      <c r="N158" s="2599"/>
    </row>
    <row r="159" spans="1:14" s="1" customFormat="1" ht="26" customHeight="1" x14ac:dyDescent="0.2">
      <c r="A159" s="2664">
        <v>4</v>
      </c>
      <c r="B159" s="3519" t="s">
        <v>129</v>
      </c>
      <c r="C159" s="57" t="s">
        <v>21</v>
      </c>
      <c r="D159" s="831"/>
      <c r="E159" s="214"/>
      <c r="F159" s="831"/>
      <c r="G159" s="831">
        <f>SUM(D159:F159)</f>
        <v>0</v>
      </c>
      <c r="H159" s="214" t="e">
        <f t="shared" si="14"/>
        <v>#DIV/0!</v>
      </c>
      <c r="I159" s="2599"/>
      <c r="J159" s="2599"/>
      <c r="K159" s="2599"/>
      <c r="L159" s="2599"/>
      <c r="M159" s="2599"/>
      <c r="N159" s="2599"/>
    </row>
    <row r="160" spans="1:14" s="1" customFormat="1" ht="26" customHeight="1" x14ac:dyDescent="0.2">
      <c r="A160" s="2664"/>
      <c r="B160" s="3519"/>
      <c r="C160" s="57" t="s">
        <v>22</v>
      </c>
      <c r="D160" s="216" t="e">
        <f>D159/$G$159*100</f>
        <v>#DIV/0!</v>
      </c>
      <c r="E160" s="216" t="e">
        <f>E159/$G$159*100</f>
        <v>#DIV/0!</v>
      </c>
      <c r="F160" s="216" t="e">
        <f>F159/$G$159*100</f>
        <v>#DIV/0!</v>
      </c>
      <c r="G160" s="216"/>
      <c r="H160" s="214" t="e">
        <f t="shared" si="14"/>
        <v>#DIV/0!</v>
      </c>
      <c r="I160" s="2599"/>
      <c r="J160" s="2599"/>
      <c r="K160" s="2599"/>
      <c r="L160" s="2599"/>
      <c r="M160" s="2599"/>
      <c r="N160" s="2599"/>
    </row>
    <row r="161" spans="1:14" s="1" customFormat="1" ht="26" customHeight="1" x14ac:dyDescent="0.2">
      <c r="A161" s="2664">
        <v>5</v>
      </c>
      <c r="B161" s="3519" t="s">
        <v>129</v>
      </c>
      <c r="C161" s="57" t="s">
        <v>21</v>
      </c>
      <c r="D161" s="831"/>
      <c r="E161" s="214"/>
      <c r="F161" s="831"/>
      <c r="G161" s="831">
        <f>SUM(D161:F161)</f>
        <v>0</v>
      </c>
      <c r="H161" s="214" t="e">
        <f t="shared" si="14"/>
        <v>#DIV/0!</v>
      </c>
      <c r="I161" s="2599"/>
      <c r="J161" s="2599"/>
      <c r="K161" s="2599"/>
      <c r="L161" s="2599"/>
      <c r="M161" s="2599"/>
      <c r="N161" s="2599"/>
    </row>
    <row r="162" spans="1:14" s="1" customFormat="1" ht="26" customHeight="1" x14ac:dyDescent="0.2">
      <c r="A162" s="2664"/>
      <c r="B162" s="3519"/>
      <c r="C162" s="57" t="s">
        <v>22</v>
      </c>
      <c r="D162" s="216" t="e">
        <f>D161/$G$161*100</f>
        <v>#DIV/0!</v>
      </c>
      <c r="E162" s="216" t="e">
        <f>E161/$G$161*100</f>
        <v>#DIV/0!</v>
      </c>
      <c r="F162" s="216" t="e">
        <f>F161/$G$161*100</f>
        <v>#DIV/0!</v>
      </c>
      <c r="G162" s="216"/>
      <c r="H162" s="214" t="e">
        <f t="shared" si="14"/>
        <v>#DIV/0!</v>
      </c>
      <c r="I162" s="2599"/>
      <c r="J162" s="2599"/>
      <c r="K162" s="2599"/>
      <c r="L162" s="2599"/>
      <c r="M162" s="2599"/>
      <c r="N162" s="2599"/>
    </row>
    <row r="163" spans="1:14" s="1" customFormat="1" ht="26" customHeight="1" x14ac:dyDescent="0.2">
      <c r="A163" s="2664">
        <v>6</v>
      </c>
      <c r="B163" s="3518" t="s">
        <v>146</v>
      </c>
      <c r="C163" s="57" t="s">
        <v>21</v>
      </c>
      <c r="D163" s="831"/>
      <c r="E163" s="214"/>
      <c r="F163" s="831"/>
      <c r="G163" s="831">
        <f>SUM(D163:F163)</f>
        <v>0</v>
      </c>
      <c r="H163" s="214" t="e">
        <f t="shared" si="14"/>
        <v>#DIV/0!</v>
      </c>
      <c r="I163" s="2599"/>
      <c r="J163" s="2599"/>
      <c r="K163" s="2599"/>
      <c r="L163" s="2599"/>
      <c r="M163" s="2599"/>
      <c r="N163" s="2599"/>
    </row>
    <row r="164" spans="1:14" s="1" customFormat="1" ht="26" customHeight="1" x14ac:dyDescent="0.2">
      <c r="A164" s="2664"/>
      <c r="B164" s="3518"/>
      <c r="C164" s="57" t="s">
        <v>22</v>
      </c>
      <c r="D164" s="216" t="e">
        <f>D163/$G$163*100</f>
        <v>#DIV/0!</v>
      </c>
      <c r="E164" s="216" t="e">
        <f>E163/$G$163*100</f>
        <v>#DIV/0!</v>
      </c>
      <c r="F164" s="216" t="e">
        <f>F163/$G$163*100</f>
        <v>#DIV/0!</v>
      </c>
      <c r="G164" s="214"/>
      <c r="H164" s="214" t="e">
        <f t="shared" si="14"/>
        <v>#DIV/0!</v>
      </c>
      <c r="I164" s="2599"/>
      <c r="J164" s="2599"/>
      <c r="K164" s="2599"/>
      <c r="L164" s="2599"/>
      <c r="M164" s="2599"/>
      <c r="N164" s="2599"/>
    </row>
    <row r="165" spans="1:14" s="1" customFormat="1" ht="26" customHeight="1" x14ac:dyDescent="0.2">
      <c r="A165" s="2664">
        <v>7</v>
      </c>
      <c r="B165" s="3518" t="s">
        <v>541</v>
      </c>
      <c r="C165" s="57" t="s">
        <v>21</v>
      </c>
      <c r="D165" s="831"/>
      <c r="E165" s="214"/>
      <c r="F165" s="831"/>
      <c r="G165" s="831">
        <f>SUM(D165:F165)</f>
        <v>0</v>
      </c>
      <c r="H165" s="214" t="e">
        <f t="shared" si="14"/>
        <v>#DIV/0!</v>
      </c>
      <c r="I165" s="2599"/>
      <c r="J165" s="2599"/>
      <c r="K165" s="2599"/>
      <c r="L165" s="2599"/>
      <c r="M165" s="2599"/>
      <c r="N165" s="2599"/>
    </row>
    <row r="166" spans="1:14" s="1" customFormat="1" ht="26" customHeight="1" x14ac:dyDescent="0.2">
      <c r="A166" s="2664"/>
      <c r="B166" s="3518"/>
      <c r="C166" s="57" t="s">
        <v>22</v>
      </c>
      <c r="D166" s="216" t="e">
        <f>D165/$G$165*100</f>
        <v>#DIV/0!</v>
      </c>
      <c r="E166" s="216" t="e">
        <f>E165/$G$165*100</f>
        <v>#DIV/0!</v>
      </c>
      <c r="F166" s="216" t="e">
        <f>F165/$G$165*100</f>
        <v>#DIV/0!</v>
      </c>
      <c r="G166" s="214" t="e">
        <f>SUM(D166:F166)</f>
        <v>#DIV/0!</v>
      </c>
      <c r="H166" s="214" t="e">
        <f t="shared" si="14"/>
        <v>#DIV/0!</v>
      </c>
      <c r="I166" s="2599"/>
      <c r="J166" s="2599"/>
      <c r="K166" s="2599"/>
      <c r="L166" s="2599"/>
      <c r="M166" s="2599"/>
      <c r="N166" s="2599"/>
    </row>
    <row r="167" spans="1:14" s="1" customFormat="1" ht="31" customHeight="1" x14ac:dyDescent="0.2">
      <c r="A167" s="3518" t="s">
        <v>1088</v>
      </c>
      <c r="B167" s="3518"/>
      <c r="C167" s="971" t="s">
        <v>21</v>
      </c>
      <c r="D167" s="972">
        <f>SUMIFS(D153:D166,$C$153:$C$166,"m2")</f>
        <v>4168.8</v>
      </c>
      <c r="E167" s="972">
        <f>SUMIFS(E153:E166,$C$153:$C$166,"m2")</f>
        <v>0</v>
      </c>
      <c r="F167" s="972">
        <f>SUMIFS(F153:F166,$C$153:$C$166,"m2")</f>
        <v>270</v>
      </c>
      <c r="G167" s="972">
        <f>SUM(D167:F167)</f>
        <v>4438.8</v>
      </c>
      <c r="H167" s="1095"/>
      <c r="I167" s="2599"/>
      <c r="J167" s="2599"/>
      <c r="K167" s="2599"/>
      <c r="L167" s="2599"/>
      <c r="M167" s="2599"/>
      <c r="N167" s="2599"/>
    </row>
    <row r="168" spans="1:14" s="1" customFormat="1" ht="31" customHeight="1" x14ac:dyDescent="0.2">
      <c r="A168" s="3518"/>
      <c r="B168" s="3518"/>
      <c r="C168" s="971" t="s">
        <v>22</v>
      </c>
      <c r="D168" s="1894">
        <f>D167/$G$167*100</f>
        <v>93.917274939172742</v>
      </c>
      <c r="E168" s="1894">
        <f>E167/$G$167*100</f>
        <v>0</v>
      </c>
      <c r="F168" s="1894">
        <f>F167/$G$167*100</f>
        <v>6.0827250608272498</v>
      </c>
      <c r="G168" s="974"/>
      <c r="H168" s="1095"/>
      <c r="I168" s="2599"/>
      <c r="J168" s="2599"/>
      <c r="K168" s="2599"/>
      <c r="L168" s="2599"/>
      <c r="M168" s="2599"/>
      <c r="N168" s="2599"/>
    </row>
    <row r="169" spans="1:14" s="1" customFormat="1" ht="37" customHeight="1" x14ac:dyDescent="0.2">
      <c r="A169" s="2664">
        <v>1</v>
      </c>
      <c r="B169" s="3520" t="s">
        <v>109</v>
      </c>
      <c r="C169" s="57" t="s">
        <v>21</v>
      </c>
      <c r="D169" s="834">
        <v>253726.4</v>
      </c>
      <c r="E169" s="738">
        <v>0</v>
      </c>
      <c r="F169" s="834">
        <v>19014.400000000001</v>
      </c>
      <c r="G169" s="831">
        <f>SUM(D169:F169)</f>
        <v>272740.8</v>
      </c>
      <c r="H169" s="214">
        <f>(G169/$G$185*100)</f>
        <v>63.156619435268389</v>
      </c>
      <c r="I169" s="2599" t="s">
        <v>774</v>
      </c>
      <c r="J169" s="2599"/>
      <c r="K169" s="2599"/>
      <c r="L169" s="2599"/>
      <c r="M169" s="2599"/>
      <c r="N169" s="2599"/>
    </row>
    <row r="170" spans="1:14" s="1" customFormat="1" ht="37" customHeight="1" x14ac:dyDescent="0.2">
      <c r="A170" s="2664"/>
      <c r="B170" s="3520"/>
      <c r="C170" s="57" t="s">
        <v>22</v>
      </c>
      <c r="D170" s="739">
        <f>D169/$G$169*100</f>
        <v>93.028399124736751</v>
      </c>
      <c r="E170" s="739"/>
      <c r="F170" s="739">
        <f>F169/$G$169*100</f>
        <v>6.9716008752632552</v>
      </c>
      <c r="G170" s="216"/>
      <c r="H170" s="214">
        <f t="shared" ref="H170:H186" si="15">(G170/$G$185*100)</f>
        <v>0</v>
      </c>
      <c r="I170" s="2599"/>
      <c r="J170" s="2599"/>
      <c r="K170" s="2599"/>
      <c r="L170" s="2599"/>
      <c r="M170" s="2599"/>
      <c r="N170" s="2599"/>
    </row>
    <row r="171" spans="1:14" s="1" customFormat="1" ht="37" customHeight="1" x14ac:dyDescent="0.2">
      <c r="A171" s="2664">
        <v>2</v>
      </c>
      <c r="B171" s="3518" t="s">
        <v>541</v>
      </c>
      <c r="C171" s="57" t="s">
        <v>21</v>
      </c>
      <c r="D171" s="831">
        <v>49910.400000000001</v>
      </c>
      <c r="E171" s="214">
        <v>0</v>
      </c>
      <c r="F171" s="831">
        <v>2160.64</v>
      </c>
      <c r="G171" s="831">
        <f>SUM(D171:F171)</f>
        <v>52071.040000000001</v>
      </c>
      <c r="H171" s="214">
        <f t="shared" si="15"/>
        <v>12.057715079220408</v>
      </c>
      <c r="I171" s="2599"/>
      <c r="J171" s="2599"/>
      <c r="K171" s="2599"/>
      <c r="L171" s="2599"/>
      <c r="M171" s="2599"/>
      <c r="N171" s="2599"/>
    </row>
    <row r="172" spans="1:14" s="1" customFormat="1" ht="37" customHeight="1" x14ac:dyDescent="0.2">
      <c r="A172" s="2664"/>
      <c r="B172" s="3518"/>
      <c r="C172" s="57" t="s">
        <v>22</v>
      </c>
      <c r="D172" s="216">
        <f>D171/$G$171*100</f>
        <v>95.850591806885362</v>
      </c>
      <c r="E172" s="216">
        <f>E171/$G$171*100</f>
        <v>0</v>
      </c>
      <c r="F172" s="216">
        <f>F171/$G$171*100</f>
        <v>4.1494081931146374</v>
      </c>
      <c r="G172" s="216"/>
      <c r="H172" s="214">
        <f t="shared" si="15"/>
        <v>0</v>
      </c>
      <c r="I172" s="2599"/>
      <c r="J172" s="2599"/>
      <c r="K172" s="2599"/>
      <c r="L172" s="2599"/>
      <c r="M172" s="2599"/>
      <c r="N172" s="2599"/>
    </row>
    <row r="173" spans="1:14" s="1" customFormat="1" ht="37" customHeight="1" x14ac:dyDescent="0.2">
      <c r="A173" s="2664">
        <v>3</v>
      </c>
      <c r="B173" s="3518" t="s">
        <v>146</v>
      </c>
      <c r="C173" s="57" t="s">
        <v>21</v>
      </c>
      <c r="D173" s="831">
        <v>12172.8</v>
      </c>
      <c r="E173" s="214">
        <v>0</v>
      </c>
      <c r="F173" s="831">
        <v>414.72</v>
      </c>
      <c r="G173" s="831">
        <f>SUM(D173:F173)</f>
        <v>12587.519999999999</v>
      </c>
      <c r="H173" s="214">
        <f t="shared" si="15"/>
        <v>2.9148011968646768</v>
      </c>
      <c r="I173" s="2599"/>
      <c r="J173" s="2599"/>
      <c r="K173" s="2599"/>
      <c r="L173" s="2599"/>
      <c r="M173" s="2599"/>
      <c r="N173" s="2599"/>
    </row>
    <row r="174" spans="1:14" s="1" customFormat="1" ht="37" customHeight="1" x14ac:dyDescent="0.2">
      <c r="A174" s="2664"/>
      <c r="B174" s="3518"/>
      <c r="C174" s="57" t="s">
        <v>22</v>
      </c>
      <c r="D174" s="216">
        <f>D173/$G$173*100</f>
        <v>96.705308114704096</v>
      </c>
      <c r="E174" s="216">
        <f>E173/$G$173*100</f>
        <v>0</v>
      </c>
      <c r="F174" s="216">
        <f>F173/$G$173*100</f>
        <v>3.2946918852959124</v>
      </c>
      <c r="G174" s="216"/>
      <c r="H174" s="214">
        <f t="shared" si="15"/>
        <v>0</v>
      </c>
      <c r="I174" s="2599"/>
      <c r="J174" s="2599"/>
      <c r="K174" s="2599"/>
      <c r="L174" s="2599"/>
      <c r="M174" s="2599"/>
      <c r="N174" s="2599"/>
    </row>
    <row r="175" spans="1:14" s="1" customFormat="1" ht="37" customHeight="1" x14ac:dyDescent="0.2">
      <c r="A175" s="2664">
        <v>4</v>
      </c>
      <c r="B175" s="3519" t="s">
        <v>125</v>
      </c>
      <c r="C175" s="57" t="s">
        <v>21</v>
      </c>
      <c r="D175" s="831">
        <v>27332.799999999999</v>
      </c>
      <c r="E175" s="214"/>
      <c r="F175" s="831">
        <v>1574.4</v>
      </c>
      <c r="G175" s="831">
        <f>SUM(D175:F175)</f>
        <v>28907.200000000001</v>
      </c>
      <c r="H175" s="214">
        <f t="shared" si="15"/>
        <v>6.6938317601883925</v>
      </c>
      <c r="I175" s="2599"/>
      <c r="J175" s="2599"/>
      <c r="K175" s="2599"/>
      <c r="L175" s="2599"/>
      <c r="M175" s="2599"/>
      <c r="N175" s="2599"/>
    </row>
    <row r="176" spans="1:14" s="1" customFormat="1" ht="37" customHeight="1" x14ac:dyDescent="0.2">
      <c r="A176" s="2664"/>
      <c r="B176" s="3519"/>
      <c r="C176" s="57" t="s">
        <v>22</v>
      </c>
      <c r="D176" s="216">
        <f>D175/$G$175*100</f>
        <v>94.553606022029115</v>
      </c>
      <c r="E176" s="216">
        <f>E175/$G$175*100</f>
        <v>0</v>
      </c>
      <c r="F176" s="216">
        <f>F175/$G$175*100</f>
        <v>5.4463939779708861</v>
      </c>
      <c r="G176" s="216"/>
      <c r="H176" s="214">
        <f t="shared" si="15"/>
        <v>0</v>
      </c>
      <c r="I176" s="2599"/>
      <c r="J176" s="2599"/>
      <c r="K176" s="2599"/>
      <c r="L176" s="2599"/>
      <c r="M176" s="2599"/>
      <c r="N176" s="2599"/>
    </row>
    <row r="177" spans="1:14" s="1" customFormat="1" ht="37" customHeight="1" x14ac:dyDescent="0.2">
      <c r="A177" s="2664">
        <v>5</v>
      </c>
      <c r="B177" s="3519" t="s">
        <v>117</v>
      </c>
      <c r="C177" s="57" t="s">
        <v>21</v>
      </c>
      <c r="D177" s="831">
        <v>19118.400000000001</v>
      </c>
      <c r="E177" s="214"/>
      <c r="F177" s="831">
        <v>850.88</v>
      </c>
      <c r="G177" s="831">
        <f>SUM(D177:F177)</f>
        <v>19969.280000000002</v>
      </c>
      <c r="H177" s="214">
        <f t="shared" si="15"/>
        <v>4.6241421061913606</v>
      </c>
      <c r="I177" s="2599"/>
      <c r="J177" s="2599"/>
      <c r="K177" s="2599"/>
      <c r="L177" s="2599"/>
      <c r="M177" s="2599"/>
      <c r="N177" s="2599"/>
    </row>
    <row r="178" spans="1:14" s="1" customFormat="1" ht="37" customHeight="1" x14ac:dyDescent="0.2">
      <c r="A178" s="2664"/>
      <c r="B178" s="3519"/>
      <c r="C178" s="57" t="s">
        <v>22</v>
      </c>
      <c r="D178" s="216">
        <f>D177/$G$177*100</f>
        <v>95.739055188769953</v>
      </c>
      <c r="E178" s="216">
        <f>E177/$G$177*100</f>
        <v>0</v>
      </c>
      <c r="F178" s="216">
        <f>F177/$G$177*100</f>
        <v>4.2609448112300488</v>
      </c>
      <c r="G178" s="216"/>
      <c r="H178" s="214">
        <f t="shared" si="15"/>
        <v>0</v>
      </c>
      <c r="I178" s="2599"/>
      <c r="J178" s="2599"/>
      <c r="K178" s="2599"/>
      <c r="L178" s="2599"/>
      <c r="M178" s="2599"/>
      <c r="N178" s="2599"/>
    </row>
    <row r="179" spans="1:14" s="1" customFormat="1" ht="44" customHeight="1" x14ac:dyDescent="0.2">
      <c r="A179" s="2664">
        <v>6</v>
      </c>
      <c r="B179" s="3518" t="s">
        <v>637</v>
      </c>
      <c r="C179" s="57" t="s">
        <v>21</v>
      </c>
      <c r="D179" s="831">
        <v>10596.8</v>
      </c>
      <c r="E179" s="214"/>
      <c r="F179" s="831">
        <v>576.64</v>
      </c>
      <c r="G179" s="831">
        <f>SUM(D179:F179)</f>
        <v>11173.439999999999</v>
      </c>
      <c r="H179" s="214">
        <f t="shared" si="15"/>
        <v>2.5873528927934699</v>
      </c>
      <c r="I179" s="2599" t="s">
        <v>774</v>
      </c>
      <c r="J179" s="2599"/>
      <c r="K179" s="2599"/>
      <c r="L179" s="2599"/>
      <c r="M179" s="2599"/>
      <c r="N179" s="2599"/>
    </row>
    <row r="180" spans="1:14" s="1" customFormat="1" ht="44" customHeight="1" x14ac:dyDescent="0.2">
      <c r="A180" s="2664"/>
      <c r="B180" s="3518"/>
      <c r="C180" s="57" t="s">
        <v>22</v>
      </c>
      <c r="D180" s="216">
        <f>D179/$G$179*100</f>
        <v>94.83919007933099</v>
      </c>
      <c r="E180" s="216">
        <f>E179/$G$179*100</f>
        <v>0</v>
      </c>
      <c r="F180" s="216">
        <f>F179/$G$179*100</f>
        <v>5.1608099206690152</v>
      </c>
      <c r="G180" s="214"/>
      <c r="H180" s="214">
        <f t="shared" si="15"/>
        <v>0</v>
      </c>
      <c r="I180" s="2599"/>
      <c r="J180" s="2599"/>
      <c r="K180" s="2599"/>
      <c r="L180" s="2599"/>
      <c r="M180" s="2599"/>
      <c r="N180" s="2599"/>
    </row>
    <row r="181" spans="1:14" s="1" customFormat="1" ht="44" customHeight="1" x14ac:dyDescent="0.2">
      <c r="A181" s="2664">
        <v>7</v>
      </c>
      <c r="B181" s="3519" t="s">
        <v>129</v>
      </c>
      <c r="C181" s="57" t="s">
        <v>21</v>
      </c>
      <c r="D181" s="831">
        <v>24017.599999999999</v>
      </c>
      <c r="E181" s="214"/>
      <c r="F181" s="831">
        <v>1322.24</v>
      </c>
      <c r="G181" s="831">
        <f>SUM(D181:F181)</f>
        <v>25339.84</v>
      </c>
      <c r="H181" s="214">
        <f t="shared" si="15"/>
        <v>5.8677639408207032</v>
      </c>
      <c r="I181" s="2599"/>
      <c r="J181" s="2599"/>
      <c r="K181" s="2599"/>
      <c r="L181" s="2599"/>
      <c r="M181" s="2599"/>
      <c r="N181" s="2599"/>
    </row>
    <row r="182" spans="1:14" s="1" customFormat="1" ht="44" customHeight="1" x14ac:dyDescent="0.2">
      <c r="A182" s="2664"/>
      <c r="B182" s="3519"/>
      <c r="C182" s="57" t="s">
        <v>22</v>
      </c>
      <c r="D182" s="216">
        <f>D181/$G$181*100</f>
        <v>94.781971788298577</v>
      </c>
      <c r="E182" s="216">
        <f>E181/$G$181*100</f>
        <v>0</v>
      </c>
      <c r="F182" s="216">
        <f>F181/$G$181*100</f>
        <v>5.2180282117014158</v>
      </c>
      <c r="G182" s="214"/>
      <c r="H182" s="214">
        <f t="shared" si="15"/>
        <v>0</v>
      </c>
      <c r="I182" s="2599"/>
      <c r="J182" s="2599"/>
      <c r="K182" s="2599"/>
      <c r="L182" s="2599"/>
      <c r="M182" s="2599"/>
      <c r="N182" s="2599"/>
    </row>
    <row r="183" spans="1:14" s="1" customFormat="1" ht="44" customHeight="1" x14ac:dyDescent="0.2">
      <c r="A183" s="2664">
        <v>8</v>
      </c>
      <c r="B183" s="3518" t="s">
        <v>112</v>
      </c>
      <c r="C183" s="57" t="s">
        <v>21</v>
      </c>
      <c r="D183" s="831">
        <v>8713.6</v>
      </c>
      <c r="E183" s="214"/>
      <c r="F183" s="831">
        <v>345.6</v>
      </c>
      <c r="G183" s="831">
        <f>SUM(D183:F183)</f>
        <v>9059.2000000000007</v>
      </c>
      <c r="H183" s="214">
        <f t="shared" si="15"/>
        <v>2.097773588652609</v>
      </c>
      <c r="I183" s="2599"/>
      <c r="J183" s="2599"/>
      <c r="K183" s="2599"/>
      <c r="L183" s="2599"/>
      <c r="M183" s="2599"/>
      <c r="N183" s="2599"/>
    </row>
    <row r="184" spans="1:14" s="1" customFormat="1" ht="44" customHeight="1" x14ac:dyDescent="0.2">
      <c r="A184" s="2664"/>
      <c r="B184" s="3518"/>
      <c r="C184" s="57" t="s">
        <v>22</v>
      </c>
      <c r="D184" s="216">
        <f>D183/$G$183*100</f>
        <v>96.185093606499464</v>
      </c>
      <c r="E184" s="216">
        <f>E183/$G$183*100</f>
        <v>0</v>
      </c>
      <c r="F184" s="216">
        <f>F183/$G$183*100</f>
        <v>3.8149063935005301</v>
      </c>
      <c r="G184" s="214"/>
      <c r="H184" s="214">
        <f t="shared" si="15"/>
        <v>0</v>
      </c>
      <c r="I184" s="2599"/>
      <c r="J184" s="2599"/>
      <c r="K184" s="2599"/>
      <c r="L184" s="2599"/>
      <c r="M184" s="2599"/>
      <c r="N184" s="2599"/>
    </row>
    <row r="185" spans="1:14" s="1" customFormat="1" ht="44" customHeight="1" x14ac:dyDescent="0.2">
      <c r="A185" s="3518" t="s">
        <v>1089</v>
      </c>
      <c r="B185" s="3518"/>
      <c r="C185" s="971" t="s">
        <v>21</v>
      </c>
      <c r="D185" s="972">
        <f>SUMIFS(D169:D184,$C$169:$C$184,"m2")</f>
        <v>405588.79999999993</v>
      </c>
      <c r="E185" s="972">
        <f>SUMIFS(E169:E184,$C$169:$C$184,"m2")</f>
        <v>0</v>
      </c>
      <c r="F185" s="972">
        <f>SUMIFS(F169:F184,$C$169:$C$184,"m2")</f>
        <v>26259.520000000004</v>
      </c>
      <c r="G185" s="972">
        <f>SUM(D185:F185)</f>
        <v>431848.31999999995</v>
      </c>
      <c r="H185" s="214">
        <f t="shared" si="15"/>
        <v>100</v>
      </c>
      <c r="I185" s="2599"/>
      <c r="J185" s="2599"/>
      <c r="K185" s="2599"/>
      <c r="L185" s="2599"/>
      <c r="M185" s="2599"/>
      <c r="N185" s="2599"/>
    </row>
    <row r="186" spans="1:14" s="1" customFormat="1" ht="44" customHeight="1" x14ac:dyDescent="0.2">
      <c r="A186" s="3518"/>
      <c r="B186" s="3518"/>
      <c r="C186" s="971" t="s">
        <v>22</v>
      </c>
      <c r="D186" s="973">
        <f>D185/$G$185*100</f>
        <v>93.919272396382141</v>
      </c>
      <c r="E186" s="973">
        <f>E185/$G$185*100</f>
        <v>0</v>
      </c>
      <c r="F186" s="973">
        <f>F185/$G$185*100</f>
        <v>6.0807276036178646</v>
      </c>
      <c r="G186" s="974"/>
      <c r="H186" s="214">
        <f t="shared" si="15"/>
        <v>0</v>
      </c>
      <c r="I186" s="2599"/>
      <c r="J186" s="2599"/>
      <c r="K186" s="2599"/>
      <c r="L186" s="2599"/>
      <c r="M186" s="2599"/>
      <c r="N186" s="2599"/>
    </row>
    <row r="187" spans="1:14" s="1" customFormat="1" ht="44" customHeight="1" x14ac:dyDescent="0.2">
      <c r="A187" s="221" t="s">
        <v>39</v>
      </c>
      <c r="B187" s="2551" t="s">
        <v>134</v>
      </c>
      <c r="C187" s="2551"/>
      <c r="D187" s="222" t="s">
        <v>6</v>
      </c>
      <c r="E187" s="222" t="s">
        <v>135</v>
      </c>
      <c r="F187" s="222" t="s">
        <v>43</v>
      </c>
      <c r="G187" s="222" t="s">
        <v>10</v>
      </c>
      <c r="H187" s="391" t="s">
        <v>314</v>
      </c>
      <c r="I187" s="2605" t="s">
        <v>47</v>
      </c>
      <c r="J187" s="2605"/>
      <c r="K187" s="2605"/>
      <c r="L187" s="2605"/>
      <c r="M187" s="2605"/>
      <c r="N187" s="2605"/>
    </row>
    <row r="188" spans="1:14" s="1" customFormat="1" ht="38" hidden="1" customHeight="1" x14ac:dyDescent="0.2">
      <c r="A188" s="3433">
        <v>1</v>
      </c>
      <c r="B188" s="2599" t="s">
        <v>323</v>
      </c>
      <c r="C188" s="2599"/>
      <c r="D188" s="2600" t="s">
        <v>327</v>
      </c>
      <c r="E188" s="224" t="s">
        <v>583</v>
      </c>
      <c r="F188" s="830">
        <f>G119</f>
        <v>0</v>
      </c>
      <c r="G188" s="224" t="e">
        <f>F188/$J$16</f>
        <v>#DIV/0!</v>
      </c>
      <c r="H188" s="214">
        <f>F188/$F$193*100</f>
        <v>0</v>
      </c>
      <c r="I188" s="2600"/>
      <c r="J188" s="2600"/>
      <c r="K188" s="2600"/>
      <c r="L188" s="2600"/>
      <c r="M188" s="2600"/>
      <c r="N188" s="2600"/>
    </row>
    <row r="189" spans="1:14" s="1" customFormat="1" ht="38" hidden="1" customHeight="1" x14ac:dyDescent="0.2">
      <c r="A189" s="3433"/>
      <c r="B189" s="2599"/>
      <c r="C189" s="2599"/>
      <c r="D189" s="2600"/>
      <c r="E189" s="224" t="s">
        <v>727</v>
      </c>
      <c r="F189" s="830">
        <f>G135</f>
        <v>0</v>
      </c>
      <c r="G189" s="224" t="e">
        <f>F189/$J$16</f>
        <v>#DIV/0!</v>
      </c>
      <c r="H189" s="214">
        <f>F189/$F$193*100</f>
        <v>0</v>
      </c>
      <c r="I189" s="2600"/>
      <c r="J189" s="2600"/>
      <c r="K189" s="2600"/>
      <c r="L189" s="2600"/>
      <c r="M189" s="2600"/>
      <c r="N189" s="2600"/>
    </row>
    <row r="190" spans="1:14" s="1" customFormat="1" ht="45" customHeight="1" x14ac:dyDescent="0.2">
      <c r="A190" s="3433">
        <v>1</v>
      </c>
      <c r="B190" s="2599" t="s">
        <v>323</v>
      </c>
      <c r="C190" s="2599"/>
      <c r="D190" s="2600" t="s">
        <v>328</v>
      </c>
      <c r="E190" s="224" t="s">
        <v>727</v>
      </c>
      <c r="F190" s="830">
        <f>G151</f>
        <v>0</v>
      </c>
      <c r="G190" s="224">
        <f>F190/$J$22</f>
        <v>0</v>
      </c>
      <c r="H190" s="214">
        <f>F190/$F$193*100</f>
        <v>0</v>
      </c>
      <c r="I190" s="2600"/>
      <c r="J190" s="2600"/>
      <c r="K190" s="2600"/>
      <c r="L190" s="2600"/>
      <c r="M190" s="2600"/>
      <c r="N190" s="2600"/>
    </row>
    <row r="191" spans="1:14" s="1" customFormat="1" ht="45" customHeight="1" x14ac:dyDescent="0.2">
      <c r="A191" s="3433"/>
      <c r="B191" s="2599"/>
      <c r="C191" s="2599"/>
      <c r="D191" s="2600"/>
      <c r="E191" s="224" t="s">
        <v>728</v>
      </c>
      <c r="F191" s="830">
        <f>G167</f>
        <v>4438.8</v>
      </c>
      <c r="G191" s="224">
        <f>F191/$J$22</f>
        <v>0.5</v>
      </c>
      <c r="H191" s="214">
        <f>F191/$F$193*100</f>
        <v>1.0174034016864859</v>
      </c>
      <c r="I191" s="2600"/>
      <c r="J191" s="2600"/>
      <c r="K191" s="2600"/>
      <c r="L191" s="2600"/>
      <c r="M191" s="2600"/>
      <c r="N191" s="2600"/>
    </row>
    <row r="192" spans="1:14" s="1" customFormat="1" ht="45" customHeight="1" x14ac:dyDescent="0.2">
      <c r="A192" s="223">
        <v>2</v>
      </c>
      <c r="B192" s="2599" t="s">
        <v>324</v>
      </c>
      <c r="C192" s="2599"/>
      <c r="D192" s="224" t="s">
        <v>325</v>
      </c>
      <c r="E192" s="224" t="s">
        <v>140</v>
      </c>
      <c r="F192" s="830">
        <f>G185</f>
        <v>431848.31999999995</v>
      </c>
      <c r="G192" s="224">
        <f>F192/$J$28</f>
        <v>29.999999999999996</v>
      </c>
      <c r="H192" s="214">
        <f>F192/$F$193*100</f>
        <v>98.982596598313521</v>
      </c>
      <c r="I192" s="2600"/>
      <c r="J192" s="2600"/>
      <c r="K192" s="2600"/>
      <c r="L192" s="2600"/>
      <c r="M192" s="2600"/>
      <c r="N192" s="2600"/>
    </row>
    <row r="193" spans="1:16" s="1" customFormat="1" ht="45" customHeight="1" x14ac:dyDescent="0.2">
      <c r="A193" s="3377" t="s">
        <v>807</v>
      </c>
      <c r="B193" s="3377"/>
      <c r="C193" s="3377"/>
      <c r="D193" s="225" t="s">
        <v>142</v>
      </c>
      <c r="E193" s="225" t="s">
        <v>142</v>
      </c>
      <c r="F193" s="860">
        <f>SUM(F188:F192)</f>
        <v>436287.11999999994</v>
      </c>
      <c r="G193" s="226">
        <f>SUM(G191:G192)</f>
        <v>30.499999999999996</v>
      </c>
      <c r="H193" s="227">
        <f>SUM(H188:H192)</f>
        <v>100</v>
      </c>
      <c r="I193" s="2603"/>
      <c r="J193" s="2603"/>
      <c r="K193" s="2603"/>
      <c r="L193" s="2603"/>
      <c r="M193" s="2603"/>
      <c r="N193" s="2603"/>
    </row>
    <row r="194" spans="1:16" s="1" customFormat="1" ht="28" customHeight="1" x14ac:dyDescent="0.2">
      <c r="A194" s="3162" t="s">
        <v>1090</v>
      </c>
      <c r="B194" s="3162"/>
      <c r="C194" s="3162"/>
      <c r="D194" s="3162"/>
      <c r="E194" s="3162"/>
      <c r="F194" s="3162"/>
      <c r="G194" s="3162"/>
      <c r="H194" s="3162"/>
      <c r="I194" s="3162"/>
      <c r="J194" s="3162"/>
      <c r="K194" s="3162"/>
      <c r="L194" s="3162"/>
      <c r="M194" s="3162"/>
      <c r="N194" s="3162"/>
    </row>
    <row r="195" spans="1:16" s="1" customFormat="1" ht="27" customHeight="1" x14ac:dyDescent="0.2">
      <c r="A195" s="3162" t="s">
        <v>147</v>
      </c>
      <c r="B195" s="3162"/>
      <c r="C195" s="3162"/>
      <c r="D195" s="3162"/>
      <c r="E195" s="3162"/>
      <c r="F195" s="3162"/>
      <c r="G195" s="3162"/>
      <c r="H195" s="3162"/>
      <c r="I195" s="3162"/>
      <c r="J195" s="3162"/>
      <c r="K195" s="3162"/>
      <c r="L195" s="3162"/>
      <c r="M195" s="3162"/>
      <c r="N195" s="3162"/>
    </row>
    <row r="196" spans="1:16" s="1" customFormat="1" ht="41" customHeight="1" x14ac:dyDescent="0.15">
      <c r="A196" s="1783" t="s">
        <v>39</v>
      </c>
      <c r="B196" s="1947" t="s">
        <v>148</v>
      </c>
      <c r="C196" s="1946"/>
      <c r="D196" s="808" t="s">
        <v>17</v>
      </c>
      <c r="E196" s="1785" t="s">
        <v>149</v>
      </c>
      <c r="F196" s="1785" t="s">
        <v>150</v>
      </c>
      <c r="G196" s="1786" t="s">
        <v>151</v>
      </c>
      <c r="H196" s="1787" t="s">
        <v>152</v>
      </c>
      <c r="I196" s="1788" t="s">
        <v>153</v>
      </c>
      <c r="J196" s="3517" t="s">
        <v>47</v>
      </c>
      <c r="K196" s="3517"/>
      <c r="L196" s="3517"/>
      <c r="M196" s="3517"/>
      <c r="N196" s="3517"/>
    </row>
    <row r="197" spans="1:16" s="1" customFormat="1" ht="26" customHeight="1" x14ac:dyDescent="0.15">
      <c r="A197" s="12">
        <v>1</v>
      </c>
      <c r="B197" s="1661" t="s">
        <v>163</v>
      </c>
      <c r="C197" s="1944"/>
      <c r="D197" s="51" t="s">
        <v>164</v>
      </c>
      <c r="E197" s="1071">
        <v>18.760000000000002</v>
      </c>
      <c r="F197" s="1789">
        <f>G197/M197</f>
        <v>18.716196747475234</v>
      </c>
      <c r="G197" s="342">
        <v>9130189</v>
      </c>
      <c r="H197" s="269">
        <f>-(F197-E197)*M197</f>
        <v>21368.228799999495</v>
      </c>
      <c r="I197" s="1790">
        <v>0</v>
      </c>
      <c r="J197" s="2752" t="s">
        <v>165</v>
      </c>
      <c r="K197" s="2752"/>
      <c r="L197" s="2752"/>
      <c r="M197" s="2768">
        <f>F96</f>
        <v>487822.87999999989</v>
      </c>
      <c r="N197" s="2768"/>
    </row>
    <row r="198" spans="1:16" s="1" customFormat="1" ht="26" customHeight="1" x14ac:dyDescent="0.2">
      <c r="A198" s="12">
        <v>2</v>
      </c>
      <c r="B198" s="1948" t="s">
        <v>1057</v>
      </c>
      <c r="C198" s="1949"/>
      <c r="D198" s="51" t="s">
        <v>164</v>
      </c>
      <c r="E198" s="1072">
        <v>0.48599999999999999</v>
      </c>
      <c r="F198" s="1791">
        <f>G198/M199</f>
        <v>0.4526431991502779</v>
      </c>
      <c r="G198" s="260">
        <v>172099</v>
      </c>
      <c r="H198" s="531">
        <f>-(F198-E198)*M199</f>
        <v>12682.55455999995</v>
      </c>
      <c r="I198" s="261">
        <v>0</v>
      </c>
      <c r="J198" s="2748" t="s">
        <v>167</v>
      </c>
      <c r="K198" s="2748"/>
      <c r="L198" s="2748"/>
      <c r="M198" s="3432">
        <f>F94</f>
        <v>107613.92</v>
      </c>
      <c r="N198" s="3433"/>
    </row>
    <row r="199" spans="1:16" s="1" customFormat="1" ht="26" customHeight="1" x14ac:dyDescent="0.15">
      <c r="A199" s="12">
        <v>3</v>
      </c>
      <c r="B199" s="1661" t="s">
        <v>1058</v>
      </c>
      <c r="C199" s="1944"/>
      <c r="D199" s="51" t="s">
        <v>169</v>
      </c>
      <c r="E199" s="1072">
        <v>0.38300000000000001</v>
      </c>
      <c r="F199" s="1791"/>
      <c r="G199" s="260">
        <v>0</v>
      </c>
      <c r="H199" s="1792"/>
      <c r="I199" s="261">
        <v>0</v>
      </c>
      <c r="J199" s="2748" t="s">
        <v>170</v>
      </c>
      <c r="K199" s="2748"/>
      <c r="L199" s="2748"/>
      <c r="M199" s="3432">
        <f>F93</f>
        <v>380208.9599999999</v>
      </c>
      <c r="N199" s="3433"/>
      <c r="O199" s="1793"/>
      <c r="P199" s="479"/>
    </row>
    <row r="200" spans="1:16" s="1" customFormat="1" ht="26" customHeight="1" x14ac:dyDescent="0.15">
      <c r="A200" s="12">
        <v>4</v>
      </c>
      <c r="B200" s="1661" t="s">
        <v>1056</v>
      </c>
      <c r="C200" s="1944"/>
      <c r="D200" s="51" t="s">
        <v>164</v>
      </c>
      <c r="E200" s="1072">
        <v>0.53800000000000003</v>
      </c>
      <c r="F200" s="1791">
        <f>G200/M198</f>
        <v>0.53849910866549611</v>
      </c>
      <c r="G200" s="260">
        <v>57950</v>
      </c>
      <c r="H200" s="64"/>
      <c r="I200" s="261"/>
      <c r="J200" s="2748" t="s">
        <v>172</v>
      </c>
      <c r="K200" s="2748"/>
      <c r="L200" s="2748"/>
      <c r="M200" s="3432">
        <f>F95</f>
        <v>0</v>
      </c>
      <c r="N200" s="3433"/>
    </row>
    <row r="201" spans="1:16" s="1" customFormat="1" ht="26" customHeight="1" x14ac:dyDescent="0.15">
      <c r="A201" s="12">
        <v>5</v>
      </c>
      <c r="B201" s="1661" t="s">
        <v>1060</v>
      </c>
      <c r="C201" s="1944"/>
      <c r="D201" s="51" t="s">
        <v>164</v>
      </c>
      <c r="E201" s="1072">
        <v>0.57199999999999995</v>
      </c>
      <c r="F201" s="1019">
        <f>G201/M199</f>
        <v>0.55290385581654899</v>
      </c>
      <c r="G201" s="260">
        <v>210219</v>
      </c>
      <c r="H201" s="531">
        <f>-(F201-E201)*M199</f>
        <v>7260.5251199999366</v>
      </c>
      <c r="I201" s="56">
        <f>--(F201-E201)*L198</f>
        <v>0</v>
      </c>
      <c r="J201" s="2748" t="s">
        <v>174</v>
      </c>
      <c r="K201" s="2748"/>
      <c r="L201" s="2748"/>
      <c r="M201" s="2894">
        <f>M197+L10</f>
        <v>490285.27999999991</v>
      </c>
      <c r="N201" s="2894"/>
    </row>
    <row r="202" spans="1:16" s="1" customFormat="1" ht="26" customHeight="1" x14ac:dyDescent="0.15">
      <c r="A202" s="12">
        <v>6</v>
      </c>
      <c r="B202" s="1661" t="s">
        <v>1059</v>
      </c>
      <c r="C202" s="1944"/>
      <c r="D202" s="51" t="s">
        <v>164</v>
      </c>
      <c r="E202" s="1072">
        <v>0.624</v>
      </c>
      <c r="F202" s="1019">
        <f>G202/M198</f>
        <v>0.58327026838163687</v>
      </c>
      <c r="G202" s="260">
        <v>62768</v>
      </c>
      <c r="H202" s="531">
        <f>-(F202-E202)*M198</f>
        <v>4383.08608</v>
      </c>
      <c r="I202" s="260"/>
      <c r="J202" s="2664"/>
      <c r="K202" s="2664"/>
      <c r="L202" s="2664"/>
      <c r="M202" s="2664"/>
      <c r="N202" s="2664"/>
    </row>
    <row r="203" spans="1:16" s="1" customFormat="1" ht="26" customHeight="1" x14ac:dyDescent="0.15">
      <c r="A203" s="12">
        <v>7</v>
      </c>
      <c r="B203" s="1661" t="s">
        <v>1091</v>
      </c>
      <c r="C203" s="1944"/>
      <c r="D203" s="51" t="s">
        <v>164</v>
      </c>
      <c r="E203" s="1072">
        <v>0.434</v>
      </c>
      <c r="F203" s="1166" t="s">
        <v>142</v>
      </c>
      <c r="G203" s="260">
        <v>0</v>
      </c>
      <c r="H203" s="1121"/>
      <c r="I203" s="260"/>
      <c r="J203" s="2664"/>
      <c r="K203" s="2664"/>
      <c r="L203" s="2664"/>
      <c r="M203" s="2664"/>
      <c r="N203" s="2664"/>
    </row>
    <row r="204" spans="1:16" s="1" customFormat="1" ht="26" customHeight="1" x14ac:dyDescent="0.15">
      <c r="A204" s="12">
        <v>8</v>
      </c>
      <c r="B204" s="1661" t="s">
        <v>176</v>
      </c>
      <c r="C204" s="1944"/>
      <c r="D204" s="51" t="s">
        <v>169</v>
      </c>
      <c r="E204" s="259">
        <v>0.69699999999999995</v>
      </c>
      <c r="F204" s="1019">
        <f>G204/M197</f>
        <v>0.69741501259637528</v>
      </c>
      <c r="G204" s="260">
        <v>340215</v>
      </c>
      <c r="H204" s="531"/>
      <c r="I204" s="1122">
        <v>0</v>
      </c>
      <c r="J204" s="2664"/>
      <c r="K204" s="2664"/>
      <c r="L204" s="2664"/>
      <c r="M204" s="2664"/>
      <c r="N204" s="2664"/>
    </row>
    <row r="205" spans="1:16" s="1" customFormat="1" ht="26" customHeight="1" x14ac:dyDescent="0.15">
      <c r="A205" s="12">
        <v>9</v>
      </c>
      <c r="B205" s="1661" t="s">
        <v>177</v>
      </c>
      <c r="C205" s="1944"/>
      <c r="D205" s="51" t="s">
        <v>164</v>
      </c>
      <c r="E205" s="262">
        <v>3.7100000000000001E-2</v>
      </c>
      <c r="F205" s="1018">
        <f>G205/M201</f>
        <v>3.5958656560115376E-2</v>
      </c>
      <c r="G205" s="260">
        <v>17630</v>
      </c>
      <c r="H205" s="531">
        <f>-(F205-E205)*M197</f>
        <v>556.77344391362442</v>
      </c>
      <c r="I205" s="64">
        <v>0</v>
      </c>
      <c r="J205" s="2861"/>
      <c r="K205" s="2861"/>
      <c r="L205" s="2861"/>
      <c r="M205" s="2861"/>
      <c r="N205" s="2861"/>
    </row>
    <row r="206" spans="1:16" s="1" customFormat="1" ht="26" customHeight="1" x14ac:dyDescent="0.15">
      <c r="A206" s="12">
        <v>10</v>
      </c>
      <c r="B206" s="1661" t="s">
        <v>178</v>
      </c>
      <c r="C206" s="1944"/>
      <c r="D206" s="51" t="s">
        <v>164</v>
      </c>
      <c r="E206" s="262">
        <v>8.2000000000000007E-3</v>
      </c>
      <c r="F206" s="1018">
        <f>G206/M201</f>
        <v>7.3426638466486298E-3</v>
      </c>
      <c r="G206" s="260">
        <v>3600</v>
      </c>
      <c r="H206" s="531">
        <f>-(F206-E206)*M197</f>
        <v>418.22819145598731</v>
      </c>
      <c r="I206" s="1023"/>
      <c r="J206" s="2861"/>
      <c r="K206" s="2861"/>
      <c r="L206" s="2861"/>
      <c r="M206" s="2861"/>
      <c r="N206" s="2861"/>
    </row>
    <row r="207" spans="1:16" s="1" customFormat="1" ht="26" customHeight="1" x14ac:dyDescent="0.15">
      <c r="A207" s="12">
        <v>11</v>
      </c>
      <c r="B207" s="1661" t="s">
        <v>179</v>
      </c>
      <c r="C207" s="1944"/>
      <c r="D207" s="51" t="s">
        <v>164</v>
      </c>
      <c r="E207" s="262">
        <v>4.6100000000000002E-2</v>
      </c>
      <c r="F207" s="1018">
        <f>G207/M197</f>
        <v>7.6667170674733442E-2</v>
      </c>
      <c r="G207" s="260">
        <v>37400</v>
      </c>
      <c r="I207" s="531">
        <f>(F207-E207)*M197</f>
        <v>14911.365232000007</v>
      </c>
      <c r="J207" s="2861" t="s">
        <v>1092</v>
      </c>
      <c r="K207" s="2861"/>
      <c r="L207" s="2861"/>
      <c r="M207" s="2861"/>
      <c r="N207" s="2861"/>
    </row>
    <row r="208" spans="1:16" s="1" customFormat="1" ht="26" customHeight="1" x14ac:dyDescent="0.15">
      <c r="A208" s="37">
        <v>12</v>
      </c>
      <c r="B208" s="1942" t="s">
        <v>180</v>
      </c>
      <c r="C208" s="1945"/>
      <c r="D208" s="1040" t="s">
        <v>164</v>
      </c>
      <c r="E208" s="1044">
        <v>3.0000000000000001E-3</v>
      </c>
      <c r="F208" s="1117">
        <f>G208/M201</f>
        <v>0</v>
      </c>
      <c r="G208" s="1118"/>
      <c r="H208" s="531"/>
      <c r="I208" s="1120">
        <f>--(F208-E208)*L205</f>
        <v>0</v>
      </c>
      <c r="J208" s="2865"/>
      <c r="K208" s="2865"/>
      <c r="L208" s="2865"/>
      <c r="M208" s="2865"/>
      <c r="N208" s="2865"/>
    </row>
    <row r="209" spans="1:15" s="1" customFormat="1" ht="26" customHeight="1" x14ac:dyDescent="0.15">
      <c r="A209" s="12">
        <v>13</v>
      </c>
      <c r="B209" s="1661" t="s">
        <v>181</v>
      </c>
      <c r="C209" s="1944"/>
      <c r="D209" s="51" t="s">
        <v>164</v>
      </c>
      <c r="E209" s="258">
        <v>3.0899999999999999E-3</v>
      </c>
      <c r="F209" s="1019"/>
      <c r="G209" s="260">
        <f>AA209</f>
        <v>0</v>
      </c>
      <c r="H209" s="1020" t="s">
        <v>142</v>
      </c>
      <c r="I209" s="64">
        <f>--(F209-E209)*L206</f>
        <v>0</v>
      </c>
      <c r="J209" s="2664"/>
      <c r="K209" s="2664"/>
      <c r="L209" s="2664"/>
      <c r="M209" s="2664"/>
      <c r="N209" s="2664"/>
    </row>
    <row r="210" spans="1:15" s="1" customFormat="1" ht="26" customHeight="1" x14ac:dyDescent="0.15">
      <c r="A210" s="12">
        <v>14</v>
      </c>
      <c r="B210" s="1661" t="s">
        <v>182</v>
      </c>
      <c r="C210" s="1944"/>
      <c r="D210" s="1021" t="s">
        <v>164</v>
      </c>
      <c r="E210" s="1022">
        <v>1.6259999999999999</v>
      </c>
      <c r="F210" s="1019">
        <f>G210/M197</f>
        <v>1.6036166446313469</v>
      </c>
      <c r="G210" s="260">
        <v>782280.89</v>
      </c>
      <c r="H210" s="531">
        <f>-(F210-E210)*M201</f>
        <v>10974.229654259532</v>
      </c>
      <c r="I210" s="64">
        <f>--(F210-E210)*L207</f>
        <v>0</v>
      </c>
      <c r="J210" s="2664"/>
      <c r="K210" s="2664"/>
      <c r="L210" s="2664"/>
      <c r="M210" s="2664"/>
      <c r="N210" s="2664"/>
    </row>
    <row r="211" spans="1:15" s="1" customFormat="1" ht="26" customHeight="1" x14ac:dyDescent="0.15">
      <c r="A211" s="12">
        <v>15</v>
      </c>
      <c r="B211" s="1661" t="s">
        <v>183</v>
      </c>
      <c r="C211" s="1944"/>
      <c r="D211" s="51" t="s">
        <v>164</v>
      </c>
      <c r="E211" s="258">
        <v>6.4099999999999999E-3</v>
      </c>
      <c r="F211" s="933">
        <f>G211/M201</f>
        <v>6.3636420004288125E-3</v>
      </c>
      <c r="G211" s="260">
        <v>3120</v>
      </c>
      <c r="H211" s="531">
        <f>-(F211-E211)*M197</f>
        <v>22.614492861855421</v>
      </c>
      <c r="I211" s="1023"/>
      <c r="J211" s="2861"/>
      <c r="K211" s="2861"/>
      <c r="L211" s="2861"/>
      <c r="M211" s="2861"/>
      <c r="N211" s="2861"/>
    </row>
    <row r="212" spans="1:15" s="1" customFormat="1" ht="26" customHeight="1" x14ac:dyDescent="0.15">
      <c r="A212" s="12">
        <v>16</v>
      </c>
      <c r="B212" s="1661" t="s">
        <v>184</v>
      </c>
      <c r="C212" s="1944"/>
      <c r="D212" s="51" t="s">
        <v>169</v>
      </c>
      <c r="E212" s="258">
        <v>4.7239999999999997E-2</v>
      </c>
      <c r="F212" s="933">
        <f>G212/M197</f>
        <v>4.290491663695644E-2</v>
      </c>
      <c r="G212" s="260">
        <v>20930</v>
      </c>
      <c r="H212" s="531">
        <f>-(F212-E212)*M197</f>
        <v>2114.7528511999931</v>
      </c>
      <c r="I212" s="1023"/>
      <c r="J212" s="2664"/>
      <c r="K212" s="2664"/>
      <c r="L212" s="2664"/>
      <c r="M212" s="2664"/>
      <c r="N212" s="2664"/>
    </row>
    <row r="213" spans="1:15" s="1" customFormat="1" ht="31" customHeight="1" x14ac:dyDescent="0.15">
      <c r="A213" s="12">
        <v>17</v>
      </c>
      <c r="B213" s="1661" t="s">
        <v>185</v>
      </c>
      <c r="C213" s="1944"/>
      <c r="D213" s="51" t="s">
        <v>169</v>
      </c>
      <c r="E213" s="258"/>
      <c r="F213" s="1024"/>
      <c r="G213" s="260">
        <v>5905</v>
      </c>
      <c r="H213" s="1025"/>
      <c r="I213" s="64"/>
      <c r="J213" s="2861" t="s">
        <v>1093</v>
      </c>
      <c r="K213" s="2861"/>
      <c r="L213" s="2861"/>
      <c r="M213" s="2861"/>
      <c r="N213" s="2861"/>
    </row>
    <row r="214" spans="1:15" s="1" customFormat="1" ht="26" customHeight="1" x14ac:dyDescent="0.15">
      <c r="A214" s="12">
        <v>18</v>
      </c>
      <c r="B214" s="1661" t="s">
        <v>188</v>
      </c>
      <c r="C214" s="1944"/>
      <c r="D214" s="51" t="s">
        <v>164</v>
      </c>
      <c r="E214" s="258">
        <v>5.1999999999999998E-3</v>
      </c>
      <c r="F214" s="933">
        <f>G214/M197</f>
        <v>3.5053706378019834E-3</v>
      </c>
      <c r="G214" s="260">
        <v>1710</v>
      </c>
      <c r="H214" s="531">
        <f>-(F214-E214)*M197</f>
        <v>826.67897599999924</v>
      </c>
      <c r="I214" s="64">
        <f>--(F214-E214)*L212</f>
        <v>0</v>
      </c>
      <c r="J214" s="2664"/>
      <c r="K214" s="2664"/>
      <c r="L214" s="2664"/>
      <c r="M214" s="2664"/>
      <c r="N214" s="2664"/>
    </row>
    <row r="215" spans="1:15" s="1" customFormat="1" ht="17" customHeight="1" x14ac:dyDescent="0.15">
      <c r="A215" s="2"/>
      <c r="B215" s="4"/>
      <c r="C215" s="479"/>
      <c r="D215" s="68"/>
      <c r="E215" s="925"/>
      <c r="F215" s="926"/>
      <c r="G215" s="927"/>
      <c r="H215" s="928"/>
      <c r="I215" s="929"/>
      <c r="J215" s="2"/>
      <c r="K215" s="2"/>
      <c r="L215" s="2"/>
      <c r="M215" s="2"/>
      <c r="N215" s="2"/>
    </row>
    <row r="216" spans="1:15" s="1" customFormat="1" ht="26" hidden="1" customHeight="1" x14ac:dyDescent="0.2">
      <c r="A216" s="3061" t="s">
        <v>354</v>
      </c>
      <c r="B216" s="3061"/>
      <c r="C216" s="3061"/>
      <c r="D216" s="3061"/>
      <c r="E216" s="3061"/>
      <c r="F216" s="3061"/>
      <c r="G216" s="3061"/>
      <c r="H216" s="3061"/>
      <c r="I216" s="3061"/>
      <c r="J216" s="3061"/>
      <c r="K216" s="3061"/>
      <c r="L216" s="3061"/>
      <c r="M216" s="3061"/>
      <c r="N216" s="3061"/>
    </row>
    <row r="217" spans="1:15" s="1" customFormat="1" ht="30" hidden="1" customHeight="1" x14ac:dyDescent="0.15">
      <c r="A217" s="990" t="s">
        <v>39</v>
      </c>
      <c r="B217" s="3031" t="s">
        <v>191</v>
      </c>
      <c r="C217" s="2915"/>
      <c r="D217" s="990" t="s">
        <v>17</v>
      </c>
      <c r="E217" s="990" t="s">
        <v>192</v>
      </c>
      <c r="F217" s="990" t="s">
        <v>193</v>
      </c>
      <c r="G217" s="990" t="s">
        <v>151</v>
      </c>
      <c r="H217" s="1007" t="s">
        <v>152</v>
      </c>
      <c r="I217" s="1036" t="s">
        <v>153</v>
      </c>
      <c r="J217" s="3031" t="s">
        <v>47</v>
      </c>
      <c r="K217" s="3031"/>
      <c r="L217" s="3031"/>
      <c r="M217" s="3031"/>
      <c r="N217" s="3031"/>
    </row>
    <row r="218" spans="1:15" s="1" customFormat="1" ht="32" hidden="1" customHeight="1" x14ac:dyDescent="0.15">
      <c r="A218" s="264">
        <v>1</v>
      </c>
      <c r="B218" s="2880" t="s">
        <v>730</v>
      </c>
      <c r="C218" s="2915"/>
      <c r="D218" s="633" t="s">
        <v>49</v>
      </c>
      <c r="E218" s="1101">
        <v>21.26</v>
      </c>
      <c r="F218" s="261" t="e">
        <f>G218/$L$218*1000</f>
        <v>#DIV/0!</v>
      </c>
      <c r="G218" s="269"/>
      <c r="H218" s="531" t="e">
        <f>-(F218-E218)*L218</f>
        <v>#DIV/0!</v>
      </c>
      <c r="I218" s="445"/>
      <c r="J218" s="3437" t="s">
        <v>165</v>
      </c>
      <c r="K218" s="3437"/>
      <c r="L218" s="3438">
        <f>F188+F189</f>
        <v>0</v>
      </c>
      <c r="M218" s="3438"/>
      <c r="N218" s="3438"/>
      <c r="O218" s="526"/>
    </row>
    <row r="219" spans="1:15" s="1" customFormat="1" ht="32" hidden="1" customHeight="1" x14ac:dyDescent="0.15">
      <c r="A219" s="264">
        <v>2</v>
      </c>
      <c r="B219" s="2880" t="s">
        <v>731</v>
      </c>
      <c r="C219" s="2915"/>
      <c r="D219" s="633" t="s">
        <v>49</v>
      </c>
      <c r="E219" s="1098">
        <v>0.28000000000000003</v>
      </c>
      <c r="F219" s="268" t="e">
        <f>G219/$L$219</f>
        <v>#DIV/0!</v>
      </c>
      <c r="G219" s="269"/>
      <c r="H219" s="531"/>
      <c r="I219" s="445"/>
      <c r="J219" s="2748" t="s">
        <v>734</v>
      </c>
      <c r="K219" s="2748"/>
      <c r="L219" s="3440">
        <f>F188</f>
        <v>0</v>
      </c>
      <c r="M219" s="2664"/>
      <c r="N219" s="2664"/>
    </row>
    <row r="220" spans="1:15" s="1" customFormat="1" ht="32" hidden="1" customHeight="1" x14ac:dyDescent="0.15">
      <c r="A220" s="264">
        <v>3</v>
      </c>
      <c r="B220" s="2880" t="s">
        <v>732</v>
      </c>
      <c r="C220" s="2915"/>
      <c r="D220" s="633" t="s">
        <v>49</v>
      </c>
      <c r="E220" s="1098">
        <v>0.39</v>
      </c>
      <c r="F220" s="268" t="e">
        <f>G220/$L$220</f>
        <v>#DIV/0!</v>
      </c>
      <c r="G220" s="269"/>
      <c r="H220" s="531"/>
      <c r="I220" s="445"/>
      <c r="J220" s="3431" t="s">
        <v>735</v>
      </c>
      <c r="K220" s="3431"/>
      <c r="L220" s="3432">
        <f>F189</f>
        <v>0</v>
      </c>
      <c r="M220" s="3433"/>
      <c r="N220" s="3433"/>
    </row>
    <row r="221" spans="1:15" s="1" customFormat="1" ht="32" hidden="1" customHeight="1" x14ac:dyDescent="0.2">
      <c r="A221" s="264">
        <v>4</v>
      </c>
      <c r="B221" s="3412" t="s">
        <v>733</v>
      </c>
      <c r="C221" s="3412"/>
      <c r="D221" s="633" t="s">
        <v>49</v>
      </c>
      <c r="E221" s="1098">
        <v>9.2999999999999999E-2</v>
      </c>
      <c r="F221" s="268" t="e">
        <f>G221/L219</f>
        <v>#DIV/0!</v>
      </c>
      <c r="G221" s="269"/>
      <c r="H221" s="531"/>
      <c r="I221" s="531" t="e">
        <f>(F221-E221)*L219</f>
        <v>#DIV/0!</v>
      </c>
      <c r="J221" s="3441" t="s">
        <v>362</v>
      </c>
      <c r="K221" s="3441"/>
      <c r="L221" s="3438">
        <f>L218+L16</f>
        <v>0</v>
      </c>
      <c r="M221" s="3438"/>
      <c r="N221" s="3438"/>
    </row>
    <row r="222" spans="1:15" s="1" customFormat="1" ht="32" hidden="1" customHeight="1" x14ac:dyDescent="0.2">
      <c r="A222" s="264">
        <v>5</v>
      </c>
      <c r="B222" s="3412" t="s">
        <v>204</v>
      </c>
      <c r="C222" s="3412"/>
      <c r="D222" s="633" t="s">
        <v>49</v>
      </c>
      <c r="E222" s="1098">
        <v>0.39</v>
      </c>
      <c r="F222" s="268" t="e">
        <f>G222/L220</f>
        <v>#DIV/0!</v>
      </c>
      <c r="G222" s="269"/>
      <c r="H222" s="531"/>
      <c r="I222" s="445"/>
      <c r="J222" s="2664"/>
      <c r="K222" s="2664"/>
      <c r="L222" s="2664"/>
      <c r="M222" s="2664"/>
      <c r="N222" s="2664"/>
    </row>
    <row r="223" spans="1:15" s="1" customFormat="1" ht="28" hidden="1" customHeight="1" x14ac:dyDescent="0.2">
      <c r="A223" s="264">
        <v>6</v>
      </c>
      <c r="B223" s="3412" t="s">
        <v>196</v>
      </c>
      <c r="C223" s="3412"/>
      <c r="D223" s="633" t="s">
        <v>49</v>
      </c>
      <c r="E223" s="1099">
        <v>0.11700000000000001</v>
      </c>
      <c r="F223" s="270" t="e">
        <f>G223/$L$219</f>
        <v>#DIV/0!</v>
      </c>
      <c r="G223" s="269"/>
      <c r="H223" s="531"/>
      <c r="I223" s="531" t="e">
        <f>(F223-E223)*L219</f>
        <v>#DIV/0!</v>
      </c>
      <c r="J223" s="3433"/>
      <c r="K223" s="3433"/>
      <c r="L223" s="3433"/>
      <c r="M223" s="3433"/>
      <c r="N223" s="3433"/>
    </row>
    <row r="224" spans="1:15" s="1" customFormat="1" ht="28" hidden="1" customHeight="1" x14ac:dyDescent="0.2">
      <c r="A224" s="264">
        <v>7</v>
      </c>
      <c r="B224" s="3412" t="s">
        <v>176</v>
      </c>
      <c r="C224" s="3412"/>
      <c r="D224" s="633" t="s">
        <v>195</v>
      </c>
      <c r="E224" s="1100">
        <v>0.66900000000000004</v>
      </c>
      <c r="F224" s="270" t="e">
        <f>G224/$L$218</f>
        <v>#DIV/0!</v>
      </c>
      <c r="G224" s="269"/>
      <c r="H224" s="1008"/>
      <c r="I224" s="445"/>
      <c r="J224" s="2861"/>
      <c r="K224" s="2861"/>
      <c r="L224" s="2861"/>
      <c r="M224" s="2861"/>
      <c r="N224" s="2861"/>
    </row>
    <row r="225" spans="1:14" s="1" customFormat="1" ht="28" hidden="1" customHeight="1" x14ac:dyDescent="0.2">
      <c r="A225" s="264">
        <v>8</v>
      </c>
      <c r="B225" s="3420" t="s">
        <v>177</v>
      </c>
      <c r="C225" s="3421"/>
      <c r="D225" s="633" t="s">
        <v>49</v>
      </c>
      <c r="E225" s="1098">
        <v>0.02</v>
      </c>
      <c r="F225" s="268" t="e">
        <f>G225/$L$218</f>
        <v>#DIV/0!</v>
      </c>
      <c r="G225" s="269"/>
      <c r="H225" s="531"/>
      <c r="I225" s="445"/>
      <c r="J225" s="2861"/>
      <c r="K225" s="2861"/>
      <c r="L225" s="2861"/>
      <c r="M225" s="2861"/>
      <c r="N225" s="2861"/>
    </row>
    <row r="226" spans="1:14" s="1" customFormat="1" ht="28" hidden="1" customHeight="1" x14ac:dyDescent="0.2">
      <c r="A226" s="264">
        <v>9</v>
      </c>
      <c r="B226" s="3420" t="s">
        <v>178</v>
      </c>
      <c r="C226" s="3421"/>
      <c r="D226" s="633" t="s">
        <v>49</v>
      </c>
      <c r="E226" s="1100">
        <v>1.9599999999999999E-2</v>
      </c>
      <c r="F226" s="270" t="e">
        <f>G226/$L$218</f>
        <v>#DIV/0!</v>
      </c>
      <c r="G226" s="269"/>
      <c r="H226" s="531" t="e">
        <f>-(F226-E226)*L218</f>
        <v>#DIV/0!</v>
      </c>
      <c r="I226" s="445"/>
      <c r="J226" s="3439"/>
      <c r="K226" s="3439"/>
      <c r="L226" s="3439"/>
      <c r="M226" s="3439"/>
      <c r="N226" s="3439"/>
    </row>
    <row r="227" spans="1:14" s="1" customFormat="1" ht="28" hidden="1" customHeight="1" x14ac:dyDescent="0.2">
      <c r="A227" s="264">
        <v>10</v>
      </c>
      <c r="B227" s="3420" t="s">
        <v>197</v>
      </c>
      <c r="C227" s="3421"/>
      <c r="D227" s="633" t="s">
        <v>49</v>
      </c>
      <c r="E227" s="1101">
        <v>1.82</v>
      </c>
      <c r="F227" s="261" t="e">
        <f>G227/$L$218</f>
        <v>#DIV/0!</v>
      </c>
      <c r="G227" s="269"/>
      <c r="H227" s="531"/>
      <c r="I227" s="445" t="e">
        <f>(F227-E227)*L218</f>
        <v>#DIV/0!</v>
      </c>
      <c r="J227" s="2861"/>
      <c r="K227" s="2861"/>
      <c r="L227" s="2861"/>
      <c r="M227" s="2861"/>
      <c r="N227" s="2861"/>
    </row>
    <row r="228" spans="1:14" s="1" customFormat="1" ht="28" hidden="1" customHeight="1" x14ac:dyDescent="0.2">
      <c r="A228" s="264">
        <v>11</v>
      </c>
      <c r="B228" s="3420" t="s">
        <v>198</v>
      </c>
      <c r="C228" s="3421"/>
      <c r="D228" s="633" t="s">
        <v>49</v>
      </c>
      <c r="E228" s="1100">
        <v>7.6E-3</v>
      </c>
      <c r="F228" s="270" t="e">
        <f>G228/$L$218</f>
        <v>#DIV/0!</v>
      </c>
      <c r="G228" s="269"/>
      <c r="H228" s="531" t="e">
        <f>-(F228-E228)*L218</f>
        <v>#DIV/0!</v>
      </c>
      <c r="I228" s="445"/>
      <c r="J228" s="3433"/>
      <c r="K228" s="3433"/>
      <c r="L228" s="3433"/>
      <c r="M228" s="3433"/>
      <c r="N228" s="3433"/>
    </row>
    <row r="229" spans="1:14" s="1" customFormat="1" ht="28" hidden="1" customHeight="1" x14ac:dyDescent="0.2">
      <c r="A229" s="264">
        <v>12</v>
      </c>
      <c r="B229" s="3420" t="s">
        <v>185</v>
      </c>
      <c r="C229" s="3421"/>
      <c r="D229" s="633" t="s">
        <v>195</v>
      </c>
      <c r="E229" s="1100"/>
      <c r="F229" s="270"/>
      <c r="G229" s="269"/>
      <c r="H229" s="531">
        <f>-(F229-E229)*L218</f>
        <v>0</v>
      </c>
      <c r="I229" s="445"/>
      <c r="J229" s="3436" t="s">
        <v>736</v>
      </c>
      <c r="K229" s="3436"/>
      <c r="L229" s="3436"/>
      <c r="M229" s="3436"/>
      <c r="N229" s="3436"/>
    </row>
    <row r="230" spans="1:14" s="1" customFormat="1" ht="28" hidden="1" customHeight="1" x14ac:dyDescent="0.2">
      <c r="A230" s="264">
        <v>13</v>
      </c>
      <c r="B230" s="3420" t="s">
        <v>179</v>
      </c>
      <c r="C230" s="3421"/>
      <c r="D230" s="633" t="s">
        <v>49</v>
      </c>
      <c r="E230" s="1103">
        <v>2.7E-2</v>
      </c>
      <c r="F230" s="268" t="e">
        <f>G230/$L$218</f>
        <v>#DIV/0!</v>
      </c>
      <c r="G230" s="269"/>
      <c r="H230" s="531"/>
      <c r="I230" s="445" t="e">
        <f>(F230-E230)*L218</f>
        <v>#DIV/0!</v>
      </c>
      <c r="J230" s="2861" t="s">
        <v>653</v>
      </c>
      <c r="K230" s="2861"/>
      <c r="L230" s="2861"/>
      <c r="M230" s="2861"/>
      <c r="N230" s="2861"/>
    </row>
    <row r="231" spans="1:14" s="1" customFormat="1" ht="26" customHeight="1" x14ac:dyDescent="0.2">
      <c r="A231" s="3061" t="s">
        <v>1094</v>
      </c>
      <c r="B231" s="3061"/>
      <c r="C231" s="3061"/>
      <c r="D231" s="3061"/>
      <c r="E231" s="3061"/>
      <c r="F231" s="3061"/>
      <c r="G231" s="3061"/>
      <c r="H231" s="3061"/>
      <c r="I231" s="3061"/>
      <c r="J231" s="3061"/>
      <c r="K231" s="3061"/>
      <c r="L231" s="3061"/>
      <c r="M231" s="3061"/>
      <c r="N231" s="3061"/>
    </row>
    <row r="232" spans="1:14" s="1" customFormat="1" ht="33" customHeight="1" x14ac:dyDescent="0.15">
      <c r="A232" s="1786" t="s">
        <v>39</v>
      </c>
      <c r="B232" s="3515" t="s">
        <v>191</v>
      </c>
      <c r="C232" s="3516"/>
      <c r="D232" s="1786" t="s">
        <v>17</v>
      </c>
      <c r="E232" s="1786" t="s">
        <v>192</v>
      </c>
      <c r="F232" s="1786" t="s">
        <v>193</v>
      </c>
      <c r="G232" s="1786" t="s">
        <v>151</v>
      </c>
      <c r="H232" s="1787" t="s">
        <v>152</v>
      </c>
      <c r="I232" s="1788" t="s">
        <v>153</v>
      </c>
      <c r="J232" s="3515" t="s">
        <v>47</v>
      </c>
      <c r="K232" s="3515"/>
      <c r="L232" s="3515"/>
      <c r="M232" s="3515"/>
      <c r="N232" s="3515"/>
    </row>
    <row r="233" spans="1:14" s="1" customFormat="1" ht="28" customHeight="1" x14ac:dyDescent="0.2">
      <c r="A233" s="264">
        <v>1</v>
      </c>
      <c r="B233" s="3412" t="s">
        <v>163</v>
      </c>
      <c r="C233" s="3412"/>
      <c r="D233" s="223" t="s">
        <v>49</v>
      </c>
      <c r="E233" s="1102">
        <v>21.65</v>
      </c>
      <c r="F233" s="261">
        <f>G233/$L$233</f>
        <v>28.277642606109758</v>
      </c>
      <c r="G233" s="269">
        <v>125518.8</v>
      </c>
      <c r="H233" s="531"/>
      <c r="I233" s="531">
        <f>(F233-E233)*$L$233</f>
        <v>29418.780000000002</v>
      </c>
      <c r="J233" s="3437" t="s">
        <v>165</v>
      </c>
      <c r="K233" s="3437"/>
      <c r="L233" s="3438">
        <f>F190+F191</f>
        <v>4438.8</v>
      </c>
      <c r="M233" s="3438"/>
      <c r="N233" s="3438"/>
    </row>
    <row r="234" spans="1:14" s="1" customFormat="1" ht="28" customHeight="1" x14ac:dyDescent="0.2">
      <c r="A234" s="264">
        <v>2</v>
      </c>
      <c r="B234" s="3412" t="s">
        <v>1063</v>
      </c>
      <c r="C234" s="3412"/>
      <c r="D234" s="223" t="s">
        <v>49</v>
      </c>
      <c r="E234" s="1096">
        <v>0.436</v>
      </c>
      <c r="F234" s="268"/>
      <c r="G234" s="269"/>
      <c r="H234" s="531"/>
      <c r="I234" s="531"/>
      <c r="J234" s="2748" t="s">
        <v>741</v>
      </c>
      <c r="K234" s="2748"/>
      <c r="L234" s="3438">
        <f>F191</f>
        <v>4438.8</v>
      </c>
      <c r="M234" s="3438"/>
      <c r="N234" s="3438"/>
    </row>
    <row r="235" spans="1:14" s="1" customFormat="1" ht="28" customHeight="1" x14ac:dyDescent="0.2">
      <c r="A235" s="264">
        <v>3</v>
      </c>
      <c r="B235" s="3412" t="s">
        <v>1068</v>
      </c>
      <c r="C235" s="3412"/>
      <c r="D235" s="223" t="s">
        <v>49</v>
      </c>
      <c r="E235" s="1096">
        <v>0.31900000000000001</v>
      </c>
      <c r="F235" s="268">
        <f>G235/$L$234</f>
        <v>0.40799315130215374</v>
      </c>
      <c r="G235" s="269">
        <v>1811</v>
      </c>
      <c r="H235" s="531"/>
      <c r="I235" s="531">
        <f>(F235-E235)*$L$233</f>
        <v>395.02280000000002</v>
      </c>
      <c r="J235" s="3431" t="s">
        <v>735</v>
      </c>
      <c r="K235" s="3431"/>
      <c r="L235" s="3072">
        <f>F190</f>
        <v>0</v>
      </c>
      <c r="M235" s="3179"/>
      <c r="N235" s="3180"/>
    </row>
    <row r="236" spans="1:14" s="1" customFormat="1" ht="28" customHeight="1" x14ac:dyDescent="0.2">
      <c r="A236" s="264">
        <v>4</v>
      </c>
      <c r="B236" s="3412" t="s">
        <v>1065</v>
      </c>
      <c r="C236" s="3412"/>
      <c r="D236" s="223" t="s">
        <v>49</v>
      </c>
      <c r="E236" s="1096">
        <v>0.38900000000000001</v>
      </c>
      <c r="F236" s="268"/>
      <c r="G236" s="269"/>
      <c r="H236" s="531"/>
      <c r="I236" s="531"/>
      <c r="J236" s="3441" t="s">
        <v>362</v>
      </c>
      <c r="K236" s="3441"/>
      <c r="L236" s="3467">
        <f>L233+L22</f>
        <v>4503.6000000000004</v>
      </c>
      <c r="M236" s="3179"/>
      <c r="N236" s="3180"/>
    </row>
    <row r="237" spans="1:14" s="1" customFormat="1" ht="28" customHeight="1" x14ac:dyDescent="0.15">
      <c r="A237" s="1034">
        <v>5</v>
      </c>
      <c r="B237" s="3412" t="s">
        <v>1067</v>
      </c>
      <c r="C237" s="3412"/>
      <c r="D237" s="223" t="s">
        <v>49</v>
      </c>
      <c r="E237" s="1096">
        <v>0.31900000000000001</v>
      </c>
      <c r="F237" s="1104">
        <f>G237/$L$234</f>
        <v>0.6087005496981166</v>
      </c>
      <c r="G237" s="1041">
        <v>2701.9</v>
      </c>
      <c r="H237" s="531"/>
      <c r="I237" s="531">
        <f t="shared" ref="I237:I244" si="16">(F237-E237)*$L$233</f>
        <v>1285.9228000000001</v>
      </c>
      <c r="J237" s="3395"/>
      <c r="K237" s="3396"/>
      <c r="L237" s="3396"/>
      <c r="M237" s="3396"/>
      <c r="N237" s="3397"/>
    </row>
    <row r="238" spans="1:14" s="1" customFormat="1" ht="28" customHeight="1" x14ac:dyDescent="0.2">
      <c r="A238" s="1006">
        <v>6</v>
      </c>
      <c r="B238" s="3413" t="s">
        <v>176</v>
      </c>
      <c r="C238" s="3413"/>
      <c r="D238" s="1108" t="s">
        <v>195</v>
      </c>
      <c r="E238" s="1123">
        <v>0.55700000000000005</v>
      </c>
      <c r="F238" s="287">
        <f t="shared" ref="F238:F244" si="17">G238/$L$233</f>
        <v>0.56321528340993054</v>
      </c>
      <c r="G238" s="1038">
        <v>2500</v>
      </c>
      <c r="H238" s="531"/>
      <c r="I238" s="531">
        <f t="shared" si="16"/>
        <v>27.588399999999478</v>
      </c>
      <c r="J238" s="3442"/>
      <c r="K238" s="3442"/>
      <c r="L238" s="3442"/>
      <c r="M238" s="3442"/>
      <c r="N238" s="3442"/>
    </row>
    <row r="239" spans="1:14" s="1" customFormat="1" ht="28" customHeight="1" x14ac:dyDescent="0.2">
      <c r="A239" s="264">
        <v>7</v>
      </c>
      <c r="B239" s="3412" t="s">
        <v>177</v>
      </c>
      <c r="C239" s="3412"/>
      <c r="D239" s="223" t="s">
        <v>49</v>
      </c>
      <c r="E239" s="1096">
        <v>2.1999999999999999E-2</v>
      </c>
      <c r="F239" s="268">
        <f t="shared" si="17"/>
        <v>2.2078039109669278E-2</v>
      </c>
      <c r="G239" s="269">
        <v>98</v>
      </c>
      <c r="H239" s="531"/>
      <c r="I239" s="531">
        <f t="shared" si="16"/>
        <v>0.3463999999999961</v>
      </c>
      <c r="J239" s="3439"/>
      <c r="K239" s="3439"/>
      <c r="L239" s="3439"/>
      <c r="M239" s="3439"/>
      <c r="N239" s="3439"/>
    </row>
    <row r="240" spans="1:14" s="1" customFormat="1" ht="28" customHeight="1" x14ac:dyDescent="0.2">
      <c r="A240" s="264">
        <v>8</v>
      </c>
      <c r="B240" s="3412" t="s">
        <v>178</v>
      </c>
      <c r="C240" s="3412"/>
      <c r="D240" s="223" t="s">
        <v>49</v>
      </c>
      <c r="E240" s="1097">
        <v>1.09E-2</v>
      </c>
      <c r="F240" s="270">
        <f>G240/$L$236</f>
        <v>9.9920063948840919E-3</v>
      </c>
      <c r="G240" s="269">
        <v>45</v>
      </c>
      <c r="H240" s="531">
        <f>-(F240-E240)*$L$233</f>
        <v>4.0304020143884927</v>
      </c>
      <c r="I240" s="531"/>
      <c r="J240" s="2664"/>
      <c r="K240" s="2664"/>
      <c r="L240" s="2664"/>
      <c r="M240" s="2664"/>
      <c r="N240" s="2664"/>
    </row>
    <row r="241" spans="1:14" s="1" customFormat="1" ht="28" customHeight="1" x14ac:dyDescent="0.2">
      <c r="A241" s="264">
        <v>9</v>
      </c>
      <c r="B241" s="3412" t="s">
        <v>197</v>
      </c>
      <c r="C241" s="3412"/>
      <c r="D241" s="223" t="s">
        <v>49</v>
      </c>
      <c r="E241" s="1102">
        <v>1.84</v>
      </c>
      <c r="F241" s="261">
        <f t="shared" si="17"/>
        <v>2.5134946381905019</v>
      </c>
      <c r="G241" s="269">
        <v>11156.9</v>
      </c>
      <c r="H241" s="531"/>
      <c r="I241" s="531">
        <f t="shared" si="16"/>
        <v>2989.5079999999994</v>
      </c>
      <c r="J241" s="3439"/>
      <c r="K241" s="3439"/>
      <c r="L241" s="3439"/>
      <c r="M241" s="3439"/>
      <c r="N241" s="3439"/>
    </row>
    <row r="242" spans="1:14" s="1" customFormat="1" ht="28" customHeight="1" x14ac:dyDescent="0.15">
      <c r="A242" s="264">
        <v>10</v>
      </c>
      <c r="B242" s="3412" t="s">
        <v>198</v>
      </c>
      <c r="C242" s="3412"/>
      <c r="D242" s="223" t="s">
        <v>49</v>
      </c>
      <c r="E242" s="1097">
        <v>5.3E-3</v>
      </c>
      <c r="F242" s="270">
        <f t="shared" si="17"/>
        <v>4.5057222672794444E-3</v>
      </c>
      <c r="G242" s="269">
        <v>20</v>
      </c>
      <c r="H242" s="531">
        <f>-(F242-E242)*$L$233</f>
        <v>3.5256400000000023</v>
      </c>
      <c r="I242" s="531"/>
      <c r="J242" s="3448"/>
      <c r="K242" s="3448"/>
      <c r="L242" s="3448"/>
      <c r="M242" s="3448"/>
      <c r="N242" s="3448"/>
    </row>
    <row r="243" spans="1:14" s="1" customFormat="1" ht="28" customHeight="1" x14ac:dyDescent="0.2">
      <c r="A243" s="264">
        <v>11</v>
      </c>
      <c r="B243" s="3412" t="s">
        <v>185</v>
      </c>
      <c r="C243" s="3412"/>
      <c r="D243" s="223" t="s">
        <v>195</v>
      </c>
      <c r="E243" s="1097"/>
      <c r="F243" s="270"/>
      <c r="G243" s="269">
        <v>75</v>
      </c>
      <c r="H243" s="531">
        <f>-(F243-E243)*$L$233</f>
        <v>0</v>
      </c>
      <c r="I243" s="531">
        <f t="shared" si="16"/>
        <v>0</v>
      </c>
      <c r="J243" s="3436" t="s">
        <v>1095</v>
      </c>
      <c r="K243" s="3436"/>
      <c r="L243" s="3436"/>
      <c r="M243" s="3436"/>
      <c r="N243" s="3436"/>
    </row>
    <row r="244" spans="1:14" s="1" customFormat="1" ht="28" customHeight="1" x14ac:dyDescent="0.2">
      <c r="A244" s="264">
        <v>12</v>
      </c>
      <c r="B244" s="3412" t="s">
        <v>179</v>
      </c>
      <c r="C244" s="3412"/>
      <c r="D244" s="223" t="s">
        <v>49</v>
      </c>
      <c r="E244" s="1096">
        <v>2.7E-2</v>
      </c>
      <c r="F244" s="270">
        <f t="shared" si="17"/>
        <v>0.70965125709651256</v>
      </c>
      <c r="G244" s="269">
        <v>3150</v>
      </c>
      <c r="H244" s="531"/>
      <c r="I244" s="531">
        <f t="shared" si="16"/>
        <v>3030.1523999999999</v>
      </c>
      <c r="J244" s="3439"/>
      <c r="K244" s="3439"/>
      <c r="L244" s="3439"/>
      <c r="M244" s="3439"/>
      <c r="N244" s="3439"/>
    </row>
    <row r="245" spans="1:14" s="1" customFormat="1" ht="26" customHeight="1" x14ac:dyDescent="0.2">
      <c r="A245" s="3061" t="s">
        <v>1096</v>
      </c>
      <c r="B245" s="3061"/>
      <c r="C245" s="3061"/>
      <c r="D245" s="3061"/>
      <c r="E245" s="3061"/>
      <c r="F245" s="3061"/>
      <c r="G245" s="3061"/>
      <c r="H245" s="3061"/>
      <c r="I245" s="3061"/>
      <c r="J245" s="3061"/>
      <c r="K245" s="3061"/>
      <c r="L245" s="3061"/>
      <c r="M245" s="3061"/>
      <c r="N245" s="3061"/>
    </row>
    <row r="246" spans="1:14" s="1" customFormat="1" ht="37" customHeight="1" x14ac:dyDescent="0.15">
      <c r="A246" s="1786" t="s">
        <v>39</v>
      </c>
      <c r="B246" s="3515" t="s">
        <v>191</v>
      </c>
      <c r="C246" s="3516"/>
      <c r="D246" s="1786" t="s">
        <v>17</v>
      </c>
      <c r="E246" s="1786" t="s">
        <v>192</v>
      </c>
      <c r="F246" s="1786" t="s">
        <v>193</v>
      </c>
      <c r="G246" s="1786" t="s">
        <v>151</v>
      </c>
      <c r="H246" s="1787" t="s">
        <v>152</v>
      </c>
      <c r="I246" s="1788" t="s">
        <v>153</v>
      </c>
      <c r="J246" s="3515" t="s">
        <v>47</v>
      </c>
      <c r="K246" s="3515"/>
      <c r="L246" s="3515"/>
      <c r="M246" s="3515"/>
      <c r="N246" s="3515"/>
    </row>
    <row r="247" spans="1:14" s="1" customFormat="1" ht="26" customHeight="1" x14ac:dyDescent="0.2">
      <c r="A247" s="264">
        <v>1</v>
      </c>
      <c r="B247" s="3412" t="s">
        <v>163</v>
      </c>
      <c r="C247" s="3412"/>
      <c r="D247" s="223" t="s">
        <v>49</v>
      </c>
      <c r="E247" s="1102">
        <v>21.01</v>
      </c>
      <c r="F247" s="1194">
        <f>G247/$L$247*1000</f>
        <v>20.065459557652098</v>
      </c>
      <c r="G247" s="269">
        <v>8665.2350000000006</v>
      </c>
      <c r="H247" s="531">
        <f t="shared" ref="H247:H258" si="18">-(F247-E247)*$L$247</f>
        <v>407898.20319999917</v>
      </c>
      <c r="I247" s="445"/>
      <c r="J247" s="3437" t="s">
        <v>165</v>
      </c>
      <c r="K247" s="3437"/>
      <c r="L247" s="3438">
        <f>F192</f>
        <v>431848.31999999995</v>
      </c>
      <c r="M247" s="3438"/>
      <c r="N247" s="3438"/>
    </row>
    <row r="248" spans="1:14" s="1" customFormat="1" ht="26" customHeight="1" x14ac:dyDescent="0.2">
      <c r="A248" s="264">
        <v>2</v>
      </c>
      <c r="B248" s="3412" t="s">
        <v>1056</v>
      </c>
      <c r="C248" s="3412"/>
      <c r="D248" s="223" t="s">
        <v>49</v>
      </c>
      <c r="E248" s="1096">
        <v>0.50900000000000001</v>
      </c>
      <c r="F248" s="281">
        <f>G248/$L$247</f>
        <v>0.48291376935309144</v>
      </c>
      <c r="G248" s="269">
        <v>208545.5</v>
      </c>
      <c r="H248" s="531">
        <f t="shared" si="18"/>
        <v>11265.294879999978</v>
      </c>
      <c r="I248" s="445"/>
      <c r="J248" s="3441" t="s">
        <v>362</v>
      </c>
      <c r="K248" s="3441"/>
      <c r="L248" s="3438">
        <f>L247+L28</f>
        <v>434083.51999999996</v>
      </c>
      <c r="M248" s="3438"/>
      <c r="N248" s="3438"/>
    </row>
    <row r="249" spans="1:14" s="1" customFormat="1" ht="26" customHeight="1" x14ac:dyDescent="0.2">
      <c r="A249" s="264">
        <v>3</v>
      </c>
      <c r="B249" s="3412" t="s">
        <v>1059</v>
      </c>
      <c r="C249" s="3412"/>
      <c r="D249" s="223" t="s">
        <v>49</v>
      </c>
      <c r="E249" s="1096">
        <v>0.59299999999999997</v>
      </c>
      <c r="F249" s="281">
        <f t="shared" ref="F249:F260" si="19">G249/$L$247</f>
        <v>0.57171439268306068</v>
      </c>
      <c r="G249" s="269">
        <v>246893.9</v>
      </c>
      <c r="H249" s="531">
        <f t="shared" si="18"/>
        <v>9192.1537599999392</v>
      </c>
      <c r="I249" s="445"/>
      <c r="J249" s="3433"/>
      <c r="K249" s="3433"/>
      <c r="L249" s="3433"/>
      <c r="M249" s="3433"/>
      <c r="N249" s="3433"/>
    </row>
    <row r="250" spans="1:14" s="1" customFormat="1" ht="26" customHeight="1" x14ac:dyDescent="0.2">
      <c r="A250" s="3477">
        <v>4</v>
      </c>
      <c r="B250" s="3412" t="s">
        <v>808</v>
      </c>
      <c r="C250" s="3412"/>
      <c r="D250" s="223" t="s">
        <v>195</v>
      </c>
      <c r="E250" s="1096">
        <v>0.627</v>
      </c>
      <c r="F250" s="281">
        <v>0.627</v>
      </c>
      <c r="G250" s="269">
        <v>267850</v>
      </c>
      <c r="H250" s="531">
        <f t="shared" si="18"/>
        <v>0</v>
      </c>
      <c r="I250" s="445">
        <f>(F250-E250)*$L$247</f>
        <v>0</v>
      </c>
      <c r="J250" s="3514"/>
      <c r="K250" s="3514"/>
      <c r="L250" s="3514"/>
      <c r="M250" s="3514"/>
      <c r="N250" s="3514"/>
    </row>
    <row r="251" spans="1:14" s="1" customFormat="1" ht="26" customHeight="1" x14ac:dyDescent="0.2">
      <c r="A251" s="3477"/>
      <c r="B251" s="3412" t="s">
        <v>810</v>
      </c>
      <c r="C251" s="3412"/>
      <c r="D251" s="223" t="s">
        <v>195</v>
      </c>
      <c r="E251" s="1096">
        <v>0.78400000000000003</v>
      </c>
      <c r="F251" s="281">
        <v>0.78400000000000003</v>
      </c>
      <c r="G251" s="269">
        <v>2765</v>
      </c>
      <c r="H251" s="531">
        <f t="shared" si="18"/>
        <v>0</v>
      </c>
      <c r="I251" s="445">
        <f>(F251-E251)*$L$247</f>
        <v>0</v>
      </c>
      <c r="J251" s="3514"/>
      <c r="K251" s="3514"/>
      <c r="L251" s="3514"/>
      <c r="M251" s="3514"/>
      <c r="N251" s="3514"/>
    </row>
    <row r="252" spans="1:14" s="1" customFormat="1" ht="26" customHeight="1" x14ac:dyDescent="0.15">
      <c r="A252" s="3477">
        <v>5</v>
      </c>
      <c r="B252" s="3412" t="s">
        <v>809</v>
      </c>
      <c r="C252" s="3412"/>
      <c r="D252" s="223" t="s">
        <v>49</v>
      </c>
      <c r="E252" s="1096">
        <v>2.5000000000000001E-2</v>
      </c>
      <c r="F252" s="281">
        <f t="shared" si="19"/>
        <v>2.4707749239362566E-2</v>
      </c>
      <c r="G252" s="269">
        <v>10670</v>
      </c>
      <c r="H252" s="531">
        <f t="shared" si="18"/>
        <v>126.20799999999878</v>
      </c>
      <c r="I252" s="445"/>
      <c r="J252" s="3448"/>
      <c r="K252" s="3448"/>
      <c r="L252" s="3448"/>
      <c r="M252" s="3448"/>
      <c r="N252" s="3448"/>
    </row>
    <row r="253" spans="1:14" s="1" customFormat="1" ht="26" customHeight="1" x14ac:dyDescent="0.15">
      <c r="A253" s="3477"/>
      <c r="B253" s="3412" t="s">
        <v>811</v>
      </c>
      <c r="C253" s="3412"/>
      <c r="D253" s="223" t="s">
        <v>49</v>
      </c>
      <c r="E253" s="1096">
        <v>2.8000000000000001E-2</v>
      </c>
      <c r="F253" s="281">
        <v>2.8000000000000001E-2</v>
      </c>
      <c r="G253" s="269">
        <v>100</v>
      </c>
      <c r="H253" s="531">
        <f t="shared" si="18"/>
        <v>0</v>
      </c>
      <c r="I253" s="445">
        <f>(F253-E253)*$L$247</f>
        <v>0</v>
      </c>
      <c r="J253" s="3448"/>
      <c r="K253" s="3448"/>
      <c r="L253" s="3448"/>
      <c r="M253" s="3448"/>
      <c r="N253" s="3448"/>
    </row>
    <row r="254" spans="1:14" s="1" customFormat="1" ht="26" customHeight="1" x14ac:dyDescent="0.2">
      <c r="A254" s="264">
        <v>6</v>
      </c>
      <c r="B254" s="3412" t="s">
        <v>178</v>
      </c>
      <c r="C254" s="3412"/>
      <c r="D254" s="223" t="s">
        <v>49</v>
      </c>
      <c r="E254" s="1097">
        <v>1.0699999999999999E-2</v>
      </c>
      <c r="F254" s="1794">
        <f t="shared" si="19"/>
        <v>1.0420325358681494E-2</v>
      </c>
      <c r="G254" s="269">
        <v>4500</v>
      </c>
      <c r="H254" s="531">
        <f t="shared" si="18"/>
        <v>120.77702399999932</v>
      </c>
      <c r="I254" s="445"/>
      <c r="J254" s="3439"/>
      <c r="K254" s="3439"/>
      <c r="L254" s="3439"/>
      <c r="M254" s="3439"/>
      <c r="N254" s="3439"/>
    </row>
    <row r="255" spans="1:14" s="1" customFormat="1" ht="26" customHeight="1" x14ac:dyDescent="0.2">
      <c r="A255" s="264">
        <v>7</v>
      </c>
      <c r="B255" s="3412" t="s">
        <v>197</v>
      </c>
      <c r="C255" s="3412"/>
      <c r="D255" s="223" t="s">
        <v>49</v>
      </c>
      <c r="E255" s="1102">
        <v>1.79</v>
      </c>
      <c r="F255" s="281">
        <f t="shared" si="19"/>
        <v>1.7894861788509449</v>
      </c>
      <c r="G255" s="269">
        <v>772786.6</v>
      </c>
      <c r="H255" s="531">
        <f t="shared" si="18"/>
        <v>221.89279999995011</v>
      </c>
      <c r="I255" s="445"/>
      <c r="J255" s="3439"/>
      <c r="K255" s="3439"/>
      <c r="L255" s="3439"/>
      <c r="M255" s="3439"/>
      <c r="N255" s="3439"/>
    </row>
    <row r="256" spans="1:14" s="1" customFormat="1" ht="26" customHeight="1" x14ac:dyDescent="0.2">
      <c r="A256" s="264">
        <v>8</v>
      </c>
      <c r="B256" s="3412" t="s">
        <v>198</v>
      </c>
      <c r="C256" s="3412"/>
      <c r="D256" s="223" t="s">
        <v>49</v>
      </c>
      <c r="E256" s="1097">
        <v>8.0999999999999996E-3</v>
      </c>
      <c r="F256" s="1794">
        <f t="shared" si="19"/>
        <v>8.0583849440470211E-3</v>
      </c>
      <c r="G256" s="269">
        <v>3480</v>
      </c>
      <c r="H256" s="531">
        <f t="shared" si="18"/>
        <v>17.971391999999724</v>
      </c>
      <c r="I256" s="445"/>
      <c r="J256" s="3513"/>
      <c r="K256" s="3513"/>
      <c r="L256" s="3513"/>
      <c r="M256" s="3513"/>
      <c r="N256" s="3513"/>
    </row>
    <row r="257" spans="1:16" s="1" customFormat="1" ht="26" customHeight="1" x14ac:dyDescent="0.2">
      <c r="A257" s="264">
        <v>9</v>
      </c>
      <c r="B257" s="3412" t="s">
        <v>199</v>
      </c>
      <c r="C257" s="3412"/>
      <c r="D257" s="223" t="s">
        <v>195</v>
      </c>
      <c r="E257" s="1096">
        <v>6.3E-2</v>
      </c>
      <c r="F257" s="281">
        <f t="shared" si="19"/>
        <v>6.1433607059071117E-2</v>
      </c>
      <c r="G257" s="269">
        <v>26530</v>
      </c>
      <c r="H257" s="531">
        <f t="shared" si="18"/>
        <v>676.4441599999974</v>
      </c>
      <c r="I257" s="445"/>
      <c r="J257" s="3439"/>
      <c r="K257" s="3439"/>
      <c r="L257" s="3439"/>
      <c r="M257" s="3439"/>
      <c r="N257" s="3439"/>
    </row>
    <row r="258" spans="1:16" s="1" customFormat="1" ht="26" customHeight="1" x14ac:dyDescent="0.2">
      <c r="A258" s="264">
        <v>10</v>
      </c>
      <c r="B258" s="3412" t="s">
        <v>185</v>
      </c>
      <c r="C258" s="3412"/>
      <c r="D258" s="223" t="s">
        <v>195</v>
      </c>
      <c r="E258" s="1097"/>
      <c r="F258" s="281"/>
      <c r="G258" s="269">
        <v>7000</v>
      </c>
      <c r="H258" s="531">
        <f t="shared" si="18"/>
        <v>0</v>
      </c>
      <c r="I258" s="445">
        <f>(F258-E258)*$L$247</f>
        <v>0</v>
      </c>
      <c r="J258" s="3436" t="s">
        <v>1097</v>
      </c>
      <c r="K258" s="3436"/>
      <c r="L258" s="3436"/>
      <c r="M258" s="3436"/>
      <c r="N258" s="3436"/>
    </row>
    <row r="259" spans="1:16" s="1" customFormat="1" ht="26" customHeight="1" x14ac:dyDescent="0.2">
      <c r="A259" s="264">
        <v>11</v>
      </c>
      <c r="B259" s="3412" t="s">
        <v>179</v>
      </c>
      <c r="C259" s="3412"/>
      <c r="D259" s="223" t="s">
        <v>49</v>
      </c>
      <c r="E259" s="1096">
        <v>2.5999999999999999E-2</v>
      </c>
      <c r="F259" s="281">
        <f t="shared" si="19"/>
        <v>4.7586152471312156E-2</v>
      </c>
      <c r="G259" s="269">
        <v>20550</v>
      </c>
      <c r="H259" s="531"/>
      <c r="I259" s="445">
        <f>(F259-E259)*$L$247</f>
        <v>9321.9436800000021</v>
      </c>
      <c r="J259" s="3439" t="s">
        <v>1098</v>
      </c>
      <c r="K259" s="3439"/>
      <c r="L259" s="3439"/>
      <c r="M259" s="3439"/>
      <c r="N259" s="3439"/>
    </row>
    <row r="260" spans="1:16" s="1" customFormat="1" ht="26" customHeight="1" x14ac:dyDescent="0.2">
      <c r="A260" s="264">
        <v>12</v>
      </c>
      <c r="B260" s="3412" t="s">
        <v>206</v>
      </c>
      <c r="C260" s="3412"/>
      <c r="D260" s="223" t="s">
        <v>49</v>
      </c>
      <c r="E260" s="1096">
        <v>3.0000000000000001E-3</v>
      </c>
      <c r="F260" s="281">
        <f t="shared" si="19"/>
        <v>0</v>
      </c>
      <c r="G260" s="269">
        <v>0</v>
      </c>
      <c r="H260" s="531">
        <f>-(F260-E260)*$L$247</f>
        <v>1295.5449599999999</v>
      </c>
      <c r="I260" s="445"/>
      <c r="J260" s="3439"/>
      <c r="K260" s="3439"/>
      <c r="L260" s="3439"/>
      <c r="M260" s="3439"/>
      <c r="N260" s="3439"/>
    </row>
    <row r="261" spans="1:16" s="1" customFormat="1" ht="29" customHeight="1" x14ac:dyDescent="0.2">
      <c r="A261" s="42" t="s">
        <v>1099</v>
      </c>
      <c r="H261" s="78"/>
      <c r="I261" s="447"/>
      <c r="J261" s="71"/>
      <c r="K261" s="71"/>
      <c r="N261" s="209"/>
    </row>
    <row r="262" spans="1:16" s="1" customFormat="1" ht="30" customHeight="1" x14ac:dyDescent="0.2">
      <c r="A262" s="42" t="s">
        <v>1100</v>
      </c>
      <c r="H262" s="78"/>
      <c r="I262" s="447"/>
      <c r="J262" s="71"/>
      <c r="K262" s="71"/>
      <c r="N262" s="209"/>
    </row>
    <row r="263" spans="1:16" s="1" customFormat="1" ht="41" customHeight="1" x14ac:dyDescent="0.2">
      <c r="A263" s="3511" t="s">
        <v>39</v>
      </c>
      <c r="B263" s="3511" t="s">
        <v>40</v>
      </c>
      <c r="C263" s="3511" t="s">
        <v>41</v>
      </c>
      <c r="D263" s="3511"/>
      <c r="E263" s="3511"/>
      <c r="F263" s="1795" t="s">
        <v>42</v>
      </c>
      <c r="G263" s="1795" t="s">
        <v>43</v>
      </c>
      <c r="H263" s="1796" t="s">
        <v>44</v>
      </c>
      <c r="I263" s="3511" t="s">
        <v>535</v>
      </c>
      <c r="J263" s="3511"/>
      <c r="K263" s="1797" t="s">
        <v>45</v>
      </c>
      <c r="L263" s="1795" t="s">
        <v>46</v>
      </c>
      <c r="M263" s="3512" t="s">
        <v>531</v>
      </c>
      <c r="N263" s="3512" t="s">
        <v>47</v>
      </c>
    </row>
    <row r="264" spans="1:16" s="2" customFormat="1" ht="33" customHeight="1" x14ac:dyDescent="0.2">
      <c r="A264" s="3511"/>
      <c r="B264" s="3511"/>
      <c r="C264" s="1795" t="s">
        <v>48</v>
      </c>
      <c r="D264" s="1797" t="s">
        <v>527</v>
      </c>
      <c r="E264" s="1797" t="s">
        <v>528</v>
      </c>
      <c r="F264" s="1795" t="s">
        <v>164</v>
      </c>
      <c r="G264" s="1795" t="s">
        <v>530</v>
      </c>
      <c r="H264" s="1796" t="s">
        <v>529</v>
      </c>
      <c r="I264" s="1795" t="s">
        <v>164</v>
      </c>
      <c r="J264" s="1797" t="s">
        <v>532</v>
      </c>
      <c r="K264" s="1796" t="s">
        <v>529</v>
      </c>
      <c r="L264" s="1795" t="s">
        <v>164</v>
      </c>
      <c r="M264" s="3512"/>
      <c r="N264" s="3512"/>
    </row>
    <row r="265" spans="1:16" ht="61" customHeight="1" x14ac:dyDescent="0.2">
      <c r="A265" s="51">
        <v>1</v>
      </c>
      <c r="B265" s="894" t="s">
        <v>787</v>
      </c>
      <c r="C265" s="1190">
        <v>7679</v>
      </c>
      <c r="D265" s="1191">
        <v>4.7</v>
      </c>
      <c r="E265" s="1192">
        <v>2</v>
      </c>
      <c r="F265" s="61">
        <v>594650</v>
      </c>
      <c r="G265" s="934">
        <v>230898</v>
      </c>
      <c r="H265" s="70">
        <f>F265/G265</f>
        <v>2.575379604847162</v>
      </c>
      <c r="I265" s="66">
        <v>70364</v>
      </c>
      <c r="J265" s="870">
        <f>I265/(I265+F265)*100</f>
        <v>10.580829877265742</v>
      </c>
      <c r="K265" s="722">
        <f>(F265+I265)/G265</f>
        <v>2.8801202262470875</v>
      </c>
      <c r="L265" s="66">
        <v>9968</v>
      </c>
      <c r="M265" s="70">
        <f>(F265+I265+L265)/G265</f>
        <v>2.923290803731518</v>
      </c>
      <c r="N265" s="1798" t="s">
        <v>1101</v>
      </c>
      <c r="P265" s="395"/>
    </row>
    <row r="266" spans="1:16" ht="61" customHeight="1" x14ac:dyDescent="0.2">
      <c r="A266" s="51">
        <v>2</v>
      </c>
      <c r="B266" s="894" t="s">
        <v>1102</v>
      </c>
      <c r="C266" s="1190">
        <v>7571</v>
      </c>
      <c r="D266" s="1191">
        <v>19.670000000000002</v>
      </c>
      <c r="E266" s="1191">
        <v>2.2999999999999998</v>
      </c>
      <c r="F266" s="61">
        <v>323768.90000000002</v>
      </c>
      <c r="G266" s="870">
        <v>123110.89</v>
      </c>
      <c r="H266" s="70">
        <f>F266/G266</f>
        <v>2.6298965103736966</v>
      </c>
      <c r="I266" s="66">
        <v>50276</v>
      </c>
      <c r="J266" s="870">
        <f>I266/(I266+F266)*100</f>
        <v>13.44116708983333</v>
      </c>
      <c r="K266" s="722">
        <f>(F266+I266)/G266</f>
        <v>3.0382763052074435</v>
      </c>
      <c r="L266" s="66"/>
      <c r="M266" s="70">
        <f>(F266+I266+L266)/G266</f>
        <v>3.0382763052074435</v>
      </c>
      <c r="N266" s="1798" t="s">
        <v>1103</v>
      </c>
    </row>
    <row r="267" spans="1:16" ht="61" customHeight="1" x14ac:dyDescent="0.2">
      <c r="A267" s="51">
        <v>3</v>
      </c>
      <c r="B267" s="894" t="s">
        <v>1104</v>
      </c>
      <c r="C267" s="1190">
        <v>7348</v>
      </c>
      <c r="D267" s="1191">
        <v>18.18</v>
      </c>
      <c r="E267" s="1191">
        <v>3.38</v>
      </c>
      <c r="F267" s="61">
        <v>280697</v>
      </c>
      <c r="G267" s="870">
        <v>106158.65</v>
      </c>
      <c r="H267" s="70">
        <f>F267/G267</f>
        <v>2.6441274451022125</v>
      </c>
      <c r="I267" s="66">
        <v>44520</v>
      </c>
      <c r="J267" s="870">
        <f>I267/(I267+F267)*100</f>
        <v>13.689321283942721</v>
      </c>
      <c r="K267" s="722">
        <f>(F267+I267)/G267</f>
        <v>3.063499771332812</v>
      </c>
      <c r="L267" s="66">
        <v>8804</v>
      </c>
      <c r="M267" s="70">
        <f>(F267+I267+L267)/G267</f>
        <v>3.1464322502217201</v>
      </c>
      <c r="N267" s="1798" t="s">
        <v>1103</v>
      </c>
    </row>
    <row r="268" spans="1:16" ht="68" customHeight="1" x14ac:dyDescent="0.2">
      <c r="A268" s="51">
        <v>4</v>
      </c>
      <c r="B268" s="894" t="s">
        <v>1105</v>
      </c>
      <c r="C268" s="1799">
        <v>7.5049999999999999</v>
      </c>
      <c r="D268" s="1191">
        <v>13.18</v>
      </c>
      <c r="E268" s="1191">
        <v>3.17</v>
      </c>
      <c r="F268" s="61">
        <v>72998</v>
      </c>
      <c r="G268" s="66">
        <v>27655.5</v>
      </c>
      <c r="H268" s="70">
        <f>F268/G268</f>
        <v>2.6395472871580696</v>
      </c>
      <c r="I268" s="66"/>
      <c r="J268" s="870">
        <f>I268/(I268+F268)*100</f>
        <v>0</v>
      </c>
      <c r="K268" s="722">
        <f>(F268+I268)/G268</f>
        <v>2.6395472871580696</v>
      </c>
      <c r="L268" s="66"/>
      <c r="M268" s="70">
        <f>(F268+I268+L268)/G268</f>
        <v>2.6395472871580696</v>
      </c>
      <c r="N268" s="1798" t="s">
        <v>1106</v>
      </c>
    </row>
    <row r="269" spans="1:16" s="1" customFormat="1" ht="38" customHeight="1" x14ac:dyDescent="0.2">
      <c r="A269" s="3335" t="s">
        <v>896</v>
      </c>
      <c r="B269" s="3335"/>
      <c r="C269" s="3335"/>
      <c r="D269" s="3335"/>
      <c r="E269" s="3335"/>
      <c r="F269" s="58">
        <f>SUM(F265:F268)</f>
        <v>1272113.8999999999</v>
      </c>
      <c r="G269" s="65">
        <f>SUM(G265:G268)</f>
        <v>487823.04000000004</v>
      </c>
      <c r="H269" s="59">
        <f>F269/G269</f>
        <v>2.6077364037582149</v>
      </c>
      <c r="I269" s="726">
        <f>SUM(I265:I268)</f>
        <v>165160</v>
      </c>
      <c r="J269" s="360">
        <f>I269/(I269+F269)*100</f>
        <v>11.491198720021286</v>
      </c>
      <c r="K269" s="360">
        <f>(F269+I269)/G269</f>
        <v>2.9463017982914455</v>
      </c>
      <c r="L269" s="65">
        <f>SUM(L265:L268)</f>
        <v>18772</v>
      </c>
      <c r="M269" s="59">
        <f>(F269+I269+L269)/G269</f>
        <v>2.9847829655606257</v>
      </c>
      <c r="N269" s="264"/>
    </row>
    <row r="270" spans="1:16" s="1" customFormat="1" ht="32" customHeight="1" x14ac:dyDescent="0.2">
      <c r="A270" s="42" t="s">
        <v>51</v>
      </c>
      <c r="H270" s="78"/>
      <c r="I270" s="447"/>
      <c r="J270" s="71"/>
      <c r="K270" s="71"/>
      <c r="N270" s="209"/>
    </row>
    <row r="271" spans="1:16" ht="41" customHeight="1" x14ac:dyDescent="0.2">
      <c r="A271" s="3511" t="s">
        <v>39</v>
      </c>
      <c r="B271" s="3511" t="s">
        <v>40</v>
      </c>
      <c r="C271" s="3511" t="s">
        <v>41</v>
      </c>
      <c r="D271" s="3511"/>
      <c r="E271" s="3511"/>
      <c r="F271" s="1795" t="s">
        <v>42</v>
      </c>
      <c r="G271" s="1795" t="s">
        <v>43</v>
      </c>
      <c r="H271" s="1796" t="s">
        <v>44</v>
      </c>
      <c r="I271" s="3511" t="s">
        <v>535</v>
      </c>
      <c r="J271" s="3511"/>
      <c r="K271" s="1797" t="s">
        <v>45</v>
      </c>
      <c r="L271" s="1795" t="s">
        <v>46</v>
      </c>
      <c r="M271" s="3512" t="s">
        <v>531</v>
      </c>
      <c r="N271" s="3512" t="s">
        <v>47</v>
      </c>
    </row>
    <row r="272" spans="1:16" ht="41" customHeight="1" x14ac:dyDescent="0.2">
      <c r="A272" s="3511"/>
      <c r="B272" s="3511"/>
      <c r="C272" s="1795" t="s">
        <v>48</v>
      </c>
      <c r="D272" s="1797" t="s">
        <v>527</v>
      </c>
      <c r="E272" s="1797" t="s">
        <v>528</v>
      </c>
      <c r="F272" s="1795" t="s">
        <v>164</v>
      </c>
      <c r="G272" s="1795" t="s">
        <v>530</v>
      </c>
      <c r="H272" s="1796" t="s">
        <v>529</v>
      </c>
      <c r="I272" s="1795" t="s">
        <v>164</v>
      </c>
      <c r="J272" s="1797" t="s">
        <v>532</v>
      </c>
      <c r="K272" s="1796" t="s">
        <v>529</v>
      </c>
      <c r="L272" s="1795" t="s">
        <v>164</v>
      </c>
      <c r="M272" s="3512"/>
      <c r="N272" s="3512"/>
    </row>
    <row r="273" spans="1:14" ht="72" customHeight="1" x14ac:dyDescent="0.2">
      <c r="A273" s="51">
        <v>1</v>
      </c>
      <c r="B273" s="894" t="s">
        <v>787</v>
      </c>
      <c r="C273" s="1190">
        <v>7679</v>
      </c>
      <c r="D273" s="1191">
        <v>4.7</v>
      </c>
      <c r="E273" s="1192">
        <v>2</v>
      </c>
      <c r="F273" s="61">
        <v>621142</v>
      </c>
      <c r="G273" s="1800">
        <v>205712.12</v>
      </c>
      <c r="H273" s="70">
        <f>F273/G273</f>
        <v>3.0194720661086962</v>
      </c>
      <c r="I273" s="872">
        <v>73235</v>
      </c>
      <c r="J273" s="870">
        <f>I273/(I273+F273)*100</f>
        <v>10.546864311461929</v>
      </c>
      <c r="K273" s="722">
        <f>(F273+I273)/G273</f>
        <v>3.3754792862958198</v>
      </c>
      <c r="L273" s="1801">
        <v>10375</v>
      </c>
      <c r="M273" s="70">
        <f>(F273+I273+L273)/G273</f>
        <v>3.425913845037424</v>
      </c>
      <c r="N273" s="1798" t="s">
        <v>1101</v>
      </c>
    </row>
    <row r="274" spans="1:14" ht="72" customHeight="1" x14ac:dyDescent="0.2">
      <c r="A274" s="51">
        <v>2</v>
      </c>
      <c r="B274" s="894" t="s">
        <v>1102</v>
      </c>
      <c r="C274" s="1190">
        <v>7571</v>
      </c>
      <c r="D274" s="1191">
        <v>19.670000000000002</v>
      </c>
      <c r="E274" s="1191">
        <v>2.2999999999999998</v>
      </c>
      <c r="F274" s="61">
        <v>329567</v>
      </c>
      <c r="G274" s="1802">
        <v>112968.1</v>
      </c>
      <c r="H274" s="70">
        <f>F274/G274</f>
        <v>2.9173456931647075</v>
      </c>
      <c r="I274" s="872">
        <v>51177</v>
      </c>
      <c r="J274" s="870">
        <f>I274/(I274+F274)*100</f>
        <v>13.441314899249889</v>
      </c>
      <c r="K274" s="722">
        <f>(F274+I274)/G274</f>
        <v>3.3703673868994874</v>
      </c>
      <c r="L274" s="1801"/>
      <c r="M274" s="70">
        <f>(F274+I274+L274)/G274</f>
        <v>3.3703673868994874</v>
      </c>
      <c r="N274" s="1798" t="s">
        <v>1103</v>
      </c>
    </row>
    <row r="275" spans="1:14" ht="72" customHeight="1" x14ac:dyDescent="0.2">
      <c r="A275" s="51">
        <v>3</v>
      </c>
      <c r="B275" s="894" t="s">
        <v>1104</v>
      </c>
      <c r="C275" s="1190">
        <v>7348</v>
      </c>
      <c r="D275" s="1191">
        <v>18.18</v>
      </c>
      <c r="E275" s="1191">
        <v>3.38</v>
      </c>
      <c r="F275" s="61">
        <v>284881</v>
      </c>
      <c r="G275" s="1802">
        <v>97788.1</v>
      </c>
      <c r="H275" s="70">
        <f>F275/G275</f>
        <v>2.9132481355093307</v>
      </c>
      <c r="I275" s="872">
        <v>45183</v>
      </c>
      <c r="J275" s="870">
        <f>I275/(I275+F275)*100</f>
        <v>13.689163313781568</v>
      </c>
      <c r="K275" s="722">
        <f>(F275+I275)/G275</f>
        <v>3.3752982213582223</v>
      </c>
      <c r="L275" s="1801">
        <v>8936</v>
      </c>
      <c r="M275" s="70">
        <f>(F275+I275+L275)/G275</f>
        <v>3.4666794834954353</v>
      </c>
      <c r="N275" s="1798" t="s">
        <v>1103</v>
      </c>
    </row>
    <row r="276" spans="1:14" ht="72" customHeight="1" x14ac:dyDescent="0.2">
      <c r="A276" s="51">
        <v>4</v>
      </c>
      <c r="B276" s="894" t="s">
        <v>1105</v>
      </c>
      <c r="C276" s="1799">
        <v>7.5049999999999999</v>
      </c>
      <c r="D276" s="1191">
        <v>13.18</v>
      </c>
      <c r="E276" s="1191">
        <v>3.17</v>
      </c>
      <c r="F276" s="61">
        <v>43454</v>
      </c>
      <c r="G276" s="1802">
        <v>15380</v>
      </c>
      <c r="H276" s="70">
        <f>F276/G276</f>
        <v>2.8253576072821844</v>
      </c>
      <c r="I276" s="872"/>
      <c r="J276" s="870">
        <f>I276/(I276+F276)*100</f>
        <v>0</v>
      </c>
      <c r="K276" s="722">
        <f>(F276+I276)/G276</f>
        <v>2.8253576072821844</v>
      </c>
      <c r="L276" s="1803"/>
      <c r="M276" s="70">
        <f>(F276+I276+L276)/G276</f>
        <v>2.8253576072821844</v>
      </c>
      <c r="N276" s="1798" t="s">
        <v>1106</v>
      </c>
    </row>
    <row r="277" spans="1:14" ht="36" customHeight="1" x14ac:dyDescent="0.2">
      <c r="A277" s="3336" t="s">
        <v>1107</v>
      </c>
      <c r="B277" s="3336"/>
      <c r="C277" s="3336"/>
      <c r="D277" s="3336"/>
      <c r="E277" s="3336"/>
      <c r="F277" s="888">
        <f>SUM(F273:F276)</f>
        <v>1279044</v>
      </c>
      <c r="G277" s="888">
        <f>SUM(G273:G276)</f>
        <v>431848.31999999995</v>
      </c>
      <c r="H277" s="59">
        <f>F277/G277</f>
        <v>2.9617899173487583</v>
      </c>
      <c r="I277" s="726">
        <f>SUM(I273:I276)</f>
        <v>169595</v>
      </c>
      <c r="J277" s="360">
        <f>I277/(I277+F277)*100</f>
        <v>11.707195512477574</v>
      </c>
      <c r="K277" s="360">
        <f>(F277+I277)/G277</f>
        <v>3.3545088238388892</v>
      </c>
      <c r="L277" s="60">
        <f>SUM(L273:L276)</f>
        <v>19311</v>
      </c>
      <c r="M277" s="59">
        <f>(F277+I277+L277)/G277</f>
        <v>3.3992259133947775</v>
      </c>
      <c r="N277" s="893"/>
    </row>
    <row r="278" spans="1:14" ht="31" customHeight="1" x14ac:dyDescent="0.2">
      <c r="A278" s="1804"/>
      <c r="B278" s="1804"/>
      <c r="C278" s="1804"/>
      <c r="D278" s="1804"/>
      <c r="E278" s="1804"/>
      <c r="F278" s="1805"/>
      <c r="G278" s="1805"/>
      <c r="H278" s="1127"/>
      <c r="I278" s="1189"/>
      <c r="J278" s="1129"/>
      <c r="K278" s="1129"/>
      <c r="L278" s="1126"/>
      <c r="M278" s="1127"/>
    </row>
    <row r="279" spans="1:14" s="1" customFormat="1" ht="34" customHeight="1" x14ac:dyDescent="0.2">
      <c r="A279" s="42" t="s">
        <v>686</v>
      </c>
      <c r="H279" s="78"/>
      <c r="I279" s="447"/>
      <c r="J279" s="71"/>
      <c r="K279" s="71"/>
      <c r="N279" s="209"/>
    </row>
    <row r="280" spans="1:14" s="1" customFormat="1" ht="41" customHeight="1" x14ac:dyDescent="0.2">
      <c r="A280" s="3511" t="s">
        <v>39</v>
      </c>
      <c r="B280" s="3511" t="s">
        <v>40</v>
      </c>
      <c r="C280" s="3511" t="s">
        <v>41</v>
      </c>
      <c r="D280" s="3511"/>
      <c r="E280" s="3511"/>
      <c r="F280" s="1795" t="s">
        <v>42</v>
      </c>
      <c r="G280" s="1795" t="s">
        <v>43</v>
      </c>
      <c r="H280" s="1796" t="s">
        <v>44</v>
      </c>
      <c r="I280" s="3511" t="s">
        <v>535</v>
      </c>
      <c r="J280" s="3511"/>
      <c r="K280" s="1797" t="s">
        <v>45</v>
      </c>
      <c r="L280" s="1795" t="s">
        <v>46</v>
      </c>
      <c r="M280" s="3512" t="s">
        <v>531</v>
      </c>
      <c r="N280" s="3512" t="s">
        <v>47</v>
      </c>
    </row>
    <row r="281" spans="1:14" s="1" customFormat="1" ht="41" customHeight="1" x14ac:dyDescent="0.2">
      <c r="A281" s="3511"/>
      <c r="B281" s="3511"/>
      <c r="C281" s="1795" t="s">
        <v>48</v>
      </c>
      <c r="D281" s="1797" t="s">
        <v>527</v>
      </c>
      <c r="E281" s="1797" t="s">
        <v>528</v>
      </c>
      <c r="F281" s="1795" t="s">
        <v>164</v>
      </c>
      <c r="G281" s="1795" t="s">
        <v>530</v>
      </c>
      <c r="H281" s="1796" t="s">
        <v>529</v>
      </c>
      <c r="I281" s="1795" t="s">
        <v>164</v>
      </c>
      <c r="J281" s="1797" t="s">
        <v>532</v>
      </c>
      <c r="K281" s="1796" t="s">
        <v>529</v>
      </c>
      <c r="L281" s="1795" t="s">
        <v>164</v>
      </c>
      <c r="M281" s="3512"/>
      <c r="N281" s="3512"/>
    </row>
    <row r="282" spans="1:14" s="1" customFormat="1" ht="57" customHeight="1" x14ac:dyDescent="0.2">
      <c r="A282" s="51">
        <v>1</v>
      </c>
      <c r="B282" s="868" t="s">
        <v>1105</v>
      </c>
      <c r="C282" s="1806">
        <v>7.5049999999999999</v>
      </c>
      <c r="D282" s="1136">
        <v>13.18</v>
      </c>
      <c r="E282" s="1136">
        <v>3.17</v>
      </c>
      <c r="F282" s="61">
        <v>12976</v>
      </c>
      <c r="G282" s="1807">
        <v>4438.8</v>
      </c>
      <c r="H282" s="70">
        <f>F282/G282</f>
        <v>2.9233126070109039</v>
      </c>
      <c r="I282" s="872">
        <v>0</v>
      </c>
      <c r="J282" s="870">
        <f>I282/(I282+F282)*100</f>
        <v>0</v>
      </c>
      <c r="K282" s="722">
        <f>(F282+I282)/G282</f>
        <v>2.9233126070109039</v>
      </c>
      <c r="L282" s="1801">
        <v>0</v>
      </c>
      <c r="M282" s="70">
        <f>(F282+I282+L282)/G282</f>
        <v>2.9233126070109039</v>
      </c>
      <c r="N282" s="893" t="s">
        <v>1106</v>
      </c>
    </row>
    <row r="283" spans="1:14" s="1" customFormat="1" ht="50" hidden="1" customHeight="1" x14ac:dyDescent="0.2">
      <c r="A283" s="51"/>
      <c r="B283" s="868"/>
      <c r="C283" s="1135"/>
      <c r="D283" s="1136"/>
      <c r="E283" s="1136"/>
      <c r="F283" s="61">
        <v>12976</v>
      </c>
      <c r="G283" s="1807">
        <v>4438.8</v>
      </c>
      <c r="H283" s="70"/>
      <c r="I283" s="872"/>
      <c r="J283" s="870"/>
      <c r="K283" s="722"/>
      <c r="L283" s="1801"/>
      <c r="M283" s="70"/>
      <c r="N283" s="1808"/>
    </row>
    <row r="284" spans="1:14" ht="50" hidden="1" customHeight="1" x14ac:dyDescent="0.2">
      <c r="A284" s="51"/>
      <c r="B284" s="868"/>
      <c r="C284" s="1135"/>
      <c r="D284" s="1136"/>
      <c r="E284" s="1136"/>
      <c r="F284" s="61">
        <v>12976</v>
      </c>
      <c r="G284" s="1807">
        <v>4438.8</v>
      </c>
      <c r="H284" s="70"/>
      <c r="I284" s="872"/>
      <c r="J284" s="870"/>
      <c r="K284" s="722"/>
      <c r="L284" s="1801"/>
      <c r="M284" s="70"/>
      <c r="N284" s="1809"/>
    </row>
    <row r="285" spans="1:14" s="1" customFormat="1" ht="50" hidden="1" customHeight="1" x14ac:dyDescent="0.2">
      <c r="A285" s="51"/>
      <c r="B285" s="868"/>
      <c r="C285" s="1806"/>
      <c r="D285" s="1136"/>
      <c r="E285" s="1136"/>
      <c r="F285" s="61">
        <v>12976</v>
      </c>
      <c r="G285" s="1807">
        <v>4438.8</v>
      </c>
      <c r="H285" s="70"/>
      <c r="I285" s="872"/>
      <c r="J285" s="870"/>
      <c r="K285" s="722"/>
      <c r="L285" s="1803"/>
      <c r="M285" s="70"/>
      <c r="N285" s="1809"/>
    </row>
    <row r="286" spans="1:14" s="1" customFormat="1" ht="32" customHeight="1" x14ac:dyDescent="0.2">
      <c r="A286" s="3336" t="s">
        <v>54</v>
      </c>
      <c r="B286" s="3336"/>
      <c r="C286" s="3336"/>
      <c r="D286" s="3336"/>
      <c r="E286" s="3336"/>
      <c r="F286" s="61">
        <v>12976</v>
      </c>
      <c r="G286" s="1807">
        <v>4438.8</v>
      </c>
      <c r="H286" s="59">
        <f>F286/G286</f>
        <v>2.9233126070109039</v>
      </c>
      <c r="I286" s="859">
        <f>I284+I285</f>
        <v>0</v>
      </c>
      <c r="J286" s="360">
        <f>I286/(I286+F286)*100</f>
        <v>0</v>
      </c>
      <c r="K286" s="360">
        <f>(F286+I286)/G286</f>
        <v>2.9233126070109039</v>
      </c>
      <c r="L286" s="60">
        <f>L284+L285</f>
        <v>0</v>
      </c>
      <c r="M286" s="59">
        <f>(F286+I286+L286)/G286</f>
        <v>2.9233126070109039</v>
      </c>
      <c r="N286" s="893"/>
    </row>
    <row r="287" spans="1:14" s="1" customFormat="1" ht="27" hidden="1" customHeight="1" x14ac:dyDescent="0.2">
      <c r="A287" s="42" t="s">
        <v>688</v>
      </c>
      <c r="H287" s="78"/>
      <c r="I287" s="447"/>
      <c r="J287" s="71"/>
      <c r="K287" s="71"/>
      <c r="N287" s="209"/>
    </row>
    <row r="288" spans="1:14" s="1" customFormat="1" ht="38" hidden="1" customHeight="1" x14ac:dyDescent="0.2">
      <c r="A288" s="3301" t="s">
        <v>39</v>
      </c>
      <c r="B288" s="3301" t="s">
        <v>40</v>
      </c>
      <c r="C288" s="3301" t="s">
        <v>41</v>
      </c>
      <c r="D288" s="3301"/>
      <c r="E288" s="3301"/>
      <c r="F288" s="50" t="s">
        <v>42</v>
      </c>
      <c r="G288" s="50" t="s">
        <v>43</v>
      </c>
      <c r="H288" s="537" t="s">
        <v>44</v>
      </c>
      <c r="I288" s="3301" t="s">
        <v>535</v>
      </c>
      <c r="J288" s="3301"/>
      <c r="K288" s="69" t="s">
        <v>45</v>
      </c>
      <c r="L288" s="50" t="s">
        <v>46</v>
      </c>
      <c r="M288" s="3419" t="s">
        <v>531</v>
      </c>
      <c r="N288" s="3419" t="s">
        <v>47</v>
      </c>
    </row>
    <row r="289" spans="1:14" s="1" customFormat="1" ht="32" hidden="1" customHeight="1" x14ac:dyDescent="0.2">
      <c r="A289" s="3301"/>
      <c r="B289" s="3301"/>
      <c r="C289" s="50" t="s">
        <v>48</v>
      </c>
      <c r="D289" s="69" t="s">
        <v>527</v>
      </c>
      <c r="E289" s="69" t="s">
        <v>528</v>
      </c>
      <c r="F289" s="50" t="s">
        <v>164</v>
      </c>
      <c r="G289" s="50" t="s">
        <v>530</v>
      </c>
      <c r="H289" s="537" t="s">
        <v>529</v>
      </c>
      <c r="I289" s="50" t="s">
        <v>164</v>
      </c>
      <c r="J289" s="69" t="s">
        <v>532</v>
      </c>
      <c r="K289" s="537" t="s">
        <v>529</v>
      </c>
      <c r="L289" s="50" t="s">
        <v>164</v>
      </c>
      <c r="M289" s="3419"/>
      <c r="N289" s="3419"/>
    </row>
    <row r="290" spans="1:14" s="1" customFormat="1" ht="32" hidden="1" customHeight="1" x14ac:dyDescent="0.2">
      <c r="A290" s="50"/>
      <c r="B290" s="50"/>
      <c r="C290" s="50"/>
      <c r="D290" s="69"/>
      <c r="E290" s="69"/>
      <c r="F290" s="50"/>
      <c r="G290" s="50"/>
      <c r="H290" s="537"/>
      <c r="I290" s="50"/>
      <c r="J290" s="69"/>
      <c r="K290" s="537"/>
      <c r="L290" s="50"/>
      <c r="M290" s="69"/>
      <c r="N290" s="69"/>
    </row>
    <row r="291" spans="1:14" s="1" customFormat="1" ht="32" hidden="1" customHeight="1" x14ac:dyDescent="0.2">
      <c r="A291" s="50"/>
      <c r="B291" s="50"/>
      <c r="C291" s="50"/>
      <c r="D291" s="69"/>
      <c r="E291" s="69"/>
      <c r="F291" s="50"/>
      <c r="G291" s="50"/>
      <c r="H291" s="537"/>
      <c r="I291" s="50"/>
      <c r="J291" s="69"/>
      <c r="K291" s="537"/>
      <c r="L291" s="50"/>
      <c r="M291" s="69"/>
      <c r="N291" s="69"/>
    </row>
    <row r="292" spans="1:14" ht="62" hidden="1" customHeight="1" x14ac:dyDescent="0.2">
      <c r="A292" s="51">
        <v>1</v>
      </c>
      <c r="B292" s="894"/>
      <c r="C292" s="53"/>
      <c r="D292" s="54"/>
      <c r="E292" s="54"/>
      <c r="F292" s="55"/>
      <c r="G292" s="1130"/>
      <c r="H292" s="70" t="e">
        <f>F292/G292</f>
        <v>#DIV/0!</v>
      </c>
      <c r="I292" s="66"/>
      <c r="J292" s="870" t="e">
        <f>I292/(I292+F292)*100</f>
        <v>#DIV/0!</v>
      </c>
      <c r="K292" s="722" t="e">
        <f>(F292+I292)/G292</f>
        <v>#DIV/0!</v>
      </c>
      <c r="L292" s="66"/>
      <c r="M292" s="70" t="e">
        <f>(F292+I292+L292)/G292</f>
        <v>#DIV/0!</v>
      </c>
      <c r="N292" s="893"/>
    </row>
    <row r="293" spans="1:14" ht="54" hidden="1" customHeight="1" x14ac:dyDescent="0.2">
      <c r="A293" s="51">
        <v>2</v>
      </c>
      <c r="B293" s="894"/>
      <c r="C293" s="53"/>
      <c r="D293" s="54"/>
      <c r="E293" s="54"/>
      <c r="F293" s="55"/>
      <c r="G293" s="66"/>
      <c r="H293" s="70" t="e">
        <f>F293/G293</f>
        <v>#DIV/0!</v>
      </c>
      <c r="I293" s="66"/>
      <c r="J293" s="870" t="e">
        <f>I293/(I293+F293)*100</f>
        <v>#DIV/0!</v>
      </c>
      <c r="K293" s="722" t="e">
        <f>(F293+I293)/G293</f>
        <v>#DIV/0!</v>
      </c>
      <c r="L293" s="1065">
        <v>0</v>
      </c>
      <c r="M293" s="70" t="e">
        <f>(F293+I293+L293)/G293</f>
        <v>#DIV/0!</v>
      </c>
      <c r="N293" s="893"/>
    </row>
    <row r="294" spans="1:14" s="1" customFormat="1" ht="27" hidden="1" customHeight="1" x14ac:dyDescent="0.2">
      <c r="A294" s="3336" t="s">
        <v>54</v>
      </c>
      <c r="B294" s="3336"/>
      <c r="C294" s="3336"/>
      <c r="D294" s="3336"/>
      <c r="E294" s="3336"/>
      <c r="F294" s="888">
        <f>F292+F293</f>
        <v>0</v>
      </c>
      <c r="G294" s="888">
        <f>G292+G293</f>
        <v>0</v>
      </c>
      <c r="H294" s="59" t="e">
        <f>F294/G294</f>
        <v>#DIV/0!</v>
      </c>
      <c r="I294" s="859">
        <f>I292+I293</f>
        <v>0</v>
      </c>
      <c r="J294" s="360" t="e">
        <f>I294/(I294+F294)*100</f>
        <v>#DIV/0!</v>
      </c>
      <c r="K294" s="360" t="e">
        <f>(F294+I294)/G294</f>
        <v>#DIV/0!</v>
      </c>
      <c r="L294" s="60">
        <f>L292+L293</f>
        <v>0</v>
      </c>
      <c r="M294" s="59" t="e">
        <f>(F294+I294+L294)/G294</f>
        <v>#DIV/0!</v>
      </c>
      <c r="N294" s="893"/>
    </row>
    <row r="295" spans="1:14" s="1" customFormat="1" ht="27" customHeight="1" x14ac:dyDescent="0.2">
      <c r="A295" s="3398" t="s">
        <v>1108</v>
      </c>
      <c r="B295" s="3398"/>
      <c r="C295" s="3398"/>
      <c r="D295" s="3398"/>
      <c r="E295" s="3398"/>
      <c r="F295" s="3398"/>
      <c r="G295" s="3398"/>
      <c r="H295" s="3398"/>
      <c r="I295" s="3398"/>
      <c r="J295" s="3398"/>
      <c r="K295" s="3398"/>
      <c r="L295" s="3398"/>
      <c r="M295" s="3398"/>
      <c r="N295" s="3398"/>
    </row>
    <row r="296" spans="1:14" s="1" customFormat="1" ht="35" customHeight="1" x14ac:dyDescent="0.2">
      <c r="A296" s="3511" t="s">
        <v>39</v>
      </c>
      <c r="B296" s="3511" t="s">
        <v>40</v>
      </c>
      <c r="C296" s="3511" t="s">
        <v>41</v>
      </c>
      <c r="D296" s="3511"/>
      <c r="E296" s="3511"/>
      <c r="F296" s="1795" t="s">
        <v>42</v>
      </c>
      <c r="G296" s="1795" t="s">
        <v>43</v>
      </c>
      <c r="H296" s="1796" t="s">
        <v>44</v>
      </c>
      <c r="I296" s="3511" t="s">
        <v>535</v>
      </c>
      <c r="J296" s="3511"/>
      <c r="K296" s="1797" t="s">
        <v>45</v>
      </c>
      <c r="L296" s="1795" t="s">
        <v>46</v>
      </c>
      <c r="M296" s="3512" t="s">
        <v>531</v>
      </c>
      <c r="N296" s="3512" t="s">
        <v>47</v>
      </c>
    </row>
    <row r="297" spans="1:14" s="1" customFormat="1" ht="32" customHeight="1" x14ac:dyDescent="0.2">
      <c r="A297" s="3511"/>
      <c r="B297" s="3511"/>
      <c r="C297" s="1795" t="s">
        <v>48</v>
      </c>
      <c r="D297" s="1797" t="s">
        <v>527</v>
      </c>
      <c r="E297" s="1797" t="s">
        <v>528</v>
      </c>
      <c r="F297" s="1795" t="s">
        <v>164</v>
      </c>
      <c r="G297" s="1795" t="s">
        <v>530</v>
      </c>
      <c r="H297" s="1796" t="s">
        <v>529</v>
      </c>
      <c r="I297" s="1795" t="s">
        <v>164</v>
      </c>
      <c r="J297" s="1797" t="s">
        <v>532</v>
      </c>
      <c r="K297" s="1796" t="s">
        <v>529</v>
      </c>
      <c r="L297" s="1795" t="s">
        <v>164</v>
      </c>
      <c r="M297" s="3512"/>
      <c r="N297" s="3512"/>
    </row>
    <row r="298" spans="1:14" ht="72" customHeight="1" x14ac:dyDescent="0.2">
      <c r="A298" s="51">
        <v>1</v>
      </c>
      <c r="B298" s="894" t="s">
        <v>787</v>
      </c>
      <c r="C298" s="1190">
        <v>7679</v>
      </c>
      <c r="D298" s="1191">
        <v>4.7</v>
      </c>
      <c r="E298" s="1192">
        <v>2</v>
      </c>
      <c r="F298" s="1800">
        <f t="shared" ref="F298:G300" si="20">F273</f>
        <v>621142</v>
      </c>
      <c r="G298" s="1800">
        <f t="shared" si="20"/>
        <v>205712.12</v>
      </c>
      <c r="H298" s="70">
        <f>F298/G298</f>
        <v>3.0194720661086962</v>
      </c>
      <c r="I298" s="872">
        <v>73235</v>
      </c>
      <c r="J298" s="870">
        <f>I298/(I298+F298)*100</f>
        <v>10.546864311461929</v>
      </c>
      <c r="K298" s="722">
        <f>(F298+I298)/G298</f>
        <v>3.3754792862958198</v>
      </c>
      <c r="L298" s="1801">
        <v>10375</v>
      </c>
      <c r="M298" s="70">
        <f>(F298+I298+L298)/G298</f>
        <v>3.425913845037424</v>
      </c>
      <c r="N298" s="1798" t="s">
        <v>1101</v>
      </c>
    </row>
    <row r="299" spans="1:14" ht="58" customHeight="1" x14ac:dyDescent="0.2">
      <c r="A299" s="51">
        <v>2</v>
      </c>
      <c r="B299" s="894" t="s">
        <v>1102</v>
      </c>
      <c r="C299" s="1190">
        <v>7571</v>
      </c>
      <c r="D299" s="1191">
        <v>19.670000000000002</v>
      </c>
      <c r="E299" s="1191">
        <v>2.2999999999999998</v>
      </c>
      <c r="F299" s="1802">
        <f t="shared" si="20"/>
        <v>329567</v>
      </c>
      <c r="G299" s="1802">
        <f t="shared" si="20"/>
        <v>112968.1</v>
      </c>
      <c r="H299" s="70">
        <f>F299/G299</f>
        <v>2.9173456931647075</v>
      </c>
      <c r="I299" s="872">
        <v>51177</v>
      </c>
      <c r="J299" s="870">
        <f>I299/(I299+F299)*100</f>
        <v>13.441314899249889</v>
      </c>
      <c r="K299" s="722">
        <f>(F299+I299)/G299</f>
        <v>3.3703673868994874</v>
      </c>
      <c r="L299" s="1801"/>
      <c r="M299" s="70">
        <f>(F299+I299+L299)/G299</f>
        <v>3.3703673868994874</v>
      </c>
      <c r="N299" s="1798" t="s">
        <v>1103</v>
      </c>
    </row>
    <row r="300" spans="1:14" s="1" customFormat="1" ht="61" customHeight="1" x14ac:dyDescent="0.2">
      <c r="A300" s="51">
        <v>3</v>
      </c>
      <c r="B300" s="894" t="s">
        <v>1104</v>
      </c>
      <c r="C300" s="1190">
        <v>7348</v>
      </c>
      <c r="D300" s="1191">
        <v>18.18</v>
      </c>
      <c r="E300" s="1191">
        <v>3.38</v>
      </c>
      <c r="F300" s="1802">
        <f t="shared" si="20"/>
        <v>284881</v>
      </c>
      <c r="G300" s="1802">
        <f t="shared" si="20"/>
        <v>97788.1</v>
      </c>
      <c r="H300" s="70">
        <f>F300/G300</f>
        <v>2.9132481355093307</v>
      </c>
      <c r="I300" s="872">
        <v>45183</v>
      </c>
      <c r="J300" s="870">
        <f>I300/(I300+F300)*100</f>
        <v>13.689163313781568</v>
      </c>
      <c r="K300" s="722">
        <f>(F300+I300)/G300</f>
        <v>3.3752982213582223</v>
      </c>
      <c r="L300" s="1801">
        <v>8936</v>
      </c>
      <c r="M300" s="70">
        <f>(F300+I300+L300)/G300</f>
        <v>3.4666794834954353</v>
      </c>
      <c r="N300" s="1798" t="s">
        <v>1103</v>
      </c>
    </row>
    <row r="301" spans="1:14" s="1" customFormat="1" ht="58" customHeight="1" x14ac:dyDescent="0.2">
      <c r="A301" s="51">
        <v>4</v>
      </c>
      <c r="B301" s="894" t="s">
        <v>1105</v>
      </c>
      <c r="C301" s="1799">
        <v>7.5049999999999999</v>
      </c>
      <c r="D301" s="1191">
        <v>13.18</v>
      </c>
      <c r="E301" s="1191">
        <v>3.17</v>
      </c>
      <c r="F301" s="1802">
        <f>F276+F282</f>
        <v>56430</v>
      </c>
      <c r="G301" s="1802">
        <f>G276+G282</f>
        <v>19818.8</v>
      </c>
      <c r="H301" s="70">
        <f>F301/G301</f>
        <v>2.8472965063475084</v>
      </c>
      <c r="I301" s="872"/>
      <c r="J301" s="870">
        <f>I301/(I301+F301)*100</f>
        <v>0</v>
      </c>
      <c r="K301" s="722">
        <f>(F301+I301)/G301</f>
        <v>2.8472965063475084</v>
      </c>
      <c r="L301" s="1803"/>
      <c r="M301" s="70">
        <f>(F301+I301+L301)/G301</f>
        <v>2.8472965063475084</v>
      </c>
      <c r="N301" s="1798" t="s">
        <v>1106</v>
      </c>
    </row>
    <row r="302" spans="1:14" s="1" customFormat="1" ht="36" customHeight="1" x14ac:dyDescent="0.2">
      <c r="A302" s="3335" t="s">
        <v>54</v>
      </c>
      <c r="B302" s="3335"/>
      <c r="C302" s="3335"/>
      <c r="D302" s="3335"/>
      <c r="E302" s="3335"/>
      <c r="F302" s="58">
        <f>SUM(F298:F301)</f>
        <v>1292020</v>
      </c>
      <c r="G302" s="60">
        <f>SUM(G298:G301)</f>
        <v>436287.11999999994</v>
      </c>
      <c r="H302" s="59">
        <f>F302/G302</f>
        <v>2.9613984478845037</v>
      </c>
      <c r="I302" s="859">
        <f>SUM(I298:I301)</f>
        <v>169595</v>
      </c>
      <c r="J302" s="360">
        <f>I302/(I302+F302)*100</f>
        <v>11.603260776606698</v>
      </c>
      <c r="K302" s="360">
        <f>(F302+I302)/G302</f>
        <v>3.3501218188609379</v>
      </c>
      <c r="L302" s="60">
        <f>SUM(L298:L301)</f>
        <v>19311</v>
      </c>
      <c r="M302" s="59">
        <f>(F302+I302+L302)/G302</f>
        <v>3.3943839552265493</v>
      </c>
      <c r="N302" s="264"/>
    </row>
    <row r="303" spans="1:14" s="1" customFormat="1" ht="23" customHeight="1" x14ac:dyDescent="0.2">
      <c r="A303" s="67"/>
      <c r="B303" s="67"/>
      <c r="C303" s="67"/>
      <c r="D303" s="67"/>
      <c r="E303" s="67"/>
      <c r="F303" s="1125"/>
      <c r="G303" s="1126"/>
      <c r="H303" s="1127"/>
      <c r="I303" s="1128"/>
      <c r="J303" s="1129"/>
      <c r="K303" s="1129"/>
      <c r="L303" s="1126"/>
      <c r="M303" s="1127"/>
      <c r="N303" s="272"/>
    </row>
    <row r="304" spans="1:14" s="1" customFormat="1" ht="28" customHeight="1" x14ac:dyDescent="0.2">
      <c r="A304" s="42" t="s">
        <v>1109</v>
      </c>
      <c r="H304" s="78"/>
      <c r="I304" s="447"/>
      <c r="J304" s="71"/>
      <c r="K304" s="71"/>
      <c r="N304" s="209"/>
    </row>
    <row r="305" spans="1:18" s="1" customFormat="1" ht="34" customHeight="1" x14ac:dyDescent="0.2">
      <c r="A305" s="3510" t="s">
        <v>39</v>
      </c>
      <c r="B305" s="3510" t="s">
        <v>40</v>
      </c>
      <c r="C305" s="3510" t="s">
        <v>41</v>
      </c>
      <c r="D305" s="3510"/>
      <c r="E305" s="3510"/>
      <c r="F305" s="1810" t="s">
        <v>42</v>
      </c>
      <c r="G305" s="1810" t="s">
        <v>43</v>
      </c>
      <c r="H305" s="1811" t="s">
        <v>533</v>
      </c>
      <c r="I305" s="3510" t="s">
        <v>535</v>
      </c>
      <c r="J305" s="3510"/>
      <c r="K305" s="1812" t="s">
        <v>45</v>
      </c>
      <c r="L305" s="1810" t="s">
        <v>46</v>
      </c>
      <c r="M305" s="3507" t="s">
        <v>531</v>
      </c>
      <c r="N305" s="3507" t="s">
        <v>47</v>
      </c>
    </row>
    <row r="306" spans="1:18" s="1" customFormat="1" ht="35" customHeight="1" x14ac:dyDescent="0.2">
      <c r="A306" s="3510"/>
      <c r="B306" s="3510"/>
      <c r="C306" s="1810" t="s">
        <v>48</v>
      </c>
      <c r="D306" s="1812" t="s">
        <v>527</v>
      </c>
      <c r="E306" s="1812" t="s">
        <v>528</v>
      </c>
      <c r="F306" s="1810" t="s">
        <v>164</v>
      </c>
      <c r="G306" s="1810" t="s">
        <v>530</v>
      </c>
      <c r="H306" s="1811" t="s">
        <v>534</v>
      </c>
      <c r="I306" s="1810" t="s">
        <v>164</v>
      </c>
      <c r="J306" s="1812" t="s">
        <v>532</v>
      </c>
      <c r="K306" s="1811" t="s">
        <v>534</v>
      </c>
      <c r="L306" s="1810" t="s">
        <v>164</v>
      </c>
      <c r="M306" s="3507"/>
      <c r="N306" s="3507"/>
    </row>
    <row r="307" spans="1:18" ht="62" customHeight="1" x14ac:dyDescent="0.2">
      <c r="A307" s="51">
        <v>1</v>
      </c>
      <c r="B307" s="894" t="s">
        <v>787</v>
      </c>
      <c r="C307" s="1190">
        <v>7679</v>
      </c>
      <c r="D307" s="1191">
        <v>4.7</v>
      </c>
      <c r="E307" s="1192">
        <v>2</v>
      </c>
      <c r="F307" s="61">
        <f t="shared" ref="F307:G310" si="21">F265+F298</f>
        <v>1215792</v>
      </c>
      <c r="G307" s="61">
        <f t="shared" si="21"/>
        <v>436610.12</v>
      </c>
      <c r="H307" s="70">
        <f t="shared" ref="H307:H312" si="22">F307/G307</f>
        <v>2.7846170858339243</v>
      </c>
      <c r="I307" s="61">
        <f>I265+I298</f>
        <v>143599</v>
      </c>
      <c r="J307" s="870">
        <f t="shared" ref="J307:J312" si="23">I307/(I307+F307)*100</f>
        <v>10.563480264324244</v>
      </c>
      <c r="K307" s="722">
        <f t="shared" ref="K307:K312" si="24">(F307+I307)/G307</f>
        <v>3.1135123482708096</v>
      </c>
      <c r="L307" s="61">
        <f>L265+L298</f>
        <v>20343</v>
      </c>
      <c r="M307" s="70">
        <f t="shared" ref="M307:M312" si="25">(F307+I307+L307)/G307</f>
        <v>3.1601054047945567</v>
      </c>
      <c r="N307" s="1798" t="s">
        <v>1101</v>
      </c>
    </row>
    <row r="308" spans="1:18" ht="62" customHeight="1" x14ac:dyDescent="0.2">
      <c r="A308" s="51">
        <v>2</v>
      </c>
      <c r="B308" s="894" t="s">
        <v>1102</v>
      </c>
      <c r="C308" s="1190">
        <v>7571</v>
      </c>
      <c r="D308" s="1191">
        <v>19.670000000000002</v>
      </c>
      <c r="E308" s="1191">
        <v>2.2999999999999998</v>
      </c>
      <c r="F308" s="61">
        <f t="shared" si="21"/>
        <v>653335.9</v>
      </c>
      <c r="G308" s="61">
        <f t="shared" si="21"/>
        <v>236078.99</v>
      </c>
      <c r="H308" s="70">
        <f t="shared" si="22"/>
        <v>2.7674461840081577</v>
      </c>
      <c r="I308" s="61">
        <f>I266+I299</f>
        <v>101453</v>
      </c>
      <c r="J308" s="870">
        <f t="shared" si="23"/>
        <v>13.441241650480022</v>
      </c>
      <c r="K308" s="722">
        <f t="shared" si="24"/>
        <v>3.1971879412056112</v>
      </c>
      <c r="L308" s="61">
        <f>L266+L299</f>
        <v>0</v>
      </c>
      <c r="M308" s="70">
        <f t="shared" si="25"/>
        <v>3.1971879412056112</v>
      </c>
      <c r="N308" s="1798" t="s">
        <v>1103</v>
      </c>
    </row>
    <row r="309" spans="1:18" ht="62" customHeight="1" x14ac:dyDescent="0.2">
      <c r="A309" s="51">
        <v>3</v>
      </c>
      <c r="B309" s="894" t="s">
        <v>1104</v>
      </c>
      <c r="C309" s="1190">
        <v>7348</v>
      </c>
      <c r="D309" s="1191">
        <v>18.18</v>
      </c>
      <c r="E309" s="1191">
        <v>3.38</v>
      </c>
      <c r="F309" s="61">
        <f t="shared" si="21"/>
        <v>565578</v>
      </c>
      <c r="G309" s="61">
        <f t="shared" si="21"/>
        <v>203946.75</v>
      </c>
      <c r="H309" s="70">
        <f t="shared" si="22"/>
        <v>2.7731650541133899</v>
      </c>
      <c r="I309" s="61">
        <f>I267+I300</f>
        <v>89703</v>
      </c>
      <c r="J309" s="870">
        <f t="shared" si="23"/>
        <v>13.689241714623194</v>
      </c>
      <c r="K309" s="722">
        <f t="shared" si="24"/>
        <v>3.2130004523239521</v>
      </c>
      <c r="L309" s="61">
        <f>L267+L300</f>
        <v>17740</v>
      </c>
      <c r="M309" s="70">
        <f t="shared" si="25"/>
        <v>3.2999839418867913</v>
      </c>
      <c r="N309" s="1798" t="s">
        <v>1103</v>
      </c>
    </row>
    <row r="310" spans="1:18" ht="62" customHeight="1" x14ac:dyDescent="0.2">
      <c r="A310" s="51">
        <v>4</v>
      </c>
      <c r="B310" s="894" t="s">
        <v>1105</v>
      </c>
      <c r="C310" s="1799">
        <v>7.5049999999999999</v>
      </c>
      <c r="D310" s="1191">
        <v>13.18</v>
      </c>
      <c r="E310" s="1191">
        <v>3.17</v>
      </c>
      <c r="F310" s="61">
        <f t="shared" si="21"/>
        <v>129428</v>
      </c>
      <c r="G310" s="61">
        <f t="shared" si="21"/>
        <v>47474.3</v>
      </c>
      <c r="H310" s="70">
        <f t="shared" si="22"/>
        <v>2.7262750582946982</v>
      </c>
      <c r="I310" s="61">
        <f>I268+I301</f>
        <v>0</v>
      </c>
      <c r="J310" s="870">
        <f t="shared" si="23"/>
        <v>0</v>
      </c>
      <c r="K310" s="722">
        <f t="shared" si="24"/>
        <v>2.7262750582946982</v>
      </c>
      <c r="L310" s="61">
        <f>L268+L301</f>
        <v>0</v>
      </c>
      <c r="M310" s="70">
        <f t="shared" si="25"/>
        <v>2.7262750582946982</v>
      </c>
      <c r="N310" s="1798" t="s">
        <v>1106</v>
      </c>
    </row>
    <row r="311" spans="1:18" ht="31" customHeight="1" x14ac:dyDescent="0.2">
      <c r="A311" s="3508" t="s">
        <v>54</v>
      </c>
      <c r="B311" s="3508"/>
      <c r="C311" s="3508"/>
      <c r="D311" s="3508"/>
      <c r="E311" s="3508"/>
      <c r="F311" s="1141">
        <f>SUM(F307:F310)</f>
        <v>2564133.9</v>
      </c>
      <c r="G311" s="1141">
        <f>SUM(G307:G310)</f>
        <v>924110.16</v>
      </c>
      <c r="H311" s="1142">
        <f t="shared" si="22"/>
        <v>2.7747058857138849</v>
      </c>
      <c r="I311" s="1169">
        <f>SUM(I307:I310)</f>
        <v>334755</v>
      </c>
      <c r="J311" s="1143">
        <f t="shared" si="23"/>
        <v>11.547700224041012</v>
      </c>
      <c r="K311" s="1143">
        <f t="shared" si="24"/>
        <v>3.136951659529422</v>
      </c>
      <c r="L311" s="1144">
        <f>SUM(L307:L310)</f>
        <v>38083</v>
      </c>
      <c r="M311" s="1142">
        <f t="shared" si="25"/>
        <v>3.1781621143522543</v>
      </c>
      <c r="N311" s="1140"/>
    </row>
    <row r="312" spans="1:18" s="1" customFormat="1" ht="31" customHeight="1" x14ac:dyDescent="0.2">
      <c r="A312" s="3509" t="s">
        <v>914</v>
      </c>
      <c r="B312" s="3509"/>
      <c r="C312" s="3509"/>
      <c r="D312" s="3509"/>
      <c r="E312" s="3509"/>
      <c r="F312" s="1145">
        <f>SUM(F307:F310)</f>
        <v>2564133.9</v>
      </c>
      <c r="G312" s="1145">
        <f>SUM(G307:G310)</f>
        <v>924110.16</v>
      </c>
      <c r="H312" s="1146">
        <f t="shared" si="22"/>
        <v>2.7747058857138849</v>
      </c>
      <c r="I312" s="1170">
        <f>SUM(I307:I310)</f>
        <v>334755</v>
      </c>
      <c r="J312" s="1147">
        <f t="shared" si="23"/>
        <v>11.547700224041012</v>
      </c>
      <c r="K312" s="1147">
        <f t="shared" si="24"/>
        <v>3.136951659529422</v>
      </c>
      <c r="L312" s="1148">
        <f>SUM(L307:L310)</f>
        <v>38083</v>
      </c>
      <c r="M312" s="1146">
        <f t="shared" si="25"/>
        <v>3.1781621143522543</v>
      </c>
      <c r="N312" s="1149"/>
    </row>
    <row r="313" spans="1:18" s="1" customFormat="1" ht="29" customHeight="1" x14ac:dyDescent="0.2">
      <c r="A313" s="1001" t="s">
        <v>515</v>
      </c>
      <c r="B313" s="1002"/>
      <c r="C313" s="1002"/>
      <c r="D313" s="1002"/>
      <c r="E313" s="1002"/>
      <c r="F313" s="1002"/>
      <c r="G313" s="1002"/>
      <c r="H313" s="1002"/>
      <c r="I313" s="1003"/>
      <c r="J313" s="1003"/>
      <c r="K313" s="1004"/>
      <c r="L313" s="1004"/>
      <c r="M313" s="1005"/>
      <c r="N313" s="1005"/>
      <c r="O313" s="876"/>
      <c r="P313" s="876"/>
      <c r="Q313" s="876"/>
      <c r="R313" s="876"/>
    </row>
    <row r="314" spans="1:18" s="1" customFormat="1" ht="46" customHeight="1" x14ac:dyDescent="0.2">
      <c r="A314" s="3197" t="s">
        <v>1110</v>
      </c>
      <c r="B314" s="3197"/>
      <c r="C314" s="3197"/>
      <c r="D314" s="3197"/>
      <c r="E314" s="3197"/>
      <c r="F314" s="3197"/>
      <c r="G314" s="3197"/>
      <c r="H314" s="3197"/>
      <c r="I314" s="3197"/>
      <c r="J314" s="3197"/>
      <c r="K314" s="3197"/>
      <c r="L314" s="3197"/>
      <c r="M314" s="3197"/>
      <c r="N314" s="3197"/>
      <c r="O314" s="1000"/>
      <c r="P314" s="1000"/>
      <c r="Q314" s="1000"/>
      <c r="R314" s="1000"/>
    </row>
    <row r="315" spans="1:18" s="1" customFormat="1" ht="27" customHeight="1" x14ac:dyDescent="0.2">
      <c r="A315" s="3197" t="s">
        <v>1111</v>
      </c>
      <c r="B315" s="3197"/>
      <c r="C315" s="3197"/>
      <c r="D315" s="3197"/>
      <c r="E315" s="3197"/>
      <c r="F315" s="3197"/>
      <c r="G315" s="3197"/>
      <c r="H315" s="3197"/>
      <c r="I315" s="3197"/>
      <c r="J315" s="3197"/>
      <c r="K315" s="3197"/>
      <c r="L315" s="3197"/>
      <c r="M315" s="3197"/>
      <c r="N315" s="3197"/>
      <c r="O315" s="1000"/>
      <c r="P315" s="1000"/>
      <c r="Q315" s="1000"/>
      <c r="R315" s="1000"/>
    </row>
    <row r="316" spans="1:18" s="1" customFormat="1" ht="27" customHeight="1" x14ac:dyDescent="0.2">
      <c r="A316" s="3197" t="s">
        <v>1112</v>
      </c>
      <c r="B316" s="3197"/>
      <c r="C316" s="3197"/>
      <c r="D316" s="3197"/>
      <c r="E316" s="3197"/>
      <c r="F316" s="3197"/>
      <c r="G316" s="3197"/>
      <c r="H316" s="3197"/>
      <c r="I316" s="3197"/>
      <c r="J316" s="3197"/>
      <c r="K316" s="3197"/>
      <c r="L316" s="3197"/>
      <c r="M316" s="3197"/>
      <c r="N316" s="3197"/>
      <c r="O316" s="1000"/>
      <c r="P316" s="1000"/>
      <c r="Q316" s="1000"/>
      <c r="R316" s="1000"/>
    </row>
    <row r="317" spans="1:18" s="1" customFormat="1" ht="27" customHeight="1" x14ac:dyDescent="0.2">
      <c r="A317" s="3197" t="s">
        <v>1113</v>
      </c>
      <c r="B317" s="3197"/>
      <c r="C317" s="3197"/>
      <c r="D317" s="3197"/>
      <c r="E317" s="3197"/>
      <c r="F317" s="3197"/>
      <c r="G317" s="3197"/>
      <c r="H317" s="3197"/>
      <c r="I317" s="3197"/>
      <c r="J317" s="3197"/>
      <c r="K317" s="3197"/>
      <c r="L317" s="3197"/>
      <c r="M317" s="3197"/>
      <c r="N317" s="3197"/>
      <c r="O317" s="1000"/>
      <c r="P317" s="1000"/>
      <c r="Q317" s="1000"/>
      <c r="R317" s="1000"/>
    </row>
    <row r="318" spans="1:18" s="1" customFormat="1" ht="24" customHeight="1" x14ac:dyDescent="0.2">
      <c r="A318" s="3197" t="s">
        <v>1114</v>
      </c>
      <c r="B318" s="3197"/>
      <c r="C318" s="3197"/>
      <c r="D318" s="3197"/>
      <c r="E318" s="3197"/>
      <c r="F318" s="3197"/>
      <c r="G318" s="3197"/>
      <c r="H318" s="3197"/>
      <c r="I318" s="3197"/>
      <c r="J318" s="3197"/>
      <c r="K318" s="3197"/>
      <c r="L318" s="3197"/>
      <c r="M318" s="3197"/>
      <c r="N318" s="3197"/>
      <c r="O318" s="1000"/>
      <c r="P318" s="1068"/>
      <c r="Q318" s="1068"/>
      <c r="R318" s="1068"/>
    </row>
    <row r="319" spans="1:18" s="1" customFormat="1" ht="26" customHeight="1" x14ac:dyDescent="0.2">
      <c r="A319" s="3197" t="s">
        <v>1115</v>
      </c>
      <c r="B319" s="3197"/>
      <c r="C319" s="3197"/>
      <c r="D319" s="3197"/>
      <c r="E319" s="3197"/>
      <c r="F319" s="3197"/>
      <c r="G319" s="3197"/>
      <c r="H319" s="3197"/>
      <c r="I319" s="3197"/>
      <c r="J319" s="3197"/>
      <c r="K319" s="3197"/>
      <c r="L319" s="3197"/>
      <c r="M319" s="3197"/>
      <c r="N319" s="3197"/>
      <c r="O319" s="1000"/>
      <c r="P319" s="1068"/>
      <c r="Q319" s="1068"/>
      <c r="R319" s="1068"/>
    </row>
    <row r="320" spans="1:18" s="1" customFormat="1" ht="26" customHeight="1" x14ac:dyDescent="0.2">
      <c r="A320" s="3197" t="s">
        <v>1116</v>
      </c>
      <c r="B320" s="3197"/>
      <c r="C320" s="3197"/>
      <c r="D320" s="3197"/>
      <c r="E320" s="3197"/>
      <c r="F320" s="3197"/>
      <c r="G320" s="3197"/>
      <c r="H320" s="3197"/>
      <c r="I320" s="3197"/>
      <c r="J320" s="3197"/>
      <c r="K320" s="3197"/>
      <c r="L320" s="3197"/>
      <c r="M320" s="3197"/>
      <c r="N320" s="3197"/>
      <c r="O320" s="1000"/>
      <c r="P320" s="1068"/>
      <c r="Q320" s="1068"/>
      <c r="R320" s="1068"/>
    </row>
    <row r="321" spans="1:18" s="1" customFormat="1" ht="43" customHeight="1" x14ac:dyDescent="0.2">
      <c r="A321" s="3197" t="s">
        <v>1117</v>
      </c>
      <c r="B321" s="3197"/>
      <c r="C321" s="3197"/>
      <c r="D321" s="3197"/>
      <c r="E321" s="3197"/>
      <c r="F321" s="3197"/>
      <c r="G321" s="3197"/>
      <c r="H321" s="3197"/>
      <c r="I321" s="3197"/>
      <c r="J321" s="3197"/>
      <c r="K321" s="3197"/>
      <c r="L321" s="3197"/>
      <c r="M321" s="3197"/>
      <c r="N321" s="3197"/>
      <c r="O321" s="1000"/>
      <c r="P321" s="1000"/>
      <c r="Q321" s="1000"/>
      <c r="R321" s="1150"/>
    </row>
    <row r="322" spans="1:18" s="1" customFormat="1" ht="26" customHeight="1" x14ac:dyDescent="0.2">
      <c r="A322" s="3435" t="s">
        <v>1118</v>
      </c>
      <c r="B322" s="3435"/>
      <c r="C322" s="3435"/>
      <c r="D322" s="3435"/>
      <c r="E322" s="3435"/>
      <c r="F322" s="3435"/>
      <c r="G322" s="3435"/>
      <c r="H322" s="3435"/>
      <c r="I322" s="3435"/>
      <c r="J322" s="3435"/>
      <c r="K322" s="3435"/>
      <c r="L322" s="3435"/>
      <c r="M322" s="3435"/>
      <c r="N322" s="3435"/>
      <c r="O322" s="999"/>
      <c r="P322" s="999"/>
      <c r="Q322" s="999"/>
      <c r="R322" s="994"/>
    </row>
    <row r="323" spans="1:18" s="1" customFormat="1" ht="32" customHeight="1" x14ac:dyDescent="0.2">
      <c r="A323" s="3186" t="s">
        <v>1119</v>
      </c>
      <c r="B323" s="3186"/>
      <c r="C323" s="3186"/>
      <c r="D323" s="3186"/>
      <c r="E323" s="3186"/>
      <c r="F323" s="3186"/>
      <c r="G323" s="3186"/>
      <c r="H323" s="3186"/>
      <c r="I323" s="3186"/>
      <c r="J323" s="3186"/>
      <c r="K323" s="3186"/>
      <c r="L323" s="3186"/>
      <c r="M323" s="3186"/>
      <c r="N323" s="3186"/>
      <c r="O323" s="998"/>
      <c r="P323" s="998"/>
      <c r="Q323" s="998"/>
      <c r="R323" s="995"/>
    </row>
    <row r="324" spans="1:18" s="476" customFormat="1" ht="60" customHeight="1" x14ac:dyDescent="0.2">
      <c r="A324" s="3502" t="s">
        <v>1120</v>
      </c>
      <c r="B324" s="3502"/>
      <c r="C324" s="3502"/>
      <c r="D324" s="3502"/>
      <c r="E324" s="3502"/>
      <c r="F324" s="3502"/>
      <c r="G324" s="3502"/>
      <c r="H324" s="3502"/>
      <c r="I324" s="3502"/>
      <c r="J324" s="3502"/>
      <c r="K324" s="3502"/>
      <c r="L324" s="3502"/>
      <c r="M324" s="3502"/>
      <c r="N324" s="3502"/>
      <c r="O324" s="1813"/>
      <c r="P324" s="1813"/>
      <c r="Q324" s="1813"/>
      <c r="R324" s="1814"/>
    </row>
    <row r="325" spans="1:18" s="476" customFormat="1" ht="51" customHeight="1" x14ac:dyDescent="0.2">
      <c r="A325" s="3503" t="s">
        <v>1121</v>
      </c>
      <c r="B325" s="3503"/>
      <c r="C325" s="3503"/>
      <c r="D325" s="3503"/>
      <c r="E325" s="3503"/>
      <c r="F325" s="3503"/>
      <c r="G325" s="3503"/>
      <c r="H325" s="3503"/>
      <c r="I325" s="3503"/>
      <c r="J325" s="3503"/>
      <c r="K325" s="3503"/>
      <c r="L325" s="3503"/>
      <c r="M325" s="3503"/>
      <c r="N325" s="3503"/>
      <c r="O325" s="1813"/>
      <c r="P325" s="1813"/>
      <c r="Q325" s="1813"/>
      <c r="R325" s="1814"/>
    </row>
    <row r="326" spans="1:18" s="1" customFormat="1" ht="26" customHeight="1" x14ac:dyDescent="0.2">
      <c r="A326" s="2475" t="s">
        <v>1122</v>
      </c>
      <c r="B326" s="2475"/>
      <c r="C326" s="2475"/>
      <c r="D326" s="2475"/>
      <c r="E326" s="2475"/>
      <c r="F326" s="2475"/>
      <c r="G326" s="2475"/>
      <c r="H326" s="2475"/>
      <c r="I326" s="2475"/>
      <c r="J326" s="2475"/>
      <c r="K326" s="2475"/>
      <c r="L326" s="2475"/>
      <c r="M326" s="2475"/>
      <c r="N326" s="2475"/>
      <c r="O326" s="75"/>
    </row>
    <row r="327" spans="1:18" s="1" customFormat="1" ht="46" customHeight="1" x14ac:dyDescent="0.2">
      <c r="A327" s="3371" t="s">
        <v>39</v>
      </c>
      <c r="B327" s="3371" t="s">
        <v>467</v>
      </c>
      <c r="C327" s="3371" t="s">
        <v>262</v>
      </c>
      <c r="D327" s="3371"/>
      <c r="E327" s="3504" t="s">
        <v>1123</v>
      </c>
      <c r="F327" s="3504"/>
      <c r="G327" s="3505" t="s">
        <v>263</v>
      </c>
      <c r="H327" s="3505"/>
      <c r="I327" s="3506" t="s">
        <v>264</v>
      </c>
      <c r="J327" s="3506"/>
      <c r="K327" s="3501" t="s">
        <v>1124</v>
      </c>
      <c r="L327" s="3501"/>
      <c r="M327" s="3185" t="s">
        <v>564</v>
      </c>
      <c r="N327" s="3185"/>
      <c r="O327" s="3196"/>
      <c r="P327" s="3196"/>
    </row>
    <row r="328" spans="1:18" s="1" customFormat="1" ht="44" customHeight="1" x14ac:dyDescent="0.2">
      <c r="A328" s="3371"/>
      <c r="B328" s="3371"/>
      <c r="C328" s="808" t="s">
        <v>5</v>
      </c>
      <c r="D328" s="808" t="s">
        <v>25</v>
      </c>
      <c r="E328" s="808" t="s">
        <v>5</v>
      </c>
      <c r="F328" s="808" t="s">
        <v>25</v>
      </c>
      <c r="G328" s="808" t="s">
        <v>5</v>
      </c>
      <c r="H328" s="808" t="s">
        <v>25</v>
      </c>
      <c r="I328" s="808" t="s">
        <v>5</v>
      </c>
      <c r="J328" s="808" t="s">
        <v>25</v>
      </c>
      <c r="K328" s="808" t="s">
        <v>5</v>
      </c>
      <c r="L328" s="808" t="s">
        <v>25</v>
      </c>
      <c r="M328" s="808" t="s">
        <v>5</v>
      </c>
      <c r="N328" s="808" t="s">
        <v>25</v>
      </c>
      <c r="O328" s="75"/>
    </row>
    <row r="329" spans="1:18" s="1" customFormat="1" ht="26" customHeight="1" x14ac:dyDescent="0.2">
      <c r="A329" s="51">
        <v>1</v>
      </c>
      <c r="B329" s="51" t="s">
        <v>469</v>
      </c>
      <c r="C329" s="1815">
        <v>2</v>
      </c>
      <c r="D329" s="805">
        <v>1</v>
      </c>
      <c r="E329" s="1816">
        <v>2</v>
      </c>
      <c r="F329" s="805"/>
      <c r="G329" s="806"/>
      <c r="H329" s="806"/>
      <c r="I329" s="806"/>
      <c r="J329" s="805"/>
      <c r="K329" s="805">
        <f>E329</f>
        <v>2</v>
      </c>
      <c r="L329" s="805">
        <f>D329</f>
        <v>1</v>
      </c>
      <c r="M329" s="1817">
        <f t="shared" ref="M329:N336" si="26">C329-K329</f>
        <v>0</v>
      </c>
      <c r="N329" s="1817">
        <f t="shared" si="26"/>
        <v>0</v>
      </c>
      <c r="O329" s="75"/>
    </row>
    <row r="330" spans="1:18" s="1" customFormat="1" ht="26" customHeight="1" x14ac:dyDescent="0.2">
      <c r="A330" s="51">
        <v>2</v>
      </c>
      <c r="B330" s="51" t="s">
        <v>1125</v>
      </c>
      <c r="C330" s="1815">
        <v>4</v>
      </c>
      <c r="D330" s="805">
        <v>5</v>
      </c>
      <c r="E330" s="1816">
        <v>4</v>
      </c>
      <c r="F330" s="805"/>
      <c r="G330" s="806"/>
      <c r="H330" s="806"/>
      <c r="I330" s="806"/>
      <c r="J330" s="805"/>
      <c r="K330" s="805">
        <f t="shared" ref="K330:K335" si="27">E330</f>
        <v>4</v>
      </c>
      <c r="L330" s="805">
        <f t="shared" ref="L330:L335" si="28">D330</f>
        <v>5</v>
      </c>
      <c r="M330" s="1817">
        <f t="shared" si="26"/>
        <v>0</v>
      </c>
      <c r="N330" s="1817">
        <f t="shared" si="26"/>
        <v>0</v>
      </c>
      <c r="O330" s="953"/>
    </row>
    <row r="331" spans="1:18" s="1" customFormat="1" ht="26" customHeight="1" x14ac:dyDescent="0.2">
      <c r="A331" s="51">
        <v>3</v>
      </c>
      <c r="B331" s="51" t="s">
        <v>471</v>
      </c>
      <c r="C331" s="1815">
        <v>25</v>
      </c>
      <c r="D331" s="805">
        <v>25</v>
      </c>
      <c r="E331" s="1816">
        <v>21</v>
      </c>
      <c r="F331" s="805"/>
      <c r="G331" s="806"/>
      <c r="H331" s="806">
        <v>3</v>
      </c>
      <c r="I331" s="806"/>
      <c r="J331" s="805">
        <v>1</v>
      </c>
      <c r="K331" s="805">
        <f t="shared" si="27"/>
        <v>21</v>
      </c>
      <c r="L331" s="805">
        <f t="shared" si="28"/>
        <v>25</v>
      </c>
      <c r="M331" s="1817">
        <f t="shared" si="26"/>
        <v>4</v>
      </c>
      <c r="N331" s="1817">
        <f t="shared" si="26"/>
        <v>0</v>
      </c>
      <c r="O331" s="953"/>
    </row>
    <row r="332" spans="1:18" s="1" customFormat="1" ht="26" customHeight="1" x14ac:dyDescent="0.2">
      <c r="A332" s="51">
        <v>4</v>
      </c>
      <c r="B332" s="51" t="s">
        <v>472</v>
      </c>
      <c r="C332" s="1815">
        <v>27</v>
      </c>
      <c r="D332" s="805">
        <v>27</v>
      </c>
      <c r="E332" s="1816">
        <v>24</v>
      </c>
      <c r="F332" s="805"/>
      <c r="G332" s="806">
        <v>3</v>
      </c>
      <c r="H332" s="806">
        <v>1</v>
      </c>
      <c r="I332" s="806">
        <v>2</v>
      </c>
      <c r="J332" s="805"/>
      <c r="K332" s="805">
        <f t="shared" si="27"/>
        <v>24</v>
      </c>
      <c r="L332" s="805">
        <v>25</v>
      </c>
      <c r="M332" s="1817">
        <f t="shared" si="26"/>
        <v>3</v>
      </c>
      <c r="N332" s="1817">
        <f t="shared" si="26"/>
        <v>2</v>
      </c>
      <c r="O332" s="953"/>
    </row>
    <row r="333" spans="1:18" s="1" customFormat="1" ht="26" customHeight="1" x14ac:dyDescent="0.2">
      <c r="A333" s="51">
        <v>5</v>
      </c>
      <c r="B333" s="51" t="s">
        <v>473</v>
      </c>
      <c r="C333" s="1815">
        <f>14*3+1</f>
        <v>43</v>
      </c>
      <c r="D333" s="805">
        <v>43</v>
      </c>
      <c r="E333" s="1816">
        <v>40</v>
      </c>
      <c r="F333" s="805"/>
      <c r="G333" s="806">
        <v>9</v>
      </c>
      <c r="H333" s="806">
        <v>2</v>
      </c>
      <c r="I333" s="806">
        <v>8</v>
      </c>
      <c r="J333" s="805"/>
      <c r="K333" s="805">
        <f>E333+G333-I333</f>
        <v>41</v>
      </c>
      <c r="L333" s="805">
        <v>41</v>
      </c>
      <c r="M333" s="1817">
        <f t="shared" si="26"/>
        <v>2</v>
      </c>
      <c r="N333" s="1817">
        <f t="shared" si="26"/>
        <v>2</v>
      </c>
      <c r="O333" s="953"/>
    </row>
    <row r="334" spans="1:18" s="1" customFormat="1" ht="26" customHeight="1" x14ac:dyDescent="0.2">
      <c r="A334" s="51">
        <v>6</v>
      </c>
      <c r="B334" s="51" t="s">
        <v>474</v>
      </c>
      <c r="C334" s="1815">
        <v>6</v>
      </c>
      <c r="D334" s="805">
        <v>6</v>
      </c>
      <c r="E334" s="1816">
        <v>6</v>
      </c>
      <c r="F334" s="805"/>
      <c r="G334" s="806"/>
      <c r="H334" s="806"/>
      <c r="I334" s="806"/>
      <c r="J334" s="805"/>
      <c r="K334" s="805">
        <f t="shared" si="27"/>
        <v>6</v>
      </c>
      <c r="L334" s="805">
        <f t="shared" si="28"/>
        <v>6</v>
      </c>
      <c r="M334" s="1817">
        <f t="shared" si="26"/>
        <v>0</v>
      </c>
      <c r="N334" s="1817">
        <f t="shared" si="26"/>
        <v>0</v>
      </c>
      <c r="O334" s="953"/>
    </row>
    <row r="335" spans="1:18" s="1" customFormat="1" ht="26" customHeight="1" x14ac:dyDescent="0.2">
      <c r="A335" s="51">
        <v>7</v>
      </c>
      <c r="B335" s="51" t="s">
        <v>475</v>
      </c>
      <c r="C335" s="1815">
        <v>1</v>
      </c>
      <c r="D335" s="805">
        <v>1</v>
      </c>
      <c r="E335" s="1816">
        <v>1</v>
      </c>
      <c r="F335" s="805"/>
      <c r="G335" s="806"/>
      <c r="H335" s="806"/>
      <c r="I335" s="806"/>
      <c r="J335" s="805"/>
      <c r="K335" s="805">
        <f t="shared" si="27"/>
        <v>1</v>
      </c>
      <c r="L335" s="805">
        <f t="shared" si="28"/>
        <v>1</v>
      </c>
      <c r="M335" s="1817">
        <f t="shared" si="26"/>
        <v>0</v>
      </c>
      <c r="N335" s="1817">
        <f t="shared" si="26"/>
        <v>0</v>
      </c>
      <c r="O335" s="953"/>
    </row>
    <row r="336" spans="1:18" s="1" customFormat="1" ht="26" customHeight="1" x14ac:dyDescent="0.2">
      <c r="A336" s="3017" t="s">
        <v>476</v>
      </c>
      <c r="B336" s="3017"/>
      <c r="C336" s="813">
        <f t="shared" ref="C336:L336" si="29">SUM(C329:C335)</f>
        <v>108</v>
      </c>
      <c r="D336" s="813">
        <f t="shared" si="29"/>
        <v>108</v>
      </c>
      <c r="E336" s="807">
        <f t="shared" si="29"/>
        <v>98</v>
      </c>
      <c r="F336" s="807">
        <f t="shared" si="29"/>
        <v>0</v>
      </c>
      <c r="G336" s="807">
        <f t="shared" si="29"/>
        <v>12</v>
      </c>
      <c r="H336" s="807">
        <f t="shared" si="29"/>
        <v>6</v>
      </c>
      <c r="I336" s="807">
        <f t="shared" si="29"/>
        <v>10</v>
      </c>
      <c r="J336" s="807">
        <f t="shared" si="29"/>
        <v>1</v>
      </c>
      <c r="K336" s="813">
        <f t="shared" si="29"/>
        <v>99</v>
      </c>
      <c r="L336" s="813">
        <f t="shared" si="29"/>
        <v>104</v>
      </c>
      <c r="M336" s="813">
        <f t="shared" si="26"/>
        <v>9</v>
      </c>
      <c r="N336" s="813">
        <f t="shared" si="26"/>
        <v>4</v>
      </c>
      <c r="O336" s="953"/>
    </row>
    <row r="337" spans="1:15" s="1" customFormat="1" ht="26" customHeight="1" x14ac:dyDescent="0.2">
      <c r="A337" s="67"/>
      <c r="B337" s="67"/>
      <c r="C337" s="1057"/>
      <c r="D337" s="1057"/>
      <c r="E337" s="1058"/>
      <c r="F337" s="1058"/>
      <c r="G337" s="1058"/>
      <c r="H337" s="1058"/>
      <c r="I337" s="1058"/>
      <c r="J337" s="1058"/>
      <c r="K337" s="1057"/>
      <c r="L337" s="1057"/>
      <c r="M337" s="1057"/>
      <c r="N337" s="1057"/>
      <c r="O337" s="953"/>
    </row>
    <row r="338" spans="1:15" s="1" customFormat="1" ht="26" customHeight="1" x14ac:dyDescent="0.2">
      <c r="A338" s="51">
        <v>8</v>
      </c>
      <c r="B338" s="51" t="s">
        <v>663</v>
      </c>
      <c r="C338" s="805">
        <v>59</v>
      </c>
      <c r="D338" s="805"/>
      <c r="E338" s="805"/>
      <c r="F338" s="805"/>
      <c r="G338" s="806"/>
      <c r="H338" s="806"/>
      <c r="I338" s="806"/>
      <c r="J338" s="805"/>
      <c r="K338" s="805"/>
      <c r="L338" s="805"/>
      <c r="M338" s="1817">
        <f>C338-L338</f>
        <v>59</v>
      </c>
      <c r="N338" s="1817">
        <f>C338-M338</f>
        <v>0</v>
      </c>
      <c r="O338" s="953"/>
    </row>
    <row r="339" spans="1:15" s="1" customFormat="1" ht="26" customHeight="1" x14ac:dyDescent="0.2">
      <c r="A339" s="51">
        <v>9</v>
      </c>
      <c r="B339" s="51" t="s">
        <v>665</v>
      </c>
      <c r="C339" s="805">
        <v>24</v>
      </c>
      <c r="D339" s="805"/>
      <c r="E339" s="805"/>
      <c r="F339" s="805"/>
      <c r="G339" s="806"/>
      <c r="H339" s="806"/>
      <c r="I339" s="806"/>
      <c r="J339" s="805"/>
      <c r="K339" s="805"/>
      <c r="L339" s="805"/>
      <c r="M339" s="1817">
        <f>C339-K339</f>
        <v>24</v>
      </c>
      <c r="N339" s="1817">
        <f>C339-M339</f>
        <v>0</v>
      </c>
      <c r="O339" s="953"/>
    </row>
    <row r="340" spans="1:15" s="1" customFormat="1" ht="26" customHeight="1" x14ac:dyDescent="0.2">
      <c r="A340" s="51">
        <v>10</v>
      </c>
      <c r="B340" s="51" t="s">
        <v>666</v>
      </c>
      <c r="C340" s="805">
        <v>21</v>
      </c>
      <c r="D340" s="805"/>
      <c r="E340" s="805"/>
      <c r="F340" s="805"/>
      <c r="G340" s="806"/>
      <c r="H340" s="806"/>
      <c r="I340" s="806"/>
      <c r="J340" s="805"/>
      <c r="K340" s="805"/>
      <c r="L340" s="805"/>
      <c r="M340" s="1817">
        <f>C340-K340</f>
        <v>21</v>
      </c>
      <c r="N340" s="1817">
        <f>C340-M340</f>
        <v>0</v>
      </c>
      <c r="O340" s="953"/>
    </row>
    <row r="341" spans="1:15" s="1" customFormat="1" ht="19" customHeight="1" x14ac:dyDescent="0.2">
      <c r="A341" s="3199" t="s">
        <v>1126</v>
      </c>
      <c r="B341" s="3199"/>
      <c r="C341" s="3199"/>
      <c r="D341" s="3199"/>
      <c r="E341" s="3199"/>
      <c r="F341" s="3199"/>
      <c r="G341" s="3199"/>
      <c r="H341" s="3199"/>
      <c r="I341" s="3199"/>
      <c r="J341" s="3199"/>
      <c r="K341" s="3199"/>
      <c r="L341" s="3199"/>
      <c r="M341" s="3199"/>
      <c r="N341" s="3199"/>
      <c r="O341" s="953"/>
    </row>
    <row r="342" spans="1:15" s="1" customFormat="1" ht="19" customHeight="1" x14ac:dyDescent="0.2">
      <c r="A342" s="2909" t="s">
        <v>1127</v>
      </c>
      <c r="B342" s="2909"/>
      <c r="C342" s="2909"/>
      <c r="D342" s="2909"/>
      <c r="E342" s="2909"/>
      <c r="F342" s="2909"/>
      <c r="G342" s="2909"/>
      <c r="H342" s="2909"/>
      <c r="I342" s="2909"/>
      <c r="J342" s="2909"/>
      <c r="K342" s="2909"/>
      <c r="L342" s="2909"/>
      <c r="M342" s="2909"/>
      <c r="N342" s="2909"/>
      <c r="O342" s="953"/>
    </row>
    <row r="343" spans="1:15" s="1" customFormat="1" ht="34" customHeight="1" x14ac:dyDescent="0.2">
      <c r="A343" s="2663" t="s">
        <v>1128</v>
      </c>
      <c r="B343" s="2663"/>
      <c r="C343" s="2663"/>
      <c r="D343" s="2663"/>
      <c r="E343" s="2663"/>
      <c r="F343" s="2663"/>
      <c r="G343" s="2663"/>
      <c r="H343" s="2663"/>
      <c r="I343" s="2663"/>
      <c r="J343" s="2663"/>
      <c r="K343" s="2663"/>
      <c r="L343" s="2663"/>
      <c r="M343" s="2663"/>
      <c r="N343" s="2663"/>
      <c r="O343" s="953"/>
    </row>
    <row r="344" spans="1:15" s="1" customFormat="1" ht="19" customHeight="1" x14ac:dyDescent="0.2">
      <c r="A344" s="2663" t="s">
        <v>1129</v>
      </c>
      <c r="B344" s="2663"/>
      <c r="C344" s="2663"/>
      <c r="D344" s="2663"/>
      <c r="E344" s="2663"/>
      <c r="F344" s="2663"/>
      <c r="G344" s="2663"/>
      <c r="H344" s="2663"/>
      <c r="I344" s="2663"/>
      <c r="J344" s="2663"/>
      <c r="K344" s="2663"/>
      <c r="L344" s="2663"/>
      <c r="M344" s="2663"/>
      <c r="N344" s="2663"/>
      <c r="O344" s="953"/>
    </row>
    <row r="345" spans="1:15" s="1" customFormat="1" ht="105" customHeight="1" x14ac:dyDescent="0.2">
      <c r="A345" s="2663" t="s">
        <v>1130</v>
      </c>
      <c r="B345" s="2663"/>
      <c r="C345" s="2663"/>
      <c r="D345" s="2663"/>
      <c r="E345" s="2663"/>
      <c r="F345" s="2663"/>
      <c r="G345" s="2663"/>
      <c r="H345" s="2663"/>
      <c r="I345" s="2663"/>
      <c r="J345" s="2663"/>
      <c r="K345" s="2663"/>
      <c r="L345" s="2663"/>
      <c r="M345" s="2663"/>
      <c r="N345" s="2663"/>
      <c r="O345" s="953"/>
    </row>
    <row r="346" spans="1:15" s="1" customFormat="1" ht="24" customHeight="1" x14ac:dyDescent="0.2">
      <c r="A346" s="2475" t="s">
        <v>414</v>
      </c>
      <c r="B346" s="2475"/>
      <c r="C346" s="2475"/>
      <c r="D346" s="2475"/>
      <c r="E346" s="2475"/>
      <c r="F346" s="2475"/>
      <c r="G346" s="2475"/>
      <c r="H346" s="2475"/>
      <c r="I346" s="2475"/>
      <c r="J346" s="2475"/>
      <c r="K346" s="2475"/>
      <c r="L346" s="2475"/>
      <c r="M346" s="2475"/>
      <c r="N346" s="2475"/>
      <c r="O346" s="953"/>
    </row>
    <row r="347" spans="1:15" s="1" customFormat="1" ht="37" customHeight="1" x14ac:dyDescent="0.2">
      <c r="A347" s="2663" t="s">
        <v>1131</v>
      </c>
      <c r="B347" s="2663"/>
      <c r="C347" s="2663"/>
      <c r="D347" s="2663"/>
      <c r="E347" s="2663"/>
      <c r="F347" s="2663"/>
      <c r="G347" s="2663"/>
      <c r="H347" s="2663"/>
      <c r="I347" s="2663"/>
      <c r="J347" s="2663"/>
      <c r="K347" s="2663"/>
      <c r="L347" s="2663"/>
      <c r="M347" s="2663"/>
      <c r="N347" s="2663"/>
      <c r="O347" s="953"/>
    </row>
    <row r="348" spans="1:15" s="1" customFormat="1" ht="24" customHeight="1" x14ac:dyDescent="0.2">
      <c r="A348" s="2663" t="s">
        <v>831</v>
      </c>
      <c r="B348" s="2663"/>
      <c r="C348" s="2663"/>
      <c r="D348" s="2663"/>
      <c r="E348" s="2663"/>
      <c r="F348" s="2663"/>
      <c r="G348" s="2663"/>
      <c r="H348" s="2663"/>
      <c r="I348" s="2663"/>
      <c r="J348" s="2663"/>
      <c r="K348" s="2663"/>
      <c r="L348" s="2663"/>
      <c r="M348" s="2663"/>
      <c r="N348" s="2663"/>
      <c r="O348" s="953"/>
    </row>
    <row r="349" spans="1:15" s="1" customFormat="1" ht="24" customHeight="1" x14ac:dyDescent="0.2">
      <c r="A349" s="2475" t="s">
        <v>60</v>
      </c>
      <c r="B349" s="2475"/>
      <c r="C349" s="2475"/>
      <c r="D349" s="2475"/>
      <c r="E349" s="2475"/>
      <c r="F349" s="2475"/>
      <c r="G349" s="2475"/>
      <c r="H349" s="2475"/>
      <c r="I349" s="2475"/>
      <c r="J349" s="2475"/>
      <c r="K349" s="2475"/>
      <c r="L349" s="2475"/>
      <c r="M349" s="2475"/>
      <c r="N349" s="2475"/>
      <c r="O349" s="953"/>
    </row>
    <row r="350" spans="1:15" s="1" customFormat="1" ht="24" customHeight="1" x14ac:dyDescent="0.2">
      <c r="A350" s="79" t="s">
        <v>551</v>
      </c>
      <c r="B350" s="85"/>
      <c r="C350" s="85"/>
      <c r="D350" s="85"/>
      <c r="E350" s="85"/>
      <c r="F350" s="85"/>
      <c r="G350" s="85"/>
      <c r="H350" s="399"/>
      <c r="I350" s="450"/>
      <c r="J350" s="85"/>
      <c r="K350" s="85"/>
      <c r="L350" s="85"/>
      <c r="M350" s="85"/>
      <c r="N350" s="86"/>
      <c r="O350" s="953"/>
    </row>
    <row r="351" spans="1:15" s="1" customFormat="1" ht="41" customHeight="1" x14ac:dyDescent="0.2">
      <c r="A351" s="2663" t="s">
        <v>1132</v>
      </c>
      <c r="B351" s="2663"/>
      <c r="C351" s="2663"/>
      <c r="D351" s="2663"/>
      <c r="E351" s="2663"/>
      <c r="F351" s="2663"/>
      <c r="G351" s="2663"/>
      <c r="H351" s="2663"/>
      <c r="I351" s="2663"/>
      <c r="J351" s="2663"/>
      <c r="K351" s="2663"/>
      <c r="L351" s="2663"/>
      <c r="M351" s="2663"/>
      <c r="N351" s="2663"/>
      <c r="O351" s="953"/>
    </row>
    <row r="352" spans="1:15" s="1" customFormat="1" ht="42" customHeight="1" x14ac:dyDescent="0.2">
      <c r="A352" s="2663" t="s">
        <v>1133</v>
      </c>
      <c r="B352" s="2663"/>
      <c r="C352" s="2663"/>
      <c r="D352" s="2663"/>
      <c r="E352" s="2663"/>
      <c r="F352" s="2663"/>
      <c r="G352" s="2663"/>
      <c r="H352" s="2663"/>
      <c r="I352" s="2663"/>
      <c r="J352" s="2663"/>
      <c r="K352" s="2663"/>
      <c r="L352" s="2663"/>
      <c r="M352" s="2663"/>
      <c r="N352" s="41"/>
      <c r="O352" s="953"/>
    </row>
    <row r="353" spans="1:15" s="1" customFormat="1" ht="29" customHeight="1" x14ac:dyDescent="0.2">
      <c r="A353" s="2663" t="s">
        <v>1134</v>
      </c>
      <c r="B353" s="2663"/>
      <c r="C353" s="2663"/>
      <c r="D353" s="2663"/>
      <c r="E353" s="2663"/>
      <c r="F353" s="2663"/>
      <c r="G353" s="2663"/>
      <c r="H353" s="2663"/>
      <c r="I353" s="2663"/>
      <c r="J353" s="2663"/>
      <c r="K353" s="2663"/>
      <c r="L353" s="2663"/>
      <c r="M353" s="2663"/>
      <c r="N353" s="41"/>
      <c r="O353" s="953"/>
    </row>
    <row r="354" spans="1:15" s="1" customFormat="1" ht="38" customHeight="1" x14ac:dyDescent="0.2">
      <c r="A354" s="2663" t="s">
        <v>1135</v>
      </c>
      <c r="B354" s="2725"/>
      <c r="C354" s="2725"/>
      <c r="D354" s="2725"/>
      <c r="E354" s="2725"/>
      <c r="F354" s="2725"/>
      <c r="G354" s="2725"/>
      <c r="H354" s="2725"/>
      <c r="I354" s="2725"/>
      <c r="J354" s="2725"/>
      <c r="K354" s="2725"/>
      <c r="L354" s="2725"/>
      <c r="M354" s="2725"/>
      <c r="N354" s="2725"/>
      <c r="O354" s="953"/>
    </row>
    <row r="355" spans="1:15" s="1" customFormat="1" ht="19" customHeight="1" x14ac:dyDescent="0.2">
      <c r="A355" s="42" t="s">
        <v>64</v>
      </c>
      <c r="B355" s="84"/>
      <c r="C355" s="84"/>
      <c r="D355" s="84"/>
      <c r="E355" s="84"/>
      <c r="F355" s="84"/>
      <c r="G355" s="84"/>
      <c r="H355" s="394"/>
      <c r="I355" s="451"/>
      <c r="J355" s="355"/>
      <c r="K355" s="355"/>
      <c r="L355" s="84"/>
      <c r="M355" s="84"/>
      <c r="N355" s="350"/>
      <c r="O355" s="953"/>
    </row>
    <row r="356" spans="1:15" s="1" customFormat="1" ht="21" customHeight="1" x14ac:dyDescent="0.2">
      <c r="A356" s="79" t="s">
        <v>65</v>
      </c>
      <c r="B356" s="84"/>
      <c r="C356" s="84"/>
      <c r="D356" s="84"/>
      <c r="E356" s="84"/>
      <c r="F356" s="84"/>
      <c r="G356" s="84"/>
      <c r="H356" s="394"/>
      <c r="I356" s="451"/>
      <c r="J356" s="355"/>
      <c r="K356" s="355"/>
      <c r="L356" s="84"/>
      <c r="M356" s="84"/>
      <c r="N356" s="350"/>
      <c r="O356" s="953"/>
    </row>
    <row r="357" spans="1:15" s="1" customFormat="1" ht="38" customHeight="1" x14ac:dyDescent="0.2">
      <c r="A357" s="2663" t="s">
        <v>1136</v>
      </c>
      <c r="B357" s="2663"/>
      <c r="C357" s="2663"/>
      <c r="D357" s="2663"/>
      <c r="E357" s="2663"/>
      <c r="F357" s="2663"/>
      <c r="G357" s="2663"/>
      <c r="H357" s="2663"/>
      <c r="I357" s="2663"/>
      <c r="J357" s="2663"/>
      <c r="K357" s="2663"/>
      <c r="L357" s="2663"/>
      <c r="M357" s="2663"/>
      <c r="N357" s="2663"/>
      <c r="O357" s="953"/>
    </row>
    <row r="358" spans="1:15" s="1" customFormat="1" ht="36" customHeight="1" x14ac:dyDescent="0.2">
      <c r="A358" s="2663" t="s">
        <v>1137</v>
      </c>
      <c r="B358" s="2663"/>
      <c r="C358" s="2663"/>
      <c r="D358" s="2663"/>
      <c r="E358" s="2663"/>
      <c r="F358" s="2663"/>
      <c r="G358" s="2663"/>
      <c r="H358" s="2663"/>
      <c r="I358" s="2663"/>
      <c r="J358" s="2663"/>
      <c r="K358" s="2663"/>
      <c r="L358" s="2663"/>
      <c r="M358" s="2663"/>
      <c r="N358" s="2663"/>
      <c r="O358" s="953"/>
    </row>
    <row r="359" spans="1:15" s="1" customFormat="1" ht="19" customHeight="1" x14ac:dyDescent="0.2">
      <c r="A359" s="79" t="s">
        <v>1138</v>
      </c>
      <c r="B359" s="84"/>
      <c r="C359" s="84"/>
      <c r="D359" s="84"/>
      <c r="E359" s="84"/>
      <c r="F359" s="84"/>
      <c r="G359" s="84"/>
      <c r="H359" s="394"/>
      <c r="I359" s="451"/>
      <c r="J359" s="355"/>
      <c r="K359" s="355"/>
      <c r="L359" s="84"/>
      <c r="M359" s="84"/>
      <c r="N359" s="350"/>
      <c r="O359" s="953"/>
    </row>
    <row r="360" spans="1:15" s="1" customFormat="1" ht="41" customHeight="1" x14ac:dyDescent="0.2">
      <c r="A360" s="2663" t="s">
        <v>1139</v>
      </c>
      <c r="B360" s="2663"/>
      <c r="C360" s="2663"/>
      <c r="D360" s="2663"/>
      <c r="E360" s="2663"/>
      <c r="F360" s="2663"/>
      <c r="G360" s="2663"/>
      <c r="H360" s="2663"/>
      <c r="I360" s="2663"/>
      <c r="J360" s="2663"/>
      <c r="K360" s="2663"/>
      <c r="L360" s="2663"/>
      <c r="M360" s="2663"/>
      <c r="N360" s="2663"/>
      <c r="O360" s="953"/>
    </row>
    <row r="361" spans="1:15" s="1" customFormat="1" ht="19" customHeight="1" x14ac:dyDescent="0.2">
      <c r="A361" s="335" t="s">
        <v>571</v>
      </c>
      <c r="H361" s="78"/>
      <c r="I361" s="447"/>
      <c r="J361" s="71"/>
      <c r="K361" s="71"/>
      <c r="N361" s="209"/>
      <c r="O361" s="953"/>
    </row>
    <row r="362" spans="1:15" s="1" customFormat="1" ht="19" customHeight="1" x14ac:dyDescent="0.2">
      <c r="A362" s="79" t="s">
        <v>572</v>
      </c>
      <c r="H362" s="78"/>
      <c r="I362" s="447"/>
      <c r="J362" s="71"/>
      <c r="K362" s="71"/>
      <c r="N362" s="209"/>
      <c r="O362" s="953"/>
    </row>
    <row r="363" spans="1:15" s="1" customFormat="1" ht="19" customHeight="1" x14ac:dyDescent="0.2">
      <c r="A363" s="2663" t="s">
        <v>1140</v>
      </c>
      <c r="B363" s="2663"/>
      <c r="C363" s="2663"/>
      <c r="D363" s="2663"/>
      <c r="E363" s="2663"/>
      <c r="F363" s="2663"/>
      <c r="G363" s="2663"/>
      <c r="H363" s="2663"/>
      <c r="I363" s="2663"/>
      <c r="J363" s="2663"/>
      <c r="K363" s="2663"/>
      <c r="L363" s="2663"/>
      <c r="M363" s="2663"/>
      <c r="N363" s="2663"/>
      <c r="O363" s="953"/>
    </row>
    <row r="364" spans="1:15" s="1" customFormat="1" ht="26" customHeight="1" x14ac:dyDescent="0.2">
      <c r="A364" s="42" t="s">
        <v>1141</v>
      </c>
      <c r="B364" s="42"/>
      <c r="E364" s="43"/>
      <c r="F364" s="43"/>
      <c r="H364" s="78"/>
      <c r="I364" s="447"/>
      <c r="J364" s="71"/>
      <c r="K364" s="71"/>
      <c r="N364" s="209"/>
      <c r="O364" s="75"/>
    </row>
    <row r="365" spans="1:15" s="1" customFormat="1" ht="31" customHeight="1" x14ac:dyDescent="0.2">
      <c r="A365" s="3017" t="s">
        <v>34</v>
      </c>
      <c r="B365" s="3192" t="s">
        <v>6</v>
      </c>
      <c r="C365" s="3192"/>
      <c r="D365" s="3488" t="s">
        <v>7</v>
      </c>
      <c r="E365" s="3192" t="s">
        <v>8</v>
      </c>
      <c r="F365" s="3192"/>
      <c r="G365" s="3192"/>
      <c r="H365" s="3490" t="s">
        <v>9</v>
      </c>
      <c r="I365" s="3488" t="s">
        <v>10</v>
      </c>
      <c r="J365" s="1305" t="s">
        <v>35</v>
      </c>
      <c r="K365" s="1305" t="s">
        <v>12</v>
      </c>
      <c r="L365" s="812" t="s">
        <v>13</v>
      </c>
      <c r="M365" s="812" t="s">
        <v>14</v>
      </c>
      <c r="N365" s="1305" t="s">
        <v>15</v>
      </c>
      <c r="O365" s="75"/>
    </row>
    <row r="366" spans="1:15" s="1" customFormat="1" ht="31" customHeight="1" x14ac:dyDescent="0.2">
      <c r="A366" s="3017"/>
      <c r="B366" s="1305" t="s">
        <v>36</v>
      </c>
      <c r="C366" s="812" t="s">
        <v>17</v>
      </c>
      <c r="D366" s="3488"/>
      <c r="E366" s="1818" t="s">
        <v>18</v>
      </c>
      <c r="F366" s="1818" t="s">
        <v>19</v>
      </c>
      <c r="G366" s="812" t="s">
        <v>20</v>
      </c>
      <c r="H366" s="3490"/>
      <c r="I366" s="3488"/>
      <c r="J366" s="1305" t="s">
        <v>21</v>
      </c>
      <c r="K366" s="1305" t="s">
        <v>22</v>
      </c>
      <c r="L366" s="3192" t="s">
        <v>22</v>
      </c>
      <c r="M366" s="3192"/>
      <c r="N366" s="1305" t="s">
        <v>23</v>
      </c>
      <c r="O366" s="75"/>
    </row>
    <row r="367" spans="1:15" s="1" customFormat="1" ht="34" customHeight="1" x14ac:dyDescent="0.2">
      <c r="A367" s="3477" t="s">
        <v>1142</v>
      </c>
      <c r="B367" s="3477" t="s">
        <v>412</v>
      </c>
      <c r="C367" s="51" t="s">
        <v>21</v>
      </c>
      <c r="D367" s="1819">
        <f>I367*J367*100/K368</f>
        <v>487459.18367346941</v>
      </c>
      <c r="E367" s="1819">
        <f>E368*H367/100</f>
        <v>425161.9</v>
      </c>
      <c r="F367" s="1819">
        <f>F368*H367/100</f>
        <v>28662.6</v>
      </c>
      <c r="G367" s="1819">
        <f>G368*H367/100</f>
        <v>23885.5</v>
      </c>
      <c r="H367" s="1820">
        <f>J367*I367</f>
        <v>477710</v>
      </c>
      <c r="I367" s="1821">
        <v>31</v>
      </c>
      <c r="J367" s="1822">
        <v>15410</v>
      </c>
      <c r="K367" s="1823"/>
      <c r="L367" s="733"/>
      <c r="M367" s="733"/>
      <c r="N367" s="1823"/>
      <c r="O367" s="75"/>
    </row>
    <row r="368" spans="1:15" s="1" customFormat="1" ht="34" customHeight="1" x14ac:dyDescent="0.2">
      <c r="A368" s="3477"/>
      <c r="B368" s="3477"/>
      <c r="C368" s="51" t="s">
        <v>22</v>
      </c>
      <c r="D368" s="1824"/>
      <c r="E368" s="1825">
        <v>89</v>
      </c>
      <c r="F368" s="1825">
        <v>6</v>
      </c>
      <c r="G368" s="1825">
        <v>5</v>
      </c>
      <c r="H368" s="1826">
        <f>SUM(E368:G368)</f>
        <v>100</v>
      </c>
      <c r="I368" s="1827"/>
      <c r="J368" s="1828"/>
      <c r="K368" s="1829">
        <v>98</v>
      </c>
      <c r="L368" s="3478">
        <v>2</v>
      </c>
      <c r="M368" s="3478"/>
      <c r="N368" s="1823">
        <v>40</v>
      </c>
      <c r="O368" s="75"/>
    </row>
    <row r="369" spans="1:15" s="1" customFormat="1" ht="28" hidden="1" customHeight="1" x14ac:dyDescent="0.2">
      <c r="A369" s="3500" t="s">
        <v>594</v>
      </c>
      <c r="B369" s="3500" t="s">
        <v>412</v>
      </c>
      <c r="C369" s="1040" t="s">
        <v>21</v>
      </c>
      <c r="D369" s="1830">
        <f>I369*J369*100/K370</f>
        <v>0</v>
      </c>
      <c r="E369" s="1830">
        <f>E370*H369/100</f>
        <v>0</v>
      </c>
      <c r="F369" s="1830">
        <f>F370*H369/100</f>
        <v>0</v>
      </c>
      <c r="G369" s="1830">
        <f>G370*H369/100</f>
        <v>0</v>
      </c>
      <c r="H369" s="1831">
        <f>J369*I369</f>
        <v>0</v>
      </c>
      <c r="I369" s="1832"/>
      <c r="J369" s="1833"/>
      <c r="K369" s="1834"/>
      <c r="L369" s="1835"/>
      <c r="M369" s="1835"/>
      <c r="N369" s="1834"/>
      <c r="O369" s="75"/>
    </row>
    <row r="370" spans="1:15" s="1" customFormat="1" ht="28" hidden="1" customHeight="1" x14ac:dyDescent="0.2">
      <c r="A370" s="3483"/>
      <c r="B370" s="3483"/>
      <c r="C370" s="51" t="s">
        <v>22</v>
      </c>
      <c r="D370" s="1824"/>
      <c r="E370" s="1825"/>
      <c r="F370" s="1825"/>
      <c r="G370" s="1825"/>
      <c r="H370" s="1826">
        <v>100</v>
      </c>
      <c r="I370" s="1827"/>
      <c r="J370" s="1828"/>
      <c r="K370" s="1829">
        <v>98</v>
      </c>
      <c r="L370" s="3491">
        <v>2</v>
      </c>
      <c r="M370" s="3492"/>
      <c r="N370" s="1823">
        <v>40</v>
      </c>
      <c r="O370" s="75"/>
    </row>
    <row r="371" spans="1:15" s="1" customFormat="1" ht="30" hidden="1" customHeight="1" x14ac:dyDescent="0.2">
      <c r="A371" s="3493" t="s">
        <v>1143</v>
      </c>
      <c r="B371" s="3494"/>
      <c r="C371" s="1836" t="s">
        <v>21</v>
      </c>
      <c r="D371" s="1837">
        <f t="shared" ref="D371:I371" si="30">D367+D369</f>
        <v>487459.18367346941</v>
      </c>
      <c r="E371" s="1837">
        <f t="shared" si="30"/>
        <v>425161.9</v>
      </c>
      <c r="F371" s="1837">
        <f t="shared" si="30"/>
        <v>28662.6</v>
      </c>
      <c r="G371" s="1837">
        <f t="shared" si="30"/>
        <v>23885.5</v>
      </c>
      <c r="H371" s="1837">
        <f t="shared" si="30"/>
        <v>477710</v>
      </c>
      <c r="I371" s="1838">
        <f t="shared" si="30"/>
        <v>31</v>
      </c>
      <c r="J371" s="1837">
        <f>H371/I371</f>
        <v>15410</v>
      </c>
      <c r="K371" s="1839"/>
      <c r="L371" s="1840"/>
      <c r="M371" s="1840"/>
      <c r="N371" s="1841"/>
      <c r="O371" s="75"/>
    </row>
    <row r="372" spans="1:15" s="1" customFormat="1" ht="30" hidden="1" customHeight="1" x14ac:dyDescent="0.2">
      <c r="A372" s="3495"/>
      <c r="B372" s="3496"/>
      <c r="C372" s="1836" t="s">
        <v>22</v>
      </c>
      <c r="D372" s="1842"/>
      <c r="E372" s="1843">
        <f>+E371/H371*100</f>
        <v>89</v>
      </c>
      <c r="F372" s="1843">
        <f>+F371/H371*100</f>
        <v>6</v>
      </c>
      <c r="G372" s="1843">
        <f>+G371/H371*100</f>
        <v>5</v>
      </c>
      <c r="H372" s="1844">
        <v>100</v>
      </c>
      <c r="I372" s="1845"/>
      <c r="J372" s="1846"/>
      <c r="K372" s="1847">
        <f>+H371/D371*100</f>
        <v>98</v>
      </c>
      <c r="L372" s="3497">
        <f>100-K372</f>
        <v>2</v>
      </c>
      <c r="M372" s="3498"/>
      <c r="N372" s="1848"/>
      <c r="O372" s="75"/>
    </row>
    <row r="373" spans="1:15" s="1" customFormat="1" ht="25" customHeight="1" x14ac:dyDescent="0.2">
      <c r="A373" s="3499" t="s">
        <v>1144</v>
      </c>
      <c r="B373" s="3499" t="s">
        <v>1145</v>
      </c>
      <c r="C373" s="51" t="s">
        <v>21</v>
      </c>
      <c r="D373" s="14">
        <f>I373*J373*100/K374</f>
        <v>183061.22448979592</v>
      </c>
      <c r="E373" s="14">
        <f>E374*H373/100</f>
        <v>159666</v>
      </c>
      <c r="F373" s="14">
        <f>F374*H373/100</f>
        <v>8970</v>
      </c>
      <c r="G373" s="14">
        <f>G374*H373/100</f>
        <v>10764</v>
      </c>
      <c r="H373" s="853">
        <f>J373*I373</f>
        <v>179400</v>
      </c>
      <c r="I373" s="434">
        <v>15</v>
      </c>
      <c r="J373" s="357">
        <v>11960</v>
      </c>
      <c r="K373" s="348"/>
      <c r="L373" s="28"/>
      <c r="M373" s="28"/>
      <c r="N373" s="348"/>
      <c r="O373" s="75"/>
    </row>
    <row r="374" spans="1:15" s="1" customFormat="1" ht="25" customHeight="1" x14ac:dyDescent="0.2">
      <c r="A374" s="3483"/>
      <c r="B374" s="3483"/>
      <c r="C374" s="51" t="s">
        <v>22</v>
      </c>
      <c r="D374" s="13"/>
      <c r="E374" s="16">
        <v>89</v>
      </c>
      <c r="F374" s="16">
        <v>5</v>
      </c>
      <c r="G374" s="16">
        <v>6</v>
      </c>
      <c r="H374" s="396">
        <f>SUM(E374:G374)</f>
        <v>100</v>
      </c>
      <c r="I374" s="435"/>
      <c r="J374" s="362"/>
      <c r="K374" s="365">
        <v>98</v>
      </c>
      <c r="L374" s="2933">
        <f>100-K374</f>
        <v>2</v>
      </c>
      <c r="M374" s="2933"/>
      <c r="N374" s="348">
        <v>100</v>
      </c>
      <c r="O374" s="75"/>
    </row>
    <row r="375" spans="1:15" s="1" customFormat="1" ht="25" customHeight="1" x14ac:dyDescent="0.2">
      <c r="A375" s="3499" t="s">
        <v>1146</v>
      </c>
      <c r="B375" s="3499" t="s">
        <v>819</v>
      </c>
      <c r="C375" s="51" t="s">
        <v>21</v>
      </c>
      <c r="D375" s="14">
        <f>I375*J375*100/K376</f>
        <v>188693.87755102041</v>
      </c>
      <c r="E375" s="14">
        <f>E376*H375/100</f>
        <v>173824.8</v>
      </c>
      <c r="F375" s="14">
        <f>F376*H375/100</f>
        <v>5547.6</v>
      </c>
      <c r="G375" s="14">
        <f>G376*H375/100</f>
        <v>5547.6</v>
      </c>
      <c r="H375" s="853">
        <f>J375*I375</f>
        <v>184920</v>
      </c>
      <c r="I375" s="434">
        <v>15</v>
      </c>
      <c r="J375" s="357">
        <v>12328</v>
      </c>
      <c r="K375" s="348"/>
      <c r="L375" s="28"/>
      <c r="M375" s="28"/>
      <c r="N375" s="348"/>
      <c r="O375" s="75"/>
    </row>
    <row r="376" spans="1:15" s="1" customFormat="1" ht="25" customHeight="1" x14ac:dyDescent="0.2">
      <c r="A376" s="3483"/>
      <c r="B376" s="3483"/>
      <c r="C376" s="51" t="s">
        <v>22</v>
      </c>
      <c r="D376" s="13"/>
      <c r="E376" s="16">
        <v>94</v>
      </c>
      <c r="F376" s="16">
        <v>3</v>
      </c>
      <c r="G376" s="16">
        <v>3</v>
      </c>
      <c r="H376" s="396">
        <f>SUM(E376:G376)</f>
        <v>100</v>
      </c>
      <c r="I376" s="435"/>
      <c r="J376" s="362"/>
      <c r="K376" s="365">
        <v>98</v>
      </c>
      <c r="L376" s="2933">
        <v>2</v>
      </c>
      <c r="M376" s="2933"/>
      <c r="N376" s="348">
        <v>100</v>
      </c>
      <c r="O376" s="75"/>
    </row>
    <row r="377" spans="1:15" s="1" customFormat="1" ht="26" hidden="1" customHeight="1" x14ac:dyDescent="0.2">
      <c r="A377" s="1849"/>
      <c r="B377" s="3468" t="s">
        <v>492</v>
      </c>
      <c r="C377" s="51" t="s">
        <v>21</v>
      </c>
      <c r="D377" s="1819">
        <f>I377*J377*100/K378</f>
        <v>0</v>
      </c>
      <c r="E377" s="1819">
        <f>E378*H377/100</f>
        <v>0</v>
      </c>
      <c r="F377" s="1819">
        <f>F378*H377/100</f>
        <v>0</v>
      </c>
      <c r="G377" s="1819">
        <f>G378*H377/100</f>
        <v>0</v>
      </c>
      <c r="H377" s="1820">
        <f>J377*I377</f>
        <v>0</v>
      </c>
      <c r="I377" s="1821"/>
      <c r="J377" s="1822"/>
      <c r="K377" s="1823"/>
      <c r="L377" s="733"/>
      <c r="M377" s="733"/>
      <c r="N377" s="1823"/>
      <c r="O377" s="75"/>
    </row>
    <row r="378" spans="1:15" s="1" customFormat="1" ht="27" hidden="1" customHeight="1" x14ac:dyDescent="0.2">
      <c r="A378" s="1849"/>
      <c r="B378" s="3189"/>
      <c r="C378" s="51" t="s">
        <v>22</v>
      </c>
      <c r="D378" s="1824"/>
      <c r="E378" s="1825"/>
      <c r="F378" s="1825"/>
      <c r="G378" s="1825"/>
      <c r="H378" s="1826">
        <f>SUM(E378:G378)</f>
        <v>0</v>
      </c>
      <c r="I378" s="1827"/>
      <c r="J378" s="1828"/>
      <c r="K378" s="1829">
        <v>98</v>
      </c>
      <c r="L378" s="3491">
        <v>2</v>
      </c>
      <c r="M378" s="3492"/>
      <c r="N378" s="1823">
        <v>40</v>
      </c>
      <c r="O378" s="75"/>
    </row>
    <row r="379" spans="1:15" s="1" customFormat="1" ht="28" customHeight="1" x14ac:dyDescent="0.2">
      <c r="A379" s="3470" t="s">
        <v>1147</v>
      </c>
      <c r="B379" s="3470"/>
      <c r="C379" s="1836" t="s">
        <v>21</v>
      </c>
      <c r="D379" s="1850">
        <f t="shared" ref="D379:I379" si="31">D373+D375+D377</f>
        <v>371755.10204081633</v>
      </c>
      <c r="E379" s="1850">
        <f t="shared" si="31"/>
        <v>333490.8</v>
      </c>
      <c r="F379" s="1850">
        <f t="shared" si="31"/>
        <v>14517.6</v>
      </c>
      <c r="G379" s="1850">
        <f t="shared" si="31"/>
        <v>16311.6</v>
      </c>
      <c r="H379" s="1850">
        <f t="shared" si="31"/>
        <v>364320</v>
      </c>
      <c r="I379" s="1758">
        <f t="shared" si="31"/>
        <v>30</v>
      </c>
      <c r="J379" s="1850">
        <f>H379/I379</f>
        <v>12144</v>
      </c>
      <c r="K379" s="1851"/>
      <c r="L379" s="1852"/>
      <c r="M379" s="1852"/>
      <c r="N379" s="1853"/>
      <c r="O379" s="75"/>
    </row>
    <row r="380" spans="1:15" s="1" customFormat="1" ht="28" customHeight="1" x14ac:dyDescent="0.2">
      <c r="A380" s="3470"/>
      <c r="B380" s="3470"/>
      <c r="C380" s="1836" t="s">
        <v>22</v>
      </c>
      <c r="D380" s="1842"/>
      <c r="E380" s="1843">
        <f>+E379/H379*100</f>
        <v>91.537878787878782</v>
      </c>
      <c r="F380" s="1843">
        <f>+F379/H379*100</f>
        <v>3.9848484848484849</v>
      </c>
      <c r="G380" s="1843">
        <f>+G379/H379*100</f>
        <v>4.4772727272727275</v>
      </c>
      <c r="H380" s="1844">
        <v>100</v>
      </c>
      <c r="I380" s="1845"/>
      <c r="J380" s="1846"/>
      <c r="K380" s="1847">
        <f>+H379/D379*100</f>
        <v>98</v>
      </c>
      <c r="L380" s="3471">
        <f>100-K380</f>
        <v>2</v>
      </c>
      <c r="M380" s="3471"/>
      <c r="N380" s="1853"/>
      <c r="O380" s="75"/>
    </row>
    <row r="381" spans="1:15" s="1" customFormat="1" ht="28" customHeight="1" x14ac:dyDescent="0.2">
      <c r="A381" s="3472" t="s">
        <v>1148</v>
      </c>
      <c r="B381" s="3472"/>
      <c r="C381" s="1854" t="s">
        <v>21</v>
      </c>
      <c r="D381" s="1855">
        <f t="shared" ref="D381:I381" si="32">D379+D371</f>
        <v>859214.28571428568</v>
      </c>
      <c r="E381" s="1855">
        <f t="shared" si="32"/>
        <v>758652.7</v>
      </c>
      <c r="F381" s="1855">
        <f t="shared" si="32"/>
        <v>43180.2</v>
      </c>
      <c r="G381" s="1855">
        <f t="shared" si="32"/>
        <v>40197.1</v>
      </c>
      <c r="H381" s="1855">
        <f t="shared" si="32"/>
        <v>842030</v>
      </c>
      <c r="I381" s="1856">
        <f t="shared" si="32"/>
        <v>61</v>
      </c>
      <c r="J381" s="1855">
        <f>H381/I381</f>
        <v>13803.77049180328</v>
      </c>
      <c r="K381" s="1857"/>
      <c r="L381" s="1858"/>
      <c r="M381" s="1858"/>
      <c r="N381" s="1859"/>
      <c r="O381" s="75"/>
    </row>
    <row r="382" spans="1:15" s="1" customFormat="1" ht="28" customHeight="1" x14ac:dyDescent="0.2">
      <c r="A382" s="3472"/>
      <c r="B382" s="3472"/>
      <c r="C382" s="1854" t="s">
        <v>22</v>
      </c>
      <c r="D382" s="1860"/>
      <c r="E382" s="1861">
        <f>+E381/H381*100</f>
        <v>90.098060639169617</v>
      </c>
      <c r="F382" s="1861">
        <f>+F381/H381*100</f>
        <v>5.1281070745697894</v>
      </c>
      <c r="G382" s="1861">
        <f>+G381/H381*100</f>
        <v>4.7738322862605838</v>
      </c>
      <c r="H382" s="1862">
        <v>100</v>
      </c>
      <c r="I382" s="1863"/>
      <c r="J382" s="1864"/>
      <c r="K382" s="1865">
        <f>+H381/D381*100</f>
        <v>98.000000000000014</v>
      </c>
      <c r="L382" s="3473">
        <f>100-K382</f>
        <v>1.9999999999999858</v>
      </c>
      <c r="M382" s="3473"/>
      <c r="N382" s="1859"/>
      <c r="O382" s="75"/>
    </row>
    <row r="383" spans="1:15" s="340" customFormat="1" ht="26" customHeight="1" thickBot="1" x14ac:dyDescent="0.2">
      <c r="A383" s="2475" t="s">
        <v>1149</v>
      </c>
      <c r="B383" s="2475"/>
      <c r="C383" s="2475"/>
      <c r="D383" s="2475"/>
      <c r="E383" s="2475"/>
      <c r="F383" s="2475"/>
      <c r="G383" s="2475"/>
      <c r="H383" s="2475"/>
      <c r="I383" s="2475"/>
      <c r="J383" s="2475"/>
      <c r="K383" s="2475"/>
      <c r="L383" s="2475"/>
      <c r="M383" s="2475"/>
      <c r="N383" s="2475"/>
    </row>
    <row r="384" spans="1:15" s="340" customFormat="1" ht="45" customHeight="1" x14ac:dyDescent="0.15">
      <c r="A384" s="3484" t="s">
        <v>34</v>
      </c>
      <c r="B384" s="3486" t="s">
        <v>6</v>
      </c>
      <c r="C384" s="3486"/>
      <c r="D384" s="3487" t="s">
        <v>7</v>
      </c>
      <c r="E384" s="3486" t="s">
        <v>8</v>
      </c>
      <c r="F384" s="3486"/>
      <c r="G384" s="3486"/>
      <c r="H384" s="3489" t="s">
        <v>9</v>
      </c>
      <c r="I384" s="3487" t="s">
        <v>10</v>
      </c>
      <c r="J384" s="1867" t="s">
        <v>35</v>
      </c>
      <c r="K384" s="1867" t="s">
        <v>12</v>
      </c>
      <c r="L384" s="1866" t="s">
        <v>13</v>
      </c>
      <c r="M384" s="1866" t="s">
        <v>14</v>
      </c>
      <c r="N384" s="1293" t="s">
        <v>15</v>
      </c>
    </row>
    <row r="385" spans="1:14" s="340" customFormat="1" ht="35" customHeight="1" x14ac:dyDescent="0.15">
      <c r="A385" s="3485"/>
      <c r="B385" s="1305" t="s">
        <v>37</v>
      </c>
      <c r="C385" s="812" t="s">
        <v>17</v>
      </c>
      <c r="D385" s="3488"/>
      <c r="E385" s="1818" t="s">
        <v>18</v>
      </c>
      <c r="F385" s="1818" t="s">
        <v>19</v>
      </c>
      <c r="G385" s="812" t="s">
        <v>20</v>
      </c>
      <c r="H385" s="3490"/>
      <c r="I385" s="3488"/>
      <c r="J385" s="1305" t="s">
        <v>21</v>
      </c>
      <c r="K385" s="1305" t="s">
        <v>22</v>
      </c>
      <c r="L385" s="3192" t="s">
        <v>22</v>
      </c>
      <c r="M385" s="3192"/>
      <c r="N385" s="1294" t="s">
        <v>23</v>
      </c>
    </row>
    <row r="386" spans="1:14" s="340" customFormat="1" ht="33" customHeight="1" x14ac:dyDescent="0.15">
      <c r="A386" s="3479" t="s">
        <v>1150</v>
      </c>
      <c r="B386" s="3477" t="s">
        <v>412</v>
      </c>
      <c r="C386" s="51" t="s">
        <v>21</v>
      </c>
      <c r="D386" s="1819">
        <f>I386*J386*100/K387</f>
        <v>497208.36734693876</v>
      </c>
      <c r="E386" s="1819">
        <f>E387*H386/100</f>
        <v>443410.42200000002</v>
      </c>
      <c r="F386" s="1819">
        <f>F387*H386/100</f>
        <v>19490.567999999999</v>
      </c>
      <c r="G386" s="1819">
        <f>G387*H386/100</f>
        <v>24363.21</v>
      </c>
      <c r="H386" s="1820">
        <f>J386*I386</f>
        <v>487264.2</v>
      </c>
      <c r="I386" s="1821">
        <v>31</v>
      </c>
      <c r="J386" s="1822">
        <f>J367*1.02</f>
        <v>15718.2</v>
      </c>
      <c r="K386" s="1823"/>
      <c r="L386" s="733"/>
      <c r="M386" s="733"/>
      <c r="N386" s="1868">
        <v>25</v>
      </c>
    </row>
    <row r="387" spans="1:14" s="340" customFormat="1" ht="33" customHeight="1" thickBot="1" x14ac:dyDescent="0.2">
      <c r="A387" s="3480"/>
      <c r="B387" s="3481"/>
      <c r="C387" s="1869" t="s">
        <v>22</v>
      </c>
      <c r="D387" s="1870"/>
      <c r="E387" s="1871">
        <v>91</v>
      </c>
      <c r="F387" s="1871">
        <v>4</v>
      </c>
      <c r="G387" s="1871">
        <v>5</v>
      </c>
      <c r="H387" s="1872">
        <v>100</v>
      </c>
      <c r="I387" s="1873"/>
      <c r="J387" s="1874"/>
      <c r="K387" s="1875">
        <v>98</v>
      </c>
      <c r="L387" s="3482">
        <f>100-K387</f>
        <v>2</v>
      </c>
      <c r="M387" s="3482"/>
      <c r="N387" s="1876"/>
    </row>
    <row r="388" spans="1:14" s="340" customFormat="1" ht="33" hidden="1" customHeight="1" x14ac:dyDescent="0.15">
      <c r="A388" s="3483" t="s">
        <v>594</v>
      </c>
      <c r="B388" s="3483" t="s">
        <v>412</v>
      </c>
      <c r="C388" s="1040" t="s">
        <v>21</v>
      </c>
      <c r="D388" s="1830">
        <f>I388*J388*100/K389</f>
        <v>0</v>
      </c>
      <c r="E388" s="1830">
        <f>E389*H388/100</f>
        <v>0</v>
      </c>
      <c r="F388" s="1830">
        <f>F389*H388/100</f>
        <v>0</v>
      </c>
      <c r="G388" s="1830">
        <f>G389*H388/100</f>
        <v>0</v>
      </c>
      <c r="H388" s="1831">
        <f>J388*I388</f>
        <v>0</v>
      </c>
      <c r="I388" s="1832"/>
      <c r="J388" s="1833"/>
      <c r="K388" s="1834"/>
      <c r="L388" s="1835"/>
      <c r="M388" s="1835"/>
      <c r="N388" s="1834">
        <v>25</v>
      </c>
    </row>
    <row r="389" spans="1:14" s="340" customFormat="1" ht="33" hidden="1" customHeight="1" x14ac:dyDescent="0.15">
      <c r="A389" s="3477"/>
      <c r="B389" s="3477"/>
      <c r="C389" s="51" t="s">
        <v>22</v>
      </c>
      <c r="D389" s="1824"/>
      <c r="E389" s="1825"/>
      <c r="F389" s="1825"/>
      <c r="G389" s="1825"/>
      <c r="H389" s="1826">
        <v>100</v>
      </c>
      <c r="I389" s="1827"/>
      <c r="J389" s="1828"/>
      <c r="K389" s="1829">
        <v>98</v>
      </c>
      <c r="L389" s="3478">
        <v>2</v>
      </c>
      <c r="M389" s="3478"/>
      <c r="N389" s="1823"/>
    </row>
    <row r="390" spans="1:14" s="340" customFormat="1" ht="39" customHeight="1" x14ac:dyDescent="0.15">
      <c r="A390" s="3474" t="s">
        <v>1151</v>
      </c>
      <c r="B390" s="3474"/>
      <c r="C390" s="1836" t="s">
        <v>21</v>
      </c>
      <c r="D390" s="1850">
        <f t="shared" ref="D390:I390" si="33">D386+D388</f>
        <v>497208.36734693876</v>
      </c>
      <c r="E390" s="1850">
        <f t="shared" si="33"/>
        <v>443410.42200000002</v>
      </c>
      <c r="F390" s="1850">
        <f t="shared" si="33"/>
        <v>19490.567999999999</v>
      </c>
      <c r="G390" s="1850">
        <f t="shared" si="33"/>
        <v>24363.21</v>
      </c>
      <c r="H390" s="1850">
        <f t="shared" si="33"/>
        <v>487264.2</v>
      </c>
      <c r="I390" s="1758">
        <f t="shared" si="33"/>
        <v>31</v>
      </c>
      <c r="J390" s="1850">
        <f>H390/I390</f>
        <v>15718.2</v>
      </c>
      <c r="K390" s="1851"/>
      <c r="L390" s="1852"/>
      <c r="M390" s="1852"/>
      <c r="N390" s="1853">
        <v>25</v>
      </c>
    </row>
    <row r="391" spans="1:14" s="340" customFormat="1" ht="39" customHeight="1" x14ac:dyDescent="0.15">
      <c r="A391" s="3475"/>
      <c r="B391" s="3475"/>
      <c r="C391" s="1877" t="s">
        <v>22</v>
      </c>
      <c r="D391" s="1878"/>
      <c r="E391" s="1879">
        <f>+E390/H390*100</f>
        <v>91</v>
      </c>
      <c r="F391" s="1879">
        <f>+F390/H390*100</f>
        <v>4</v>
      </c>
      <c r="G391" s="1879">
        <f>+G390/H390*100</f>
        <v>5</v>
      </c>
      <c r="H391" s="1880">
        <v>100</v>
      </c>
      <c r="I391" s="1881"/>
      <c r="J391" s="1882"/>
      <c r="K391" s="1883">
        <f>+H390/D390*100</f>
        <v>98.000000000000014</v>
      </c>
      <c r="L391" s="3476">
        <f>100-K391</f>
        <v>1.9999999999999858</v>
      </c>
      <c r="M391" s="3476"/>
      <c r="N391" s="1884"/>
    </row>
    <row r="392" spans="1:14" s="340" customFormat="1" ht="39" customHeight="1" x14ac:dyDescent="0.15">
      <c r="A392" s="3477" t="s">
        <v>1144</v>
      </c>
      <c r="B392" s="3477" t="s">
        <v>1145</v>
      </c>
      <c r="C392" s="51" t="s">
        <v>21</v>
      </c>
      <c r="D392" s="1819">
        <f>I392*J392*100/K393</f>
        <v>186722.44897959183</v>
      </c>
      <c r="E392" s="1819">
        <f>E393*H392/100</f>
        <v>164689.20000000001</v>
      </c>
      <c r="F392" s="1819">
        <f>F393*H392/100</f>
        <v>9149.4</v>
      </c>
      <c r="G392" s="1819">
        <f>G393*H392/100</f>
        <v>9149.4</v>
      </c>
      <c r="H392" s="1820">
        <f>J392*I392</f>
        <v>182988</v>
      </c>
      <c r="I392" s="1821">
        <v>15</v>
      </c>
      <c r="J392" s="1822">
        <f>J373*1.02</f>
        <v>12199.2</v>
      </c>
      <c r="K392" s="1823"/>
      <c r="L392" s="733"/>
      <c r="M392" s="733"/>
      <c r="N392" s="1823">
        <v>80</v>
      </c>
    </row>
    <row r="393" spans="1:14" s="340" customFormat="1" ht="39" customHeight="1" x14ac:dyDescent="0.15">
      <c r="A393" s="3477"/>
      <c r="B393" s="3477"/>
      <c r="C393" s="51" t="s">
        <v>22</v>
      </c>
      <c r="D393" s="1824"/>
      <c r="E393" s="1825">
        <v>90</v>
      </c>
      <c r="F393" s="1825">
        <v>5</v>
      </c>
      <c r="G393" s="1825">
        <v>5</v>
      </c>
      <c r="H393" s="1826">
        <v>100</v>
      </c>
      <c r="I393" s="1827"/>
      <c r="J393" s="1828"/>
      <c r="K393" s="1829">
        <v>98</v>
      </c>
      <c r="L393" s="3478">
        <f>100-K393</f>
        <v>2</v>
      </c>
      <c r="M393" s="3478"/>
      <c r="N393" s="1823"/>
    </row>
    <row r="394" spans="1:14" s="340" customFormat="1" ht="39" customHeight="1" x14ac:dyDescent="0.15">
      <c r="A394" s="3477" t="s">
        <v>1146</v>
      </c>
      <c r="B394" s="3477" t="s">
        <v>819</v>
      </c>
      <c r="C394" s="51" t="s">
        <v>21</v>
      </c>
      <c r="D394" s="1819">
        <f>I394*J394*100/K395</f>
        <v>192467.75510204083</v>
      </c>
      <c r="E394" s="1819">
        <f>E395*H394/100</f>
        <v>181073.66399999999</v>
      </c>
      <c r="F394" s="1819">
        <f>F395*H394/100</f>
        <v>3772.3679999999999</v>
      </c>
      <c r="G394" s="1819">
        <f>G395*H394/100</f>
        <v>3772.3679999999999</v>
      </c>
      <c r="H394" s="1820">
        <f>J394*I394</f>
        <v>188618.4</v>
      </c>
      <c r="I394" s="1821">
        <v>15</v>
      </c>
      <c r="J394" s="1822">
        <f>J375*1.02</f>
        <v>12574.56</v>
      </c>
      <c r="K394" s="1823"/>
      <c r="L394" s="733"/>
      <c r="M394" s="733"/>
      <c r="N394" s="1823">
        <v>80</v>
      </c>
    </row>
    <row r="395" spans="1:14" s="340" customFormat="1" ht="39" customHeight="1" x14ac:dyDescent="0.15">
      <c r="A395" s="3477"/>
      <c r="B395" s="3477"/>
      <c r="C395" s="51" t="s">
        <v>22</v>
      </c>
      <c r="D395" s="1824"/>
      <c r="E395" s="1825">
        <v>96</v>
      </c>
      <c r="F395" s="1825">
        <v>2</v>
      </c>
      <c r="G395" s="1825">
        <v>2</v>
      </c>
      <c r="H395" s="1826">
        <v>100</v>
      </c>
      <c r="I395" s="1827"/>
      <c r="J395" s="1828"/>
      <c r="K395" s="1829">
        <v>98</v>
      </c>
      <c r="L395" s="3478">
        <v>2</v>
      </c>
      <c r="M395" s="3478"/>
      <c r="N395" s="1823"/>
    </row>
    <row r="396" spans="1:14" s="340" customFormat="1" ht="25" hidden="1" customHeight="1" x14ac:dyDescent="0.15">
      <c r="A396" s="1885"/>
      <c r="B396" s="3189" t="s">
        <v>492</v>
      </c>
      <c r="C396" s="1040" t="s">
        <v>21</v>
      </c>
      <c r="D396" s="1830">
        <f>I396*J396*100/K397</f>
        <v>0</v>
      </c>
      <c r="E396" s="1830">
        <f>E397*H396/100</f>
        <v>0</v>
      </c>
      <c r="F396" s="1830">
        <f>F397*H396/100</f>
        <v>0</v>
      </c>
      <c r="G396" s="1830">
        <f>G397*H396/100</f>
        <v>0</v>
      </c>
      <c r="H396" s="1831">
        <f>J396*I396</f>
        <v>0</v>
      </c>
      <c r="I396" s="1832"/>
      <c r="J396" s="1833">
        <f>J373+J373*2%</f>
        <v>12199.2</v>
      </c>
      <c r="K396" s="1834"/>
      <c r="L396" s="1835"/>
      <c r="M396" s="1835"/>
      <c r="N396" s="1834"/>
    </row>
    <row r="397" spans="1:14" s="340" customFormat="1" ht="26" hidden="1" customHeight="1" x14ac:dyDescent="0.15">
      <c r="A397" s="1886"/>
      <c r="B397" s="3468"/>
      <c r="C397" s="1037" t="s">
        <v>22</v>
      </c>
      <c r="D397" s="1887"/>
      <c r="E397" s="1888">
        <v>91</v>
      </c>
      <c r="F397" s="1888">
        <v>6</v>
      </c>
      <c r="G397" s="1888">
        <v>3</v>
      </c>
      <c r="H397" s="1889">
        <v>100</v>
      </c>
      <c r="I397" s="1890"/>
      <c r="J397" s="1891"/>
      <c r="K397" s="1892">
        <v>98</v>
      </c>
      <c r="L397" s="3469">
        <v>2</v>
      </c>
      <c r="M397" s="3469"/>
      <c r="N397" s="1893"/>
    </row>
    <row r="398" spans="1:14" s="340" customFormat="1" ht="28" customHeight="1" x14ac:dyDescent="0.15">
      <c r="A398" s="3470" t="s">
        <v>1152</v>
      </c>
      <c r="B398" s="3470"/>
      <c r="C398" s="1836" t="s">
        <v>21</v>
      </c>
      <c r="D398" s="1850">
        <f t="shared" ref="D398:I398" si="34">D392+D394+D396</f>
        <v>379190.20408163266</v>
      </c>
      <c r="E398" s="1850">
        <f t="shared" si="34"/>
        <v>345762.864</v>
      </c>
      <c r="F398" s="1850">
        <f t="shared" si="34"/>
        <v>12921.768</v>
      </c>
      <c r="G398" s="1850">
        <f t="shared" si="34"/>
        <v>12921.768</v>
      </c>
      <c r="H398" s="1850">
        <f t="shared" si="34"/>
        <v>371606.4</v>
      </c>
      <c r="I398" s="1758">
        <f t="shared" si="34"/>
        <v>30</v>
      </c>
      <c r="J398" s="1850">
        <f>H398/I398</f>
        <v>12386.880000000001</v>
      </c>
      <c r="K398" s="1851"/>
      <c r="L398" s="1852"/>
      <c r="M398" s="1852"/>
      <c r="N398" s="1853"/>
    </row>
    <row r="399" spans="1:14" s="340" customFormat="1" ht="28" customHeight="1" x14ac:dyDescent="0.15">
      <c r="A399" s="3470"/>
      <c r="B399" s="3470"/>
      <c r="C399" s="1836" t="s">
        <v>22</v>
      </c>
      <c r="D399" s="1842"/>
      <c r="E399" s="1843">
        <f>+E398/H398*100</f>
        <v>93.045454545454547</v>
      </c>
      <c r="F399" s="1843">
        <f>+F398/H398*100</f>
        <v>3.4772727272727266</v>
      </c>
      <c r="G399" s="1843">
        <f>+G398/H398*100</f>
        <v>3.4772727272727266</v>
      </c>
      <c r="H399" s="1844">
        <v>100</v>
      </c>
      <c r="I399" s="1845"/>
      <c r="J399" s="1846"/>
      <c r="K399" s="1847">
        <f>+H398/D398*100</f>
        <v>98</v>
      </c>
      <c r="L399" s="3471">
        <f>100-K399</f>
        <v>2</v>
      </c>
      <c r="M399" s="3471"/>
      <c r="N399" s="1853"/>
    </row>
    <row r="400" spans="1:14" s="340" customFormat="1" ht="28" customHeight="1" x14ac:dyDescent="0.15">
      <c r="A400" s="3472" t="s">
        <v>1153</v>
      </c>
      <c r="B400" s="3472"/>
      <c r="C400" s="1854" t="s">
        <v>21</v>
      </c>
      <c r="D400" s="1855">
        <f t="shared" ref="D400:I400" si="35">D398+D390</f>
        <v>876398.57142857136</v>
      </c>
      <c r="E400" s="1855">
        <f t="shared" si="35"/>
        <v>789173.28600000008</v>
      </c>
      <c r="F400" s="1855">
        <f t="shared" si="35"/>
        <v>32412.335999999999</v>
      </c>
      <c r="G400" s="1855">
        <f t="shared" si="35"/>
        <v>37284.978000000003</v>
      </c>
      <c r="H400" s="1855">
        <f t="shared" si="35"/>
        <v>858870.60000000009</v>
      </c>
      <c r="I400" s="1856">
        <f t="shared" si="35"/>
        <v>61</v>
      </c>
      <c r="J400" s="1855">
        <f>H400/I400</f>
        <v>14079.845901639346</v>
      </c>
      <c r="K400" s="1857"/>
      <c r="L400" s="1858"/>
      <c r="M400" s="1858"/>
      <c r="N400" s="1859"/>
    </row>
    <row r="401" spans="1:14" s="340" customFormat="1" ht="28" customHeight="1" x14ac:dyDescent="0.15">
      <c r="A401" s="3472"/>
      <c r="B401" s="3472"/>
      <c r="C401" s="1854" t="s">
        <v>22</v>
      </c>
      <c r="D401" s="1860"/>
      <c r="E401" s="1861">
        <f>+E400/H400*100</f>
        <v>91.885004097241179</v>
      </c>
      <c r="F401" s="1861">
        <f>+F400/H400*100</f>
        <v>3.7738322862605838</v>
      </c>
      <c r="G401" s="1861">
        <f>+G400/H400*100</f>
        <v>4.3411636164982248</v>
      </c>
      <c r="H401" s="1862">
        <v>100</v>
      </c>
      <c r="I401" s="1863"/>
      <c r="J401" s="1864"/>
      <c r="K401" s="1865">
        <f>+H400/D400*100</f>
        <v>98.000000000000014</v>
      </c>
      <c r="L401" s="3473">
        <f>100-K401</f>
        <v>1.9999999999999858</v>
      </c>
      <c r="M401" s="3473"/>
      <c r="N401" s="1859"/>
    </row>
    <row r="402" spans="1:14" s="340" customFormat="1" ht="22" customHeight="1" x14ac:dyDescent="0.15">
      <c r="A402" s="2909" t="s">
        <v>597</v>
      </c>
      <c r="B402" s="2909"/>
      <c r="C402" s="2909"/>
      <c r="D402" s="2909"/>
      <c r="E402" s="2909"/>
      <c r="F402" s="2909"/>
      <c r="G402" s="2909"/>
      <c r="H402" s="2909"/>
      <c r="I402" s="2909"/>
      <c r="J402" s="2909"/>
      <c r="K402" s="2909"/>
      <c r="L402" s="2909"/>
      <c r="M402" s="2909"/>
      <c r="N402" s="2909"/>
    </row>
    <row r="403" spans="1:14" s="340" customFormat="1" ht="22" customHeight="1" x14ac:dyDescent="0.15">
      <c r="A403" s="3198" t="s">
        <v>849</v>
      </c>
      <c r="B403" s="3198"/>
      <c r="C403" s="3198"/>
      <c r="D403" s="3198"/>
      <c r="E403" s="3198"/>
      <c r="F403" s="3198"/>
      <c r="G403" s="3198"/>
      <c r="H403" s="3198"/>
      <c r="I403" s="3198"/>
      <c r="J403" s="3198"/>
      <c r="K403" s="3198"/>
      <c r="L403" s="3198"/>
      <c r="M403" s="3198"/>
      <c r="N403" s="3198"/>
    </row>
    <row r="404" spans="1:14" s="340" customFormat="1" ht="22" customHeight="1" x14ac:dyDescent="0.15">
      <c r="A404" s="3198" t="s">
        <v>1154</v>
      </c>
      <c r="B404" s="3198"/>
      <c r="C404" s="3198"/>
      <c r="D404" s="3198"/>
      <c r="E404" s="3198"/>
      <c r="F404" s="3198"/>
      <c r="G404" s="3198"/>
      <c r="H404" s="3198"/>
      <c r="I404" s="3198"/>
      <c r="J404" s="3198"/>
      <c r="K404" s="3198"/>
      <c r="L404" s="3198"/>
      <c r="M404" s="3198"/>
      <c r="N404" s="3198"/>
    </row>
    <row r="405" spans="1:14" s="340" customFormat="1" ht="24" customHeight="1" x14ac:dyDescent="0.15">
      <c r="A405" s="3463" t="s">
        <v>1155</v>
      </c>
      <c r="B405" s="3463"/>
      <c r="C405" s="3463"/>
      <c r="D405" s="3463"/>
      <c r="E405" s="3463"/>
      <c r="F405" s="3463"/>
      <c r="G405" s="3463"/>
      <c r="H405" s="3463"/>
      <c r="I405" s="3463"/>
      <c r="J405" s="3463"/>
      <c r="K405" s="3463"/>
      <c r="L405" s="3463"/>
      <c r="M405" s="3463"/>
      <c r="N405" s="3463"/>
    </row>
    <row r="406" spans="1:14" s="340" customFormat="1" ht="24" customHeight="1" x14ac:dyDescent="0.15">
      <c r="A406" s="2663" t="s">
        <v>1156</v>
      </c>
      <c r="B406" s="2663"/>
      <c r="C406" s="2663"/>
      <c r="D406" s="2663"/>
      <c r="E406" s="2663"/>
      <c r="F406" s="2663"/>
      <c r="G406" s="2663"/>
      <c r="H406" s="2663"/>
      <c r="I406" s="2663"/>
      <c r="J406" s="2663"/>
      <c r="K406" s="2663"/>
      <c r="L406" s="2663"/>
      <c r="M406" s="2663"/>
      <c r="N406" s="2663"/>
    </row>
    <row r="407" spans="1:14" s="340" customFormat="1" ht="24" customHeight="1" x14ac:dyDescent="0.15">
      <c r="A407" s="2663" t="s">
        <v>1157</v>
      </c>
      <c r="B407" s="2663"/>
      <c r="C407" s="2663"/>
      <c r="D407" s="2663"/>
      <c r="E407" s="2663"/>
      <c r="F407" s="2663"/>
      <c r="G407" s="2663"/>
      <c r="H407" s="2663"/>
      <c r="I407" s="2663"/>
      <c r="J407" s="2663"/>
      <c r="K407" s="2663"/>
      <c r="L407" s="2663"/>
      <c r="M407" s="2663"/>
      <c r="N407" s="2663"/>
    </row>
    <row r="408" spans="1:14" s="340" customFormat="1" ht="24" customHeight="1" x14ac:dyDescent="0.15">
      <c r="A408" s="2663" t="s">
        <v>1158</v>
      </c>
      <c r="B408" s="2663"/>
      <c r="C408" s="2663"/>
      <c r="D408" s="2663"/>
      <c r="E408" s="2663"/>
      <c r="F408" s="2663"/>
      <c r="G408" s="2663"/>
      <c r="H408" s="2663"/>
      <c r="I408" s="2663"/>
      <c r="J408" s="2663"/>
      <c r="K408" s="2663"/>
      <c r="L408" s="2663"/>
      <c r="M408" s="2663"/>
      <c r="N408" s="2663"/>
    </row>
    <row r="409" spans="1:14" s="340" customFormat="1" ht="24" customHeight="1" x14ac:dyDescent="0.15">
      <c r="A409" s="2663" t="s">
        <v>1159</v>
      </c>
      <c r="B409" s="2663"/>
      <c r="C409" s="2663"/>
      <c r="D409" s="2663"/>
      <c r="E409" s="2663"/>
      <c r="F409" s="2663"/>
      <c r="G409" s="2663"/>
      <c r="H409" s="2663"/>
      <c r="I409" s="2663"/>
      <c r="J409" s="2663"/>
      <c r="K409" s="2663"/>
      <c r="L409" s="2663"/>
      <c r="M409" s="2663"/>
      <c r="N409" s="2663"/>
    </row>
    <row r="410" spans="1:14" s="340" customFormat="1" ht="24" customHeight="1" x14ac:dyDescent="0.15">
      <c r="A410" s="2663" t="s">
        <v>1160</v>
      </c>
      <c r="B410" s="2663"/>
      <c r="C410" s="2663"/>
      <c r="D410" s="2663"/>
      <c r="E410" s="2663"/>
      <c r="F410" s="2663"/>
      <c r="G410" s="2663"/>
      <c r="H410" s="2663"/>
      <c r="I410" s="2663"/>
      <c r="J410" s="2663"/>
      <c r="K410" s="2663"/>
      <c r="L410" s="2663"/>
      <c r="M410" s="2663"/>
      <c r="N410" s="2663"/>
    </row>
    <row r="411" spans="1:14" s="340" customFormat="1" ht="24" customHeight="1" x14ac:dyDescent="0.15">
      <c r="A411" s="2663" t="s">
        <v>1161</v>
      </c>
      <c r="B411" s="2663"/>
      <c r="C411" s="2663"/>
      <c r="D411" s="2663"/>
      <c r="E411" s="2663"/>
      <c r="F411" s="2663"/>
      <c r="G411" s="2663"/>
      <c r="H411" s="2663"/>
      <c r="I411" s="2663"/>
      <c r="J411" s="2663"/>
      <c r="K411" s="2663"/>
      <c r="L411" s="2663"/>
      <c r="M411" s="2663"/>
      <c r="N411" s="2663"/>
    </row>
    <row r="412" spans="1:14" s="340" customFormat="1" ht="24" customHeight="1" x14ac:dyDescent="0.15">
      <c r="A412" s="2663" t="s">
        <v>1162</v>
      </c>
      <c r="B412" s="2663"/>
      <c r="C412" s="2663"/>
      <c r="D412" s="2663"/>
      <c r="E412" s="2663"/>
      <c r="F412" s="2663"/>
      <c r="G412" s="2663"/>
      <c r="H412" s="2663"/>
      <c r="I412" s="2663"/>
      <c r="J412" s="2663"/>
      <c r="K412" s="2663"/>
      <c r="L412" s="2663"/>
      <c r="M412" s="2663"/>
      <c r="N412" s="2663"/>
    </row>
    <row r="413" spans="1:14" s="340" customFormat="1" ht="24" customHeight="1" x14ac:dyDescent="0.15">
      <c r="A413" s="79" t="s">
        <v>1163</v>
      </c>
      <c r="B413" s="41"/>
      <c r="C413" s="41"/>
      <c r="D413" s="41"/>
      <c r="E413" s="41"/>
      <c r="F413" s="41"/>
      <c r="G413" s="41"/>
      <c r="H413" s="41"/>
      <c r="I413" s="41"/>
      <c r="J413" s="41"/>
      <c r="K413" s="41"/>
      <c r="L413" s="41"/>
      <c r="M413" s="41"/>
      <c r="N413" s="41"/>
    </row>
    <row r="414" spans="1:14" s="340" customFormat="1" ht="58" customHeight="1" x14ac:dyDescent="0.15">
      <c r="A414" s="2663" t="s">
        <v>1164</v>
      </c>
      <c r="B414" s="2663"/>
      <c r="C414" s="2663"/>
      <c r="D414" s="2663"/>
      <c r="E414" s="2663"/>
      <c r="F414" s="2663"/>
      <c r="G414" s="2663"/>
      <c r="H414" s="2663"/>
      <c r="I414" s="2663"/>
      <c r="J414" s="2663"/>
      <c r="K414" s="2663"/>
      <c r="L414" s="2663"/>
      <c r="M414" s="2663"/>
      <c r="N414" s="2663"/>
    </row>
    <row r="415" spans="1:14" s="340" customFormat="1" ht="37" customHeight="1" x14ac:dyDescent="0.15">
      <c r="A415" s="2663" t="s">
        <v>1165</v>
      </c>
      <c r="B415" s="2663"/>
      <c r="C415" s="2663"/>
      <c r="D415" s="2663"/>
      <c r="E415" s="2663"/>
      <c r="F415" s="2663"/>
      <c r="G415" s="2663"/>
      <c r="H415" s="2663"/>
      <c r="I415" s="2663"/>
      <c r="J415" s="2663"/>
      <c r="K415" s="2663"/>
      <c r="L415" s="2663"/>
      <c r="M415" s="2663"/>
      <c r="N415" s="2663"/>
    </row>
    <row r="416" spans="1:14" s="84" customFormat="1" ht="22.5" customHeight="1" x14ac:dyDescent="0.2">
      <c r="A416" s="88" t="s">
        <v>494</v>
      </c>
      <c r="H416" s="394"/>
      <c r="I416" s="451"/>
      <c r="J416" s="355"/>
      <c r="K416" s="355"/>
      <c r="N416" s="350"/>
    </row>
    <row r="417" spans="1:14" s="1" customFormat="1" ht="16" x14ac:dyDescent="0.2">
      <c r="A417" s="1029" t="s">
        <v>655</v>
      </c>
      <c r="C417" s="42"/>
      <c r="E417" s="43"/>
      <c r="F417" s="43"/>
      <c r="H417" s="78"/>
      <c r="I417" s="447"/>
      <c r="J417" s="2682" t="s">
        <v>1166</v>
      </c>
      <c r="K417" s="2682"/>
      <c r="L417" s="2682"/>
      <c r="M417" s="2682"/>
      <c r="N417" s="2682"/>
    </row>
    <row r="418" spans="1:14" s="84" customFormat="1" ht="24" customHeight="1" x14ac:dyDescent="0.15">
      <c r="A418" s="1031" t="s">
        <v>656</v>
      </c>
      <c r="B418" s="1030"/>
      <c r="C418" s="1031"/>
      <c r="D418" s="2683" t="s">
        <v>897</v>
      </c>
      <c r="E418" s="2683"/>
      <c r="F418" s="2683"/>
      <c r="G418" s="339"/>
      <c r="H418" s="339"/>
      <c r="I418" s="339"/>
      <c r="J418" s="2683" t="s">
        <v>1167</v>
      </c>
      <c r="K418" s="2683"/>
      <c r="L418" s="2683"/>
      <c r="M418" s="2683"/>
      <c r="N418" s="2683"/>
    </row>
    <row r="419" spans="1:14" x14ac:dyDescent="0.15">
      <c r="A419" s="94" t="s">
        <v>657</v>
      </c>
      <c r="B419" s="1030"/>
      <c r="C419" s="1031"/>
    </row>
    <row r="420" spans="1:14" x14ac:dyDescent="0.15">
      <c r="A420" s="1032" t="s">
        <v>658</v>
      </c>
      <c r="B420" s="1030"/>
      <c r="C420" s="1031"/>
    </row>
    <row r="421" spans="1:14" x14ac:dyDescent="0.2">
      <c r="A421" s="3434" t="s">
        <v>838</v>
      </c>
      <c r="B421" s="3434"/>
      <c r="C421" s="1031"/>
    </row>
    <row r="422" spans="1:14" x14ac:dyDescent="0.15">
      <c r="A422" s="1029" t="s">
        <v>659</v>
      </c>
      <c r="B422" s="1030"/>
      <c r="C422" s="1031"/>
    </row>
    <row r="423" spans="1:14" x14ac:dyDescent="0.2">
      <c r="A423" s="94" t="s">
        <v>660</v>
      </c>
      <c r="B423" s="92"/>
    </row>
    <row r="424" spans="1:14" x14ac:dyDescent="0.2">
      <c r="B424" s="92"/>
    </row>
  </sheetData>
  <mergeCells count="500">
    <mergeCell ref="B20:B21"/>
    <mergeCell ref="L30:M30"/>
    <mergeCell ref="I6:I7"/>
    <mergeCell ref="L7:M7"/>
    <mergeCell ref="B8:B9"/>
    <mergeCell ref="L9:M9"/>
    <mergeCell ref="B10:B11"/>
    <mergeCell ref="L11:M11"/>
    <mergeCell ref="A1:N1"/>
    <mergeCell ref="A2:N2"/>
    <mergeCell ref="A3:N3"/>
    <mergeCell ref="A4:N4"/>
    <mergeCell ref="A5:N5"/>
    <mergeCell ref="A6:A13"/>
    <mergeCell ref="B6:C6"/>
    <mergeCell ref="D6:D7"/>
    <mergeCell ref="E6:G6"/>
    <mergeCell ref="H6:H7"/>
    <mergeCell ref="B12:B13"/>
    <mergeCell ref="L12:M12"/>
    <mergeCell ref="A32:A37"/>
    <mergeCell ref="B32:B33"/>
    <mergeCell ref="L33:M33"/>
    <mergeCell ref="B34:B35"/>
    <mergeCell ref="L35:M35"/>
    <mergeCell ref="B36:B37"/>
    <mergeCell ref="L36:M36"/>
    <mergeCell ref="L21:M21"/>
    <mergeCell ref="B22:B23"/>
    <mergeCell ref="B24:B25"/>
    <mergeCell ref="L24:M24"/>
    <mergeCell ref="A26:A31"/>
    <mergeCell ref="B26:B27"/>
    <mergeCell ref="L27:M27"/>
    <mergeCell ref="B28:B29"/>
    <mergeCell ref="L29:M29"/>
    <mergeCell ref="B30:B31"/>
    <mergeCell ref="A14:A25"/>
    <mergeCell ref="B14:B15"/>
    <mergeCell ref="L15:M15"/>
    <mergeCell ref="B16:B17"/>
    <mergeCell ref="L17:M17"/>
    <mergeCell ref="B18:B19"/>
    <mergeCell ref="L18:M18"/>
    <mergeCell ref="A44:N44"/>
    <mergeCell ref="A45:N45"/>
    <mergeCell ref="A46:N46"/>
    <mergeCell ref="A49:A50"/>
    <mergeCell ref="B49:B50"/>
    <mergeCell ref="C49:C50"/>
    <mergeCell ref="D49:G49"/>
    <mergeCell ref="I49:N50"/>
    <mergeCell ref="A38:A43"/>
    <mergeCell ref="B38:B39"/>
    <mergeCell ref="L39:M39"/>
    <mergeCell ref="B40:B41"/>
    <mergeCell ref="L41:M41"/>
    <mergeCell ref="B42:B43"/>
    <mergeCell ref="L43:M43"/>
    <mergeCell ref="A51:A52"/>
    <mergeCell ref="B51:B52"/>
    <mergeCell ref="I51:N68"/>
    <mergeCell ref="A53:A54"/>
    <mergeCell ref="B53:B54"/>
    <mergeCell ref="A55:A56"/>
    <mergeCell ref="B55:B56"/>
    <mergeCell ref="A57:A58"/>
    <mergeCell ref="B57:B58"/>
    <mergeCell ref="A59:A60"/>
    <mergeCell ref="A69:A70"/>
    <mergeCell ref="B69:B70"/>
    <mergeCell ref="I69:N74"/>
    <mergeCell ref="A71:A72"/>
    <mergeCell ref="B71:B72"/>
    <mergeCell ref="A73:A74"/>
    <mergeCell ref="B73:B74"/>
    <mergeCell ref="B59:B60"/>
    <mergeCell ref="A61:A62"/>
    <mergeCell ref="B61:B62"/>
    <mergeCell ref="A63:A64"/>
    <mergeCell ref="B63:B64"/>
    <mergeCell ref="A65:A66"/>
    <mergeCell ref="B65:B66"/>
    <mergeCell ref="A89:B90"/>
    <mergeCell ref="I89:N89"/>
    <mergeCell ref="I90:N90"/>
    <mergeCell ref="A91:N91"/>
    <mergeCell ref="B92:C92"/>
    <mergeCell ref="I92:N92"/>
    <mergeCell ref="I77:N77"/>
    <mergeCell ref="I78:N78"/>
    <mergeCell ref="A79:B80"/>
    <mergeCell ref="I79:N88"/>
    <mergeCell ref="A81:B82"/>
    <mergeCell ref="A83:B84"/>
    <mergeCell ref="A85:B86"/>
    <mergeCell ref="A96:C96"/>
    <mergeCell ref="I96:N96"/>
    <mergeCell ref="A99:A100"/>
    <mergeCell ref="B99:B100"/>
    <mergeCell ref="C99:C100"/>
    <mergeCell ref="D99:G99"/>
    <mergeCell ref="I99:N100"/>
    <mergeCell ref="B93:C93"/>
    <mergeCell ref="I93:N93"/>
    <mergeCell ref="B94:C94"/>
    <mergeCell ref="I94:N94"/>
    <mergeCell ref="B95:C95"/>
    <mergeCell ref="I95:N95"/>
    <mergeCell ref="A101:A102"/>
    <mergeCell ref="B101:B102"/>
    <mergeCell ref="I101:N114"/>
    <mergeCell ref="A103:A104"/>
    <mergeCell ref="B103:B104"/>
    <mergeCell ref="A105:A106"/>
    <mergeCell ref="B105:B106"/>
    <mergeCell ref="A107:A108"/>
    <mergeCell ref="B107:B108"/>
    <mergeCell ref="A109:A110"/>
    <mergeCell ref="I115:N118"/>
    <mergeCell ref="A117:A118"/>
    <mergeCell ref="B117:B118"/>
    <mergeCell ref="A119:B120"/>
    <mergeCell ref="I119:N119"/>
    <mergeCell ref="I120:N120"/>
    <mergeCell ref="B109:B110"/>
    <mergeCell ref="A111:A112"/>
    <mergeCell ref="B111:B112"/>
    <mergeCell ref="A113:A114"/>
    <mergeCell ref="B113:B114"/>
    <mergeCell ref="A115:A116"/>
    <mergeCell ref="B115:B116"/>
    <mergeCell ref="A121:A122"/>
    <mergeCell ref="B121:B122"/>
    <mergeCell ref="I121:N136"/>
    <mergeCell ref="A123:A124"/>
    <mergeCell ref="B123:B124"/>
    <mergeCell ref="A125:A126"/>
    <mergeCell ref="B125:B126"/>
    <mergeCell ref="A131:A132"/>
    <mergeCell ref="B131:B132"/>
    <mergeCell ref="A133:A134"/>
    <mergeCell ref="P126:P127"/>
    <mergeCell ref="A127:A128"/>
    <mergeCell ref="B127:B128"/>
    <mergeCell ref="A129:A130"/>
    <mergeCell ref="B129:B130"/>
    <mergeCell ref="P129:P130"/>
    <mergeCell ref="B143:B144"/>
    <mergeCell ref="A145:A146"/>
    <mergeCell ref="B145:B146"/>
    <mergeCell ref="B133:B134"/>
    <mergeCell ref="A135:B136"/>
    <mergeCell ref="A137:A138"/>
    <mergeCell ref="B137:B138"/>
    <mergeCell ref="B159:B160"/>
    <mergeCell ref="A167:B168"/>
    <mergeCell ref="I137:N152"/>
    <mergeCell ref="A139:A140"/>
    <mergeCell ref="B139:B140"/>
    <mergeCell ref="A141:A142"/>
    <mergeCell ref="B141:B142"/>
    <mergeCell ref="A143:A144"/>
    <mergeCell ref="A147:A148"/>
    <mergeCell ref="B147:B148"/>
    <mergeCell ref="A149:A150"/>
    <mergeCell ref="B149:B150"/>
    <mergeCell ref="A151:B152"/>
    <mergeCell ref="I153:N168"/>
    <mergeCell ref="I169:N178"/>
    <mergeCell ref="A171:A172"/>
    <mergeCell ref="B171:B172"/>
    <mergeCell ref="A173:A174"/>
    <mergeCell ref="B173:B174"/>
    <mergeCell ref="A175:A176"/>
    <mergeCell ref="B175:B176"/>
    <mergeCell ref="A153:A154"/>
    <mergeCell ref="B153:B154"/>
    <mergeCell ref="A155:A156"/>
    <mergeCell ref="B155:B156"/>
    <mergeCell ref="A157:A158"/>
    <mergeCell ref="B157:B158"/>
    <mergeCell ref="A177:A178"/>
    <mergeCell ref="B177:B178"/>
    <mergeCell ref="A161:A162"/>
    <mergeCell ref="B161:B162"/>
    <mergeCell ref="A163:A164"/>
    <mergeCell ref="B163:B164"/>
    <mergeCell ref="A165:A166"/>
    <mergeCell ref="B165:B166"/>
    <mergeCell ref="A169:A170"/>
    <mergeCell ref="B169:B170"/>
    <mergeCell ref="A159:A160"/>
    <mergeCell ref="A179:A180"/>
    <mergeCell ref="B179:B180"/>
    <mergeCell ref="I179:N184"/>
    <mergeCell ref="A181:A182"/>
    <mergeCell ref="B181:B182"/>
    <mergeCell ref="A183:A184"/>
    <mergeCell ref="B183:B184"/>
    <mergeCell ref="A190:A191"/>
    <mergeCell ref="B190:C191"/>
    <mergeCell ref="D190:D191"/>
    <mergeCell ref="I190:N190"/>
    <mergeCell ref="I191:N191"/>
    <mergeCell ref="B192:C192"/>
    <mergeCell ref="I192:N192"/>
    <mergeCell ref="A185:B186"/>
    <mergeCell ref="I185:N185"/>
    <mergeCell ref="I186:N186"/>
    <mergeCell ref="B187:C187"/>
    <mergeCell ref="I187:N187"/>
    <mergeCell ref="A188:A189"/>
    <mergeCell ref="B188:C189"/>
    <mergeCell ref="D188:D189"/>
    <mergeCell ref="I188:N188"/>
    <mergeCell ref="I189:N189"/>
    <mergeCell ref="J197:L197"/>
    <mergeCell ref="M197:N197"/>
    <mergeCell ref="J198:L198"/>
    <mergeCell ref="M198:N198"/>
    <mergeCell ref="J199:L199"/>
    <mergeCell ref="M199:N199"/>
    <mergeCell ref="A193:C193"/>
    <mergeCell ref="I193:N193"/>
    <mergeCell ref="A194:N194"/>
    <mergeCell ref="A195:N195"/>
    <mergeCell ref="J196:N196"/>
    <mergeCell ref="J202:N202"/>
    <mergeCell ref="J203:N203"/>
    <mergeCell ref="J204:N204"/>
    <mergeCell ref="J200:L200"/>
    <mergeCell ref="M200:N200"/>
    <mergeCell ref="J201:L201"/>
    <mergeCell ref="M201:N201"/>
    <mergeCell ref="J208:N208"/>
    <mergeCell ref="J209:N209"/>
    <mergeCell ref="J210:N210"/>
    <mergeCell ref="J205:N205"/>
    <mergeCell ref="J206:N206"/>
    <mergeCell ref="J207:N207"/>
    <mergeCell ref="J214:N214"/>
    <mergeCell ref="A216:N216"/>
    <mergeCell ref="B217:C217"/>
    <mergeCell ref="J217:N217"/>
    <mergeCell ref="B218:C218"/>
    <mergeCell ref="J218:K218"/>
    <mergeCell ref="L218:N218"/>
    <mergeCell ref="J211:N211"/>
    <mergeCell ref="J212:N212"/>
    <mergeCell ref="J213:N213"/>
    <mergeCell ref="B221:C221"/>
    <mergeCell ref="J221:K221"/>
    <mergeCell ref="L221:N221"/>
    <mergeCell ref="B222:C222"/>
    <mergeCell ref="J222:N222"/>
    <mergeCell ref="B223:C223"/>
    <mergeCell ref="J223:N223"/>
    <mergeCell ref="B219:C219"/>
    <mergeCell ref="J219:K219"/>
    <mergeCell ref="L219:N219"/>
    <mergeCell ref="B220:C220"/>
    <mergeCell ref="J220:K220"/>
    <mergeCell ref="L220:N220"/>
    <mergeCell ref="B227:C227"/>
    <mergeCell ref="J227:N227"/>
    <mergeCell ref="B228:C228"/>
    <mergeCell ref="J228:N228"/>
    <mergeCell ref="B229:C229"/>
    <mergeCell ref="J229:N229"/>
    <mergeCell ref="B224:C224"/>
    <mergeCell ref="J224:N224"/>
    <mergeCell ref="B225:C225"/>
    <mergeCell ref="J225:N225"/>
    <mergeCell ref="B226:C226"/>
    <mergeCell ref="J226:N226"/>
    <mergeCell ref="B234:C234"/>
    <mergeCell ref="J234:K234"/>
    <mergeCell ref="L234:N234"/>
    <mergeCell ref="B235:C235"/>
    <mergeCell ref="J235:K235"/>
    <mergeCell ref="L235:N235"/>
    <mergeCell ref="B230:C230"/>
    <mergeCell ref="J230:N230"/>
    <mergeCell ref="A231:N231"/>
    <mergeCell ref="B232:C232"/>
    <mergeCell ref="J232:N232"/>
    <mergeCell ref="B233:C233"/>
    <mergeCell ref="J233:K233"/>
    <mergeCell ref="L233:N233"/>
    <mergeCell ref="B239:C239"/>
    <mergeCell ref="J239:N239"/>
    <mergeCell ref="B240:C240"/>
    <mergeCell ref="J240:N240"/>
    <mergeCell ref="B241:C241"/>
    <mergeCell ref="J241:N241"/>
    <mergeCell ref="B236:C236"/>
    <mergeCell ref="J236:K236"/>
    <mergeCell ref="L236:N236"/>
    <mergeCell ref="B237:C237"/>
    <mergeCell ref="J237:N237"/>
    <mergeCell ref="B238:C238"/>
    <mergeCell ref="J238:N238"/>
    <mergeCell ref="A245:N245"/>
    <mergeCell ref="B246:C246"/>
    <mergeCell ref="J246:N246"/>
    <mergeCell ref="B247:C247"/>
    <mergeCell ref="J247:K247"/>
    <mergeCell ref="L247:N247"/>
    <mergeCell ref="B242:C242"/>
    <mergeCell ref="J242:N242"/>
    <mergeCell ref="B243:C243"/>
    <mergeCell ref="J243:N243"/>
    <mergeCell ref="B244:C244"/>
    <mergeCell ref="J244:N244"/>
    <mergeCell ref="A252:A253"/>
    <mergeCell ref="B252:C252"/>
    <mergeCell ref="J252:N252"/>
    <mergeCell ref="B253:C253"/>
    <mergeCell ref="J253:N253"/>
    <mergeCell ref="B254:C254"/>
    <mergeCell ref="J254:N254"/>
    <mergeCell ref="B248:C248"/>
    <mergeCell ref="J248:K248"/>
    <mergeCell ref="L248:N248"/>
    <mergeCell ref="B249:C249"/>
    <mergeCell ref="J249:N249"/>
    <mergeCell ref="A250:A251"/>
    <mergeCell ref="B250:C250"/>
    <mergeCell ref="J250:N250"/>
    <mergeCell ref="B251:C251"/>
    <mergeCell ref="J251:N251"/>
    <mergeCell ref="N263:N264"/>
    <mergeCell ref="B258:C258"/>
    <mergeCell ref="J258:N258"/>
    <mergeCell ref="B259:C259"/>
    <mergeCell ref="J259:N259"/>
    <mergeCell ref="B260:C260"/>
    <mergeCell ref="J260:N260"/>
    <mergeCell ref="B255:C255"/>
    <mergeCell ref="J255:N255"/>
    <mergeCell ref="B256:C256"/>
    <mergeCell ref="J256:N256"/>
    <mergeCell ref="B257:C257"/>
    <mergeCell ref="J257:N257"/>
    <mergeCell ref="A269:E269"/>
    <mergeCell ref="A271:A272"/>
    <mergeCell ref="B271:B272"/>
    <mergeCell ref="C271:E271"/>
    <mergeCell ref="I271:J271"/>
    <mergeCell ref="M271:M272"/>
    <mergeCell ref="A263:A264"/>
    <mergeCell ref="B263:B264"/>
    <mergeCell ref="C263:E263"/>
    <mergeCell ref="I263:J263"/>
    <mergeCell ref="M263:M264"/>
    <mergeCell ref="A286:E286"/>
    <mergeCell ref="A288:A289"/>
    <mergeCell ref="B288:B289"/>
    <mergeCell ref="C288:E288"/>
    <mergeCell ref="I288:J288"/>
    <mergeCell ref="M288:M289"/>
    <mergeCell ref="N271:N272"/>
    <mergeCell ref="A277:E277"/>
    <mergeCell ref="A280:A281"/>
    <mergeCell ref="B280:B281"/>
    <mergeCell ref="C280:E280"/>
    <mergeCell ref="I280:J280"/>
    <mergeCell ref="M280:M281"/>
    <mergeCell ref="N280:N281"/>
    <mergeCell ref="A302:E302"/>
    <mergeCell ref="A305:A306"/>
    <mergeCell ref="B305:B306"/>
    <mergeCell ref="C305:E305"/>
    <mergeCell ref="I305:J305"/>
    <mergeCell ref="M305:M306"/>
    <mergeCell ref="N288:N289"/>
    <mergeCell ref="A294:E294"/>
    <mergeCell ref="A295:N295"/>
    <mergeCell ref="A296:A297"/>
    <mergeCell ref="B296:B297"/>
    <mergeCell ref="C296:E296"/>
    <mergeCell ref="I296:J296"/>
    <mergeCell ref="M296:M297"/>
    <mergeCell ref="N296:N297"/>
    <mergeCell ref="A317:N317"/>
    <mergeCell ref="A318:N318"/>
    <mergeCell ref="A319:N319"/>
    <mergeCell ref="A320:N320"/>
    <mergeCell ref="A321:N321"/>
    <mergeCell ref="A322:N322"/>
    <mergeCell ref="N305:N306"/>
    <mergeCell ref="A311:E311"/>
    <mergeCell ref="A312:E312"/>
    <mergeCell ref="A314:N314"/>
    <mergeCell ref="A315:N315"/>
    <mergeCell ref="A316:N316"/>
    <mergeCell ref="K327:L327"/>
    <mergeCell ref="M327:N327"/>
    <mergeCell ref="O327:P327"/>
    <mergeCell ref="A336:B336"/>
    <mergeCell ref="A341:N341"/>
    <mergeCell ref="A342:N342"/>
    <mergeCell ref="A323:N323"/>
    <mergeCell ref="A324:N324"/>
    <mergeCell ref="A325:N325"/>
    <mergeCell ref="A326:N326"/>
    <mergeCell ref="A327:A328"/>
    <mergeCell ref="B327:B328"/>
    <mergeCell ref="C327:D327"/>
    <mergeCell ref="E327:F327"/>
    <mergeCell ref="G327:H327"/>
    <mergeCell ref="I327:J327"/>
    <mergeCell ref="A349:N349"/>
    <mergeCell ref="A351:N351"/>
    <mergeCell ref="A352:M352"/>
    <mergeCell ref="A353:M353"/>
    <mergeCell ref="A354:N354"/>
    <mergeCell ref="A357:N357"/>
    <mergeCell ref="A343:N343"/>
    <mergeCell ref="A344:N344"/>
    <mergeCell ref="A345:N345"/>
    <mergeCell ref="A346:N346"/>
    <mergeCell ref="A347:N347"/>
    <mergeCell ref="A348:N348"/>
    <mergeCell ref="A358:N358"/>
    <mergeCell ref="A360:N360"/>
    <mergeCell ref="A363:N363"/>
    <mergeCell ref="A365:A366"/>
    <mergeCell ref="B365:C365"/>
    <mergeCell ref="D365:D366"/>
    <mergeCell ref="E365:G365"/>
    <mergeCell ref="H365:H366"/>
    <mergeCell ref="I365:I366"/>
    <mergeCell ref="L366:M366"/>
    <mergeCell ref="A371:B372"/>
    <mergeCell ref="L372:M372"/>
    <mergeCell ref="A373:A374"/>
    <mergeCell ref="B373:B374"/>
    <mergeCell ref="L374:M374"/>
    <mergeCell ref="A375:A376"/>
    <mergeCell ref="B375:B376"/>
    <mergeCell ref="L376:M376"/>
    <mergeCell ref="A367:A368"/>
    <mergeCell ref="B367:B368"/>
    <mergeCell ref="L368:M368"/>
    <mergeCell ref="A369:A370"/>
    <mergeCell ref="B369:B370"/>
    <mergeCell ref="L370:M370"/>
    <mergeCell ref="A383:N383"/>
    <mergeCell ref="A384:A385"/>
    <mergeCell ref="B384:C384"/>
    <mergeCell ref="D384:D385"/>
    <mergeCell ref="E384:G384"/>
    <mergeCell ref="H384:H385"/>
    <mergeCell ref="I384:I385"/>
    <mergeCell ref="L385:M385"/>
    <mergeCell ref="B377:B378"/>
    <mergeCell ref="L378:M378"/>
    <mergeCell ref="A379:B380"/>
    <mergeCell ref="L380:M380"/>
    <mergeCell ref="A381:B382"/>
    <mergeCell ref="L382:M382"/>
    <mergeCell ref="A390:B391"/>
    <mergeCell ref="L391:M391"/>
    <mergeCell ref="A392:A393"/>
    <mergeCell ref="B392:B393"/>
    <mergeCell ref="L393:M393"/>
    <mergeCell ref="A394:A395"/>
    <mergeCell ref="B394:B395"/>
    <mergeCell ref="L395:M395"/>
    <mergeCell ref="A386:A387"/>
    <mergeCell ref="B386:B387"/>
    <mergeCell ref="L387:M387"/>
    <mergeCell ref="A388:A389"/>
    <mergeCell ref="B388:B389"/>
    <mergeCell ref="L389:M389"/>
    <mergeCell ref="A415:N415"/>
    <mergeCell ref="J417:N417"/>
    <mergeCell ref="D418:F418"/>
    <mergeCell ref="J418:N418"/>
    <mergeCell ref="A421:B421"/>
    <mergeCell ref="A408:N408"/>
    <mergeCell ref="A409:N409"/>
    <mergeCell ref="A410:N410"/>
    <mergeCell ref="A411:N411"/>
    <mergeCell ref="A412:N412"/>
    <mergeCell ref="A414:N414"/>
    <mergeCell ref="A402:N402"/>
    <mergeCell ref="A403:N403"/>
    <mergeCell ref="A404:N404"/>
    <mergeCell ref="A405:N405"/>
    <mergeCell ref="A406:N406"/>
    <mergeCell ref="A407:N407"/>
    <mergeCell ref="B396:B397"/>
    <mergeCell ref="L397:M397"/>
    <mergeCell ref="A398:B399"/>
    <mergeCell ref="L399:M399"/>
    <mergeCell ref="A400:B401"/>
    <mergeCell ref="L401:M401"/>
  </mergeCells>
  <pageMargins left="0.7" right="0.7" top="0.75" bottom="0.75" header="0.3" footer="0.3"/>
  <pageSetup paperSize="9" orientation="portrait" horizontalDpi="0" verticalDpi="0"/>
  <drawing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13F61-E8C7-7E4D-B8AE-221A6ED077B8}">
  <dimension ref="A1:U424"/>
  <sheetViews>
    <sheetView topLeftCell="A337" zoomScale="190" zoomScaleNormal="190" workbookViewId="0">
      <selection activeCell="A362" sqref="A362:N363"/>
    </sheetView>
  </sheetViews>
  <sheetFormatPr baseColWidth="10" defaultColWidth="8.6640625" defaultRowHeight="14" x14ac:dyDescent="0.2"/>
  <cols>
    <col min="1" max="1" width="6.5" style="4" customWidth="1"/>
    <col min="2" max="2" width="12" style="4" customWidth="1"/>
    <col min="3" max="3" width="7.5" style="4" customWidth="1"/>
    <col min="4" max="4" width="10.1640625" style="4" customWidth="1"/>
    <col min="5" max="6" width="10.1640625" style="93" customWidth="1"/>
    <col min="7" max="7" width="11.1640625" style="4" customWidth="1"/>
    <col min="8" max="8" width="13.1640625" style="395" customWidth="1"/>
    <col min="9" max="9" width="10.6640625" style="452" customWidth="1"/>
    <col min="10" max="10" width="11" style="356" customWidth="1"/>
    <col min="11" max="11" width="8.1640625" style="356" customWidth="1"/>
    <col min="12" max="12" width="7.6640625" style="4" customWidth="1"/>
    <col min="13" max="13" width="8" style="4" customWidth="1"/>
    <col min="14" max="14" width="9.83203125" style="272" customWidth="1"/>
    <col min="15" max="15" width="9" style="4" bestFit="1" customWidth="1"/>
    <col min="16" max="20" width="8.6640625" style="4"/>
    <col min="21" max="21" width="9" style="4" bestFit="1" customWidth="1"/>
    <col min="22" max="16384" width="8.6640625" style="4"/>
  </cols>
  <sheetData>
    <row r="1" spans="1:21" s="1" customFormat="1" ht="21" customHeight="1" x14ac:dyDescent="0.2">
      <c r="A1" s="2995" t="s">
        <v>0</v>
      </c>
      <c r="B1" s="2996"/>
      <c r="C1" s="2996"/>
      <c r="D1" s="2996"/>
      <c r="E1" s="2996"/>
      <c r="F1" s="2996"/>
      <c r="G1" s="2996"/>
      <c r="H1" s="2996"/>
      <c r="I1" s="2996"/>
      <c r="J1" s="2996"/>
      <c r="K1" s="2996"/>
      <c r="L1" s="2996"/>
      <c r="M1" s="2996"/>
      <c r="N1" s="2997"/>
    </row>
    <row r="2" spans="1:21" s="1" customFormat="1" ht="21" customHeight="1" x14ac:dyDescent="0.2">
      <c r="A2" s="2998" t="s">
        <v>1</v>
      </c>
      <c r="B2" s="2532"/>
      <c r="C2" s="2532"/>
      <c r="D2" s="2532"/>
      <c r="E2" s="2532"/>
      <c r="F2" s="2532"/>
      <c r="G2" s="2532"/>
      <c r="H2" s="2532"/>
      <c r="I2" s="2532"/>
      <c r="J2" s="2532"/>
      <c r="K2" s="2532"/>
      <c r="L2" s="2532"/>
      <c r="M2" s="2532"/>
      <c r="N2" s="2999"/>
    </row>
    <row r="3" spans="1:21" s="1" customFormat="1" ht="21" customHeight="1" thickBot="1" x14ac:dyDescent="0.25">
      <c r="A3" s="3000" t="s">
        <v>2</v>
      </c>
      <c r="B3" s="3001"/>
      <c r="C3" s="3001"/>
      <c r="D3" s="3001"/>
      <c r="E3" s="3001"/>
      <c r="F3" s="3001"/>
      <c r="G3" s="3001"/>
      <c r="H3" s="3001"/>
      <c r="I3" s="3001"/>
      <c r="J3" s="3001"/>
      <c r="K3" s="3001"/>
      <c r="L3" s="3001"/>
      <c r="M3" s="3001"/>
      <c r="N3" s="3002"/>
    </row>
    <row r="4" spans="1:21" ht="25" customHeight="1" x14ac:dyDescent="0.2">
      <c r="A4" s="3550" t="s">
        <v>1069</v>
      </c>
      <c r="B4" s="3550"/>
      <c r="C4" s="3550"/>
      <c r="D4" s="3550"/>
      <c r="E4" s="3550"/>
      <c r="F4" s="3550"/>
      <c r="G4" s="3550"/>
      <c r="H4" s="3550"/>
      <c r="I4" s="3550"/>
      <c r="J4" s="3550"/>
      <c r="K4" s="3550"/>
      <c r="L4" s="3550"/>
      <c r="M4" s="3550"/>
      <c r="N4" s="3550"/>
    </row>
    <row r="5" spans="1:21" s="1" customFormat="1" ht="23" customHeight="1" thickBot="1" x14ac:dyDescent="0.25">
      <c r="A5" s="2475" t="s">
        <v>507</v>
      </c>
      <c r="B5" s="2475"/>
      <c r="C5" s="2475"/>
      <c r="D5" s="2475"/>
      <c r="E5" s="2475"/>
      <c r="F5" s="2475"/>
      <c r="G5" s="2475"/>
      <c r="H5" s="2475"/>
      <c r="I5" s="2475"/>
      <c r="J5" s="2475"/>
      <c r="K5" s="2475"/>
      <c r="L5" s="2475"/>
      <c r="M5" s="2475"/>
      <c r="N5" s="2475"/>
    </row>
    <row r="6" spans="1:21" s="71" customFormat="1" ht="33" customHeight="1" x14ac:dyDescent="0.2">
      <c r="A6" s="3551" t="s">
        <v>5</v>
      </c>
      <c r="B6" s="2817" t="s">
        <v>6</v>
      </c>
      <c r="C6" s="2817"/>
      <c r="D6" s="2817" t="s">
        <v>7</v>
      </c>
      <c r="E6" s="2817" t="s">
        <v>8</v>
      </c>
      <c r="F6" s="2817"/>
      <c r="G6" s="2817"/>
      <c r="H6" s="3038" t="s">
        <v>9</v>
      </c>
      <c r="I6" s="2817" t="s">
        <v>10</v>
      </c>
      <c r="J6" s="6" t="s">
        <v>11</v>
      </c>
      <c r="K6" s="6" t="s">
        <v>12</v>
      </c>
      <c r="L6" s="6" t="s">
        <v>13</v>
      </c>
      <c r="M6" s="6" t="s">
        <v>14</v>
      </c>
      <c r="N6" s="1767" t="s">
        <v>15</v>
      </c>
    </row>
    <row r="7" spans="1:21" s="71" customFormat="1" ht="33" customHeight="1" x14ac:dyDescent="0.2">
      <c r="A7" s="3552"/>
      <c r="B7" s="8" t="s">
        <v>16</v>
      </c>
      <c r="C7" s="8" t="s">
        <v>17</v>
      </c>
      <c r="D7" s="2602"/>
      <c r="E7" s="10" t="s">
        <v>18</v>
      </c>
      <c r="F7" s="10" t="s">
        <v>19</v>
      </c>
      <c r="G7" s="8" t="s">
        <v>20</v>
      </c>
      <c r="H7" s="3039"/>
      <c r="I7" s="2602"/>
      <c r="J7" s="8" t="s">
        <v>21</v>
      </c>
      <c r="K7" s="8" t="s">
        <v>22</v>
      </c>
      <c r="L7" s="2602" t="s">
        <v>22</v>
      </c>
      <c r="M7" s="2602"/>
      <c r="N7" s="1768" t="s">
        <v>23</v>
      </c>
      <c r="U7" s="1109"/>
    </row>
    <row r="8" spans="1:21" s="1" customFormat="1" ht="21" customHeight="1" x14ac:dyDescent="0.2">
      <c r="A8" s="3552"/>
      <c r="B8" s="2551" t="s">
        <v>24</v>
      </c>
      <c r="C8" s="12" t="s">
        <v>21</v>
      </c>
      <c r="D8" s="848">
        <f>I8*J8*100/K9</f>
        <v>487459.18367346941</v>
      </c>
      <c r="E8" s="848">
        <f>E9*$H$8/100</f>
        <v>425161.9</v>
      </c>
      <c r="F8" s="848">
        <f>F9*$H$8/100</f>
        <v>28662.6</v>
      </c>
      <c r="G8" s="848">
        <f>G9*$H$8/100</f>
        <v>23885.5</v>
      </c>
      <c r="H8" s="849">
        <f>I8*J8</f>
        <v>477710</v>
      </c>
      <c r="I8" s="574">
        <v>31</v>
      </c>
      <c r="J8" s="575">
        <v>15410</v>
      </c>
      <c r="K8" s="348"/>
      <c r="L8" s="28"/>
      <c r="M8" s="28"/>
      <c r="N8" s="952">
        <v>40</v>
      </c>
      <c r="U8" s="1109"/>
    </row>
    <row r="9" spans="1:21" s="1" customFormat="1" ht="21" customHeight="1" x14ac:dyDescent="0.2">
      <c r="A9" s="3552"/>
      <c r="B9" s="2551"/>
      <c r="C9" s="577" t="s">
        <v>22</v>
      </c>
      <c r="D9" s="578"/>
      <c r="E9" s="578">
        <v>89</v>
      </c>
      <c r="F9" s="578">
        <v>6</v>
      </c>
      <c r="G9" s="578">
        <v>5</v>
      </c>
      <c r="H9" s="1132">
        <f>SUM(E9:G9)</f>
        <v>100</v>
      </c>
      <c r="I9" s="580"/>
      <c r="J9" s="581"/>
      <c r="K9" s="365">
        <v>98</v>
      </c>
      <c r="L9" s="3548">
        <f>100-K9</f>
        <v>2</v>
      </c>
      <c r="M9" s="3548"/>
      <c r="N9" s="952"/>
      <c r="U9" s="1109"/>
    </row>
    <row r="10" spans="1:21" s="1" customFormat="1" ht="21" customHeight="1" x14ac:dyDescent="0.2">
      <c r="A10" s="3552"/>
      <c r="B10" s="2551" t="s">
        <v>1070</v>
      </c>
      <c r="C10" s="12" t="s">
        <v>21</v>
      </c>
      <c r="D10" s="853">
        <v>499152</v>
      </c>
      <c r="E10" s="895">
        <v>440968.32</v>
      </c>
      <c r="F10" s="895">
        <v>20923.2</v>
      </c>
      <c r="G10" s="895">
        <v>25848</v>
      </c>
      <c r="H10" s="849">
        <f>SUM(E10:G10)</f>
        <v>487739.52</v>
      </c>
      <c r="I10" s="574">
        <v>31</v>
      </c>
      <c r="J10" s="575">
        <f>+H10/I10</f>
        <v>15733.532903225807</v>
      </c>
      <c r="K10" s="584"/>
      <c r="L10" s="73">
        <v>1846.08</v>
      </c>
      <c r="M10" s="73">
        <v>2142.7199999999998</v>
      </c>
      <c r="N10" s="1769">
        <v>25</v>
      </c>
      <c r="U10" s="1109"/>
    </row>
    <row r="11" spans="1:21" s="1" customFormat="1" ht="21" customHeight="1" x14ac:dyDescent="0.2">
      <c r="A11" s="3552"/>
      <c r="B11" s="2551"/>
      <c r="C11" s="577" t="s">
        <v>22</v>
      </c>
      <c r="D11" s="578"/>
      <c r="E11" s="578">
        <f>+E10/H10*100</f>
        <v>90.410619176399734</v>
      </c>
      <c r="F11" s="578">
        <f>+F10/H10*100</f>
        <v>4.2898307686857118</v>
      </c>
      <c r="G11" s="578">
        <f>+G10/H10*100</f>
        <v>5.2995500549145573</v>
      </c>
      <c r="H11" s="1132">
        <f>SUM(E11:G11)</f>
        <v>100.00000000000001</v>
      </c>
      <c r="I11" s="580"/>
      <c r="J11" s="581"/>
      <c r="K11" s="365">
        <f>(H10/D10)*100</f>
        <v>97.713626310222139</v>
      </c>
      <c r="L11" s="3549">
        <f>100-K11</f>
        <v>2.2863736897778608</v>
      </c>
      <c r="M11" s="3549"/>
      <c r="N11" s="910"/>
      <c r="U11" s="1111"/>
    </row>
    <row r="12" spans="1:21" s="1" customFormat="1" ht="21" customHeight="1" x14ac:dyDescent="0.2">
      <c r="A12" s="3552"/>
      <c r="B12" s="2792" t="s">
        <v>83</v>
      </c>
      <c r="C12" s="606" t="s">
        <v>21</v>
      </c>
      <c r="D12" s="709">
        <f t="shared" ref="D12:J13" si="0">D10-D8</f>
        <v>11692.816326530592</v>
      </c>
      <c r="E12" s="709">
        <f t="shared" si="0"/>
        <v>15806.419999999984</v>
      </c>
      <c r="F12" s="709">
        <f t="shared" si="0"/>
        <v>-7739.3999999999978</v>
      </c>
      <c r="G12" s="709">
        <f t="shared" si="0"/>
        <v>1962.5</v>
      </c>
      <c r="H12" s="709">
        <f t="shared" si="0"/>
        <v>10029.520000000019</v>
      </c>
      <c r="I12" s="600">
        <f t="shared" si="0"/>
        <v>0</v>
      </c>
      <c r="J12" s="709">
        <f t="shared" si="0"/>
        <v>323.53290322580688</v>
      </c>
      <c r="K12" s="944"/>
      <c r="L12" s="3543"/>
      <c r="M12" s="3543"/>
      <c r="N12" s="955"/>
    </row>
    <row r="13" spans="1:21" s="1" customFormat="1" ht="21" customHeight="1" thickBot="1" x14ac:dyDescent="0.25">
      <c r="A13" s="3553"/>
      <c r="B13" s="3554"/>
      <c r="C13" s="711" t="s">
        <v>22</v>
      </c>
      <c r="D13" s="712"/>
      <c r="E13" s="712">
        <f>E11-E9</f>
        <v>1.4106191763997344</v>
      </c>
      <c r="F13" s="712">
        <f t="shared" si="0"/>
        <v>-1.7101692313142882</v>
      </c>
      <c r="G13" s="712">
        <f t="shared" si="0"/>
        <v>0.29955005491455733</v>
      </c>
      <c r="H13" s="712">
        <f t="shared" si="0"/>
        <v>0</v>
      </c>
      <c r="I13" s="713"/>
      <c r="J13" s="714"/>
      <c r="K13" s="715"/>
      <c r="L13" s="716"/>
      <c r="M13" s="716"/>
      <c r="N13" s="717"/>
      <c r="U13" s="1111"/>
    </row>
    <row r="14" spans="1:21" s="273" customFormat="1" ht="25" hidden="1" customHeight="1" x14ac:dyDescent="0.2">
      <c r="A14" s="3041" t="s">
        <v>25</v>
      </c>
      <c r="B14" s="3545" t="s">
        <v>27</v>
      </c>
      <c r="C14" s="592" t="s">
        <v>21</v>
      </c>
      <c r="D14" s="596"/>
      <c r="E14" s="596">
        <f>E15*$H$14/100</f>
        <v>0</v>
      </c>
      <c r="F14" s="596">
        <f>F15*$H$14/100</f>
        <v>0</v>
      </c>
      <c r="G14" s="596">
        <f>G15*$H$14/100</f>
        <v>0</v>
      </c>
      <c r="H14" s="943">
        <f>I14*J14</f>
        <v>0</v>
      </c>
      <c r="I14" s="595"/>
      <c r="J14" s="596"/>
      <c r="K14" s="596"/>
      <c r="L14" s="597"/>
      <c r="M14" s="597"/>
      <c r="N14" s="597">
        <v>100</v>
      </c>
      <c r="P14" s="1"/>
      <c r="Q14" s="1"/>
      <c r="R14" s="1"/>
      <c r="S14" s="1"/>
      <c r="T14" s="1"/>
      <c r="U14" s="1110"/>
    </row>
    <row r="15" spans="1:21" s="1" customFormat="1" ht="25" hidden="1" customHeight="1" x14ac:dyDescent="0.2">
      <c r="A15" s="3116"/>
      <c r="B15" s="2927"/>
      <c r="C15" s="17" t="s">
        <v>22</v>
      </c>
      <c r="D15" s="23"/>
      <c r="E15" s="378"/>
      <c r="F15" s="379"/>
      <c r="G15" s="379"/>
      <c r="H15" s="1088">
        <f>SUM(E15:G15)</f>
        <v>0</v>
      </c>
      <c r="I15" s="430"/>
      <c r="J15" s="380"/>
      <c r="K15" s="365"/>
      <c r="L15" s="3546">
        <f>100-K15</f>
        <v>100</v>
      </c>
      <c r="M15" s="3546"/>
      <c r="N15" s="381"/>
      <c r="U15" s="1111"/>
    </row>
    <row r="16" spans="1:21" s="1" customFormat="1" ht="25" hidden="1" customHeight="1" x14ac:dyDescent="0.2">
      <c r="A16" s="3116"/>
      <c r="B16" s="2927" t="s">
        <v>1071</v>
      </c>
      <c r="C16" s="17" t="s">
        <v>21</v>
      </c>
      <c r="D16" s="845"/>
      <c r="E16" s="839"/>
      <c r="F16" s="840">
        <v>0</v>
      </c>
      <c r="G16" s="840"/>
      <c r="H16" s="836">
        <f>SUM(E16:G16)</f>
        <v>0</v>
      </c>
      <c r="I16" s="431"/>
      <c r="J16" s="21" t="e">
        <f>+H16/I16</f>
        <v>#DIV/0!</v>
      </c>
      <c r="K16" s="17"/>
      <c r="L16" s="1084"/>
      <c r="M16" s="1084"/>
      <c r="N16" s="970"/>
    </row>
    <row r="17" spans="1:14" s="1" customFormat="1" ht="25" hidden="1" customHeight="1" x14ac:dyDescent="0.2">
      <c r="A17" s="3116"/>
      <c r="B17" s="2927"/>
      <c r="C17" s="17" t="s">
        <v>22</v>
      </c>
      <c r="D17" s="23"/>
      <c r="E17" s="378" t="e">
        <f>+E16/$H$16*100</f>
        <v>#DIV/0!</v>
      </c>
      <c r="F17" s="378" t="e">
        <f>+F16/$H$16*100</f>
        <v>#DIV/0!</v>
      </c>
      <c r="G17" s="378" t="e">
        <f>+G16/$H$16*100</f>
        <v>#DIV/0!</v>
      </c>
      <c r="H17" s="1088" t="e">
        <f>SUM(E17:G17)</f>
        <v>#DIV/0!</v>
      </c>
      <c r="I17" s="431"/>
      <c r="J17" s="21"/>
      <c r="K17" s="365" t="e">
        <f>H16/D16*100</f>
        <v>#DIV/0!</v>
      </c>
      <c r="L17" s="3547" t="e">
        <f>100-K17</f>
        <v>#DIV/0!</v>
      </c>
      <c r="M17" s="3547"/>
      <c r="N17" s="381"/>
    </row>
    <row r="18" spans="1:14" s="1" customFormat="1" ht="25" hidden="1" customHeight="1" x14ac:dyDescent="0.2">
      <c r="A18" s="3116"/>
      <c r="B18" s="2792" t="s">
        <v>83</v>
      </c>
      <c r="C18" s="606" t="s">
        <v>21</v>
      </c>
      <c r="D18" s="709">
        <f t="shared" ref="D18:J19" si="1">D16-D14</f>
        <v>0</v>
      </c>
      <c r="E18" s="709">
        <f t="shared" si="1"/>
        <v>0</v>
      </c>
      <c r="F18" s="709">
        <f t="shared" si="1"/>
        <v>0</v>
      </c>
      <c r="G18" s="709">
        <f t="shared" si="1"/>
        <v>0</v>
      </c>
      <c r="H18" s="709">
        <f t="shared" si="1"/>
        <v>0</v>
      </c>
      <c r="I18" s="600">
        <f t="shared" si="1"/>
        <v>0</v>
      </c>
      <c r="J18" s="709" t="e">
        <f t="shared" si="1"/>
        <v>#DIV/0!</v>
      </c>
      <c r="K18" s="944"/>
      <c r="L18" s="3543"/>
      <c r="M18" s="3543"/>
      <c r="N18" s="709"/>
    </row>
    <row r="19" spans="1:14" s="1" customFormat="1" ht="25" hidden="1" customHeight="1" x14ac:dyDescent="0.2">
      <c r="A19" s="3116"/>
      <c r="B19" s="3370"/>
      <c r="C19" s="599" t="s">
        <v>22</v>
      </c>
      <c r="D19" s="600"/>
      <c r="E19" s="600" t="e">
        <f>E17-E15</f>
        <v>#DIV/0!</v>
      </c>
      <c r="F19" s="600" t="e">
        <f t="shared" si="1"/>
        <v>#DIV/0!</v>
      </c>
      <c r="G19" s="600" t="e">
        <f t="shared" si="1"/>
        <v>#DIV/0!</v>
      </c>
      <c r="H19" s="600" t="e">
        <f t="shared" si="1"/>
        <v>#DIV/0!</v>
      </c>
      <c r="I19" s="601"/>
      <c r="J19" s="602"/>
      <c r="K19" s="603"/>
      <c r="L19" s="604"/>
      <c r="M19" s="604"/>
      <c r="N19" s="605"/>
    </row>
    <row r="20" spans="1:14" s="1" customFormat="1" ht="25" customHeight="1" x14ac:dyDescent="0.2">
      <c r="A20" s="3116"/>
      <c r="B20" s="2927" t="s">
        <v>724</v>
      </c>
      <c r="C20" s="17" t="s">
        <v>21</v>
      </c>
      <c r="D20" s="848">
        <f>I20*J20*100/K21</f>
        <v>158653.06122448979</v>
      </c>
      <c r="E20" s="21">
        <f>E21*$H$20/100</f>
        <v>138377.20000000001</v>
      </c>
      <c r="F20" s="21">
        <f>F21*$H$20/100</f>
        <v>7774</v>
      </c>
      <c r="G20" s="21">
        <f>G21*$H$20/100</f>
        <v>9328.7999999999993</v>
      </c>
      <c r="H20" s="836">
        <f>I20*J20</f>
        <v>155480</v>
      </c>
      <c r="I20" s="2349">
        <v>13</v>
      </c>
      <c r="J20" s="2350">
        <v>11960</v>
      </c>
      <c r="K20" s="21"/>
      <c r="L20" s="381"/>
      <c r="M20" s="381"/>
      <c r="N20" s="381">
        <v>100</v>
      </c>
    </row>
    <row r="21" spans="1:14" s="1" customFormat="1" ht="25" customHeight="1" x14ac:dyDescent="0.2">
      <c r="A21" s="3116"/>
      <c r="B21" s="2927"/>
      <c r="C21" s="17" t="s">
        <v>22</v>
      </c>
      <c r="D21" s="23"/>
      <c r="E21" s="378">
        <v>89</v>
      </c>
      <c r="F21" s="379">
        <v>5</v>
      </c>
      <c r="G21" s="379">
        <v>6</v>
      </c>
      <c r="H21" s="1088">
        <f>SUM(E21:G21)</f>
        <v>100</v>
      </c>
      <c r="I21" s="430"/>
      <c r="J21" s="380"/>
      <c r="K21" s="365">
        <v>98</v>
      </c>
      <c r="L21" s="3546">
        <v>2</v>
      </c>
      <c r="M21" s="3546"/>
      <c r="N21" s="381"/>
    </row>
    <row r="22" spans="1:14" s="1" customFormat="1" ht="25" customHeight="1" x14ac:dyDescent="0.2">
      <c r="A22" s="3116"/>
      <c r="B22" s="2927" t="s">
        <v>1072</v>
      </c>
      <c r="C22" s="17" t="s">
        <v>21</v>
      </c>
      <c r="D22" s="1423">
        <v>162792</v>
      </c>
      <c r="E22" s="23">
        <v>152026.20000000001</v>
      </c>
      <c r="F22" s="1447"/>
      <c r="G22" s="1447">
        <v>8324.64</v>
      </c>
      <c r="H22" s="836">
        <f>SUM(E22:G22)</f>
        <v>160350.84000000003</v>
      </c>
      <c r="I22" s="431">
        <v>13</v>
      </c>
      <c r="J22" s="21">
        <f>+H22/I22</f>
        <v>12334.680000000002</v>
      </c>
      <c r="K22" s="17"/>
      <c r="L22" s="432">
        <v>824.4</v>
      </c>
      <c r="M22" s="1084">
        <v>1238.76</v>
      </c>
      <c r="N22" s="381">
        <v>134</v>
      </c>
    </row>
    <row r="23" spans="1:14" s="1" customFormat="1" ht="25" customHeight="1" x14ac:dyDescent="0.2">
      <c r="A23" s="3116"/>
      <c r="B23" s="2927"/>
      <c r="C23" s="17" t="s">
        <v>22</v>
      </c>
      <c r="D23" s="23"/>
      <c r="E23" s="378">
        <f>+E22/$H$22*100</f>
        <v>94.80848369737258</v>
      </c>
      <c r="F23" s="378">
        <f>+F22/$H$22*100</f>
        <v>0</v>
      </c>
      <c r="G23" s="378">
        <f>+G22/$H$22*100</f>
        <v>5.191516302627412</v>
      </c>
      <c r="H23" s="1088">
        <f>SUM(E23:G23)</f>
        <v>99.999999999999986</v>
      </c>
      <c r="I23" s="431"/>
      <c r="J23" s="21"/>
      <c r="K23" s="365">
        <f>H22/D22*100</f>
        <v>98.500442282176053</v>
      </c>
      <c r="L23" s="1778">
        <f>100-K23</f>
        <v>1.4995577178239472</v>
      </c>
      <c r="M23" s="1778"/>
      <c r="N23" s="381"/>
    </row>
    <row r="24" spans="1:14" s="1" customFormat="1" ht="25" customHeight="1" x14ac:dyDescent="0.2">
      <c r="A24" s="3116"/>
      <c r="B24" s="2792" t="s">
        <v>83</v>
      </c>
      <c r="C24" s="606" t="s">
        <v>21</v>
      </c>
      <c r="D24" s="709">
        <f t="shared" ref="D24:J25" si="2">D22-D20</f>
        <v>4138.9387755102071</v>
      </c>
      <c r="E24" s="709">
        <f t="shared" si="2"/>
        <v>13649</v>
      </c>
      <c r="F24" s="709">
        <f t="shared" si="2"/>
        <v>-7774</v>
      </c>
      <c r="G24" s="709">
        <f t="shared" si="2"/>
        <v>-1004.1599999999999</v>
      </c>
      <c r="H24" s="709">
        <f t="shared" si="2"/>
        <v>4870.8400000000256</v>
      </c>
      <c r="I24" s="600">
        <f t="shared" si="2"/>
        <v>0</v>
      </c>
      <c r="J24" s="709">
        <f t="shared" si="2"/>
        <v>374.68000000000211</v>
      </c>
      <c r="K24" s="944"/>
      <c r="L24" s="3543"/>
      <c r="M24" s="3543"/>
      <c r="N24" s="709"/>
    </row>
    <row r="25" spans="1:14" s="1" customFormat="1" ht="25" customHeight="1" x14ac:dyDescent="0.2">
      <c r="A25" s="3116"/>
      <c r="B25" s="3370"/>
      <c r="C25" s="599" t="s">
        <v>22</v>
      </c>
      <c r="D25" s="709"/>
      <c r="E25" s="600">
        <f>E23-E21</f>
        <v>5.80848369737258</v>
      </c>
      <c r="F25" s="600">
        <f t="shared" si="2"/>
        <v>-5</v>
      </c>
      <c r="G25" s="600">
        <f t="shared" si="2"/>
        <v>-0.80848369737258796</v>
      </c>
      <c r="H25" s="600">
        <f t="shared" si="2"/>
        <v>0</v>
      </c>
      <c r="I25" s="601"/>
      <c r="J25" s="602"/>
      <c r="K25" s="603"/>
      <c r="L25" s="604"/>
      <c r="M25" s="604"/>
      <c r="N25" s="605"/>
    </row>
    <row r="26" spans="1:14" s="1" customFormat="1" ht="25" customHeight="1" x14ac:dyDescent="0.2">
      <c r="A26" s="3116" t="s">
        <v>25</v>
      </c>
      <c r="B26" s="2927" t="s">
        <v>27</v>
      </c>
      <c r="C26" s="17" t="s">
        <v>21</v>
      </c>
      <c r="D26" s="21">
        <f>H26*100/K27</f>
        <v>220142.85714285713</v>
      </c>
      <c r="E26" s="21">
        <f>E27*$H$26/100</f>
        <v>202795.6</v>
      </c>
      <c r="F26" s="21">
        <f>F27*$H$26/100</f>
        <v>6472.2</v>
      </c>
      <c r="G26" s="21">
        <f>G27*$H$26/100</f>
        <v>6472.2</v>
      </c>
      <c r="H26" s="836">
        <f>I26*J26</f>
        <v>215740</v>
      </c>
      <c r="I26" s="18">
        <v>17.5</v>
      </c>
      <c r="J26" s="1085">
        <v>12328</v>
      </c>
      <c r="K26" s="21"/>
      <c r="L26" s="381"/>
      <c r="M26" s="381"/>
      <c r="N26" s="381">
        <v>100</v>
      </c>
    </row>
    <row r="27" spans="1:14" s="1" customFormat="1" ht="25" customHeight="1" x14ac:dyDescent="0.2">
      <c r="A27" s="3116"/>
      <c r="B27" s="2927"/>
      <c r="C27" s="17" t="s">
        <v>22</v>
      </c>
      <c r="D27" s="23"/>
      <c r="E27" s="378">
        <v>94</v>
      </c>
      <c r="F27" s="379">
        <v>3</v>
      </c>
      <c r="G27" s="379">
        <v>3</v>
      </c>
      <c r="H27" s="1088">
        <f>SUM(E27:G27)</f>
        <v>100</v>
      </c>
      <c r="I27" s="430"/>
      <c r="J27" s="380"/>
      <c r="K27" s="365">
        <v>98</v>
      </c>
      <c r="L27" s="3544">
        <f>100-K27</f>
        <v>2</v>
      </c>
      <c r="M27" s="3544"/>
      <c r="N27" s="381"/>
    </row>
    <row r="28" spans="1:14" s="1" customFormat="1" ht="25" customHeight="1" x14ac:dyDescent="0.2">
      <c r="A28" s="3116"/>
      <c r="B28" s="2927" t="s">
        <v>1071</v>
      </c>
      <c r="C28" s="17" t="s">
        <v>21</v>
      </c>
      <c r="D28" s="845">
        <v>242748</v>
      </c>
      <c r="E28" s="839">
        <v>227370</v>
      </c>
      <c r="F28" s="840">
        <v>4128</v>
      </c>
      <c r="G28" s="840">
        <v>6562.5</v>
      </c>
      <c r="H28" s="836">
        <f>SUM(E28:G28)</f>
        <v>238060.5</v>
      </c>
      <c r="I28" s="431">
        <v>17.5</v>
      </c>
      <c r="J28" s="21">
        <f>+H28/I28</f>
        <v>13603.457142857143</v>
      </c>
      <c r="K28" s="17"/>
      <c r="L28" s="1084">
        <v>1044</v>
      </c>
      <c r="M28" s="1084">
        <v>1068.25</v>
      </c>
      <c r="N28" s="970">
        <v>159</v>
      </c>
    </row>
    <row r="29" spans="1:14" s="1" customFormat="1" ht="25" customHeight="1" x14ac:dyDescent="0.2">
      <c r="A29" s="3116"/>
      <c r="B29" s="2927"/>
      <c r="C29" s="17" t="s">
        <v>22</v>
      </c>
      <c r="D29" s="23"/>
      <c r="E29" s="378">
        <f>+E28/$H$28*100</f>
        <v>95.50933481194906</v>
      </c>
      <c r="F29" s="378">
        <f>+F28/$H$28*100</f>
        <v>1.7340129924956051</v>
      </c>
      <c r="G29" s="378">
        <f>+G28/$H$28*100</f>
        <v>2.7566521955553314</v>
      </c>
      <c r="H29" s="1088">
        <f>SUM(E29:G29)</f>
        <v>100</v>
      </c>
      <c r="I29" s="431"/>
      <c r="J29" s="21"/>
      <c r="K29" s="365">
        <f>H28/D28*100</f>
        <v>98.06898512037175</v>
      </c>
      <c r="L29" s="3544">
        <f>100-K29</f>
        <v>1.9310148796282505</v>
      </c>
      <c r="M29" s="3544"/>
      <c r="N29" s="381"/>
    </row>
    <row r="30" spans="1:14" s="1" customFormat="1" ht="25" customHeight="1" x14ac:dyDescent="0.2">
      <c r="A30" s="3116"/>
      <c r="B30" s="2792" t="s">
        <v>83</v>
      </c>
      <c r="C30" s="606" t="s">
        <v>21</v>
      </c>
      <c r="D30" s="709">
        <f t="shared" ref="D30:J31" si="3">D28-D26</f>
        <v>22605.14285714287</v>
      </c>
      <c r="E30" s="709">
        <f t="shared" si="3"/>
        <v>24574.399999999994</v>
      </c>
      <c r="F30" s="709">
        <f t="shared" si="3"/>
        <v>-2344.1999999999998</v>
      </c>
      <c r="G30" s="709">
        <f t="shared" si="3"/>
        <v>90.300000000000182</v>
      </c>
      <c r="H30" s="709">
        <f t="shared" si="3"/>
        <v>22320.5</v>
      </c>
      <c r="I30" s="600">
        <f t="shared" si="3"/>
        <v>0</v>
      </c>
      <c r="J30" s="709">
        <f t="shared" si="3"/>
        <v>1275.4571428571435</v>
      </c>
      <c r="K30" s="944"/>
      <c r="L30" s="3543"/>
      <c r="M30" s="3543"/>
      <c r="N30" s="709"/>
    </row>
    <row r="31" spans="1:14" s="1" customFormat="1" ht="25" customHeight="1" x14ac:dyDescent="0.2">
      <c r="A31" s="3116"/>
      <c r="B31" s="3370"/>
      <c r="C31" s="599" t="s">
        <v>22</v>
      </c>
      <c r="D31" s="600"/>
      <c r="E31" s="600">
        <f>E29-E27</f>
        <v>1.5093348119490599</v>
      </c>
      <c r="F31" s="600">
        <f t="shared" si="3"/>
        <v>-1.2659870075043949</v>
      </c>
      <c r="G31" s="600">
        <f t="shared" si="3"/>
        <v>-0.24334780444466864</v>
      </c>
      <c r="H31" s="600">
        <f t="shared" si="3"/>
        <v>0</v>
      </c>
      <c r="I31" s="601"/>
      <c r="J31" s="602"/>
      <c r="K31" s="603"/>
      <c r="L31" s="604"/>
      <c r="M31" s="604"/>
      <c r="N31" s="605"/>
    </row>
    <row r="32" spans="1:14" s="1" customFormat="1" ht="42" customHeight="1" x14ac:dyDescent="0.2">
      <c r="A32" s="3419" t="s">
        <v>674</v>
      </c>
      <c r="B32" s="3529" t="s">
        <v>1074</v>
      </c>
      <c r="C32" s="509" t="s">
        <v>21</v>
      </c>
      <c r="D32" s="731" cm="1">
        <f t="array" ref="D32">SUM(SUMIF($B:$B, {"Kế hoạch 50x50";"Kế hoạch 60x60";"Kế hoạch 40x80"}, D:D))</f>
        <v>378795.91836734692</v>
      </c>
      <c r="E32" s="731" cm="1">
        <f t="array" ref="E32">SUM(SUMIF($B:$B, {"Kế hoạch 50x50";"Kế hoạch 60x60";"Kế hoạch 40x80"}, E:E))</f>
        <v>341172.80000000005</v>
      </c>
      <c r="F32" s="731" cm="1">
        <f t="array" ref="F32">SUM(SUMIF($B:$B, {"Kế hoạch 50x50";"Kế hoạch 60x60";"Kế hoạch 40x80"}, F:F))</f>
        <v>14246.2</v>
      </c>
      <c r="G32" s="731" cm="1">
        <f t="array" ref="G32">SUM(SUMIF($B:$B, {"Kế hoạch 50x50";"Kế hoạch 60x60";"Kế hoạch 40x80"}, G:G))</f>
        <v>15801</v>
      </c>
      <c r="H32" s="731">
        <f>SUM(E32:G32)</f>
        <v>371220.00000000006</v>
      </c>
      <c r="I32" s="511">
        <f>I20+I26</f>
        <v>30.5</v>
      </c>
      <c r="J32" s="514">
        <f>H32/I32</f>
        <v>12171.147540983609</v>
      </c>
      <c r="K32" s="515"/>
      <c r="L32" s="516"/>
      <c r="M32" s="516"/>
      <c r="N32" s="1010"/>
    </row>
    <row r="33" spans="1:14" s="1" customFormat="1" ht="42" customHeight="1" x14ac:dyDescent="0.2">
      <c r="A33" s="3419"/>
      <c r="B33" s="3529"/>
      <c r="C33" s="509" t="s">
        <v>22</v>
      </c>
      <c r="D33" s="511"/>
      <c r="E33" s="518">
        <f>E32/$H$32*100</f>
        <v>91.905824039653041</v>
      </c>
      <c r="F33" s="518">
        <f>F32/$H$32*100</f>
        <v>3.8376703841387854</v>
      </c>
      <c r="G33" s="518">
        <f>G32/$H$32*100</f>
        <v>4.2565055762081778</v>
      </c>
      <c r="H33" s="1133">
        <f>SUM(E33:G33)</f>
        <v>100.00000000000001</v>
      </c>
      <c r="I33" s="520"/>
      <c r="J33" s="521"/>
      <c r="K33" s="825">
        <f>H32/D32*100</f>
        <v>98.000000000000014</v>
      </c>
      <c r="L33" s="3540">
        <f>100-K33</f>
        <v>1.9999999999999858</v>
      </c>
      <c r="M33" s="3540"/>
      <c r="N33" s="1011"/>
    </row>
    <row r="34" spans="1:14" s="1" customFormat="1" ht="42" customHeight="1" x14ac:dyDescent="0.2">
      <c r="A34" s="3419"/>
      <c r="B34" s="3529" t="s">
        <v>1075</v>
      </c>
      <c r="C34" s="509" t="s">
        <v>21</v>
      </c>
      <c r="D34" s="731" cm="1">
        <f t="array" ref="D34">SUM(SUMIF($B:$B, {"Thực hiện 50x50";"Thực hiện 60x60";"Thực hiện 40x80"}, D:D))</f>
        <v>405540</v>
      </c>
      <c r="E34" s="731" cm="1">
        <f t="array" ref="E34">SUM(SUMIF($B:$B, {"Thực hiện 50x50";"Thực hiện 60x60";"Thực hiện 40x80"}, E:E))</f>
        <v>379396.2</v>
      </c>
      <c r="F34" s="731" cm="1">
        <f t="array" ref="F34">SUM(SUMIF($B:$B, {"Thực hiện 50x50";"Thực hiện 60x60";"Thực hiện 40x80"}, F:F))</f>
        <v>4128</v>
      </c>
      <c r="G34" s="731" cm="1">
        <f t="array" ref="G34">SUM(SUMIF($B:$B, {"Thực hiện 50x50";"Thực hiện 60x60";"Thực hiện 40x80"}, G:G))</f>
        <v>14887.14</v>
      </c>
      <c r="H34" s="731">
        <f>SUM(E34:G34)</f>
        <v>398411.34</v>
      </c>
      <c r="I34" s="511">
        <f>I22+I28</f>
        <v>30.5</v>
      </c>
      <c r="J34" s="514">
        <f>+H34/I34</f>
        <v>13062.666885245902</v>
      </c>
      <c r="K34" s="1086"/>
      <c r="L34" s="1087"/>
      <c r="M34" s="1087"/>
      <c r="N34" s="1049"/>
    </row>
    <row r="35" spans="1:14" s="1" customFormat="1" ht="42" customHeight="1" x14ac:dyDescent="0.2">
      <c r="A35" s="3419"/>
      <c r="B35" s="3529"/>
      <c r="C35" s="509" t="s">
        <v>22</v>
      </c>
      <c r="D35" s="511"/>
      <c r="E35" s="518">
        <f>+E34/$H$34*100</f>
        <v>95.22725934457587</v>
      </c>
      <c r="F35" s="518">
        <f>+F34/$H$34*100</f>
        <v>1.0361150864832311</v>
      </c>
      <c r="G35" s="518">
        <f>+G34/$H$34*100</f>
        <v>3.7366255689408838</v>
      </c>
      <c r="H35" s="1133">
        <f>SUM(E35:G35)</f>
        <v>99.999999999999986</v>
      </c>
      <c r="I35" s="520"/>
      <c r="J35" s="521"/>
      <c r="K35" s="522">
        <f>+H34/D34*100</f>
        <v>98.242180795975742</v>
      </c>
      <c r="L35" s="3540">
        <f>100-K35</f>
        <v>1.7578192040242584</v>
      </c>
      <c r="M35" s="3540"/>
      <c r="N35" s="1011"/>
    </row>
    <row r="36" spans="1:14" s="1" customFormat="1" ht="42" customHeight="1" x14ac:dyDescent="0.2">
      <c r="A36" s="3419"/>
      <c r="B36" s="2792" t="s">
        <v>83</v>
      </c>
      <c r="C36" s="606" t="s">
        <v>21</v>
      </c>
      <c r="D36" s="838">
        <f>D34-D32</f>
        <v>26744.081632653077</v>
      </c>
      <c r="E36" s="838">
        <f t="shared" ref="E36:K37" si="4">E34-E32</f>
        <v>38223.399999999965</v>
      </c>
      <c r="F36" s="838">
        <f t="shared" si="4"/>
        <v>-10118.200000000001</v>
      </c>
      <c r="G36" s="838">
        <f t="shared" si="4"/>
        <v>-913.86000000000058</v>
      </c>
      <c r="H36" s="838">
        <f t="shared" si="4"/>
        <v>27191.339999999967</v>
      </c>
      <c r="I36" s="622">
        <f t="shared" si="4"/>
        <v>0</v>
      </c>
      <c r="J36" s="838">
        <f t="shared" si="4"/>
        <v>891.51934426229309</v>
      </c>
      <c r="K36" s="838">
        <f t="shared" si="4"/>
        <v>0</v>
      </c>
      <c r="L36" s="3541"/>
      <c r="M36" s="3541"/>
      <c r="N36" s="948"/>
    </row>
    <row r="37" spans="1:14" s="1" customFormat="1" ht="42" customHeight="1" x14ac:dyDescent="0.2">
      <c r="A37" s="3419"/>
      <c r="B37" s="3370"/>
      <c r="C37" s="599" t="s">
        <v>22</v>
      </c>
      <c r="D37" s="622"/>
      <c r="E37" s="600">
        <f>E35-E33</f>
        <v>3.3214353049228293</v>
      </c>
      <c r="F37" s="600">
        <f t="shared" si="4"/>
        <v>-2.801555297655554</v>
      </c>
      <c r="G37" s="600">
        <f t="shared" si="4"/>
        <v>-0.519880007267294</v>
      </c>
      <c r="H37" s="600">
        <f t="shared" si="4"/>
        <v>0</v>
      </c>
      <c r="I37" s="601"/>
      <c r="J37" s="602"/>
      <c r="K37" s="603"/>
      <c r="L37" s="604"/>
      <c r="M37" s="604"/>
      <c r="N37" s="1012"/>
    </row>
    <row r="38" spans="1:14" s="1" customFormat="1" ht="42" customHeight="1" x14ac:dyDescent="0.2">
      <c r="A38" s="3538" t="s">
        <v>28</v>
      </c>
      <c r="B38" s="3470" t="s">
        <v>1076</v>
      </c>
      <c r="C38" s="31" t="s">
        <v>21</v>
      </c>
      <c r="D38" s="842">
        <f t="shared" ref="D38:I38" si="5">D8+D32</f>
        <v>866255.10204081633</v>
      </c>
      <c r="E38" s="842">
        <f t="shared" si="5"/>
        <v>766334.70000000007</v>
      </c>
      <c r="F38" s="842">
        <f t="shared" si="5"/>
        <v>42908.800000000003</v>
      </c>
      <c r="G38" s="842">
        <f t="shared" si="5"/>
        <v>39686.5</v>
      </c>
      <c r="H38" s="842">
        <f t="shared" si="5"/>
        <v>848930</v>
      </c>
      <c r="I38" s="34">
        <f t="shared" si="5"/>
        <v>61.5</v>
      </c>
      <c r="J38" s="359">
        <f>+H38/I38</f>
        <v>13803.739837398374</v>
      </c>
      <c r="K38" s="368"/>
      <c r="L38" s="826"/>
      <c r="M38" s="826"/>
      <c r="N38" s="1056"/>
    </row>
    <row r="39" spans="1:14" s="1" customFormat="1" ht="42" customHeight="1" x14ac:dyDescent="0.2">
      <c r="A39" s="3538"/>
      <c r="B39" s="3470"/>
      <c r="C39" s="31" t="s">
        <v>22</v>
      </c>
      <c r="D39" s="32"/>
      <c r="E39" s="33">
        <f>+E38/H38*100</f>
        <v>90.270658358168532</v>
      </c>
      <c r="F39" s="33">
        <f>+F38/H38*100</f>
        <v>5.0544567867786512</v>
      </c>
      <c r="G39" s="33">
        <f>+G38/H38*100</f>
        <v>4.6748848550528317</v>
      </c>
      <c r="H39" s="1134">
        <v>100</v>
      </c>
      <c r="I39" s="436"/>
      <c r="J39" s="358"/>
      <c r="K39" s="976">
        <f>+H38/D38*100</f>
        <v>98</v>
      </c>
      <c r="L39" s="3033">
        <f>100-K39</f>
        <v>2</v>
      </c>
      <c r="M39" s="3033"/>
      <c r="N39" s="1056"/>
    </row>
    <row r="40" spans="1:14" s="1" customFormat="1" ht="42" customHeight="1" x14ac:dyDescent="0.2">
      <c r="A40" s="3538"/>
      <c r="B40" s="3470" t="s">
        <v>1077</v>
      </c>
      <c r="C40" s="31" t="s">
        <v>21</v>
      </c>
      <c r="D40" s="842">
        <f t="shared" ref="D40:I40" si="6">D10+D34</f>
        <v>904692</v>
      </c>
      <c r="E40" s="842">
        <f t="shared" si="6"/>
        <v>820364.52</v>
      </c>
      <c r="F40" s="842">
        <f t="shared" si="6"/>
        <v>25051.200000000001</v>
      </c>
      <c r="G40" s="842">
        <f t="shared" si="6"/>
        <v>40735.14</v>
      </c>
      <c r="H40" s="842">
        <f t="shared" si="6"/>
        <v>886150.8600000001</v>
      </c>
      <c r="I40" s="34">
        <f t="shared" si="6"/>
        <v>61.5</v>
      </c>
      <c r="J40" s="359">
        <f>H40/I40</f>
        <v>14408.957073170734</v>
      </c>
      <c r="K40" s="1089"/>
      <c r="L40" s="1090"/>
      <c r="M40" s="1090"/>
      <c r="N40" s="1056"/>
    </row>
    <row r="41" spans="1:14" s="1" customFormat="1" ht="42" customHeight="1" x14ac:dyDescent="0.2">
      <c r="A41" s="3538"/>
      <c r="B41" s="3470"/>
      <c r="C41" s="31" t="s">
        <v>22</v>
      </c>
      <c r="D41" s="32"/>
      <c r="E41" s="33">
        <f>E40/$H$40*100</f>
        <v>92.576169254070336</v>
      </c>
      <c r="F41" s="33">
        <f>F40/$H$40*100</f>
        <v>2.8269678596260683</v>
      </c>
      <c r="G41" s="33">
        <f>G40/$H$40*100</f>
        <v>4.5968628863035796</v>
      </c>
      <c r="H41" s="1134">
        <f>SUM(E41:G41)</f>
        <v>99.999999999999986</v>
      </c>
      <c r="I41" s="436"/>
      <c r="J41" s="358"/>
      <c r="K41" s="976">
        <f>H40/D40*100</f>
        <v>97.95055775888369</v>
      </c>
      <c r="L41" s="3033">
        <f>100-K41</f>
        <v>2.04944224111631</v>
      </c>
      <c r="M41" s="3033"/>
      <c r="N41" s="1056"/>
    </row>
    <row r="42" spans="1:14" s="1" customFormat="1" ht="42" customHeight="1" x14ac:dyDescent="0.2">
      <c r="A42" s="3538"/>
      <c r="B42" s="3032" t="s">
        <v>30</v>
      </c>
      <c r="C42" s="31" t="s">
        <v>21</v>
      </c>
      <c r="D42" s="844">
        <f>D40-D38</f>
        <v>38436.897959183669</v>
      </c>
      <c r="E42" s="844">
        <f t="shared" ref="E42:J43" si="7">E40-E38</f>
        <v>54029.819999999949</v>
      </c>
      <c r="F42" s="844">
        <f t="shared" si="7"/>
        <v>-17857.600000000002</v>
      </c>
      <c r="G42" s="844">
        <f t="shared" si="7"/>
        <v>1048.6399999999994</v>
      </c>
      <c r="H42" s="844">
        <f t="shared" si="7"/>
        <v>37220.860000000102</v>
      </c>
      <c r="I42" s="32">
        <f t="shared" si="7"/>
        <v>0</v>
      </c>
      <c r="J42" s="844">
        <f t="shared" si="7"/>
        <v>605.21723577235934</v>
      </c>
      <c r="K42" s="368"/>
      <c r="L42" s="36"/>
      <c r="M42" s="36"/>
      <c r="N42" s="367"/>
    </row>
    <row r="43" spans="1:14" s="1" customFormat="1" ht="42" customHeight="1" x14ac:dyDescent="0.2">
      <c r="A43" s="3538"/>
      <c r="B43" s="3032"/>
      <c r="C43" s="31" t="s">
        <v>22</v>
      </c>
      <c r="D43" s="32"/>
      <c r="E43" s="33">
        <f>E41-E39</f>
        <v>2.3055108959018042</v>
      </c>
      <c r="F43" s="33">
        <f t="shared" si="7"/>
        <v>-2.2274889271525828</v>
      </c>
      <c r="G43" s="33">
        <f t="shared" si="7"/>
        <v>-7.8021968749252046E-2</v>
      </c>
      <c r="H43" s="397"/>
      <c r="I43" s="437"/>
      <c r="J43" s="827"/>
      <c r="K43" s="368"/>
      <c r="L43" s="3539"/>
      <c r="M43" s="3539"/>
      <c r="N43" s="828"/>
    </row>
    <row r="44" spans="1:14" s="1" customFormat="1" ht="29" customHeight="1" x14ac:dyDescent="0.2">
      <c r="A44" s="2941" t="s">
        <v>32</v>
      </c>
      <c r="B44" s="2941"/>
      <c r="C44" s="2941"/>
      <c r="D44" s="2941"/>
      <c r="E44" s="2941"/>
      <c r="F44" s="2941"/>
      <c r="G44" s="2941"/>
      <c r="H44" s="2941"/>
      <c r="I44" s="2941"/>
      <c r="J44" s="2941"/>
      <c r="K44" s="2941"/>
      <c r="L44" s="2941"/>
      <c r="M44" s="2941"/>
      <c r="N44" s="2941"/>
    </row>
    <row r="45" spans="1:14" s="1" customFormat="1" ht="32" customHeight="1" x14ac:dyDescent="0.2">
      <c r="A45" s="2909" t="s">
        <v>1078</v>
      </c>
      <c r="B45" s="2909"/>
      <c r="C45" s="2909"/>
      <c r="D45" s="2909"/>
      <c r="E45" s="2909"/>
      <c r="F45" s="2909"/>
      <c r="G45" s="2909"/>
      <c r="H45" s="2909"/>
      <c r="I45" s="2909"/>
      <c r="J45" s="2909"/>
      <c r="K45" s="2909"/>
      <c r="L45" s="2909"/>
      <c r="M45" s="2909"/>
      <c r="N45" s="2909"/>
    </row>
    <row r="46" spans="1:14" s="1" customFormat="1" ht="35" customHeight="1" x14ac:dyDescent="0.2">
      <c r="A46" s="3198" t="s">
        <v>1079</v>
      </c>
      <c r="B46" s="3198"/>
      <c r="C46" s="3198"/>
      <c r="D46" s="3198"/>
      <c r="E46" s="3198"/>
      <c r="F46" s="3198"/>
      <c r="G46" s="3198"/>
      <c r="H46" s="3198"/>
      <c r="I46" s="3198"/>
      <c r="J46" s="3198"/>
      <c r="K46" s="3198"/>
      <c r="L46" s="3198"/>
      <c r="M46" s="3198"/>
      <c r="N46" s="3198"/>
    </row>
    <row r="47" spans="1:14" s="1" customFormat="1" ht="30" customHeight="1" x14ac:dyDescent="0.2">
      <c r="A47" s="42" t="s">
        <v>1080</v>
      </c>
      <c r="B47" s="41"/>
      <c r="C47" s="41"/>
      <c r="D47" s="41"/>
      <c r="E47" s="41"/>
      <c r="F47" s="41"/>
      <c r="G47" s="41"/>
      <c r="H47" s="399"/>
      <c r="I47" s="439"/>
      <c r="J47" s="41"/>
      <c r="K47" s="41"/>
      <c r="L47" s="41"/>
      <c r="M47" s="41"/>
      <c r="N47" s="41"/>
    </row>
    <row r="48" spans="1:14" s="1" customFormat="1" ht="28" customHeight="1" x14ac:dyDescent="0.2">
      <c r="A48" s="42" t="s">
        <v>312</v>
      </c>
      <c r="B48" s="41"/>
      <c r="C48" s="41"/>
      <c r="D48" s="41"/>
      <c r="E48" s="41"/>
      <c r="F48" s="41"/>
      <c r="G48" s="41"/>
      <c r="H48" s="399"/>
      <c r="I48" s="439"/>
      <c r="J48" s="41"/>
      <c r="K48" s="41"/>
      <c r="L48" s="41"/>
      <c r="M48" s="41"/>
      <c r="N48" s="41"/>
    </row>
    <row r="49" spans="1:14" s="1" customFormat="1" ht="25" customHeight="1" x14ac:dyDescent="0.2">
      <c r="A49" s="3536" t="s">
        <v>39</v>
      </c>
      <c r="B49" s="3537" t="s">
        <v>105</v>
      </c>
      <c r="C49" s="3537" t="s">
        <v>17</v>
      </c>
      <c r="D49" s="3537" t="s">
        <v>106</v>
      </c>
      <c r="E49" s="3537"/>
      <c r="F49" s="3537"/>
      <c r="G49" s="3537"/>
      <c r="H49" s="1781" t="s">
        <v>107</v>
      </c>
      <c r="I49" s="3537" t="s">
        <v>47</v>
      </c>
      <c r="J49" s="3537"/>
      <c r="K49" s="3537"/>
      <c r="L49" s="3537"/>
      <c r="M49" s="3537"/>
      <c r="N49" s="3537"/>
    </row>
    <row r="50" spans="1:14" s="1" customFormat="1" ht="35" customHeight="1" x14ac:dyDescent="0.2">
      <c r="A50" s="3536"/>
      <c r="B50" s="3537"/>
      <c r="C50" s="3537"/>
      <c r="D50" s="1780" t="s">
        <v>18</v>
      </c>
      <c r="E50" s="1780" t="s">
        <v>19</v>
      </c>
      <c r="F50" s="1780" t="s">
        <v>20</v>
      </c>
      <c r="G50" s="1780" t="s">
        <v>108</v>
      </c>
      <c r="H50" s="1781" t="s">
        <v>22</v>
      </c>
      <c r="I50" s="3537"/>
      <c r="J50" s="3537"/>
      <c r="K50" s="3537"/>
      <c r="L50" s="3537"/>
      <c r="M50" s="3537"/>
      <c r="N50" s="3537"/>
    </row>
    <row r="51" spans="1:14" s="1" customFormat="1" ht="27" customHeight="1" x14ac:dyDescent="0.2">
      <c r="A51" s="2664">
        <v>1</v>
      </c>
      <c r="B51" s="3535" t="s">
        <v>120</v>
      </c>
      <c r="C51" s="57" t="s">
        <v>21</v>
      </c>
      <c r="D51" s="834">
        <v>236507.04</v>
      </c>
      <c r="E51" s="834">
        <v>13550.4</v>
      </c>
      <c r="F51" s="834">
        <v>11314.08</v>
      </c>
      <c r="G51" s="831">
        <f>SUM(D51:F51)</f>
        <v>261371.51999999999</v>
      </c>
      <c r="H51" s="216">
        <f>(G51/$G$89)*100</f>
        <v>53.579184313782093</v>
      </c>
      <c r="I51" s="2599" t="s">
        <v>121</v>
      </c>
      <c r="J51" s="2599"/>
      <c r="K51" s="2599"/>
      <c r="L51" s="2599"/>
      <c r="M51" s="2599"/>
      <c r="N51" s="2599"/>
    </row>
    <row r="52" spans="1:14" s="1" customFormat="1" ht="27" customHeight="1" x14ac:dyDescent="0.2">
      <c r="A52" s="2664"/>
      <c r="B52" s="3535"/>
      <c r="C52" s="57" t="s">
        <v>22</v>
      </c>
      <c r="D52" s="739">
        <f>D51/$G$51*100</f>
        <v>90.486920686691505</v>
      </c>
      <c r="E52" s="739">
        <f>E51/$G$51*100</f>
        <v>5.1843444917028449</v>
      </c>
      <c r="F52" s="739">
        <f>F51/$G$51*100</f>
        <v>4.3287348216056589</v>
      </c>
      <c r="G52" s="216"/>
      <c r="H52" s="216">
        <f t="shared" ref="H52:H89" si="8">(G52/$G$89)*100</f>
        <v>0</v>
      </c>
      <c r="I52" s="2599"/>
      <c r="J52" s="2599"/>
      <c r="K52" s="2599"/>
      <c r="L52" s="2599"/>
      <c r="M52" s="2599"/>
      <c r="N52" s="2599"/>
    </row>
    <row r="53" spans="1:14" s="1" customFormat="1" ht="27" customHeight="1" x14ac:dyDescent="0.2">
      <c r="A53" s="2664">
        <v>2</v>
      </c>
      <c r="B53" s="3535" t="s">
        <v>146</v>
      </c>
      <c r="C53" s="57" t="s">
        <v>21</v>
      </c>
      <c r="D53" s="831">
        <v>7600.32</v>
      </c>
      <c r="E53" s="214"/>
      <c r="F53" s="831">
        <v>855.36</v>
      </c>
      <c r="G53" s="831">
        <f>SUM(D53:F53)</f>
        <v>8455.68</v>
      </c>
      <c r="H53" s="216">
        <f t="shared" si="8"/>
        <v>1.7333504324356419</v>
      </c>
      <c r="I53" s="2599"/>
      <c r="J53" s="2599"/>
      <c r="K53" s="2599"/>
      <c r="L53" s="2599"/>
      <c r="M53" s="2599"/>
      <c r="N53" s="2599"/>
    </row>
    <row r="54" spans="1:14" s="1" customFormat="1" ht="27" customHeight="1" x14ac:dyDescent="0.2">
      <c r="A54" s="2664"/>
      <c r="B54" s="3535"/>
      <c r="C54" s="57" t="s">
        <v>22</v>
      </c>
      <c r="D54" s="216">
        <f>D53/$G$53*100</f>
        <v>89.884196185286086</v>
      </c>
      <c r="E54" s="216">
        <f>E53/$G$53*100</f>
        <v>0</v>
      </c>
      <c r="F54" s="216">
        <f>F53/$G$53*100</f>
        <v>10.115803814713896</v>
      </c>
      <c r="G54" s="831"/>
      <c r="H54" s="216">
        <f t="shared" si="8"/>
        <v>0</v>
      </c>
      <c r="I54" s="2599"/>
      <c r="J54" s="2599"/>
      <c r="K54" s="2599"/>
      <c r="L54" s="2599"/>
      <c r="M54" s="2599"/>
      <c r="N54" s="2599"/>
    </row>
    <row r="55" spans="1:14" s="1" customFormat="1" ht="27" customHeight="1" x14ac:dyDescent="0.2">
      <c r="A55" s="2664">
        <v>3</v>
      </c>
      <c r="B55" s="3535" t="s">
        <v>125</v>
      </c>
      <c r="C55" s="57" t="s">
        <v>21</v>
      </c>
      <c r="D55" s="831">
        <v>29383.200000000001</v>
      </c>
      <c r="E55" s="214"/>
      <c r="F55" s="831">
        <v>3088.8</v>
      </c>
      <c r="G55" s="831">
        <f>SUM(D55:F55)</f>
        <v>32472</v>
      </c>
      <c r="H55" s="216">
        <f t="shared" si="8"/>
        <v>6.6565143479945039</v>
      </c>
      <c r="I55" s="2599"/>
      <c r="J55" s="2599"/>
      <c r="K55" s="2599"/>
      <c r="L55" s="2599"/>
      <c r="M55" s="2599"/>
      <c r="N55" s="2599"/>
    </row>
    <row r="56" spans="1:14" s="1" customFormat="1" ht="27" customHeight="1" x14ac:dyDescent="0.2">
      <c r="A56" s="2664"/>
      <c r="B56" s="3535"/>
      <c r="C56" s="57" t="s">
        <v>22</v>
      </c>
      <c r="D56" s="216">
        <f>D55/$G$55*100</f>
        <v>90.487804878048777</v>
      </c>
      <c r="E56" s="216">
        <f>E55/$G$55*100</f>
        <v>0</v>
      </c>
      <c r="F56" s="216">
        <f>F55/$G$55*100</f>
        <v>9.5121951219512191</v>
      </c>
      <c r="G56" s="214"/>
      <c r="H56" s="216">
        <f t="shared" si="8"/>
        <v>0</v>
      </c>
      <c r="I56" s="2599"/>
      <c r="J56" s="2599"/>
      <c r="K56" s="2599"/>
      <c r="L56" s="2599"/>
      <c r="M56" s="2599"/>
      <c r="N56" s="2599"/>
    </row>
    <row r="57" spans="1:14" s="1" customFormat="1" ht="27" customHeight="1" x14ac:dyDescent="0.2">
      <c r="A57" s="2664">
        <v>4</v>
      </c>
      <c r="B57" s="3534" t="s">
        <v>114</v>
      </c>
      <c r="C57" s="57" t="s">
        <v>21</v>
      </c>
      <c r="D57" s="831">
        <v>6933.6</v>
      </c>
      <c r="E57" s="214"/>
      <c r="F57" s="831">
        <v>961.92</v>
      </c>
      <c r="G57" s="831">
        <f t="shared" ref="G57:G63" si="9">SUM(D57:F57)</f>
        <v>7895.52</v>
      </c>
      <c r="H57" s="216">
        <f t="shared" si="8"/>
        <v>1.6185218700689075</v>
      </c>
      <c r="I57" s="2599"/>
      <c r="J57" s="2599"/>
      <c r="K57" s="2599"/>
      <c r="L57" s="2599"/>
      <c r="M57" s="2599"/>
      <c r="N57" s="2599"/>
    </row>
    <row r="58" spans="1:14" s="1" customFormat="1" ht="27" customHeight="1" x14ac:dyDescent="0.2">
      <c r="A58" s="2664"/>
      <c r="B58" s="3534"/>
      <c r="C58" s="57" t="s">
        <v>22</v>
      </c>
      <c r="D58" s="216">
        <f>D57/$G$57*100</f>
        <v>87.816888564654377</v>
      </c>
      <c r="E58" s="216">
        <f>E57/$G$57*100</f>
        <v>0</v>
      </c>
      <c r="F58" s="216">
        <f>F57/$G$57*100</f>
        <v>12.183111435345612</v>
      </c>
      <c r="G58" s="214"/>
      <c r="H58" s="216">
        <f t="shared" si="8"/>
        <v>0</v>
      </c>
      <c r="I58" s="2599"/>
      <c r="J58" s="2599"/>
      <c r="K58" s="2599"/>
      <c r="L58" s="2599"/>
      <c r="M58" s="2599"/>
      <c r="N58" s="2599"/>
    </row>
    <row r="59" spans="1:14" s="1" customFormat="1" ht="27" customHeight="1" x14ac:dyDescent="0.2">
      <c r="A59" s="2664">
        <v>5</v>
      </c>
      <c r="B59" s="3534" t="s">
        <v>129</v>
      </c>
      <c r="C59" s="57" t="s">
        <v>21</v>
      </c>
      <c r="D59" s="831">
        <v>16656.48</v>
      </c>
      <c r="E59" s="831">
        <v>1382.4</v>
      </c>
      <c r="F59" s="831">
        <v>992.16</v>
      </c>
      <c r="G59" s="831">
        <f t="shared" si="9"/>
        <v>19031.04</v>
      </c>
      <c r="H59" s="216">
        <f t="shared" si="8"/>
        <v>3.9012192294055592</v>
      </c>
      <c r="I59" s="2599"/>
      <c r="J59" s="2599"/>
      <c r="K59" s="2599"/>
      <c r="L59" s="2599"/>
      <c r="M59" s="2599"/>
      <c r="N59" s="2599"/>
    </row>
    <row r="60" spans="1:14" s="1" customFormat="1" ht="27" customHeight="1" x14ac:dyDescent="0.2">
      <c r="A60" s="2664"/>
      <c r="B60" s="3534"/>
      <c r="C60" s="57" t="s">
        <v>22</v>
      </c>
      <c r="D60" s="216">
        <f>D59/$G$59*100</f>
        <v>87.522699757869233</v>
      </c>
      <c r="E60" s="216">
        <f>E59/$G$59*100</f>
        <v>7.2639225181598057</v>
      </c>
      <c r="F60" s="216">
        <f>F59/$G$59*100</f>
        <v>5.213377723970944</v>
      </c>
      <c r="G60" s="214"/>
      <c r="H60" s="216">
        <f t="shared" si="8"/>
        <v>0</v>
      </c>
      <c r="I60" s="2599"/>
      <c r="J60" s="2599"/>
      <c r="K60" s="2599"/>
      <c r="L60" s="2599"/>
      <c r="M60" s="2599"/>
      <c r="N60" s="2599"/>
    </row>
    <row r="61" spans="1:14" s="1" customFormat="1" ht="27" customHeight="1" x14ac:dyDescent="0.2">
      <c r="A61" s="2664">
        <v>6</v>
      </c>
      <c r="B61" s="3534" t="s">
        <v>112</v>
      </c>
      <c r="C61" s="57" t="s">
        <v>21</v>
      </c>
      <c r="D61" s="831">
        <v>10496.16</v>
      </c>
      <c r="E61" s="831">
        <v>259.2</v>
      </c>
      <c r="F61" s="831">
        <v>339.84</v>
      </c>
      <c r="G61" s="831">
        <f t="shared" si="9"/>
        <v>11095.2</v>
      </c>
      <c r="H61" s="216">
        <f t="shared" si="8"/>
        <v>2.2744320643590976</v>
      </c>
      <c r="I61" s="2599"/>
      <c r="J61" s="2599"/>
      <c r="K61" s="2599"/>
      <c r="L61" s="2599"/>
      <c r="M61" s="2599"/>
      <c r="N61" s="2599"/>
    </row>
    <row r="62" spans="1:14" s="1" customFormat="1" ht="27" customHeight="1" x14ac:dyDescent="0.2">
      <c r="A62" s="2664"/>
      <c r="B62" s="3534"/>
      <c r="C62" s="57" t="s">
        <v>22</v>
      </c>
      <c r="D62" s="216">
        <f>D61/$G$61*100</f>
        <v>94.600908500973389</v>
      </c>
      <c r="E62" s="216">
        <f>E61/$G$61*100</f>
        <v>2.3361453601557427</v>
      </c>
      <c r="F62" s="216">
        <f>F61/$G$61*100</f>
        <v>3.062946138870863</v>
      </c>
      <c r="G62" s="214"/>
      <c r="H62" s="216">
        <f t="shared" si="8"/>
        <v>0</v>
      </c>
      <c r="I62" s="2599"/>
      <c r="J62" s="2599"/>
      <c r="K62" s="2599"/>
      <c r="L62" s="2599"/>
      <c r="M62" s="2599"/>
      <c r="N62" s="2599"/>
    </row>
    <row r="63" spans="1:14" s="1" customFormat="1" ht="27" customHeight="1" x14ac:dyDescent="0.2">
      <c r="A63" s="2664">
        <v>7</v>
      </c>
      <c r="B63" s="3534" t="s">
        <v>128</v>
      </c>
      <c r="C63" s="57" t="s">
        <v>21</v>
      </c>
      <c r="D63" s="831">
        <v>4546.08</v>
      </c>
      <c r="E63" s="214"/>
      <c r="F63" s="831">
        <v>1101.5999999999999</v>
      </c>
      <c r="G63" s="831">
        <f t="shared" si="9"/>
        <v>5647.68</v>
      </c>
      <c r="H63" s="216">
        <f t="shared" si="8"/>
        <v>1.1577316750702635</v>
      </c>
      <c r="I63" s="2599"/>
      <c r="J63" s="2599"/>
      <c r="K63" s="2599"/>
      <c r="L63" s="2599"/>
      <c r="M63" s="2599"/>
      <c r="N63" s="2599"/>
    </row>
    <row r="64" spans="1:14" s="1" customFormat="1" ht="27" customHeight="1" x14ac:dyDescent="0.2">
      <c r="A64" s="2664"/>
      <c r="B64" s="3534"/>
      <c r="C64" s="57" t="s">
        <v>22</v>
      </c>
      <c r="D64" s="216">
        <f>D63/$G$63*100</f>
        <v>80.494645588985207</v>
      </c>
      <c r="E64" s="216">
        <f>E63/$G$63*100</f>
        <v>0</v>
      </c>
      <c r="F64" s="216">
        <f>F63/$G$63*100</f>
        <v>19.505354411014785</v>
      </c>
      <c r="G64" s="214"/>
      <c r="H64" s="216">
        <f t="shared" si="8"/>
        <v>0</v>
      </c>
      <c r="I64" s="2599"/>
      <c r="J64" s="2599"/>
      <c r="K64" s="2599"/>
      <c r="L64" s="2599"/>
      <c r="M64" s="2599"/>
      <c r="N64" s="2599"/>
    </row>
    <row r="65" spans="1:14" s="1" customFormat="1" ht="27" customHeight="1" x14ac:dyDescent="0.2">
      <c r="A65" s="2664">
        <v>8</v>
      </c>
      <c r="B65" s="3534" t="s">
        <v>541</v>
      </c>
      <c r="C65" s="57" t="s">
        <v>21</v>
      </c>
      <c r="D65" s="831">
        <v>30880.799999999999</v>
      </c>
      <c r="E65" s="831">
        <v>1900.8</v>
      </c>
      <c r="F65" s="831">
        <v>1458.72</v>
      </c>
      <c r="G65" s="831">
        <f>SUM(D65:F65)</f>
        <v>34240.32</v>
      </c>
      <c r="H65" s="216">
        <f t="shared" si="8"/>
        <v>7.0190065705815208</v>
      </c>
      <c r="I65" s="2599"/>
      <c r="J65" s="2599"/>
      <c r="K65" s="2599"/>
      <c r="L65" s="2599"/>
      <c r="M65" s="2599"/>
      <c r="N65" s="2599"/>
    </row>
    <row r="66" spans="1:14" s="1" customFormat="1" ht="27" customHeight="1" x14ac:dyDescent="0.2">
      <c r="A66" s="2664"/>
      <c r="B66" s="3534"/>
      <c r="C66" s="57" t="s">
        <v>22</v>
      </c>
      <c r="D66" s="216">
        <f>D65/$G$65*100</f>
        <v>90.188409454117249</v>
      </c>
      <c r="E66" s="216">
        <f>E65/$G$65*100</f>
        <v>5.5513499873832952</v>
      </c>
      <c r="F66" s="216">
        <f>F65/$G$65*100</f>
        <v>4.2602405584994534</v>
      </c>
      <c r="G66" s="214"/>
      <c r="H66" s="216">
        <f t="shared" si="8"/>
        <v>0</v>
      </c>
      <c r="I66" s="2599"/>
      <c r="J66" s="2599"/>
      <c r="K66" s="2599"/>
      <c r="L66" s="2599"/>
      <c r="M66" s="2599"/>
      <c r="N66" s="2599"/>
    </row>
    <row r="67" spans="1:14" s="1" customFormat="1" ht="50" customHeight="1" x14ac:dyDescent="0.2">
      <c r="A67" s="1663"/>
      <c r="B67" s="1663" t="s">
        <v>1081</v>
      </c>
      <c r="C67" s="414" t="s">
        <v>21</v>
      </c>
      <c r="D67" s="832">
        <f>SUMIFS(D51:D66,$C$51:$C$66,"m2")</f>
        <v>343003.67999999993</v>
      </c>
      <c r="E67" s="832">
        <f>SUMIFS(E51:E66,$C$51:$C$66,"m2")</f>
        <v>17092.8</v>
      </c>
      <c r="F67" s="832">
        <f>SUMIFS(F51:F66,$C$51:$C$66,"m2")</f>
        <v>20112.480000000003</v>
      </c>
      <c r="G67" s="832">
        <f>SUM(D67:F67)</f>
        <v>380208.9599999999</v>
      </c>
      <c r="H67" s="216"/>
      <c r="I67" s="2599"/>
      <c r="J67" s="2599"/>
      <c r="K67" s="2599"/>
      <c r="L67" s="2599"/>
      <c r="M67" s="2599"/>
      <c r="N67" s="2599"/>
    </row>
    <row r="68" spans="1:14" s="1" customFormat="1" ht="27" customHeight="1" x14ac:dyDescent="0.2">
      <c r="A68" s="1663"/>
      <c r="B68" s="1663"/>
      <c r="C68" s="414" t="s">
        <v>22</v>
      </c>
      <c r="D68" s="417">
        <f>D67/$G$67*100</f>
        <v>90.214517827249523</v>
      </c>
      <c r="E68" s="417">
        <f>E67/$G$67*100</f>
        <v>4.4956331381564505</v>
      </c>
      <c r="F68" s="417">
        <f>F67/$G$67*100</f>
        <v>5.2898490345940319</v>
      </c>
      <c r="G68" s="415"/>
      <c r="H68" s="216"/>
      <c r="I68" s="2599"/>
      <c r="J68" s="2599"/>
      <c r="K68" s="2599"/>
      <c r="L68" s="2599"/>
      <c r="M68" s="2599"/>
      <c r="N68" s="2599"/>
    </row>
    <row r="69" spans="1:14" s="1" customFormat="1" ht="35" customHeight="1" x14ac:dyDescent="0.2">
      <c r="A69" s="2664">
        <v>1</v>
      </c>
      <c r="B69" s="3533" t="s">
        <v>109</v>
      </c>
      <c r="C69" s="57" t="s">
        <v>21</v>
      </c>
      <c r="D69" s="834">
        <v>23015.52</v>
      </c>
      <c r="E69" s="738">
        <v>2986.56</v>
      </c>
      <c r="F69" s="738">
        <v>8298.56</v>
      </c>
      <c r="G69" s="831">
        <f>SUM(D69:F69)</f>
        <v>34300.639999999999</v>
      </c>
      <c r="H69" s="216">
        <f t="shared" si="8"/>
        <v>7.0313717142582579</v>
      </c>
      <c r="I69" s="2599" t="s">
        <v>110</v>
      </c>
      <c r="J69" s="2599"/>
      <c r="K69" s="2599"/>
      <c r="L69" s="2599"/>
      <c r="M69" s="2599"/>
      <c r="N69" s="2599"/>
    </row>
    <row r="70" spans="1:14" s="1" customFormat="1" ht="35" customHeight="1" x14ac:dyDescent="0.2">
      <c r="A70" s="2664"/>
      <c r="B70" s="3533"/>
      <c r="C70" s="57" t="s">
        <v>22</v>
      </c>
      <c r="D70" s="215">
        <f>D69/$G$69*100</f>
        <v>67.099389399148237</v>
      </c>
      <c r="E70" s="215">
        <f>E69/$G$69*100</f>
        <v>8.7070095485098822</v>
      </c>
      <c r="F70" s="215">
        <f>F69/$G$69*100</f>
        <v>24.193601052341879</v>
      </c>
      <c r="G70" s="214"/>
      <c r="H70" s="216">
        <f t="shared" si="8"/>
        <v>0</v>
      </c>
      <c r="I70" s="2599"/>
      <c r="J70" s="2599"/>
      <c r="K70" s="2599"/>
      <c r="L70" s="2599"/>
      <c r="M70" s="2599"/>
      <c r="N70" s="2599"/>
    </row>
    <row r="71" spans="1:14" s="1" customFormat="1" ht="35" customHeight="1" x14ac:dyDescent="0.2">
      <c r="A71" s="2664">
        <v>2</v>
      </c>
      <c r="B71" s="3533" t="s">
        <v>113</v>
      </c>
      <c r="C71" s="57" t="s">
        <v>21</v>
      </c>
      <c r="D71" s="834">
        <v>51068.160000000003</v>
      </c>
      <c r="E71" s="834"/>
      <c r="F71" s="834"/>
      <c r="G71" s="831">
        <f>SUM(D71:F71)</f>
        <v>51068.160000000003</v>
      </c>
      <c r="H71" s="216">
        <f t="shared" si="8"/>
        <v>10.468586467285014</v>
      </c>
      <c r="I71" s="2599"/>
      <c r="J71" s="2599"/>
      <c r="K71" s="2599"/>
      <c r="L71" s="2599"/>
      <c r="M71" s="2599"/>
      <c r="N71" s="2599"/>
    </row>
    <row r="72" spans="1:14" s="1" customFormat="1" ht="35" customHeight="1" x14ac:dyDescent="0.2">
      <c r="A72" s="2664"/>
      <c r="B72" s="3533"/>
      <c r="C72" s="57" t="s">
        <v>22</v>
      </c>
      <c r="D72" s="216">
        <f>D71/$G$71*100</f>
        <v>100</v>
      </c>
      <c r="E72" s="216">
        <f>E71/$G$71*100</f>
        <v>0</v>
      </c>
      <c r="F72" s="216">
        <f>F71/$G$71*100</f>
        <v>0</v>
      </c>
      <c r="G72" s="214"/>
      <c r="H72" s="216">
        <f t="shared" si="8"/>
        <v>0</v>
      </c>
      <c r="I72" s="2599"/>
      <c r="J72" s="2599"/>
      <c r="K72" s="2599"/>
      <c r="L72" s="2599"/>
      <c r="M72" s="2599"/>
      <c r="N72" s="2599"/>
    </row>
    <row r="73" spans="1:14" s="1" customFormat="1" ht="35" customHeight="1" x14ac:dyDescent="0.2">
      <c r="A73" s="2664">
        <v>3</v>
      </c>
      <c r="B73" s="3533" t="s">
        <v>114</v>
      </c>
      <c r="C73" s="57" t="s">
        <v>21</v>
      </c>
      <c r="D73" s="834">
        <v>18214.560000000001</v>
      </c>
      <c r="E73" s="738"/>
      <c r="F73" s="834">
        <v>4030.56</v>
      </c>
      <c r="G73" s="831">
        <f>SUM(D73:F73)</f>
        <v>22245.120000000003</v>
      </c>
      <c r="H73" s="216">
        <f t="shared" si="8"/>
        <v>4.5600813147591612</v>
      </c>
      <c r="I73" s="2599"/>
      <c r="J73" s="2599"/>
      <c r="K73" s="2599"/>
      <c r="L73" s="2599"/>
      <c r="M73" s="2599"/>
      <c r="N73" s="2599"/>
    </row>
    <row r="74" spans="1:14" s="1" customFormat="1" ht="35" customHeight="1" x14ac:dyDescent="0.2">
      <c r="A74" s="2664"/>
      <c r="B74" s="3533"/>
      <c r="C74" s="57" t="s">
        <v>22</v>
      </c>
      <c r="D74" s="216">
        <f>D73/$G$73*100</f>
        <v>81.88114966338685</v>
      </c>
      <c r="E74" s="216">
        <f>E73/$G$73*100</f>
        <v>0</v>
      </c>
      <c r="F74" s="216">
        <f>F73/$G$73*100</f>
        <v>18.11885033661315</v>
      </c>
      <c r="G74" s="214"/>
      <c r="H74" s="216">
        <f t="shared" si="8"/>
        <v>0</v>
      </c>
      <c r="I74" s="2599"/>
      <c r="J74" s="2599"/>
      <c r="K74" s="2599"/>
      <c r="L74" s="2599"/>
      <c r="M74" s="2599"/>
      <c r="N74" s="2599"/>
    </row>
    <row r="75" spans="1:14" s="1" customFormat="1" ht="23" customHeight="1" x14ac:dyDescent="0.2">
      <c r="A75" s="321"/>
      <c r="B75" s="924" t="s">
        <v>129</v>
      </c>
      <c r="C75" s="57" t="s">
        <v>21</v>
      </c>
      <c r="D75" s="738"/>
      <c r="E75" s="738"/>
      <c r="F75" s="738"/>
      <c r="G75" s="214">
        <f>SUM(D75:F75)</f>
        <v>0</v>
      </c>
      <c r="H75" s="216">
        <f t="shared" si="8"/>
        <v>0</v>
      </c>
      <c r="I75" s="1014"/>
      <c r="J75" s="1014"/>
      <c r="K75" s="1014"/>
      <c r="L75" s="1014"/>
      <c r="M75" s="1014"/>
      <c r="N75" s="1014"/>
    </row>
    <row r="76" spans="1:14" s="1" customFormat="1" ht="23" customHeight="1" x14ac:dyDescent="0.2">
      <c r="A76" s="321"/>
      <c r="B76" s="924"/>
      <c r="C76" s="57" t="s">
        <v>22</v>
      </c>
      <c r="D76" s="216" t="e">
        <f>D75/$G$75*100</f>
        <v>#DIV/0!</v>
      </c>
      <c r="E76" s="216" t="e">
        <f>E75/$G$75*100</f>
        <v>#DIV/0!</v>
      </c>
      <c r="F76" s="216" t="e">
        <f>F75/$G$75*100</f>
        <v>#DIV/0!</v>
      </c>
      <c r="G76" s="214" t="e">
        <f>SUM(D76:F76)</f>
        <v>#DIV/0!</v>
      </c>
      <c r="H76" s="216" t="e">
        <f t="shared" si="8"/>
        <v>#DIV/0!</v>
      </c>
      <c r="I76" s="1014"/>
      <c r="J76" s="1014"/>
      <c r="K76" s="1014"/>
      <c r="L76" s="1014"/>
      <c r="M76" s="1014"/>
      <c r="N76" s="1014"/>
    </row>
    <row r="77" spans="1:14" s="1" customFormat="1" ht="35" customHeight="1" x14ac:dyDescent="0.2">
      <c r="B77" s="1664" t="s">
        <v>1082</v>
      </c>
      <c r="C77" s="971" t="s">
        <v>21</v>
      </c>
      <c r="D77" s="972">
        <f>SUMIFS(D69:D74, $C$69:$C$74, "m2")</f>
        <v>92298.240000000005</v>
      </c>
      <c r="E77" s="972">
        <f>SUMIFS(E69:E74, $C$69:$C$74, "m2")</f>
        <v>2986.56</v>
      </c>
      <c r="F77" s="972">
        <f>SUMIFS(F69:F74, $C$69:$C$74, "m2")</f>
        <v>12329.119999999999</v>
      </c>
      <c r="G77" s="972">
        <f>SUM(D77:F77)</f>
        <v>107613.92</v>
      </c>
      <c r="H77" s="216"/>
      <c r="I77" s="2599"/>
      <c r="J77" s="2599"/>
      <c r="K77" s="2599"/>
      <c r="L77" s="2599"/>
      <c r="M77" s="2599"/>
      <c r="N77" s="2599"/>
    </row>
    <row r="78" spans="1:14" s="1" customFormat="1" ht="35" customHeight="1" x14ac:dyDescent="0.2">
      <c r="A78" s="1664"/>
      <c r="B78" s="1664"/>
      <c r="C78" s="971" t="s">
        <v>22</v>
      </c>
      <c r="D78" s="973"/>
      <c r="E78" s="973">
        <f>E77/$G$77*100</f>
        <v>2.7752543537118619</v>
      </c>
      <c r="F78" s="973">
        <f>F77/$G$77*100</f>
        <v>11.456807818170734</v>
      </c>
      <c r="G78" s="974"/>
      <c r="H78" s="216">
        <f t="shared" si="8"/>
        <v>0</v>
      </c>
      <c r="I78" s="2599"/>
      <c r="J78" s="2599"/>
      <c r="K78" s="2599"/>
      <c r="L78" s="2599"/>
      <c r="M78" s="2599"/>
      <c r="N78" s="2599"/>
    </row>
    <row r="79" spans="1:14" s="1" customFormat="1" ht="29" customHeight="1" x14ac:dyDescent="0.2">
      <c r="A79" s="2904" t="s">
        <v>125</v>
      </c>
      <c r="B79" s="2904"/>
      <c r="C79" s="57" t="s">
        <v>21</v>
      </c>
      <c r="D79" s="738"/>
      <c r="E79" s="738"/>
      <c r="F79" s="738"/>
      <c r="G79" s="831">
        <f>SUM(D79:F79)</f>
        <v>0</v>
      </c>
      <c r="H79" s="216">
        <f t="shared" si="8"/>
        <v>0</v>
      </c>
      <c r="I79" s="3433" t="s">
        <v>131</v>
      </c>
      <c r="J79" s="3433"/>
      <c r="K79" s="3433"/>
      <c r="L79" s="3433"/>
      <c r="M79" s="3433"/>
      <c r="N79" s="3433"/>
    </row>
    <row r="80" spans="1:14" s="1" customFormat="1" ht="29" customHeight="1" x14ac:dyDescent="0.2">
      <c r="A80" s="2904"/>
      <c r="B80" s="2904"/>
      <c r="C80" s="57" t="s">
        <v>22</v>
      </c>
      <c r="D80" s="216" t="e">
        <f>D79/$G$79*100</f>
        <v>#DIV/0!</v>
      </c>
      <c r="E80" s="216" t="e">
        <f>E79/$G$79*100</f>
        <v>#DIV/0!</v>
      </c>
      <c r="F80" s="216" t="e">
        <f>F79/$G$79*100</f>
        <v>#DIV/0!</v>
      </c>
      <c r="G80" s="216"/>
      <c r="H80" s="216">
        <f t="shared" si="8"/>
        <v>0</v>
      </c>
      <c r="I80" s="3433"/>
      <c r="J80" s="3433"/>
      <c r="K80" s="3433"/>
      <c r="L80" s="3433"/>
      <c r="M80" s="3433"/>
      <c r="N80" s="3433"/>
    </row>
    <row r="81" spans="1:14" s="1" customFormat="1" ht="29" customHeight="1" x14ac:dyDescent="0.2">
      <c r="A81" s="2904" t="s">
        <v>313</v>
      </c>
      <c r="B81" s="2904"/>
      <c r="C81" s="57" t="s">
        <v>21</v>
      </c>
      <c r="D81" s="834"/>
      <c r="E81" s="738"/>
      <c r="F81" s="738"/>
      <c r="G81" s="831">
        <f>SUM(D81:F81)</f>
        <v>0</v>
      </c>
      <c r="H81" s="216">
        <f t="shared" si="8"/>
        <v>0</v>
      </c>
      <c r="I81" s="3433"/>
      <c r="J81" s="3433"/>
      <c r="K81" s="3433"/>
      <c r="L81" s="3433"/>
      <c r="M81" s="3433"/>
      <c r="N81" s="3433"/>
    </row>
    <row r="82" spans="1:14" s="1" customFormat="1" ht="29" customHeight="1" x14ac:dyDescent="0.2">
      <c r="A82" s="2904"/>
      <c r="B82" s="2904"/>
      <c r="C82" s="57" t="s">
        <v>22</v>
      </c>
      <c r="D82" s="216" t="e">
        <f>D81/$G$81*100</f>
        <v>#DIV/0!</v>
      </c>
      <c r="E82" s="216" t="e">
        <f>E81/$G$81*100</f>
        <v>#DIV/0!</v>
      </c>
      <c r="F82" s="216" t="e">
        <f>F81/$G$81*100</f>
        <v>#DIV/0!</v>
      </c>
      <c r="G82" s="216"/>
      <c r="H82" s="216">
        <f t="shared" si="8"/>
        <v>0</v>
      </c>
      <c r="I82" s="3433"/>
      <c r="J82" s="3433"/>
      <c r="K82" s="3433"/>
      <c r="L82" s="3433"/>
      <c r="M82" s="3433"/>
      <c r="N82" s="3433"/>
    </row>
    <row r="83" spans="1:14" s="1" customFormat="1" ht="29" customHeight="1" x14ac:dyDescent="0.2">
      <c r="A83" s="2905" t="s">
        <v>109</v>
      </c>
      <c r="B83" s="2905"/>
      <c r="C83" s="57" t="s">
        <v>21</v>
      </c>
      <c r="D83" s="834"/>
      <c r="E83" s="738"/>
      <c r="F83" s="738"/>
      <c r="G83" s="831">
        <f>SUM(D83:F83)</f>
        <v>0</v>
      </c>
      <c r="H83" s="216">
        <f t="shared" si="8"/>
        <v>0</v>
      </c>
      <c r="I83" s="3433"/>
      <c r="J83" s="3433"/>
      <c r="K83" s="3433"/>
      <c r="L83" s="3433"/>
      <c r="M83" s="3433"/>
      <c r="N83" s="3433"/>
    </row>
    <row r="84" spans="1:14" s="1" customFormat="1" ht="29" customHeight="1" x14ac:dyDescent="0.2">
      <c r="A84" s="2905"/>
      <c r="B84" s="2905"/>
      <c r="C84" s="57" t="s">
        <v>22</v>
      </c>
      <c r="D84" s="216" t="e">
        <f>D83/$G$83*100</f>
        <v>#DIV/0!</v>
      </c>
      <c r="E84" s="216" t="e">
        <f>E83/$G$83*100</f>
        <v>#DIV/0!</v>
      </c>
      <c r="F84" s="216" t="e">
        <f>F83/$G$83*100</f>
        <v>#DIV/0!</v>
      </c>
      <c r="G84" s="216"/>
      <c r="H84" s="216">
        <f t="shared" si="8"/>
        <v>0</v>
      </c>
      <c r="I84" s="3433"/>
      <c r="J84" s="3433"/>
      <c r="K84" s="3433"/>
      <c r="L84" s="3433"/>
      <c r="M84" s="3433"/>
      <c r="N84" s="3433"/>
    </row>
    <row r="85" spans="1:14" s="1" customFormat="1" ht="29" customHeight="1" x14ac:dyDescent="0.2">
      <c r="A85" s="2904" t="s">
        <v>129</v>
      </c>
      <c r="B85" s="2904"/>
      <c r="C85" s="57" t="s">
        <v>21</v>
      </c>
      <c r="D85" s="831"/>
      <c r="E85" s="831"/>
      <c r="F85" s="831"/>
      <c r="G85" s="831">
        <f>SUM(D85:F85)</f>
        <v>0</v>
      </c>
      <c r="H85" s="216">
        <f t="shared" si="8"/>
        <v>0</v>
      </c>
      <c r="I85" s="3433"/>
      <c r="J85" s="3433"/>
      <c r="K85" s="3433"/>
      <c r="L85" s="3433"/>
      <c r="M85" s="3433"/>
      <c r="N85" s="3433"/>
    </row>
    <row r="86" spans="1:14" s="1" customFormat="1" ht="29" customHeight="1" x14ac:dyDescent="0.2">
      <c r="A86" s="2904"/>
      <c r="B86" s="2904"/>
      <c r="C86" s="57" t="s">
        <v>22</v>
      </c>
      <c r="D86" s="216" t="e">
        <f>D85/$G$85*100</f>
        <v>#DIV/0!</v>
      </c>
      <c r="E86" s="216" t="e">
        <f>E85/$G$85*100</f>
        <v>#DIV/0!</v>
      </c>
      <c r="F86" s="216" t="e">
        <f>F85/$G$85*100</f>
        <v>#DIV/0!</v>
      </c>
      <c r="G86" s="216"/>
      <c r="H86" s="216">
        <f t="shared" si="8"/>
        <v>0</v>
      </c>
      <c r="I86" s="3433"/>
      <c r="J86" s="3433"/>
      <c r="K86" s="3433"/>
      <c r="L86" s="3433"/>
      <c r="M86" s="3433"/>
      <c r="N86" s="3433"/>
    </row>
    <row r="87" spans="1:14" s="1" customFormat="1" ht="29" customHeight="1" x14ac:dyDescent="0.2">
      <c r="B87" s="1663" t="s">
        <v>1083</v>
      </c>
      <c r="C87" s="414" t="s">
        <v>21</v>
      </c>
      <c r="D87" s="832">
        <f>D79+D81+D83+D85</f>
        <v>0</v>
      </c>
      <c r="E87" s="832">
        <f>E79+E81+E83+E85</f>
        <v>0</v>
      </c>
      <c r="F87" s="832">
        <f>F79+F81+F83+F85</f>
        <v>0</v>
      </c>
      <c r="G87" s="832">
        <f>SUM(D87:F87)</f>
        <v>0</v>
      </c>
      <c r="H87" s="216">
        <f t="shared" si="8"/>
        <v>0</v>
      </c>
      <c r="I87" s="3433"/>
      <c r="J87" s="3433"/>
      <c r="K87" s="3433"/>
      <c r="L87" s="3433"/>
      <c r="M87" s="3433"/>
      <c r="N87" s="3433"/>
    </row>
    <row r="88" spans="1:14" s="1" customFormat="1" ht="29" customHeight="1" x14ac:dyDescent="0.2">
      <c r="A88" s="1663"/>
      <c r="B88" s="1663"/>
      <c r="C88" s="414" t="s">
        <v>22</v>
      </c>
      <c r="D88" s="417" t="e">
        <f>D87/$G$87*100</f>
        <v>#DIV/0!</v>
      </c>
      <c r="E88" s="417" t="e">
        <f>E87/$G$87*100</f>
        <v>#DIV/0!</v>
      </c>
      <c r="F88" s="417" t="e">
        <f>F87/$G$87*100</f>
        <v>#DIV/0!</v>
      </c>
      <c r="G88" s="415"/>
      <c r="H88" s="216">
        <f t="shared" si="8"/>
        <v>0</v>
      </c>
      <c r="I88" s="3433"/>
      <c r="J88" s="3433"/>
      <c r="K88" s="3433"/>
      <c r="L88" s="3433"/>
      <c r="M88" s="3433"/>
      <c r="N88" s="3433"/>
    </row>
    <row r="89" spans="1:14" s="1" customFormat="1" ht="39" customHeight="1" x14ac:dyDescent="0.2">
      <c r="A89" s="3530" t="s">
        <v>124</v>
      </c>
      <c r="B89" s="3530"/>
      <c r="C89" s="387" t="s">
        <v>21</v>
      </c>
      <c r="D89" s="896">
        <f>SUMIFS(D51:D88,$B$51:$B$88,"TỔNG MEN*",$C$51:$C$88,"m2")</f>
        <v>435301.91999999993</v>
      </c>
      <c r="E89" s="896">
        <f>SUMIFS(E51:E88,$B$51:$B$88,"TỔNG MEN*",$C$51:$C$88,"m2")</f>
        <v>20079.36</v>
      </c>
      <c r="F89" s="896">
        <f>SUMIFS(F51:F88,$B$51:$B$88,"TỔNG MEN*",$C$51:$C$88,"m2")</f>
        <v>32441.600000000002</v>
      </c>
      <c r="G89" s="896">
        <f>SUM(D89:F89)</f>
        <v>487822.87999999989</v>
      </c>
      <c r="H89" s="549">
        <f t="shared" si="8"/>
        <v>100</v>
      </c>
      <c r="I89" s="3531"/>
      <c r="J89" s="3531"/>
      <c r="K89" s="3531"/>
      <c r="L89" s="3531"/>
      <c r="M89" s="3531"/>
      <c r="N89" s="3531"/>
    </row>
    <row r="90" spans="1:14" s="1" customFormat="1" ht="39" customHeight="1" x14ac:dyDescent="0.2">
      <c r="A90" s="3530"/>
      <c r="B90" s="3530"/>
      <c r="C90" s="387" t="s">
        <v>22</v>
      </c>
      <c r="D90" s="389">
        <f>D89/$G$89*100</f>
        <v>89.233600523206306</v>
      </c>
      <c r="E90" s="389">
        <f>E89/$G$89*100</f>
        <v>4.116116898821967</v>
      </c>
      <c r="F90" s="389">
        <f>F89/$G$89*100</f>
        <v>6.650282577971744</v>
      </c>
      <c r="G90" s="389"/>
      <c r="H90" s="389"/>
      <c r="I90" s="3532"/>
      <c r="J90" s="3532"/>
      <c r="K90" s="3532"/>
      <c r="L90" s="3532"/>
      <c r="M90" s="3532"/>
      <c r="N90" s="3532"/>
    </row>
    <row r="91" spans="1:14" s="1" customFormat="1" ht="29" customHeight="1" x14ac:dyDescent="0.2">
      <c r="A91" s="3207" t="s">
        <v>506</v>
      </c>
      <c r="B91" s="3207"/>
      <c r="C91" s="3207"/>
      <c r="D91" s="3207"/>
      <c r="E91" s="3207"/>
      <c r="F91" s="3207"/>
      <c r="G91" s="3207"/>
      <c r="H91" s="3207"/>
      <c r="I91" s="3207"/>
      <c r="J91" s="3207"/>
      <c r="K91" s="3207"/>
      <c r="L91" s="3207"/>
      <c r="M91" s="3207"/>
      <c r="N91" s="3207"/>
    </row>
    <row r="92" spans="1:14" s="1" customFormat="1" ht="38" customHeight="1" x14ac:dyDescent="0.2">
      <c r="A92" s="221" t="s">
        <v>39</v>
      </c>
      <c r="B92" s="2551" t="s">
        <v>134</v>
      </c>
      <c r="C92" s="2551"/>
      <c r="D92" s="222" t="s">
        <v>6</v>
      </c>
      <c r="E92" s="222" t="s">
        <v>135</v>
      </c>
      <c r="F92" s="222" t="s">
        <v>43</v>
      </c>
      <c r="G92" s="222" t="s">
        <v>10</v>
      </c>
      <c r="H92" s="391" t="s">
        <v>314</v>
      </c>
      <c r="I92" s="2605" t="s">
        <v>47</v>
      </c>
      <c r="J92" s="2605"/>
      <c r="K92" s="2605"/>
      <c r="L92" s="2605"/>
      <c r="M92" s="2605"/>
      <c r="N92" s="2605"/>
    </row>
    <row r="93" spans="1:14" s="1" customFormat="1" ht="38" customHeight="1" x14ac:dyDescent="0.2">
      <c r="A93" s="223">
        <v>1</v>
      </c>
      <c r="B93" s="2599" t="s">
        <v>137</v>
      </c>
      <c r="C93" s="2599"/>
      <c r="D93" s="224" t="s">
        <v>138</v>
      </c>
      <c r="E93" s="735" t="s">
        <v>139</v>
      </c>
      <c r="F93" s="830">
        <f>G67</f>
        <v>380208.9599999999</v>
      </c>
      <c r="G93" s="224">
        <f>F93/$J$10</f>
        <v>24.165517200656605</v>
      </c>
      <c r="H93" s="214">
        <f>F93/$F$96*100</f>
        <v>77.939960503697563</v>
      </c>
      <c r="I93" s="2600"/>
      <c r="J93" s="2600"/>
      <c r="K93" s="2600"/>
      <c r="L93" s="2600"/>
      <c r="M93" s="2600"/>
      <c r="N93" s="2600"/>
    </row>
    <row r="94" spans="1:14" s="1" customFormat="1" ht="38" customHeight="1" x14ac:dyDescent="0.2">
      <c r="A94" s="223">
        <v>2</v>
      </c>
      <c r="B94" s="2599" t="s">
        <v>137</v>
      </c>
      <c r="C94" s="2599"/>
      <c r="D94" s="224" t="s">
        <v>138</v>
      </c>
      <c r="E94" s="224" t="s">
        <v>140</v>
      </c>
      <c r="F94" s="830">
        <f>G77</f>
        <v>107613.92</v>
      </c>
      <c r="G94" s="224">
        <f>F94/$J$10</f>
        <v>6.8397810372224912</v>
      </c>
      <c r="H94" s="214">
        <f>F94/$F$96*100</f>
        <v>22.060039496302434</v>
      </c>
      <c r="I94" s="2600"/>
      <c r="J94" s="2600"/>
      <c r="K94" s="2600"/>
      <c r="L94" s="2600"/>
      <c r="M94" s="2600"/>
      <c r="N94" s="2600"/>
    </row>
    <row r="95" spans="1:14" s="1" customFormat="1" ht="38" customHeight="1" x14ac:dyDescent="0.2">
      <c r="A95" s="223">
        <v>3</v>
      </c>
      <c r="B95" s="2599" t="s">
        <v>137</v>
      </c>
      <c r="C95" s="2599"/>
      <c r="D95" s="224" t="s">
        <v>138</v>
      </c>
      <c r="E95" s="224" t="s">
        <v>141</v>
      </c>
      <c r="F95" s="830">
        <f>G87</f>
        <v>0</v>
      </c>
      <c r="G95" s="224">
        <f>F95/$J$10</f>
        <v>0</v>
      </c>
      <c r="H95" s="214">
        <f>F95/$F$96*100</f>
        <v>0</v>
      </c>
      <c r="I95" s="2600"/>
      <c r="J95" s="2600"/>
      <c r="K95" s="2600"/>
      <c r="L95" s="2600"/>
      <c r="M95" s="2600"/>
      <c r="N95" s="2600"/>
    </row>
    <row r="96" spans="1:14" s="1" customFormat="1" ht="38" customHeight="1" x14ac:dyDescent="0.2">
      <c r="A96" s="3377" t="s">
        <v>1084</v>
      </c>
      <c r="B96" s="3377"/>
      <c r="C96" s="3377"/>
      <c r="D96" s="225" t="s">
        <v>142</v>
      </c>
      <c r="E96" s="225" t="s">
        <v>142</v>
      </c>
      <c r="F96" s="860">
        <f>SUM(F93:F95)</f>
        <v>487822.87999999989</v>
      </c>
      <c r="G96" s="226">
        <f>SUM(G93:G95)</f>
        <v>31.005298237879096</v>
      </c>
      <c r="H96" s="227">
        <f>SUM(H93:H95)</f>
        <v>100</v>
      </c>
      <c r="I96" s="2603"/>
      <c r="J96" s="2603"/>
      <c r="K96" s="2603"/>
      <c r="L96" s="2603"/>
      <c r="M96" s="2603"/>
      <c r="N96" s="2603"/>
    </row>
    <row r="97" spans="1:14" s="1" customFormat="1" ht="22" customHeight="1" x14ac:dyDescent="0.2">
      <c r="A97" s="459"/>
      <c r="B97" s="459"/>
      <c r="C97" s="459"/>
      <c r="D97" s="460"/>
      <c r="E97" s="460"/>
      <c r="F97" s="1782"/>
      <c r="G97" s="462"/>
      <c r="H97" s="463"/>
      <c r="I97" s="464"/>
      <c r="J97" s="464"/>
      <c r="K97" s="464"/>
      <c r="L97" s="464"/>
      <c r="M97" s="464"/>
      <c r="N97" s="464"/>
    </row>
    <row r="98" spans="1:14" s="1" customFormat="1" ht="29" customHeight="1" x14ac:dyDescent="0.2">
      <c r="A98" s="42" t="s">
        <v>497</v>
      </c>
      <c r="B98" s="459"/>
      <c r="C98" s="459"/>
      <c r="D98" s="460"/>
      <c r="E98" s="460"/>
      <c r="F98" s="461"/>
      <c r="G98" s="462"/>
      <c r="H98" s="463"/>
      <c r="I98" s="465"/>
      <c r="J98" s="464"/>
      <c r="K98" s="41"/>
      <c r="L98" s="41"/>
      <c r="M98" s="41"/>
      <c r="N98" s="41"/>
    </row>
    <row r="99" spans="1:14" s="1" customFormat="1" ht="26" customHeight="1" x14ac:dyDescent="0.2">
      <c r="A99" s="3528" t="s">
        <v>39</v>
      </c>
      <c r="B99" s="3529" t="s">
        <v>105</v>
      </c>
      <c r="C99" s="3529" t="s">
        <v>17</v>
      </c>
      <c r="D99" s="3529" t="s">
        <v>106</v>
      </c>
      <c r="E99" s="3529"/>
      <c r="F99" s="3529"/>
      <c r="G99" s="3529"/>
      <c r="H99" s="1784" t="s">
        <v>107</v>
      </c>
      <c r="I99" s="3529" t="s">
        <v>47</v>
      </c>
      <c r="J99" s="3529"/>
      <c r="K99" s="3529"/>
      <c r="L99" s="3529"/>
      <c r="M99" s="3529"/>
      <c r="N99" s="3529"/>
    </row>
    <row r="100" spans="1:14" s="1" customFormat="1" ht="37" customHeight="1" x14ac:dyDescent="0.2">
      <c r="A100" s="3528"/>
      <c r="B100" s="3529"/>
      <c r="C100" s="3529"/>
      <c r="D100" s="1779" t="s">
        <v>18</v>
      </c>
      <c r="E100" s="1779" t="s">
        <v>19</v>
      </c>
      <c r="F100" s="1779" t="s">
        <v>20</v>
      </c>
      <c r="G100" s="1779" t="s">
        <v>108</v>
      </c>
      <c r="H100" s="1784" t="s">
        <v>22</v>
      </c>
      <c r="I100" s="3529"/>
      <c r="J100" s="3529"/>
      <c r="K100" s="3529"/>
      <c r="L100" s="3529"/>
      <c r="M100" s="3529"/>
      <c r="N100" s="3529"/>
    </row>
    <row r="101" spans="1:14" s="1" customFormat="1" ht="25" hidden="1" customHeight="1" x14ac:dyDescent="0.2">
      <c r="A101" s="2664">
        <v>1</v>
      </c>
      <c r="B101" s="3525" t="s">
        <v>109</v>
      </c>
      <c r="C101" s="57" t="s">
        <v>21</v>
      </c>
      <c r="D101" s="834"/>
      <c r="E101" s="738"/>
      <c r="F101" s="834"/>
      <c r="G101" s="831">
        <f>SUM(D101:F101)</f>
        <v>0</v>
      </c>
      <c r="H101" s="214" t="e">
        <f>(G101/$G$119*100)</f>
        <v>#DIV/0!</v>
      </c>
      <c r="I101" s="2599" t="s">
        <v>770</v>
      </c>
      <c r="J101" s="2599"/>
      <c r="K101" s="2599"/>
      <c r="L101" s="2599"/>
      <c r="M101" s="2599"/>
      <c r="N101" s="2599"/>
    </row>
    <row r="102" spans="1:14" s="1" customFormat="1" ht="25" hidden="1" customHeight="1" x14ac:dyDescent="0.2">
      <c r="A102" s="2664"/>
      <c r="B102" s="3525"/>
      <c r="C102" s="57" t="s">
        <v>22</v>
      </c>
      <c r="D102" s="739" t="e">
        <f>D101/$G$101*100</f>
        <v>#DIV/0!</v>
      </c>
      <c r="E102" s="739"/>
      <c r="F102" s="739" t="e">
        <f>F101/$G$101*100</f>
        <v>#DIV/0!</v>
      </c>
      <c r="G102" s="216"/>
      <c r="H102" s="214" t="e">
        <f t="shared" ref="H102:H134" si="10">(G102/$G$119*100)</f>
        <v>#DIV/0!</v>
      </c>
      <c r="I102" s="2599"/>
      <c r="J102" s="2599"/>
      <c r="K102" s="2599"/>
      <c r="L102" s="2599"/>
      <c r="M102" s="2599"/>
      <c r="N102" s="2599"/>
    </row>
    <row r="103" spans="1:14" s="1" customFormat="1" ht="25" hidden="1" customHeight="1" x14ac:dyDescent="0.2">
      <c r="A103" s="2664">
        <v>2</v>
      </c>
      <c r="B103" s="3525" t="s">
        <v>129</v>
      </c>
      <c r="C103" s="57" t="s">
        <v>21</v>
      </c>
      <c r="D103" s="831"/>
      <c r="E103" s="214"/>
      <c r="F103" s="831"/>
      <c r="G103" s="831">
        <f>SUM(D103:F103)</f>
        <v>0</v>
      </c>
      <c r="H103" s="214" t="e">
        <f t="shared" si="10"/>
        <v>#DIV/0!</v>
      </c>
      <c r="I103" s="2599"/>
      <c r="J103" s="2599"/>
      <c r="K103" s="2599"/>
      <c r="L103" s="2599"/>
      <c r="M103" s="2599"/>
      <c r="N103" s="2599"/>
    </row>
    <row r="104" spans="1:14" s="1" customFormat="1" ht="25" hidden="1" customHeight="1" x14ac:dyDescent="0.2">
      <c r="A104" s="2664"/>
      <c r="B104" s="3525"/>
      <c r="C104" s="57" t="s">
        <v>22</v>
      </c>
      <c r="D104" s="216" t="e">
        <f>D103/$G$103*100</f>
        <v>#DIV/0!</v>
      </c>
      <c r="E104" s="216" t="e">
        <f>E103/$G$103*100</f>
        <v>#DIV/0!</v>
      </c>
      <c r="F104" s="216" t="e">
        <f>F103/$G$103*100</f>
        <v>#DIV/0!</v>
      </c>
      <c r="G104" s="216"/>
      <c r="H104" s="214" t="e">
        <f t="shared" si="10"/>
        <v>#DIV/0!</v>
      </c>
      <c r="I104" s="2599"/>
      <c r="J104" s="2599"/>
      <c r="K104" s="2599"/>
      <c r="L104" s="2599"/>
      <c r="M104" s="2599"/>
      <c r="N104" s="2599"/>
    </row>
    <row r="105" spans="1:14" s="1" customFormat="1" ht="25" hidden="1" customHeight="1" x14ac:dyDescent="0.2">
      <c r="A105" s="2664">
        <v>3</v>
      </c>
      <c r="B105" s="3525" t="s">
        <v>146</v>
      </c>
      <c r="C105" s="57" t="s">
        <v>21</v>
      </c>
      <c r="D105" s="831"/>
      <c r="E105" s="214"/>
      <c r="F105" s="831"/>
      <c r="G105" s="831">
        <f>SUM(D105:F105)</f>
        <v>0</v>
      </c>
      <c r="H105" s="214" t="e">
        <f t="shared" si="10"/>
        <v>#DIV/0!</v>
      </c>
      <c r="I105" s="2599"/>
      <c r="J105" s="2599"/>
      <c r="K105" s="2599"/>
      <c r="L105" s="2599"/>
      <c r="M105" s="2599"/>
      <c r="N105" s="2599"/>
    </row>
    <row r="106" spans="1:14" s="1" customFormat="1" ht="25" hidden="1" customHeight="1" x14ac:dyDescent="0.2">
      <c r="A106" s="2664"/>
      <c r="B106" s="3525"/>
      <c r="C106" s="57" t="s">
        <v>22</v>
      </c>
      <c r="D106" s="216" t="e">
        <f>D105/$G$105*100</f>
        <v>#DIV/0!</v>
      </c>
      <c r="E106" s="216" t="e">
        <f>E105/$G$105*100</f>
        <v>#DIV/0!</v>
      </c>
      <c r="F106" s="216" t="e">
        <f>F105/$G$105*100</f>
        <v>#DIV/0!</v>
      </c>
      <c r="G106" s="216"/>
      <c r="H106" s="214" t="e">
        <f t="shared" si="10"/>
        <v>#DIV/0!</v>
      </c>
      <c r="I106" s="2599"/>
      <c r="J106" s="2599"/>
      <c r="K106" s="2599"/>
      <c r="L106" s="2599"/>
      <c r="M106" s="2599"/>
      <c r="N106" s="2599"/>
    </row>
    <row r="107" spans="1:14" s="1" customFormat="1" ht="25" hidden="1" customHeight="1" x14ac:dyDescent="0.2">
      <c r="A107" s="2664">
        <v>4</v>
      </c>
      <c r="B107" s="3525" t="s">
        <v>541</v>
      </c>
      <c r="C107" s="57" t="s">
        <v>21</v>
      </c>
      <c r="D107" s="831"/>
      <c r="E107" s="214"/>
      <c r="F107" s="831"/>
      <c r="G107" s="831">
        <f>SUM(D107:F107)</f>
        <v>0</v>
      </c>
      <c r="H107" s="214" t="e">
        <f t="shared" si="10"/>
        <v>#DIV/0!</v>
      </c>
      <c r="I107" s="2599"/>
      <c r="J107" s="2599"/>
      <c r="K107" s="2599"/>
      <c r="L107" s="2599"/>
      <c r="M107" s="2599"/>
      <c r="N107" s="2599"/>
    </row>
    <row r="108" spans="1:14" s="1" customFormat="1" ht="25" hidden="1" customHeight="1" x14ac:dyDescent="0.2">
      <c r="A108" s="2664"/>
      <c r="B108" s="3525"/>
      <c r="C108" s="57" t="s">
        <v>22</v>
      </c>
      <c r="D108" s="216" t="e">
        <f>D107/$G$107*100</f>
        <v>#DIV/0!</v>
      </c>
      <c r="E108" s="216" t="e">
        <f>E107/$G$107*100</f>
        <v>#DIV/0!</v>
      </c>
      <c r="F108" s="216" t="e">
        <f>F107/$G$107*100</f>
        <v>#DIV/0!</v>
      </c>
      <c r="G108" s="216"/>
      <c r="H108" s="214" t="e">
        <f t="shared" si="10"/>
        <v>#DIV/0!</v>
      </c>
      <c r="I108" s="2599"/>
      <c r="J108" s="2599"/>
      <c r="K108" s="2599"/>
      <c r="L108" s="2599"/>
      <c r="M108" s="2599"/>
      <c r="N108" s="2599"/>
    </row>
    <row r="109" spans="1:14" s="1" customFormat="1" ht="25" hidden="1" customHeight="1" x14ac:dyDescent="0.2">
      <c r="A109" s="2664">
        <v>5</v>
      </c>
      <c r="B109" s="3525" t="s">
        <v>117</v>
      </c>
      <c r="C109" s="57" t="s">
        <v>21</v>
      </c>
      <c r="D109" s="831"/>
      <c r="E109" s="214"/>
      <c r="F109" s="831"/>
      <c r="G109" s="831">
        <f t="shared" ref="G109:G115" si="11">SUM(D109:F109)</f>
        <v>0</v>
      </c>
      <c r="H109" s="214" t="e">
        <f t="shared" si="10"/>
        <v>#DIV/0!</v>
      </c>
      <c r="I109" s="2599"/>
      <c r="J109" s="2599"/>
      <c r="K109" s="2599"/>
      <c r="L109" s="2599"/>
      <c r="M109" s="2599"/>
      <c r="N109" s="2599"/>
    </row>
    <row r="110" spans="1:14" s="1" customFormat="1" ht="25" hidden="1" customHeight="1" x14ac:dyDescent="0.2">
      <c r="A110" s="2664"/>
      <c r="B110" s="3525"/>
      <c r="C110" s="57" t="s">
        <v>22</v>
      </c>
      <c r="D110" s="216" t="e">
        <f>D109/$G$109*100</f>
        <v>#DIV/0!</v>
      </c>
      <c r="E110" s="216" t="e">
        <f>E109/$G$109*100</f>
        <v>#DIV/0!</v>
      </c>
      <c r="F110" s="216" t="e">
        <f>F109/$G$109*100</f>
        <v>#DIV/0!</v>
      </c>
      <c r="G110" s="216"/>
      <c r="H110" s="214" t="e">
        <f t="shared" si="10"/>
        <v>#DIV/0!</v>
      </c>
      <c r="I110" s="2599"/>
      <c r="J110" s="2599"/>
      <c r="K110" s="2599"/>
      <c r="L110" s="2599"/>
      <c r="M110" s="2599"/>
      <c r="N110" s="2599"/>
    </row>
    <row r="111" spans="1:14" s="1" customFormat="1" ht="25" hidden="1" customHeight="1" x14ac:dyDescent="0.2">
      <c r="A111" s="2664">
        <v>6</v>
      </c>
      <c r="B111" s="3525" t="s">
        <v>322</v>
      </c>
      <c r="C111" s="57" t="s">
        <v>21</v>
      </c>
      <c r="D111" s="831"/>
      <c r="E111" s="214"/>
      <c r="F111" s="831"/>
      <c r="G111" s="831">
        <f t="shared" si="11"/>
        <v>0</v>
      </c>
      <c r="H111" s="214" t="e">
        <f t="shared" si="10"/>
        <v>#DIV/0!</v>
      </c>
      <c r="I111" s="2599"/>
      <c r="J111" s="2599"/>
      <c r="K111" s="2599"/>
      <c r="L111" s="2599"/>
      <c r="M111" s="2599"/>
      <c r="N111" s="2599"/>
    </row>
    <row r="112" spans="1:14" s="1" customFormat="1" ht="25" hidden="1" customHeight="1" x14ac:dyDescent="0.2">
      <c r="A112" s="2664"/>
      <c r="B112" s="3525"/>
      <c r="C112" s="57" t="s">
        <v>22</v>
      </c>
      <c r="D112" s="216" t="e">
        <f>D111/$G$111*100</f>
        <v>#DIV/0!</v>
      </c>
      <c r="E112" s="216" t="e">
        <f>E111/$G$111*100</f>
        <v>#DIV/0!</v>
      </c>
      <c r="F112" s="216" t="e">
        <f>F111/$G$111*100</f>
        <v>#DIV/0!</v>
      </c>
      <c r="G112" s="214"/>
      <c r="H112" s="214" t="e">
        <f t="shared" si="10"/>
        <v>#DIV/0!</v>
      </c>
      <c r="I112" s="2599"/>
      <c r="J112" s="2599"/>
      <c r="K112" s="2599"/>
      <c r="L112" s="2599"/>
      <c r="M112" s="2599"/>
      <c r="N112" s="2599"/>
    </row>
    <row r="113" spans="1:16" s="1" customFormat="1" ht="23" hidden="1" customHeight="1" x14ac:dyDescent="0.2">
      <c r="A113" s="2664">
        <v>7</v>
      </c>
      <c r="B113" s="3525" t="s">
        <v>125</v>
      </c>
      <c r="C113" s="57" t="s">
        <v>21</v>
      </c>
      <c r="D113" s="831"/>
      <c r="E113" s="214"/>
      <c r="F113" s="831"/>
      <c r="G113" s="831">
        <f>SUM(D113:F113)</f>
        <v>0</v>
      </c>
      <c r="H113" s="214" t="e">
        <f t="shared" si="10"/>
        <v>#DIV/0!</v>
      </c>
      <c r="I113" s="2599"/>
      <c r="J113" s="2599"/>
      <c r="K113" s="2599"/>
      <c r="L113" s="2599"/>
      <c r="M113" s="2599"/>
      <c r="N113" s="2599"/>
    </row>
    <row r="114" spans="1:16" s="1" customFormat="1" ht="23" hidden="1" customHeight="1" x14ac:dyDescent="0.2">
      <c r="A114" s="2664"/>
      <c r="B114" s="3525"/>
      <c r="C114" s="57" t="s">
        <v>22</v>
      </c>
      <c r="D114" s="216" t="e">
        <f>D113/$G$113*100</f>
        <v>#DIV/0!</v>
      </c>
      <c r="E114" s="216" t="e">
        <f>E113/$G$113*100</f>
        <v>#DIV/0!</v>
      </c>
      <c r="F114" s="216" t="e">
        <f>F113/$G$113*100</f>
        <v>#DIV/0!</v>
      </c>
      <c r="G114" s="214"/>
      <c r="H114" s="214" t="e">
        <f t="shared" si="10"/>
        <v>#DIV/0!</v>
      </c>
      <c r="I114" s="2599"/>
      <c r="J114" s="2599"/>
      <c r="K114" s="2599"/>
      <c r="L114" s="2599"/>
      <c r="M114" s="2599"/>
      <c r="N114" s="2599"/>
    </row>
    <row r="115" spans="1:16" s="1" customFormat="1" ht="23" hidden="1" customHeight="1" x14ac:dyDescent="0.2">
      <c r="A115" s="2664">
        <v>8</v>
      </c>
      <c r="B115" s="3525" t="s">
        <v>637</v>
      </c>
      <c r="C115" s="57" t="s">
        <v>21</v>
      </c>
      <c r="D115" s="831"/>
      <c r="E115" s="214"/>
      <c r="F115" s="831"/>
      <c r="G115" s="831">
        <f t="shared" si="11"/>
        <v>0</v>
      </c>
      <c r="H115" s="214" t="e">
        <f t="shared" si="10"/>
        <v>#DIV/0!</v>
      </c>
      <c r="I115" s="2599"/>
      <c r="J115" s="2599"/>
      <c r="K115" s="2599"/>
      <c r="L115" s="2599"/>
      <c r="M115" s="2599"/>
      <c r="N115" s="2599"/>
    </row>
    <row r="116" spans="1:16" s="1" customFormat="1" ht="23" hidden="1" customHeight="1" x14ac:dyDescent="0.2">
      <c r="A116" s="2664"/>
      <c r="B116" s="3525"/>
      <c r="C116" s="57" t="s">
        <v>22</v>
      </c>
      <c r="D116" s="216" t="e">
        <f>D115/$G$115*100</f>
        <v>#DIV/0!</v>
      </c>
      <c r="E116" s="216" t="e">
        <f>E115/$G$115*100</f>
        <v>#DIV/0!</v>
      </c>
      <c r="F116" s="216" t="e">
        <f>F115/$G$115*100</f>
        <v>#DIV/0!</v>
      </c>
      <c r="G116" s="214"/>
      <c r="H116" s="214" t="e">
        <f t="shared" si="10"/>
        <v>#DIV/0!</v>
      </c>
      <c r="I116" s="2599"/>
      <c r="J116" s="2599"/>
      <c r="K116" s="2599"/>
      <c r="L116" s="2599"/>
      <c r="M116" s="2599"/>
      <c r="N116" s="2599"/>
    </row>
    <row r="117" spans="1:16" s="1" customFormat="1" ht="23" hidden="1" customHeight="1" x14ac:dyDescent="0.2">
      <c r="A117" s="2664">
        <v>9</v>
      </c>
      <c r="B117" s="3525" t="s">
        <v>144</v>
      </c>
      <c r="C117" s="57" t="s">
        <v>21</v>
      </c>
      <c r="D117" s="831"/>
      <c r="E117" s="214"/>
      <c r="F117" s="831"/>
      <c r="G117" s="831"/>
      <c r="H117" s="214" t="e">
        <f t="shared" si="10"/>
        <v>#DIV/0!</v>
      </c>
      <c r="I117" s="2599"/>
      <c r="J117" s="2599"/>
      <c r="K117" s="2599"/>
      <c r="L117" s="2599"/>
      <c r="M117" s="2599"/>
      <c r="N117" s="2599"/>
    </row>
    <row r="118" spans="1:16" s="1" customFormat="1" ht="23" hidden="1" customHeight="1" x14ac:dyDescent="0.2">
      <c r="A118" s="2664"/>
      <c r="B118" s="3525"/>
      <c r="C118" s="57" t="s">
        <v>22</v>
      </c>
      <c r="D118" s="216" t="e">
        <f>D117/$G$117*100</f>
        <v>#DIV/0!</v>
      </c>
      <c r="E118" s="216" t="e">
        <f>E117/$G$117*100</f>
        <v>#DIV/0!</v>
      </c>
      <c r="F118" s="216" t="e">
        <f>F117/$G$117*100</f>
        <v>#DIV/0!</v>
      </c>
      <c r="G118" s="214"/>
      <c r="H118" s="214" t="e">
        <f t="shared" si="10"/>
        <v>#DIV/0!</v>
      </c>
      <c r="I118" s="2599"/>
      <c r="J118" s="2599"/>
      <c r="K118" s="2599"/>
      <c r="L118" s="2599"/>
      <c r="M118" s="2599"/>
      <c r="N118" s="2599"/>
    </row>
    <row r="119" spans="1:16" s="1" customFormat="1" ht="31" hidden="1" customHeight="1" x14ac:dyDescent="0.2">
      <c r="A119" s="3526" t="s">
        <v>1085</v>
      </c>
      <c r="B119" s="3526"/>
      <c r="C119" s="1092" t="s">
        <v>21</v>
      </c>
      <c r="D119" s="1112">
        <f>SUMIFS(D101:D118,$C$101:$C$118,"m2")</f>
        <v>0</v>
      </c>
      <c r="E119" s="1112">
        <f>SUMIFS(E101:E118,$C$101:$C$118,"m2")</f>
        <v>0</v>
      </c>
      <c r="F119" s="1112">
        <f>SUMIFS(F101:F118,$C$101:$C$118,"m2")</f>
        <v>0</v>
      </c>
      <c r="G119" s="1112">
        <f>SUM(D119:F119)</f>
        <v>0</v>
      </c>
      <c r="H119" s="1091"/>
      <c r="I119" s="3527"/>
      <c r="J119" s="3527"/>
      <c r="K119" s="3527"/>
      <c r="L119" s="3527"/>
      <c r="M119" s="3527"/>
      <c r="N119" s="3527"/>
    </row>
    <row r="120" spans="1:16" s="1" customFormat="1" ht="31" hidden="1" customHeight="1" x14ac:dyDescent="0.2">
      <c r="A120" s="3526"/>
      <c r="B120" s="3526"/>
      <c r="C120" s="1092" t="s">
        <v>22</v>
      </c>
      <c r="D120" s="1093" t="e">
        <f>D119/$G$119*100</f>
        <v>#DIV/0!</v>
      </c>
      <c r="E120" s="1093" t="e">
        <f>E119/$G$119*100</f>
        <v>#DIV/0!</v>
      </c>
      <c r="F120" s="1093" t="e">
        <f>F119/$G$119*100</f>
        <v>#DIV/0!</v>
      </c>
      <c r="G120" s="1094"/>
      <c r="H120" s="1091"/>
      <c r="I120" s="3527"/>
      <c r="J120" s="3527"/>
      <c r="K120" s="3527"/>
      <c r="L120" s="3527"/>
      <c r="M120" s="3527"/>
      <c r="N120" s="3527"/>
    </row>
    <row r="121" spans="1:16" s="1" customFormat="1" ht="26" hidden="1" customHeight="1" x14ac:dyDescent="0.2">
      <c r="A121" s="2664">
        <v>1</v>
      </c>
      <c r="B121" s="3518" t="s">
        <v>129</v>
      </c>
      <c r="C121" s="57" t="s">
        <v>21</v>
      </c>
      <c r="D121" s="834"/>
      <c r="E121" s="738"/>
      <c r="F121" s="834"/>
      <c r="G121" s="831">
        <f>SUM(D121:F121)</f>
        <v>0</v>
      </c>
      <c r="H121" s="214" t="e">
        <f t="shared" si="10"/>
        <v>#DIV/0!</v>
      </c>
      <c r="I121" s="2599" t="s">
        <v>771</v>
      </c>
      <c r="J121" s="2599"/>
      <c r="K121" s="2599"/>
      <c r="L121" s="2599"/>
      <c r="M121" s="2599"/>
      <c r="N121" s="2599"/>
    </row>
    <row r="122" spans="1:16" s="1" customFormat="1" ht="26" hidden="1" customHeight="1" x14ac:dyDescent="0.2">
      <c r="A122" s="2664"/>
      <c r="B122" s="3518"/>
      <c r="C122" s="57" t="s">
        <v>22</v>
      </c>
      <c r="D122" s="739" t="e">
        <f>D121/$G$121*100</f>
        <v>#DIV/0!</v>
      </c>
      <c r="E122" s="739" t="e">
        <f>E121/$G$121*100</f>
        <v>#DIV/0!</v>
      </c>
      <c r="F122" s="739" t="e">
        <f>F121/$G$121*100</f>
        <v>#DIV/0!</v>
      </c>
      <c r="G122" s="216"/>
      <c r="H122" s="214" t="e">
        <f t="shared" si="10"/>
        <v>#DIV/0!</v>
      </c>
      <c r="I122" s="2599"/>
      <c r="J122" s="2599"/>
      <c r="K122" s="2599"/>
      <c r="L122" s="2599"/>
      <c r="M122" s="2599"/>
      <c r="N122" s="2599"/>
    </row>
    <row r="123" spans="1:16" s="1" customFormat="1" ht="26" hidden="1" customHeight="1" x14ac:dyDescent="0.2">
      <c r="A123" s="2664">
        <v>2</v>
      </c>
      <c r="B123" s="3520" t="s">
        <v>109</v>
      </c>
      <c r="C123" s="57" t="s">
        <v>21</v>
      </c>
      <c r="D123" s="831"/>
      <c r="E123" s="214"/>
      <c r="F123" s="831"/>
      <c r="G123" s="831">
        <f>SUM(D123:F123)</f>
        <v>0</v>
      </c>
      <c r="H123" s="214" t="e">
        <f t="shared" si="10"/>
        <v>#DIV/0!</v>
      </c>
      <c r="I123" s="2599"/>
      <c r="J123" s="2599"/>
      <c r="K123" s="2599"/>
      <c r="L123" s="2599"/>
      <c r="M123" s="2599"/>
      <c r="N123" s="2599"/>
    </row>
    <row r="124" spans="1:16" s="1" customFormat="1" ht="26" hidden="1" customHeight="1" x14ac:dyDescent="0.2">
      <c r="A124" s="2664"/>
      <c r="B124" s="3520"/>
      <c r="C124" s="57" t="s">
        <v>22</v>
      </c>
      <c r="D124" s="216" t="e">
        <f>D123/$G$123*100</f>
        <v>#DIV/0!</v>
      </c>
      <c r="E124" s="216" t="e">
        <f>E123/$G$123*100</f>
        <v>#DIV/0!</v>
      </c>
      <c r="F124" s="216" t="e">
        <f>F123/$G$123*100</f>
        <v>#DIV/0!</v>
      </c>
      <c r="G124" s="216"/>
      <c r="H124" s="214" t="e">
        <f t="shared" si="10"/>
        <v>#DIV/0!</v>
      </c>
      <c r="I124" s="2599"/>
      <c r="J124" s="2599"/>
      <c r="K124" s="2599"/>
      <c r="L124" s="2599"/>
      <c r="M124" s="2599"/>
      <c r="N124" s="2599"/>
    </row>
    <row r="125" spans="1:16" s="1" customFormat="1" ht="26" hidden="1" customHeight="1" x14ac:dyDescent="0.2">
      <c r="A125" s="2664">
        <v>3</v>
      </c>
      <c r="B125" s="3518" t="s">
        <v>322</v>
      </c>
      <c r="C125" s="57" t="s">
        <v>21</v>
      </c>
      <c r="D125" s="831"/>
      <c r="E125" s="214"/>
      <c r="F125" s="831"/>
      <c r="G125" s="831">
        <f>SUM(D125:F125)</f>
        <v>0</v>
      </c>
      <c r="H125" s="214" t="e">
        <f t="shared" si="10"/>
        <v>#DIV/0!</v>
      </c>
      <c r="I125" s="2599"/>
      <c r="J125" s="2599"/>
      <c r="K125" s="2599"/>
      <c r="L125" s="2599"/>
      <c r="M125" s="2599"/>
      <c r="N125" s="2599"/>
    </row>
    <row r="126" spans="1:16" s="1" customFormat="1" ht="26" hidden="1" customHeight="1" x14ac:dyDescent="0.2">
      <c r="A126" s="2664"/>
      <c r="B126" s="3518"/>
      <c r="C126" s="57" t="s">
        <v>22</v>
      </c>
      <c r="D126" s="216" t="e">
        <f>D125/$G$125*100</f>
        <v>#DIV/0!</v>
      </c>
      <c r="E126" s="216" t="e">
        <f>E125/$G$125*100</f>
        <v>#DIV/0!</v>
      </c>
      <c r="F126" s="216" t="e">
        <f>F125/$G$125*100</f>
        <v>#DIV/0!</v>
      </c>
      <c r="G126" s="216"/>
      <c r="H126" s="214" t="e">
        <f t="shared" si="10"/>
        <v>#DIV/0!</v>
      </c>
      <c r="I126" s="2599"/>
      <c r="J126" s="2599"/>
      <c r="K126" s="2599"/>
      <c r="L126" s="2599"/>
      <c r="M126" s="2599"/>
      <c r="N126" s="2599"/>
      <c r="P126" s="3521"/>
    </row>
    <row r="127" spans="1:16" s="1" customFormat="1" ht="26" hidden="1" customHeight="1" x14ac:dyDescent="0.2">
      <c r="A127" s="2664">
        <v>4</v>
      </c>
      <c r="B127" s="3518" t="s">
        <v>117</v>
      </c>
      <c r="C127" s="57" t="s">
        <v>21</v>
      </c>
      <c r="D127" s="831"/>
      <c r="E127" s="214"/>
      <c r="F127" s="831"/>
      <c r="G127" s="831">
        <f>SUM(D127:F127)</f>
        <v>0</v>
      </c>
      <c r="H127" s="214" t="e">
        <f t="shared" si="10"/>
        <v>#DIV/0!</v>
      </c>
      <c r="I127" s="2599"/>
      <c r="J127" s="2599"/>
      <c r="K127" s="2599"/>
      <c r="L127" s="2599"/>
      <c r="M127" s="2599"/>
      <c r="N127" s="2599"/>
      <c r="P127" s="3521"/>
    </row>
    <row r="128" spans="1:16" s="1" customFormat="1" ht="26" hidden="1" customHeight="1" x14ac:dyDescent="0.2">
      <c r="A128" s="2664"/>
      <c r="B128" s="3518"/>
      <c r="C128" s="57" t="s">
        <v>22</v>
      </c>
      <c r="D128" s="216" t="e">
        <f>D127/$G$127*100</f>
        <v>#DIV/0!</v>
      </c>
      <c r="E128" s="216" t="e">
        <f>E127/$G$127*100</f>
        <v>#DIV/0!</v>
      </c>
      <c r="F128" s="216" t="e">
        <f>F127/$G$127*100</f>
        <v>#DIV/0!</v>
      </c>
      <c r="G128" s="216"/>
      <c r="H128" s="214" t="e">
        <f t="shared" si="10"/>
        <v>#DIV/0!</v>
      </c>
      <c r="I128" s="2599"/>
      <c r="J128" s="2599"/>
      <c r="K128" s="2599"/>
      <c r="L128" s="2599"/>
      <c r="M128" s="2599"/>
      <c r="N128" s="2599"/>
    </row>
    <row r="129" spans="1:16" s="1" customFormat="1" ht="26" hidden="1" customHeight="1" x14ac:dyDescent="0.2">
      <c r="A129" s="2664">
        <v>5</v>
      </c>
      <c r="B129" s="3522" t="s">
        <v>125</v>
      </c>
      <c r="C129" s="57" t="s">
        <v>21</v>
      </c>
      <c r="D129" s="831"/>
      <c r="E129" s="214"/>
      <c r="F129" s="831"/>
      <c r="G129" s="831">
        <f t="shared" ref="G129:G134" si="12">SUM(D129:F129)</f>
        <v>0</v>
      </c>
      <c r="H129" s="214" t="e">
        <f t="shared" si="10"/>
        <v>#DIV/0!</v>
      </c>
      <c r="I129" s="2599"/>
      <c r="J129" s="2599"/>
      <c r="K129" s="2599"/>
      <c r="L129" s="2599"/>
      <c r="M129" s="2599"/>
      <c r="N129" s="2599"/>
      <c r="P129" s="3521"/>
    </row>
    <row r="130" spans="1:16" s="1" customFormat="1" ht="26" hidden="1" customHeight="1" x14ac:dyDescent="0.2">
      <c r="A130" s="2664"/>
      <c r="B130" s="3523"/>
      <c r="C130" s="57" t="s">
        <v>22</v>
      </c>
      <c r="D130" s="216" t="e">
        <f>D129/$G$129*100</f>
        <v>#DIV/0!</v>
      </c>
      <c r="E130" s="216" t="e">
        <f>E129/$G$129*100</f>
        <v>#DIV/0!</v>
      </c>
      <c r="F130" s="216" t="e">
        <f>F129/$G$129*100</f>
        <v>#DIV/0!</v>
      </c>
      <c r="G130" s="216"/>
      <c r="H130" s="214" t="e">
        <f t="shared" si="10"/>
        <v>#DIV/0!</v>
      </c>
      <c r="I130" s="2599"/>
      <c r="J130" s="2599"/>
      <c r="K130" s="2599"/>
      <c r="L130" s="2599"/>
      <c r="M130" s="2599"/>
      <c r="N130" s="2599"/>
      <c r="P130" s="3521"/>
    </row>
    <row r="131" spans="1:16" s="1" customFormat="1" ht="26" hidden="1" customHeight="1" x14ac:dyDescent="0.2">
      <c r="A131" s="2664">
        <v>6</v>
      </c>
      <c r="B131" s="3518" t="s">
        <v>322</v>
      </c>
      <c r="C131" s="57" t="s">
        <v>21</v>
      </c>
      <c r="D131" s="831"/>
      <c r="E131" s="214"/>
      <c r="F131" s="831"/>
      <c r="G131" s="831">
        <f t="shared" si="12"/>
        <v>0</v>
      </c>
      <c r="H131" s="214" t="e">
        <f t="shared" si="10"/>
        <v>#DIV/0!</v>
      </c>
      <c r="I131" s="2599"/>
      <c r="J131" s="2599"/>
      <c r="K131" s="2599"/>
      <c r="L131" s="2599"/>
      <c r="M131" s="2599"/>
      <c r="N131" s="2599"/>
    </row>
    <row r="132" spans="1:16" s="1" customFormat="1" ht="26" hidden="1" customHeight="1" x14ac:dyDescent="0.2">
      <c r="A132" s="2664"/>
      <c r="B132" s="3518"/>
      <c r="C132" s="57" t="s">
        <v>22</v>
      </c>
      <c r="D132" s="216" t="e">
        <f>D131/$G$131*100</f>
        <v>#DIV/0!</v>
      </c>
      <c r="E132" s="216" t="e">
        <f>E131/$G$131*100</f>
        <v>#DIV/0!</v>
      </c>
      <c r="F132" s="216" t="e">
        <f>F131/$G$131*100</f>
        <v>#DIV/0!</v>
      </c>
      <c r="G132" s="214"/>
      <c r="H132" s="214" t="e">
        <f t="shared" si="10"/>
        <v>#DIV/0!</v>
      </c>
      <c r="I132" s="2599"/>
      <c r="J132" s="2599"/>
      <c r="K132" s="2599"/>
      <c r="L132" s="2599"/>
      <c r="M132" s="2599"/>
      <c r="N132" s="2599"/>
    </row>
    <row r="133" spans="1:16" s="1" customFormat="1" ht="26" hidden="1" customHeight="1" x14ac:dyDescent="0.2">
      <c r="A133" s="2664">
        <v>7</v>
      </c>
      <c r="B133" s="3518" t="s">
        <v>541</v>
      </c>
      <c r="C133" s="57" t="s">
        <v>21</v>
      </c>
      <c r="D133" s="831"/>
      <c r="E133" s="214"/>
      <c r="F133" s="831"/>
      <c r="G133" s="831">
        <f t="shared" si="12"/>
        <v>0</v>
      </c>
      <c r="H133" s="214" t="e">
        <f t="shared" si="10"/>
        <v>#DIV/0!</v>
      </c>
      <c r="I133" s="2599"/>
      <c r="J133" s="2599"/>
      <c r="K133" s="2599"/>
      <c r="L133" s="2599"/>
      <c r="M133" s="2599"/>
      <c r="N133" s="2599"/>
    </row>
    <row r="134" spans="1:16" s="1" customFormat="1" ht="26" hidden="1" customHeight="1" x14ac:dyDescent="0.2">
      <c r="A134" s="2664"/>
      <c r="B134" s="3518"/>
      <c r="C134" s="57" t="s">
        <v>22</v>
      </c>
      <c r="D134" s="216" t="e">
        <f>D133/$G$117*100</f>
        <v>#DIV/0!</v>
      </c>
      <c r="E134" s="216" t="e">
        <f>E133/$G$117*100</f>
        <v>#DIV/0!</v>
      </c>
      <c r="F134" s="216" t="e">
        <f>F133/$G$117*100</f>
        <v>#DIV/0!</v>
      </c>
      <c r="G134" s="214" t="e">
        <f t="shared" si="12"/>
        <v>#DIV/0!</v>
      </c>
      <c r="H134" s="214" t="e">
        <f t="shared" si="10"/>
        <v>#DIV/0!</v>
      </c>
      <c r="I134" s="2599"/>
      <c r="J134" s="2599"/>
      <c r="K134" s="2599"/>
      <c r="L134" s="2599"/>
      <c r="M134" s="2599"/>
      <c r="N134" s="2599"/>
    </row>
    <row r="135" spans="1:16" s="1" customFormat="1" ht="26" hidden="1" customHeight="1" x14ac:dyDescent="0.2">
      <c r="A135" s="3518" t="s">
        <v>1086</v>
      </c>
      <c r="B135" s="3518"/>
      <c r="C135" s="971" t="s">
        <v>21</v>
      </c>
      <c r="D135" s="972">
        <f>SUMIFS(D121:D134,$C$121:$C$134,"m2")</f>
        <v>0</v>
      </c>
      <c r="E135" s="972">
        <f>SUMIFS(E121:E134,$C$121:$C$134,"m2")</f>
        <v>0</v>
      </c>
      <c r="F135" s="972">
        <f>SUMIFS(F121:F134,$C$121:$C$134,"m2")</f>
        <v>0</v>
      </c>
      <c r="G135" s="972">
        <f>SUM(D135:F135)</f>
        <v>0</v>
      </c>
      <c r="H135" s="214"/>
      <c r="I135" s="2599"/>
      <c r="J135" s="2599"/>
      <c r="K135" s="2599"/>
      <c r="L135" s="2599"/>
      <c r="M135" s="2599"/>
      <c r="N135" s="2599"/>
    </row>
    <row r="136" spans="1:16" s="1" customFormat="1" ht="30" hidden="1" customHeight="1" x14ac:dyDescent="0.2">
      <c r="A136" s="3518"/>
      <c r="B136" s="3518"/>
      <c r="C136" s="971" t="s">
        <v>22</v>
      </c>
      <c r="D136" s="973" t="e">
        <f>D135/$G$135*100</f>
        <v>#DIV/0!</v>
      </c>
      <c r="E136" s="973" t="e">
        <f>E135/$G$135*100</f>
        <v>#DIV/0!</v>
      </c>
      <c r="F136" s="973" t="e">
        <f>F135/$G$135*100</f>
        <v>#DIV/0!</v>
      </c>
      <c r="G136" s="974"/>
      <c r="H136" s="214"/>
      <c r="I136" s="3524"/>
      <c r="J136" s="3524"/>
      <c r="K136" s="3524"/>
      <c r="L136" s="3524"/>
      <c r="M136" s="3524"/>
      <c r="N136" s="3524"/>
    </row>
    <row r="137" spans="1:16" s="1" customFormat="1" ht="34" hidden="1" customHeight="1" x14ac:dyDescent="0.2">
      <c r="A137" s="2664">
        <v>1</v>
      </c>
      <c r="B137" s="3520" t="s">
        <v>109</v>
      </c>
      <c r="C137" s="57" t="s">
        <v>21</v>
      </c>
      <c r="D137" s="834"/>
      <c r="E137" s="738"/>
      <c r="F137" s="834"/>
      <c r="G137" s="831">
        <f>SUM(D137:F137)</f>
        <v>0</v>
      </c>
      <c r="H137" s="214" t="e">
        <f t="shared" ref="H137:H150" si="13">(G137/$G$119*100)</f>
        <v>#DIV/0!</v>
      </c>
      <c r="I137" s="2647" t="s">
        <v>772</v>
      </c>
      <c r="J137" s="2648"/>
      <c r="K137" s="2648"/>
      <c r="L137" s="2648"/>
      <c r="M137" s="2648"/>
      <c r="N137" s="2649"/>
    </row>
    <row r="138" spans="1:16" s="1" customFormat="1" ht="34" hidden="1" customHeight="1" x14ac:dyDescent="0.2">
      <c r="A138" s="2664"/>
      <c r="B138" s="3520"/>
      <c r="C138" s="57" t="s">
        <v>22</v>
      </c>
      <c r="D138" s="739" t="e">
        <f>D137/$G$137*100</f>
        <v>#DIV/0!</v>
      </c>
      <c r="E138" s="739"/>
      <c r="F138" s="739" t="e">
        <f>F137/$G$137*100</f>
        <v>#DIV/0!</v>
      </c>
      <c r="G138" s="216"/>
      <c r="H138" s="214" t="e">
        <f t="shared" si="13"/>
        <v>#DIV/0!</v>
      </c>
      <c r="I138" s="2650"/>
      <c r="J138" s="2507"/>
      <c r="K138" s="2507"/>
      <c r="L138" s="2507"/>
      <c r="M138" s="2507"/>
      <c r="N138" s="2651"/>
    </row>
    <row r="139" spans="1:16" s="1" customFormat="1" ht="34" hidden="1" customHeight="1" x14ac:dyDescent="0.2">
      <c r="A139" s="2664">
        <v>2</v>
      </c>
      <c r="B139" s="3518" t="s">
        <v>117</v>
      </c>
      <c r="C139" s="57" t="s">
        <v>21</v>
      </c>
      <c r="D139" s="831"/>
      <c r="E139" s="214"/>
      <c r="F139" s="831"/>
      <c r="G139" s="831">
        <f>SUM(D139:F139)</f>
        <v>0</v>
      </c>
      <c r="H139" s="214" t="e">
        <f t="shared" si="13"/>
        <v>#DIV/0!</v>
      </c>
      <c r="I139" s="2650"/>
      <c r="J139" s="2507"/>
      <c r="K139" s="2507"/>
      <c r="L139" s="2507"/>
      <c r="M139" s="2507"/>
      <c r="N139" s="2651"/>
    </row>
    <row r="140" spans="1:16" s="1" customFormat="1" ht="34" hidden="1" customHeight="1" x14ac:dyDescent="0.2">
      <c r="A140" s="2664"/>
      <c r="B140" s="3518"/>
      <c r="C140" s="57" t="s">
        <v>22</v>
      </c>
      <c r="D140" s="216" t="e">
        <f>D139/$G$139*100</f>
        <v>#DIV/0!</v>
      </c>
      <c r="E140" s="216" t="e">
        <f>E139/$G$139*100</f>
        <v>#DIV/0!</v>
      </c>
      <c r="F140" s="216" t="e">
        <f>F139/$G$139*100</f>
        <v>#DIV/0!</v>
      </c>
      <c r="G140" s="216"/>
      <c r="H140" s="214" t="e">
        <f t="shared" si="13"/>
        <v>#DIV/0!</v>
      </c>
      <c r="I140" s="2650"/>
      <c r="J140" s="2507"/>
      <c r="K140" s="2507"/>
      <c r="L140" s="2507"/>
      <c r="M140" s="2507"/>
      <c r="N140" s="2651"/>
    </row>
    <row r="141" spans="1:16" s="1" customFormat="1" ht="34" hidden="1" customHeight="1" x14ac:dyDescent="0.2">
      <c r="A141" s="2664">
        <v>3</v>
      </c>
      <c r="B141" s="3518" t="s">
        <v>125</v>
      </c>
      <c r="C141" s="57" t="s">
        <v>21</v>
      </c>
      <c r="D141" s="831"/>
      <c r="E141" s="214"/>
      <c r="F141" s="831"/>
      <c r="G141" s="831">
        <f>SUM(D141:F141)</f>
        <v>0</v>
      </c>
      <c r="H141" s="214" t="e">
        <f t="shared" si="13"/>
        <v>#DIV/0!</v>
      </c>
      <c r="I141" s="2650"/>
      <c r="J141" s="2507"/>
      <c r="K141" s="2507"/>
      <c r="L141" s="2507"/>
      <c r="M141" s="2507"/>
      <c r="N141" s="2651"/>
    </row>
    <row r="142" spans="1:16" s="1" customFormat="1" ht="34" hidden="1" customHeight="1" x14ac:dyDescent="0.2">
      <c r="A142" s="2664"/>
      <c r="B142" s="3518"/>
      <c r="C142" s="57" t="s">
        <v>22</v>
      </c>
      <c r="D142" s="216" t="e">
        <f>D141/$G$141*100</f>
        <v>#DIV/0!</v>
      </c>
      <c r="E142" s="216" t="e">
        <f>E141/$G$141*100</f>
        <v>#DIV/0!</v>
      </c>
      <c r="F142" s="216" t="e">
        <f>F141/$G$141*100</f>
        <v>#DIV/0!</v>
      </c>
      <c r="G142" s="216"/>
      <c r="H142" s="214" t="e">
        <f t="shared" si="13"/>
        <v>#DIV/0!</v>
      </c>
      <c r="I142" s="2650"/>
      <c r="J142" s="2507"/>
      <c r="K142" s="2507"/>
      <c r="L142" s="2507"/>
      <c r="M142" s="2507"/>
      <c r="N142" s="2651"/>
    </row>
    <row r="143" spans="1:16" s="1" customFormat="1" ht="34" hidden="1" customHeight="1" x14ac:dyDescent="0.2">
      <c r="A143" s="2664">
        <v>4</v>
      </c>
      <c r="B143" s="3519" t="s">
        <v>129</v>
      </c>
      <c r="C143" s="57" t="s">
        <v>21</v>
      </c>
      <c r="D143" s="831"/>
      <c r="E143" s="214"/>
      <c r="F143" s="831"/>
      <c r="G143" s="831">
        <f>SUM(D143:F143)</f>
        <v>0</v>
      </c>
      <c r="H143" s="214" t="e">
        <f t="shared" si="13"/>
        <v>#DIV/0!</v>
      </c>
      <c r="I143" s="2650"/>
      <c r="J143" s="2507"/>
      <c r="K143" s="2507"/>
      <c r="L143" s="2507"/>
      <c r="M143" s="2507"/>
      <c r="N143" s="2651"/>
    </row>
    <row r="144" spans="1:16" s="1" customFormat="1" ht="30" hidden="1" customHeight="1" x14ac:dyDescent="0.2">
      <c r="A144" s="2664"/>
      <c r="B144" s="3519"/>
      <c r="C144" s="57" t="s">
        <v>22</v>
      </c>
      <c r="D144" s="216" t="e">
        <f>D143/$G$143*100</f>
        <v>#DIV/0!</v>
      </c>
      <c r="E144" s="216" t="e">
        <f>E143/$G$143*100</f>
        <v>#DIV/0!</v>
      </c>
      <c r="F144" s="216" t="e">
        <f>F143/$G$143*100</f>
        <v>#DIV/0!</v>
      </c>
      <c r="G144" s="216"/>
      <c r="H144" s="214" t="e">
        <f t="shared" si="13"/>
        <v>#DIV/0!</v>
      </c>
      <c r="I144" s="2650"/>
      <c r="J144" s="2507"/>
      <c r="K144" s="2507"/>
      <c r="L144" s="2507"/>
      <c r="M144" s="2507"/>
      <c r="N144" s="2651"/>
    </row>
    <row r="145" spans="1:14" s="1" customFormat="1" ht="30" hidden="1" customHeight="1" x14ac:dyDescent="0.2">
      <c r="A145" s="2664">
        <v>5</v>
      </c>
      <c r="B145" s="3518" t="s">
        <v>146</v>
      </c>
      <c r="C145" s="57" t="s">
        <v>21</v>
      </c>
      <c r="D145" s="831"/>
      <c r="E145" s="214"/>
      <c r="F145" s="831"/>
      <c r="G145" s="831">
        <f>SUM(D145:F145)</f>
        <v>0</v>
      </c>
      <c r="H145" s="214" t="e">
        <f t="shared" si="13"/>
        <v>#DIV/0!</v>
      </c>
      <c r="I145" s="2650"/>
      <c r="J145" s="2507"/>
      <c r="K145" s="2507"/>
      <c r="L145" s="2507"/>
      <c r="M145" s="2507"/>
      <c r="N145" s="2651"/>
    </row>
    <row r="146" spans="1:14" s="1" customFormat="1" ht="30" hidden="1" customHeight="1" x14ac:dyDescent="0.2">
      <c r="A146" s="2664"/>
      <c r="B146" s="3518"/>
      <c r="C146" s="57" t="s">
        <v>22</v>
      </c>
      <c r="D146" s="216" t="e">
        <f>D145/$G$145*100</f>
        <v>#DIV/0!</v>
      </c>
      <c r="E146" s="216" t="e">
        <f>E145/$G$145*100</f>
        <v>#DIV/0!</v>
      </c>
      <c r="F146" s="216" t="e">
        <f>F145/$G$145*100</f>
        <v>#DIV/0!</v>
      </c>
      <c r="G146" s="216"/>
      <c r="H146" s="214" t="e">
        <f t="shared" si="13"/>
        <v>#DIV/0!</v>
      </c>
      <c r="I146" s="2650"/>
      <c r="J146" s="2507"/>
      <c r="K146" s="2507"/>
      <c r="L146" s="2507"/>
      <c r="M146" s="2507"/>
      <c r="N146" s="2651"/>
    </row>
    <row r="147" spans="1:14" s="1" customFormat="1" ht="30" hidden="1" customHeight="1" x14ac:dyDescent="0.2">
      <c r="A147" s="2664">
        <v>6</v>
      </c>
      <c r="B147" s="3518" t="s">
        <v>146</v>
      </c>
      <c r="C147" s="57" t="s">
        <v>21</v>
      </c>
      <c r="D147" s="831"/>
      <c r="E147" s="214"/>
      <c r="F147" s="831"/>
      <c r="G147" s="831">
        <f>SUM(D147:F147)</f>
        <v>0</v>
      </c>
      <c r="H147" s="214" t="e">
        <f t="shared" si="13"/>
        <v>#DIV/0!</v>
      </c>
      <c r="I147" s="2650"/>
      <c r="J147" s="2507"/>
      <c r="K147" s="2507"/>
      <c r="L147" s="2507"/>
      <c r="M147" s="2507"/>
      <c r="N147" s="2651"/>
    </row>
    <row r="148" spans="1:14" s="1" customFormat="1" ht="30" hidden="1" customHeight="1" x14ac:dyDescent="0.2">
      <c r="A148" s="2664"/>
      <c r="B148" s="3518"/>
      <c r="C148" s="57" t="s">
        <v>22</v>
      </c>
      <c r="D148" s="216" t="e">
        <f>D147/$G$131*100</f>
        <v>#DIV/0!</v>
      </c>
      <c r="E148" s="216" t="e">
        <f>E147/$G$131*100</f>
        <v>#DIV/0!</v>
      </c>
      <c r="F148" s="216" t="e">
        <f>F147/$G$131*100</f>
        <v>#DIV/0!</v>
      </c>
      <c r="G148" s="214"/>
      <c r="H148" s="214" t="e">
        <f t="shared" si="13"/>
        <v>#DIV/0!</v>
      </c>
      <c r="I148" s="2650"/>
      <c r="J148" s="2507"/>
      <c r="K148" s="2507"/>
      <c r="L148" s="2507"/>
      <c r="M148" s="2507"/>
      <c r="N148" s="2651"/>
    </row>
    <row r="149" spans="1:14" s="1" customFormat="1" ht="30" hidden="1" customHeight="1" x14ac:dyDescent="0.2">
      <c r="A149" s="2664">
        <v>7</v>
      </c>
      <c r="B149" s="3518" t="s">
        <v>541</v>
      </c>
      <c r="C149" s="57" t="s">
        <v>21</v>
      </c>
      <c r="D149" s="831"/>
      <c r="E149" s="214"/>
      <c r="F149" s="831"/>
      <c r="G149" s="831">
        <f>SUM(D149:F149)</f>
        <v>0</v>
      </c>
      <c r="H149" s="214" t="e">
        <f t="shared" si="13"/>
        <v>#DIV/0!</v>
      </c>
      <c r="I149" s="2650"/>
      <c r="J149" s="2507"/>
      <c r="K149" s="2507"/>
      <c r="L149" s="2507"/>
      <c r="M149" s="2507"/>
      <c r="N149" s="2651"/>
    </row>
    <row r="150" spans="1:14" s="1" customFormat="1" ht="30" hidden="1" customHeight="1" x14ac:dyDescent="0.2">
      <c r="A150" s="2664"/>
      <c r="B150" s="3518"/>
      <c r="C150" s="57" t="s">
        <v>22</v>
      </c>
      <c r="D150" s="216" t="e">
        <f>D149/$G$117*100</f>
        <v>#DIV/0!</v>
      </c>
      <c r="E150" s="216" t="e">
        <f>E149/$G$117*100</f>
        <v>#DIV/0!</v>
      </c>
      <c r="F150" s="216" t="e">
        <f>F149/$G$117*100</f>
        <v>#DIV/0!</v>
      </c>
      <c r="G150" s="214" t="e">
        <f>SUM(D150:F150)</f>
        <v>#DIV/0!</v>
      </c>
      <c r="H150" s="214" t="e">
        <f t="shared" si="13"/>
        <v>#DIV/0!</v>
      </c>
      <c r="I150" s="2650"/>
      <c r="J150" s="2507"/>
      <c r="K150" s="2507"/>
      <c r="L150" s="2507"/>
      <c r="M150" s="2507"/>
      <c r="N150" s="2651"/>
    </row>
    <row r="151" spans="1:14" s="1" customFormat="1" ht="30" hidden="1" customHeight="1" x14ac:dyDescent="0.2">
      <c r="A151" s="3518" t="s">
        <v>1087</v>
      </c>
      <c r="B151" s="3518"/>
      <c r="C151" s="971" t="s">
        <v>21</v>
      </c>
      <c r="D151" s="972">
        <f>SUMIFS(D137:D150,$C$137:$C$150,"m2")</f>
        <v>0</v>
      </c>
      <c r="E151" s="972">
        <f>SUMIFS(E137:E150,$C$137:$C$150,"m2")</f>
        <v>0</v>
      </c>
      <c r="F151" s="972">
        <f>SUMIFS(F137:F150,$C$137:$C$150,"m2")</f>
        <v>0</v>
      </c>
      <c r="G151" s="972">
        <f>SUM(D151:F151)</f>
        <v>0</v>
      </c>
      <c r="H151" s="1095"/>
      <c r="I151" s="2650"/>
      <c r="J151" s="2507"/>
      <c r="K151" s="2507"/>
      <c r="L151" s="2507"/>
      <c r="M151" s="2507"/>
      <c r="N151" s="2651"/>
    </row>
    <row r="152" spans="1:14" s="1" customFormat="1" ht="30" hidden="1" customHeight="1" x14ac:dyDescent="0.2">
      <c r="A152" s="3518"/>
      <c r="B152" s="3518"/>
      <c r="C152" s="971" t="s">
        <v>22</v>
      </c>
      <c r="D152" s="973" t="e">
        <f>D151/$G$151*100</f>
        <v>#DIV/0!</v>
      </c>
      <c r="E152" s="973" t="e">
        <f>E151/$G$151*100</f>
        <v>#DIV/0!</v>
      </c>
      <c r="F152" s="973" t="e">
        <f>F151/$G$151*100</f>
        <v>#DIV/0!</v>
      </c>
      <c r="G152" s="974"/>
      <c r="H152" s="1095"/>
      <c r="I152" s="2652"/>
      <c r="J152" s="2596"/>
      <c r="K152" s="2596"/>
      <c r="L152" s="2596"/>
      <c r="M152" s="2596"/>
      <c r="N152" s="2653"/>
    </row>
    <row r="153" spans="1:14" s="1" customFormat="1" ht="26" hidden="1" customHeight="1" x14ac:dyDescent="0.2">
      <c r="A153" s="2664">
        <v>1</v>
      </c>
      <c r="B153" s="3520" t="s">
        <v>109</v>
      </c>
      <c r="C153" s="57" t="s">
        <v>21</v>
      </c>
      <c r="D153" s="834"/>
      <c r="E153" s="738"/>
      <c r="F153" s="834"/>
      <c r="G153" s="831">
        <f>SUM(D153:F153)</f>
        <v>0</v>
      </c>
      <c r="H153" s="214" t="e">
        <f t="shared" ref="H153:H166" si="14">(G153/$G$119*100)</f>
        <v>#DIV/0!</v>
      </c>
      <c r="I153" s="2599" t="s">
        <v>773</v>
      </c>
      <c r="J153" s="2599"/>
      <c r="K153" s="2599"/>
      <c r="L153" s="2599"/>
      <c r="M153" s="2599"/>
      <c r="N153" s="2599"/>
    </row>
    <row r="154" spans="1:14" s="1" customFormat="1" ht="26" hidden="1" customHeight="1" x14ac:dyDescent="0.2">
      <c r="A154" s="2664"/>
      <c r="B154" s="3520"/>
      <c r="C154" s="57" t="s">
        <v>22</v>
      </c>
      <c r="D154" s="739" t="e">
        <f>D153/$G$153*100</f>
        <v>#DIV/0!</v>
      </c>
      <c r="E154" s="739"/>
      <c r="F154" s="739" t="e">
        <f>F153/$G$153*100</f>
        <v>#DIV/0!</v>
      </c>
      <c r="G154" s="216"/>
      <c r="H154" s="214" t="e">
        <f t="shared" si="14"/>
        <v>#DIV/0!</v>
      </c>
      <c r="I154" s="2599"/>
      <c r="J154" s="2599"/>
      <c r="K154" s="2599"/>
      <c r="L154" s="2599"/>
      <c r="M154" s="2599"/>
      <c r="N154" s="2599"/>
    </row>
    <row r="155" spans="1:14" s="1" customFormat="1" ht="26" hidden="1" customHeight="1" x14ac:dyDescent="0.2">
      <c r="A155" s="2664">
        <v>2</v>
      </c>
      <c r="B155" s="3518" t="s">
        <v>117</v>
      </c>
      <c r="C155" s="57" t="s">
        <v>21</v>
      </c>
      <c r="D155" s="831"/>
      <c r="E155" s="214"/>
      <c r="F155" s="831"/>
      <c r="G155" s="831">
        <f>SUM(D155:F155)</f>
        <v>0</v>
      </c>
      <c r="H155" s="214" t="e">
        <f t="shared" si="14"/>
        <v>#DIV/0!</v>
      </c>
      <c r="I155" s="2599"/>
      <c r="J155" s="2599"/>
      <c r="K155" s="2599"/>
      <c r="L155" s="2599"/>
      <c r="M155" s="2599"/>
      <c r="N155" s="2599"/>
    </row>
    <row r="156" spans="1:14" s="1" customFormat="1" ht="1" hidden="1" customHeight="1" x14ac:dyDescent="0.2">
      <c r="A156" s="2664"/>
      <c r="B156" s="3518"/>
      <c r="C156" s="57" t="s">
        <v>22</v>
      </c>
      <c r="D156" s="216" t="e">
        <f>D155/$G$155*100</f>
        <v>#DIV/0!</v>
      </c>
      <c r="E156" s="216" t="e">
        <f>E155/$G$155*100</f>
        <v>#DIV/0!</v>
      </c>
      <c r="F156" s="216" t="e">
        <f>F155/$G$155*100</f>
        <v>#DIV/0!</v>
      </c>
      <c r="G156" s="216"/>
      <c r="H156" s="214" t="e">
        <f t="shared" si="14"/>
        <v>#DIV/0!</v>
      </c>
      <c r="I156" s="2599"/>
      <c r="J156" s="2599"/>
      <c r="K156" s="2599"/>
      <c r="L156" s="2599"/>
      <c r="M156" s="2599"/>
      <c r="N156" s="2599"/>
    </row>
    <row r="157" spans="1:14" s="1" customFormat="1" ht="26" customHeight="1" x14ac:dyDescent="0.2">
      <c r="A157" s="2664">
        <v>1</v>
      </c>
      <c r="B157" s="3518" t="s">
        <v>125</v>
      </c>
      <c r="C157" s="57" t="s">
        <v>21</v>
      </c>
      <c r="D157" s="831">
        <v>4168.8</v>
      </c>
      <c r="E157" s="214"/>
      <c r="F157" s="831">
        <v>270</v>
      </c>
      <c r="G157" s="831">
        <f>SUM(D157:F157)</f>
        <v>4438.8</v>
      </c>
      <c r="H157" s="214">
        <f>(G157/$G$157*100)</f>
        <v>100</v>
      </c>
      <c r="I157" s="2599"/>
      <c r="J157" s="2599"/>
      <c r="K157" s="2599"/>
      <c r="L157" s="2599"/>
      <c r="M157" s="2599"/>
      <c r="N157" s="2599"/>
    </row>
    <row r="158" spans="1:14" s="1" customFormat="1" ht="26" customHeight="1" x14ac:dyDescent="0.2">
      <c r="A158" s="2664"/>
      <c r="B158" s="3518"/>
      <c r="C158" s="57" t="s">
        <v>22</v>
      </c>
      <c r="D158" s="216">
        <f>D157/$G$157*100</f>
        <v>93.917274939172742</v>
      </c>
      <c r="E158" s="216">
        <f>E157/$G$157*100</f>
        <v>0</v>
      </c>
      <c r="F158" s="216">
        <f>F157/$G$157*100</f>
        <v>6.0827250608272498</v>
      </c>
      <c r="G158" s="216"/>
      <c r="H158" s="214">
        <f>(G158/$G$157*100)</f>
        <v>0</v>
      </c>
      <c r="I158" s="2599"/>
      <c r="J158" s="2599"/>
      <c r="K158" s="2599"/>
      <c r="L158" s="2599"/>
      <c r="M158" s="2599"/>
      <c r="N158" s="2599"/>
    </row>
    <row r="159" spans="1:14" s="1" customFormat="1" ht="26" customHeight="1" x14ac:dyDescent="0.2">
      <c r="A159" s="2664">
        <v>4</v>
      </c>
      <c r="B159" s="3519" t="s">
        <v>129</v>
      </c>
      <c r="C159" s="57" t="s">
        <v>21</v>
      </c>
      <c r="D159" s="831"/>
      <c r="E159" s="214"/>
      <c r="F159" s="831"/>
      <c r="G159" s="831">
        <f>SUM(D159:F159)</f>
        <v>0</v>
      </c>
      <c r="H159" s="214" t="e">
        <f t="shared" si="14"/>
        <v>#DIV/0!</v>
      </c>
      <c r="I159" s="2599"/>
      <c r="J159" s="2599"/>
      <c r="K159" s="2599"/>
      <c r="L159" s="2599"/>
      <c r="M159" s="2599"/>
      <c r="N159" s="2599"/>
    </row>
    <row r="160" spans="1:14" s="1" customFormat="1" ht="26" customHeight="1" x14ac:dyDescent="0.2">
      <c r="A160" s="2664"/>
      <c r="B160" s="3519"/>
      <c r="C160" s="57" t="s">
        <v>22</v>
      </c>
      <c r="D160" s="216" t="e">
        <f>D159/$G$159*100</f>
        <v>#DIV/0!</v>
      </c>
      <c r="E160" s="216" t="e">
        <f>E159/$G$159*100</f>
        <v>#DIV/0!</v>
      </c>
      <c r="F160" s="216" t="e">
        <f>F159/$G$159*100</f>
        <v>#DIV/0!</v>
      </c>
      <c r="G160" s="216"/>
      <c r="H160" s="214" t="e">
        <f t="shared" si="14"/>
        <v>#DIV/0!</v>
      </c>
      <c r="I160" s="2599"/>
      <c r="J160" s="2599"/>
      <c r="K160" s="2599"/>
      <c r="L160" s="2599"/>
      <c r="M160" s="2599"/>
      <c r="N160" s="2599"/>
    </row>
    <row r="161" spans="1:14" s="1" customFormat="1" ht="26" customHeight="1" x14ac:dyDescent="0.2">
      <c r="A161" s="2664">
        <v>5</v>
      </c>
      <c r="B161" s="3519" t="s">
        <v>129</v>
      </c>
      <c r="C161" s="57" t="s">
        <v>21</v>
      </c>
      <c r="D161" s="831"/>
      <c r="E161" s="214"/>
      <c r="F161" s="831"/>
      <c r="G161" s="831">
        <f>SUM(D161:F161)</f>
        <v>0</v>
      </c>
      <c r="H161" s="214" t="e">
        <f t="shared" si="14"/>
        <v>#DIV/0!</v>
      </c>
      <c r="I161" s="2599"/>
      <c r="J161" s="2599"/>
      <c r="K161" s="2599"/>
      <c r="L161" s="2599"/>
      <c r="M161" s="2599"/>
      <c r="N161" s="2599"/>
    </row>
    <row r="162" spans="1:14" s="1" customFormat="1" ht="26" customHeight="1" x14ac:dyDescent="0.2">
      <c r="A162" s="2664"/>
      <c r="B162" s="3519"/>
      <c r="C162" s="57" t="s">
        <v>22</v>
      </c>
      <c r="D162" s="216" t="e">
        <f>D161/$G$161*100</f>
        <v>#DIV/0!</v>
      </c>
      <c r="E162" s="216" t="e">
        <f>E161/$G$161*100</f>
        <v>#DIV/0!</v>
      </c>
      <c r="F162" s="216" t="e">
        <f>F161/$G$161*100</f>
        <v>#DIV/0!</v>
      </c>
      <c r="G162" s="216"/>
      <c r="H162" s="214" t="e">
        <f t="shared" si="14"/>
        <v>#DIV/0!</v>
      </c>
      <c r="I162" s="2599"/>
      <c r="J162" s="2599"/>
      <c r="K162" s="2599"/>
      <c r="L162" s="2599"/>
      <c r="M162" s="2599"/>
      <c r="N162" s="2599"/>
    </row>
    <row r="163" spans="1:14" s="1" customFormat="1" ht="26" customHeight="1" x14ac:dyDescent="0.2">
      <c r="A163" s="2664">
        <v>6</v>
      </c>
      <c r="B163" s="3518" t="s">
        <v>146</v>
      </c>
      <c r="C163" s="57" t="s">
        <v>21</v>
      </c>
      <c r="D163" s="831"/>
      <c r="E163" s="214"/>
      <c r="F163" s="831"/>
      <c r="G163" s="831">
        <f>SUM(D163:F163)</f>
        <v>0</v>
      </c>
      <c r="H163" s="214" t="e">
        <f t="shared" si="14"/>
        <v>#DIV/0!</v>
      </c>
      <c r="I163" s="2599"/>
      <c r="J163" s="2599"/>
      <c r="K163" s="2599"/>
      <c r="L163" s="2599"/>
      <c r="M163" s="2599"/>
      <c r="N163" s="2599"/>
    </row>
    <row r="164" spans="1:14" s="1" customFormat="1" ht="26" customHeight="1" x14ac:dyDescent="0.2">
      <c r="A164" s="2664"/>
      <c r="B164" s="3518"/>
      <c r="C164" s="57" t="s">
        <v>22</v>
      </c>
      <c r="D164" s="216" t="e">
        <f>D163/$G$163*100</f>
        <v>#DIV/0!</v>
      </c>
      <c r="E164" s="216" t="e">
        <f>E163/$G$163*100</f>
        <v>#DIV/0!</v>
      </c>
      <c r="F164" s="216" t="e">
        <f>F163/$G$163*100</f>
        <v>#DIV/0!</v>
      </c>
      <c r="G164" s="214"/>
      <c r="H164" s="214" t="e">
        <f t="shared" si="14"/>
        <v>#DIV/0!</v>
      </c>
      <c r="I164" s="2599"/>
      <c r="J164" s="2599"/>
      <c r="K164" s="2599"/>
      <c r="L164" s="2599"/>
      <c r="M164" s="2599"/>
      <c r="N164" s="2599"/>
    </row>
    <row r="165" spans="1:14" s="1" customFormat="1" ht="26" customHeight="1" x14ac:dyDescent="0.2">
      <c r="A165" s="2664">
        <v>7</v>
      </c>
      <c r="B165" s="3518" t="s">
        <v>541</v>
      </c>
      <c r="C165" s="57" t="s">
        <v>21</v>
      </c>
      <c r="D165" s="831"/>
      <c r="E165" s="214"/>
      <c r="F165" s="831"/>
      <c r="G165" s="831">
        <f>SUM(D165:F165)</f>
        <v>0</v>
      </c>
      <c r="H165" s="214" t="e">
        <f t="shared" si="14"/>
        <v>#DIV/0!</v>
      </c>
      <c r="I165" s="2599"/>
      <c r="J165" s="2599"/>
      <c r="K165" s="2599"/>
      <c r="L165" s="2599"/>
      <c r="M165" s="2599"/>
      <c r="N165" s="2599"/>
    </row>
    <row r="166" spans="1:14" s="1" customFormat="1" ht="26" customHeight="1" x14ac:dyDescent="0.2">
      <c r="A166" s="2664"/>
      <c r="B166" s="3518"/>
      <c r="C166" s="57" t="s">
        <v>22</v>
      </c>
      <c r="D166" s="216" t="e">
        <f>D165/$G$165*100</f>
        <v>#DIV/0!</v>
      </c>
      <c r="E166" s="216" t="e">
        <f>E165/$G$165*100</f>
        <v>#DIV/0!</v>
      </c>
      <c r="F166" s="216" t="e">
        <f>F165/$G$165*100</f>
        <v>#DIV/0!</v>
      </c>
      <c r="G166" s="214" t="e">
        <f>SUM(D166:F166)</f>
        <v>#DIV/0!</v>
      </c>
      <c r="H166" s="214" t="e">
        <f t="shared" si="14"/>
        <v>#DIV/0!</v>
      </c>
      <c r="I166" s="2599"/>
      <c r="J166" s="2599"/>
      <c r="K166" s="2599"/>
      <c r="L166" s="2599"/>
      <c r="M166" s="2599"/>
      <c r="N166" s="2599"/>
    </row>
    <row r="167" spans="1:14" s="1" customFormat="1" ht="31" customHeight="1" x14ac:dyDescent="0.2">
      <c r="A167" s="3518" t="s">
        <v>1088</v>
      </c>
      <c r="B167" s="3518"/>
      <c r="C167" s="971" t="s">
        <v>21</v>
      </c>
      <c r="D167" s="972">
        <f>SUMIFS(D153:D166,$C$153:$C$166,"m2")</f>
        <v>4168.8</v>
      </c>
      <c r="E167" s="972">
        <f>SUMIFS(E153:E166,$C$153:$C$166,"m2")</f>
        <v>0</v>
      </c>
      <c r="F167" s="972">
        <f>SUMIFS(F153:F166,$C$153:$C$166,"m2")</f>
        <v>270</v>
      </c>
      <c r="G167" s="972">
        <f>SUM(D167:F167)</f>
        <v>4438.8</v>
      </c>
      <c r="H167" s="1095"/>
      <c r="I167" s="2599"/>
      <c r="J167" s="2599"/>
      <c r="K167" s="2599"/>
      <c r="L167" s="2599"/>
      <c r="M167" s="2599"/>
      <c r="N167" s="2599"/>
    </row>
    <row r="168" spans="1:14" s="1" customFormat="1" ht="31" customHeight="1" x14ac:dyDescent="0.2">
      <c r="A168" s="3518"/>
      <c r="B168" s="3518"/>
      <c r="C168" s="971" t="s">
        <v>22</v>
      </c>
      <c r="D168" s="1894">
        <f>D167/$G$167*100</f>
        <v>93.917274939172742</v>
      </c>
      <c r="E168" s="1894">
        <f>E167/$G$167*100</f>
        <v>0</v>
      </c>
      <c r="F168" s="1894">
        <f>F167/$G$167*100</f>
        <v>6.0827250608272498</v>
      </c>
      <c r="G168" s="974"/>
      <c r="H168" s="1095"/>
      <c r="I168" s="2599"/>
      <c r="J168" s="2599"/>
      <c r="K168" s="2599"/>
      <c r="L168" s="2599"/>
      <c r="M168" s="2599"/>
      <c r="N168" s="2599"/>
    </row>
    <row r="169" spans="1:14" s="1" customFormat="1" ht="37" customHeight="1" x14ac:dyDescent="0.2">
      <c r="A169" s="2664">
        <v>1</v>
      </c>
      <c r="B169" s="3520" t="s">
        <v>109</v>
      </c>
      <c r="C169" s="57" t="s">
        <v>21</v>
      </c>
      <c r="D169" s="834">
        <v>253726.4</v>
      </c>
      <c r="E169" s="738">
        <v>0</v>
      </c>
      <c r="F169" s="834">
        <v>19014.400000000001</v>
      </c>
      <c r="G169" s="831">
        <f>SUM(D169:F169)</f>
        <v>272740.8</v>
      </c>
      <c r="H169" s="214">
        <f>(G169/$G$185*100)</f>
        <v>63.156619435268389</v>
      </c>
      <c r="I169" s="2599" t="s">
        <v>774</v>
      </c>
      <c r="J169" s="2599"/>
      <c r="K169" s="2599"/>
      <c r="L169" s="2599"/>
      <c r="M169" s="2599"/>
      <c r="N169" s="2599"/>
    </row>
    <row r="170" spans="1:14" s="1" customFormat="1" ht="37" customHeight="1" x14ac:dyDescent="0.2">
      <c r="A170" s="2664"/>
      <c r="B170" s="3520"/>
      <c r="C170" s="57" t="s">
        <v>22</v>
      </c>
      <c r="D170" s="739">
        <f>D169/$G$169*100</f>
        <v>93.028399124736751</v>
      </c>
      <c r="E170" s="739"/>
      <c r="F170" s="739">
        <f>F169/$G$169*100</f>
        <v>6.9716008752632552</v>
      </c>
      <c r="G170" s="216"/>
      <c r="H170" s="214">
        <f t="shared" ref="H170:H186" si="15">(G170/$G$185*100)</f>
        <v>0</v>
      </c>
      <c r="I170" s="2599"/>
      <c r="J170" s="2599"/>
      <c r="K170" s="2599"/>
      <c r="L170" s="2599"/>
      <c r="M170" s="2599"/>
      <c r="N170" s="2599"/>
    </row>
    <row r="171" spans="1:14" s="1" customFormat="1" ht="37" customHeight="1" x14ac:dyDescent="0.2">
      <c r="A171" s="2664">
        <v>2</v>
      </c>
      <c r="B171" s="3518" t="s">
        <v>541</v>
      </c>
      <c r="C171" s="57" t="s">
        <v>21</v>
      </c>
      <c r="D171" s="831">
        <v>49910.400000000001</v>
      </c>
      <c r="E171" s="214">
        <v>0</v>
      </c>
      <c r="F171" s="831">
        <v>2160.64</v>
      </c>
      <c r="G171" s="831">
        <f>SUM(D171:F171)</f>
        <v>52071.040000000001</v>
      </c>
      <c r="H171" s="214">
        <f t="shared" si="15"/>
        <v>12.057715079220408</v>
      </c>
      <c r="I171" s="2599"/>
      <c r="J171" s="2599"/>
      <c r="K171" s="2599"/>
      <c r="L171" s="2599"/>
      <c r="M171" s="2599"/>
      <c r="N171" s="2599"/>
    </row>
    <row r="172" spans="1:14" s="1" customFormat="1" ht="37" customHeight="1" x14ac:dyDescent="0.2">
      <c r="A172" s="2664"/>
      <c r="B172" s="3518"/>
      <c r="C172" s="57" t="s">
        <v>22</v>
      </c>
      <c r="D172" s="216">
        <f>D171/$G$171*100</f>
        <v>95.850591806885362</v>
      </c>
      <c r="E172" s="216">
        <f>E171/$G$171*100</f>
        <v>0</v>
      </c>
      <c r="F172" s="216">
        <f>F171/$G$171*100</f>
        <v>4.1494081931146374</v>
      </c>
      <c r="G172" s="216"/>
      <c r="H172" s="214">
        <f t="shared" si="15"/>
        <v>0</v>
      </c>
      <c r="I172" s="2599"/>
      <c r="J172" s="2599"/>
      <c r="K172" s="2599"/>
      <c r="L172" s="2599"/>
      <c r="M172" s="2599"/>
      <c r="N172" s="2599"/>
    </row>
    <row r="173" spans="1:14" s="1" customFormat="1" ht="37" customHeight="1" x14ac:dyDescent="0.2">
      <c r="A173" s="2664">
        <v>3</v>
      </c>
      <c r="B173" s="3518" t="s">
        <v>146</v>
      </c>
      <c r="C173" s="57" t="s">
        <v>21</v>
      </c>
      <c r="D173" s="831">
        <v>12172.8</v>
      </c>
      <c r="E173" s="214">
        <v>0</v>
      </c>
      <c r="F173" s="831">
        <v>414.72</v>
      </c>
      <c r="G173" s="831">
        <f>SUM(D173:F173)</f>
        <v>12587.519999999999</v>
      </c>
      <c r="H173" s="214">
        <f t="shared" si="15"/>
        <v>2.9148011968646768</v>
      </c>
      <c r="I173" s="2599"/>
      <c r="J173" s="2599"/>
      <c r="K173" s="2599"/>
      <c r="L173" s="2599"/>
      <c r="M173" s="2599"/>
      <c r="N173" s="2599"/>
    </row>
    <row r="174" spans="1:14" s="1" customFormat="1" ht="37" customHeight="1" x14ac:dyDescent="0.2">
      <c r="A174" s="2664"/>
      <c r="B174" s="3518"/>
      <c r="C174" s="57" t="s">
        <v>22</v>
      </c>
      <c r="D174" s="216">
        <f>D173/$G$173*100</f>
        <v>96.705308114704096</v>
      </c>
      <c r="E174" s="216">
        <f>E173/$G$173*100</f>
        <v>0</v>
      </c>
      <c r="F174" s="216">
        <f>F173/$G$173*100</f>
        <v>3.2946918852959124</v>
      </c>
      <c r="G174" s="216"/>
      <c r="H174" s="214">
        <f t="shared" si="15"/>
        <v>0</v>
      </c>
      <c r="I174" s="2599"/>
      <c r="J174" s="2599"/>
      <c r="K174" s="2599"/>
      <c r="L174" s="2599"/>
      <c r="M174" s="2599"/>
      <c r="N174" s="2599"/>
    </row>
    <row r="175" spans="1:14" s="1" customFormat="1" ht="37" customHeight="1" x14ac:dyDescent="0.2">
      <c r="A175" s="2664">
        <v>4</v>
      </c>
      <c r="B175" s="3519" t="s">
        <v>125</v>
      </c>
      <c r="C175" s="57" t="s">
        <v>21</v>
      </c>
      <c r="D175" s="831">
        <v>27332.799999999999</v>
      </c>
      <c r="E175" s="214"/>
      <c r="F175" s="831">
        <v>1574.4</v>
      </c>
      <c r="G175" s="831">
        <f>SUM(D175:F175)</f>
        <v>28907.200000000001</v>
      </c>
      <c r="H175" s="214">
        <f t="shared" si="15"/>
        <v>6.6938317601883925</v>
      </c>
      <c r="I175" s="2599"/>
      <c r="J175" s="2599"/>
      <c r="K175" s="2599"/>
      <c r="L175" s="2599"/>
      <c r="M175" s="2599"/>
      <c r="N175" s="2599"/>
    </row>
    <row r="176" spans="1:14" s="1" customFormat="1" ht="37" customHeight="1" x14ac:dyDescent="0.2">
      <c r="A176" s="2664"/>
      <c r="B176" s="3519"/>
      <c r="C176" s="57" t="s">
        <v>22</v>
      </c>
      <c r="D176" s="216">
        <f>D175/$G$175*100</f>
        <v>94.553606022029115</v>
      </c>
      <c r="E176" s="216">
        <f>E175/$G$175*100</f>
        <v>0</v>
      </c>
      <c r="F176" s="216">
        <f>F175/$G$175*100</f>
        <v>5.4463939779708861</v>
      </c>
      <c r="G176" s="216"/>
      <c r="H176" s="214">
        <f t="shared" si="15"/>
        <v>0</v>
      </c>
      <c r="I176" s="2599"/>
      <c r="J176" s="2599"/>
      <c r="K176" s="2599"/>
      <c r="L176" s="2599"/>
      <c r="M176" s="2599"/>
      <c r="N176" s="2599"/>
    </row>
    <row r="177" spans="1:14" s="1" customFormat="1" ht="37" customHeight="1" x14ac:dyDescent="0.2">
      <c r="A177" s="2664">
        <v>5</v>
      </c>
      <c r="B177" s="3519" t="s">
        <v>117</v>
      </c>
      <c r="C177" s="57" t="s">
        <v>21</v>
      </c>
      <c r="D177" s="831">
        <v>19118.400000000001</v>
      </c>
      <c r="E177" s="214"/>
      <c r="F177" s="831">
        <v>850.88</v>
      </c>
      <c r="G177" s="831">
        <f>SUM(D177:F177)</f>
        <v>19969.280000000002</v>
      </c>
      <c r="H177" s="214">
        <f t="shared" si="15"/>
        <v>4.6241421061913606</v>
      </c>
      <c r="I177" s="2599"/>
      <c r="J177" s="2599"/>
      <c r="K177" s="2599"/>
      <c r="L177" s="2599"/>
      <c r="M177" s="2599"/>
      <c r="N177" s="2599"/>
    </row>
    <row r="178" spans="1:14" s="1" customFormat="1" ht="37" customHeight="1" x14ac:dyDescent="0.2">
      <c r="A178" s="2664"/>
      <c r="B178" s="3519"/>
      <c r="C178" s="57" t="s">
        <v>22</v>
      </c>
      <c r="D178" s="216">
        <f>D177/$G$177*100</f>
        <v>95.739055188769953</v>
      </c>
      <c r="E178" s="216">
        <f>E177/$G$177*100</f>
        <v>0</v>
      </c>
      <c r="F178" s="216">
        <f>F177/$G$177*100</f>
        <v>4.2609448112300488</v>
      </c>
      <c r="G178" s="216"/>
      <c r="H178" s="214">
        <f t="shared" si="15"/>
        <v>0</v>
      </c>
      <c r="I178" s="2599"/>
      <c r="J178" s="2599"/>
      <c r="K178" s="2599"/>
      <c r="L178" s="2599"/>
      <c r="M178" s="2599"/>
      <c r="N178" s="2599"/>
    </row>
    <row r="179" spans="1:14" s="1" customFormat="1" ht="44" customHeight="1" x14ac:dyDescent="0.2">
      <c r="A179" s="2664">
        <v>6</v>
      </c>
      <c r="B179" s="3518" t="s">
        <v>637</v>
      </c>
      <c r="C179" s="57" t="s">
        <v>21</v>
      </c>
      <c r="D179" s="831">
        <v>10596.8</v>
      </c>
      <c r="E179" s="214"/>
      <c r="F179" s="831">
        <v>576.64</v>
      </c>
      <c r="G179" s="831">
        <f>SUM(D179:F179)</f>
        <v>11173.439999999999</v>
      </c>
      <c r="H179" s="214">
        <f t="shared" si="15"/>
        <v>2.5873528927934699</v>
      </c>
      <c r="I179" s="2599" t="s">
        <v>774</v>
      </c>
      <c r="J179" s="2599"/>
      <c r="K179" s="2599"/>
      <c r="L179" s="2599"/>
      <c r="M179" s="2599"/>
      <c r="N179" s="2599"/>
    </row>
    <row r="180" spans="1:14" s="1" customFormat="1" ht="44" customHeight="1" x14ac:dyDescent="0.2">
      <c r="A180" s="2664"/>
      <c r="B180" s="3518"/>
      <c r="C180" s="57" t="s">
        <v>22</v>
      </c>
      <c r="D180" s="216">
        <f>D179/$G$179*100</f>
        <v>94.83919007933099</v>
      </c>
      <c r="E180" s="216">
        <f>E179/$G$179*100</f>
        <v>0</v>
      </c>
      <c r="F180" s="216">
        <f>F179/$G$179*100</f>
        <v>5.1608099206690152</v>
      </c>
      <c r="G180" s="214"/>
      <c r="H180" s="214">
        <f t="shared" si="15"/>
        <v>0</v>
      </c>
      <c r="I180" s="2599"/>
      <c r="J180" s="2599"/>
      <c r="K180" s="2599"/>
      <c r="L180" s="2599"/>
      <c r="M180" s="2599"/>
      <c r="N180" s="2599"/>
    </row>
    <row r="181" spans="1:14" s="1" customFormat="1" ht="44" customHeight="1" x14ac:dyDescent="0.2">
      <c r="A181" s="2664">
        <v>7</v>
      </c>
      <c r="B181" s="3519" t="s">
        <v>129</v>
      </c>
      <c r="C181" s="57" t="s">
        <v>21</v>
      </c>
      <c r="D181" s="831">
        <v>24017.599999999999</v>
      </c>
      <c r="E181" s="214"/>
      <c r="F181" s="831">
        <v>1322.24</v>
      </c>
      <c r="G181" s="831">
        <f>SUM(D181:F181)</f>
        <v>25339.84</v>
      </c>
      <c r="H181" s="214">
        <f t="shared" si="15"/>
        <v>5.8677639408207032</v>
      </c>
      <c r="I181" s="2599"/>
      <c r="J181" s="2599"/>
      <c r="K181" s="2599"/>
      <c r="L181" s="2599"/>
      <c r="M181" s="2599"/>
      <c r="N181" s="2599"/>
    </row>
    <row r="182" spans="1:14" s="1" customFormat="1" ht="44" customHeight="1" x14ac:dyDescent="0.2">
      <c r="A182" s="2664"/>
      <c r="B182" s="3519"/>
      <c r="C182" s="57" t="s">
        <v>22</v>
      </c>
      <c r="D182" s="216">
        <f>D181/$G$181*100</f>
        <v>94.781971788298577</v>
      </c>
      <c r="E182" s="216">
        <f>E181/$G$181*100</f>
        <v>0</v>
      </c>
      <c r="F182" s="216">
        <f>F181/$G$181*100</f>
        <v>5.2180282117014158</v>
      </c>
      <c r="G182" s="214"/>
      <c r="H182" s="214">
        <f t="shared" si="15"/>
        <v>0</v>
      </c>
      <c r="I182" s="2599"/>
      <c r="J182" s="2599"/>
      <c r="K182" s="2599"/>
      <c r="L182" s="2599"/>
      <c r="M182" s="2599"/>
      <c r="N182" s="2599"/>
    </row>
    <row r="183" spans="1:14" s="1" customFormat="1" ht="44" customHeight="1" x14ac:dyDescent="0.2">
      <c r="A183" s="2664">
        <v>8</v>
      </c>
      <c r="B183" s="3518" t="s">
        <v>112</v>
      </c>
      <c r="C183" s="57" t="s">
        <v>21</v>
      </c>
      <c r="D183" s="831">
        <v>8713.6</v>
      </c>
      <c r="E183" s="214"/>
      <c r="F183" s="831">
        <v>345.6</v>
      </c>
      <c r="G183" s="831">
        <f>SUM(D183:F183)</f>
        <v>9059.2000000000007</v>
      </c>
      <c r="H183" s="214">
        <f t="shared" si="15"/>
        <v>2.097773588652609</v>
      </c>
      <c r="I183" s="2599"/>
      <c r="J183" s="2599"/>
      <c r="K183" s="2599"/>
      <c r="L183" s="2599"/>
      <c r="M183" s="2599"/>
      <c r="N183" s="2599"/>
    </row>
    <row r="184" spans="1:14" s="1" customFormat="1" ht="44" customHeight="1" x14ac:dyDescent="0.2">
      <c r="A184" s="2664"/>
      <c r="B184" s="3518"/>
      <c r="C184" s="57" t="s">
        <v>22</v>
      </c>
      <c r="D184" s="216">
        <f>D183/$G$183*100</f>
        <v>96.185093606499464</v>
      </c>
      <c r="E184" s="216">
        <f>E183/$G$183*100</f>
        <v>0</v>
      </c>
      <c r="F184" s="216">
        <f>F183/$G$183*100</f>
        <v>3.8149063935005301</v>
      </c>
      <c r="G184" s="214"/>
      <c r="H184" s="214">
        <f t="shared" si="15"/>
        <v>0</v>
      </c>
      <c r="I184" s="2599"/>
      <c r="J184" s="2599"/>
      <c r="K184" s="2599"/>
      <c r="L184" s="2599"/>
      <c r="M184" s="2599"/>
      <c r="N184" s="2599"/>
    </row>
    <row r="185" spans="1:14" s="1" customFormat="1" ht="44" customHeight="1" x14ac:dyDescent="0.2">
      <c r="A185" s="3518" t="s">
        <v>1089</v>
      </c>
      <c r="B185" s="3518"/>
      <c r="C185" s="971" t="s">
        <v>21</v>
      </c>
      <c r="D185" s="972">
        <f>SUMIFS(D169:D184,$C$169:$C$184,"m2")</f>
        <v>405588.79999999993</v>
      </c>
      <c r="E185" s="972">
        <f>SUMIFS(E169:E184,$C$169:$C$184,"m2")</f>
        <v>0</v>
      </c>
      <c r="F185" s="972">
        <f>SUMIFS(F169:F184,$C$169:$C$184,"m2")</f>
        <v>26259.520000000004</v>
      </c>
      <c r="G185" s="972">
        <f>SUM(D185:F185)</f>
        <v>431848.31999999995</v>
      </c>
      <c r="H185" s="214">
        <f t="shared" si="15"/>
        <v>100</v>
      </c>
      <c r="I185" s="2599"/>
      <c r="J185" s="2599"/>
      <c r="K185" s="2599"/>
      <c r="L185" s="2599"/>
      <c r="M185" s="2599"/>
      <c r="N185" s="2599"/>
    </row>
    <row r="186" spans="1:14" s="1" customFormat="1" ht="44" customHeight="1" x14ac:dyDescent="0.2">
      <c r="A186" s="3518"/>
      <c r="B186" s="3518"/>
      <c r="C186" s="971" t="s">
        <v>22</v>
      </c>
      <c r="D186" s="973">
        <f>D185/$G$185*100</f>
        <v>93.919272396382141</v>
      </c>
      <c r="E186" s="973">
        <f>E185/$G$185*100</f>
        <v>0</v>
      </c>
      <c r="F186" s="973">
        <f>F185/$G$185*100</f>
        <v>6.0807276036178646</v>
      </c>
      <c r="G186" s="974"/>
      <c r="H186" s="214">
        <f t="shared" si="15"/>
        <v>0</v>
      </c>
      <c r="I186" s="2599"/>
      <c r="J186" s="2599"/>
      <c r="K186" s="2599"/>
      <c r="L186" s="2599"/>
      <c r="M186" s="2599"/>
      <c r="N186" s="2599"/>
    </row>
    <row r="187" spans="1:14" s="1" customFormat="1" ht="44" customHeight="1" x14ac:dyDescent="0.2">
      <c r="A187" s="221" t="s">
        <v>39</v>
      </c>
      <c r="B187" s="2551" t="s">
        <v>134</v>
      </c>
      <c r="C187" s="2551"/>
      <c r="D187" s="222" t="s">
        <v>6</v>
      </c>
      <c r="E187" s="222" t="s">
        <v>135</v>
      </c>
      <c r="F187" s="222" t="s">
        <v>43</v>
      </c>
      <c r="G187" s="222" t="s">
        <v>10</v>
      </c>
      <c r="H187" s="391" t="s">
        <v>314</v>
      </c>
      <c r="I187" s="2605" t="s">
        <v>47</v>
      </c>
      <c r="J187" s="2605"/>
      <c r="K187" s="2605"/>
      <c r="L187" s="2605"/>
      <c r="M187" s="2605"/>
      <c r="N187" s="2605"/>
    </row>
    <row r="188" spans="1:14" s="1" customFormat="1" ht="38" hidden="1" customHeight="1" x14ac:dyDescent="0.2">
      <c r="A188" s="3433">
        <v>1</v>
      </c>
      <c r="B188" s="2599" t="s">
        <v>323</v>
      </c>
      <c r="C188" s="2599"/>
      <c r="D188" s="2600" t="s">
        <v>327</v>
      </c>
      <c r="E188" s="224" t="s">
        <v>583</v>
      </c>
      <c r="F188" s="830">
        <f>G119</f>
        <v>0</v>
      </c>
      <c r="G188" s="224" t="e">
        <f>F188/$J$16</f>
        <v>#DIV/0!</v>
      </c>
      <c r="H188" s="214">
        <f>F188/$F$193*100</f>
        <v>0</v>
      </c>
      <c r="I188" s="2600"/>
      <c r="J188" s="2600"/>
      <c r="K188" s="2600"/>
      <c r="L188" s="2600"/>
      <c r="M188" s="2600"/>
      <c r="N188" s="2600"/>
    </row>
    <row r="189" spans="1:14" s="1" customFormat="1" ht="38" hidden="1" customHeight="1" x14ac:dyDescent="0.2">
      <c r="A189" s="3433"/>
      <c r="B189" s="2599"/>
      <c r="C189" s="2599"/>
      <c r="D189" s="2600"/>
      <c r="E189" s="224" t="s">
        <v>727</v>
      </c>
      <c r="F189" s="830">
        <f>G135</f>
        <v>0</v>
      </c>
      <c r="G189" s="224" t="e">
        <f>F189/$J$16</f>
        <v>#DIV/0!</v>
      </c>
      <c r="H189" s="214">
        <f>F189/$F$193*100</f>
        <v>0</v>
      </c>
      <c r="I189" s="2600"/>
      <c r="J189" s="2600"/>
      <c r="K189" s="2600"/>
      <c r="L189" s="2600"/>
      <c r="M189" s="2600"/>
      <c r="N189" s="2600"/>
    </row>
    <row r="190" spans="1:14" s="1" customFormat="1" ht="45" customHeight="1" x14ac:dyDescent="0.2">
      <c r="A190" s="3433">
        <v>1</v>
      </c>
      <c r="B190" s="2599" t="s">
        <v>323</v>
      </c>
      <c r="C190" s="2599"/>
      <c r="D190" s="2600" t="s">
        <v>328</v>
      </c>
      <c r="E190" s="224" t="s">
        <v>727</v>
      </c>
      <c r="F190" s="830">
        <f>G151</f>
        <v>0</v>
      </c>
      <c r="G190" s="224">
        <f>F190/$J$22</f>
        <v>0</v>
      </c>
      <c r="H190" s="214">
        <f>F190/$F$193*100</f>
        <v>0</v>
      </c>
      <c r="I190" s="2600"/>
      <c r="J190" s="2600"/>
      <c r="K190" s="2600"/>
      <c r="L190" s="2600"/>
      <c r="M190" s="2600"/>
      <c r="N190" s="2600"/>
    </row>
    <row r="191" spans="1:14" s="1" customFormat="1" ht="45" customHeight="1" x14ac:dyDescent="0.2">
      <c r="A191" s="3433"/>
      <c r="B191" s="2599"/>
      <c r="C191" s="2599"/>
      <c r="D191" s="2600"/>
      <c r="E191" s="224" t="s">
        <v>728</v>
      </c>
      <c r="F191" s="830">
        <f>G167</f>
        <v>4438.8</v>
      </c>
      <c r="G191" s="224">
        <f>F191/$J$22</f>
        <v>0.35986340950879953</v>
      </c>
      <c r="H191" s="214">
        <f>F191/$F$193*100</f>
        <v>1.0174034016864859</v>
      </c>
      <c r="I191" s="2600"/>
      <c r="J191" s="2600"/>
      <c r="K191" s="2600"/>
      <c r="L191" s="2600"/>
      <c r="M191" s="2600"/>
      <c r="N191" s="2600"/>
    </row>
    <row r="192" spans="1:14" s="1" customFormat="1" ht="45" customHeight="1" x14ac:dyDescent="0.2">
      <c r="A192" s="223">
        <v>2</v>
      </c>
      <c r="B192" s="2599" t="s">
        <v>324</v>
      </c>
      <c r="C192" s="2599"/>
      <c r="D192" s="224" t="s">
        <v>325</v>
      </c>
      <c r="E192" s="224" t="s">
        <v>140</v>
      </c>
      <c r="F192" s="830">
        <f>G185</f>
        <v>431848.31999999995</v>
      </c>
      <c r="G192" s="224">
        <f>F192/$J$28</f>
        <v>31.745483185996832</v>
      </c>
      <c r="H192" s="214">
        <f>F192/$F$193*100</f>
        <v>98.982596598313521</v>
      </c>
      <c r="I192" s="2600"/>
      <c r="J192" s="2600"/>
      <c r="K192" s="2600"/>
      <c r="L192" s="2600"/>
      <c r="M192" s="2600"/>
      <c r="N192" s="2600"/>
    </row>
    <row r="193" spans="1:16" s="1" customFormat="1" ht="45" customHeight="1" x14ac:dyDescent="0.2">
      <c r="A193" s="3377" t="s">
        <v>807</v>
      </c>
      <c r="B193" s="3377"/>
      <c r="C193" s="3377"/>
      <c r="D193" s="225" t="s">
        <v>142</v>
      </c>
      <c r="E193" s="225" t="s">
        <v>142</v>
      </c>
      <c r="F193" s="860">
        <f>SUM(F188:F192)</f>
        <v>436287.11999999994</v>
      </c>
      <c r="G193" s="226">
        <f>SUM(G191:G192)</f>
        <v>32.10534659550563</v>
      </c>
      <c r="H193" s="227">
        <f>SUM(H188:H192)</f>
        <v>100</v>
      </c>
      <c r="I193" s="2603"/>
      <c r="J193" s="2603"/>
      <c r="K193" s="2603"/>
      <c r="L193" s="2603"/>
      <c r="M193" s="2603"/>
      <c r="N193" s="2603"/>
    </row>
    <row r="194" spans="1:16" s="1" customFormat="1" ht="28" customHeight="1" x14ac:dyDescent="0.2">
      <c r="A194" s="3162" t="s">
        <v>1090</v>
      </c>
      <c r="B194" s="3162"/>
      <c r="C194" s="3162"/>
      <c r="D194" s="3162"/>
      <c r="E194" s="3162"/>
      <c r="F194" s="3162"/>
      <c r="G194" s="3162"/>
      <c r="H194" s="3162"/>
      <c r="I194" s="3162"/>
      <c r="J194" s="3162"/>
      <c r="K194" s="3162"/>
      <c r="L194" s="3162"/>
      <c r="M194" s="3162"/>
      <c r="N194" s="3162"/>
    </row>
    <row r="195" spans="1:16" s="1" customFormat="1" ht="27" customHeight="1" x14ac:dyDescent="0.2">
      <c r="A195" s="3162" t="s">
        <v>147</v>
      </c>
      <c r="B195" s="3162"/>
      <c r="C195" s="3162"/>
      <c r="D195" s="3162"/>
      <c r="E195" s="3162"/>
      <c r="F195" s="3162"/>
      <c r="G195" s="3162"/>
      <c r="H195" s="3162"/>
      <c r="I195" s="3162"/>
      <c r="J195" s="3162"/>
      <c r="K195" s="3162"/>
      <c r="L195" s="3162"/>
      <c r="M195" s="3162"/>
      <c r="N195" s="3162"/>
    </row>
    <row r="196" spans="1:16" s="1" customFormat="1" ht="41" customHeight="1" x14ac:dyDescent="0.15">
      <c r="A196" s="1783" t="s">
        <v>39</v>
      </c>
      <c r="B196" s="1947" t="s">
        <v>148</v>
      </c>
      <c r="C196" s="1946"/>
      <c r="D196" s="808" t="s">
        <v>17</v>
      </c>
      <c r="E196" s="1785" t="s">
        <v>149</v>
      </c>
      <c r="F196" s="1785" t="s">
        <v>150</v>
      </c>
      <c r="G196" s="1786" t="s">
        <v>151</v>
      </c>
      <c r="H196" s="1787" t="s">
        <v>152</v>
      </c>
      <c r="I196" s="1788" t="s">
        <v>153</v>
      </c>
      <c r="J196" s="3517" t="s">
        <v>47</v>
      </c>
      <c r="K196" s="3517"/>
      <c r="L196" s="3517"/>
      <c r="M196" s="3517"/>
      <c r="N196" s="3517"/>
    </row>
    <row r="197" spans="1:16" s="1" customFormat="1" ht="26" customHeight="1" x14ac:dyDescent="0.15">
      <c r="A197" s="12">
        <v>1</v>
      </c>
      <c r="B197" s="1661" t="s">
        <v>163</v>
      </c>
      <c r="C197" s="1944"/>
      <c r="D197" s="51" t="s">
        <v>164</v>
      </c>
      <c r="E197" s="1071">
        <v>18.760000000000002</v>
      </c>
      <c r="F197" s="1789">
        <f>G197/M197</f>
        <v>18.716196747475234</v>
      </c>
      <c r="G197" s="342">
        <v>9130189</v>
      </c>
      <c r="H197" s="269">
        <f>-(F197-E197)*M197</f>
        <v>21368.228799999495</v>
      </c>
      <c r="I197" s="1790">
        <v>0</v>
      </c>
      <c r="J197" s="2752" t="s">
        <v>165</v>
      </c>
      <c r="K197" s="2752"/>
      <c r="L197" s="2752"/>
      <c r="M197" s="2768">
        <f>F96</f>
        <v>487822.87999999989</v>
      </c>
      <c r="N197" s="2768"/>
    </row>
    <row r="198" spans="1:16" s="1" customFormat="1" ht="26" customHeight="1" x14ac:dyDescent="0.2">
      <c r="A198" s="12">
        <v>2</v>
      </c>
      <c r="B198" s="1948" t="s">
        <v>1057</v>
      </c>
      <c r="C198" s="1949"/>
      <c r="D198" s="51" t="s">
        <v>164</v>
      </c>
      <c r="E198" s="1072">
        <v>0.48599999999999999</v>
      </c>
      <c r="F198" s="1791">
        <f>G198/M199</f>
        <v>0.4526431991502779</v>
      </c>
      <c r="G198" s="260">
        <v>172099</v>
      </c>
      <c r="H198" s="531">
        <f>-(F198-E198)*M199</f>
        <v>12682.55455999995</v>
      </c>
      <c r="I198" s="261">
        <v>0</v>
      </c>
      <c r="J198" s="2748" t="s">
        <v>167</v>
      </c>
      <c r="K198" s="2748"/>
      <c r="L198" s="2748"/>
      <c r="M198" s="3432">
        <f>F94</f>
        <v>107613.92</v>
      </c>
      <c r="N198" s="3433"/>
    </row>
    <row r="199" spans="1:16" s="1" customFormat="1" ht="26" customHeight="1" x14ac:dyDescent="0.15">
      <c r="A199" s="12">
        <v>3</v>
      </c>
      <c r="B199" s="1661" t="s">
        <v>1058</v>
      </c>
      <c r="C199" s="1944"/>
      <c r="D199" s="51" t="s">
        <v>169</v>
      </c>
      <c r="E199" s="1072">
        <v>0.38300000000000001</v>
      </c>
      <c r="F199" s="1791"/>
      <c r="G199" s="260">
        <v>0</v>
      </c>
      <c r="H199" s="1792"/>
      <c r="I199" s="261">
        <v>0</v>
      </c>
      <c r="J199" s="2748" t="s">
        <v>170</v>
      </c>
      <c r="K199" s="2748"/>
      <c r="L199" s="2748"/>
      <c r="M199" s="3432">
        <f>F93</f>
        <v>380208.9599999999</v>
      </c>
      <c r="N199" s="3433"/>
      <c r="O199" s="1793"/>
      <c r="P199" s="479"/>
    </row>
    <row r="200" spans="1:16" s="1" customFormat="1" ht="26" customHeight="1" x14ac:dyDescent="0.15">
      <c r="A200" s="12">
        <v>4</v>
      </c>
      <c r="B200" s="1661" t="s">
        <v>1056</v>
      </c>
      <c r="C200" s="1944"/>
      <c r="D200" s="51" t="s">
        <v>164</v>
      </c>
      <c r="E200" s="1072">
        <v>0.53800000000000003</v>
      </c>
      <c r="F200" s="1791">
        <f>G200/M198</f>
        <v>0.53849910866549611</v>
      </c>
      <c r="G200" s="260">
        <v>57950</v>
      </c>
      <c r="H200" s="64"/>
      <c r="I200" s="261"/>
      <c r="J200" s="2748" t="s">
        <v>172</v>
      </c>
      <c r="K200" s="2748"/>
      <c r="L200" s="2748"/>
      <c r="M200" s="3432">
        <f>F95</f>
        <v>0</v>
      </c>
      <c r="N200" s="3433"/>
    </row>
    <row r="201" spans="1:16" s="1" customFormat="1" ht="26" customHeight="1" x14ac:dyDescent="0.15">
      <c r="A201" s="12">
        <v>5</v>
      </c>
      <c r="B201" s="1661" t="s">
        <v>1060</v>
      </c>
      <c r="C201" s="1944"/>
      <c r="D201" s="51" t="s">
        <v>164</v>
      </c>
      <c r="E201" s="1072">
        <v>0.57199999999999995</v>
      </c>
      <c r="F201" s="1019">
        <f>G201/M199</f>
        <v>0.55290385581654899</v>
      </c>
      <c r="G201" s="260">
        <v>210219</v>
      </c>
      <c r="H201" s="531">
        <f>-(F201-E201)*M199</f>
        <v>7260.5251199999366</v>
      </c>
      <c r="I201" s="56">
        <f>--(F201-E201)*L198</f>
        <v>0</v>
      </c>
      <c r="J201" s="2748" t="s">
        <v>174</v>
      </c>
      <c r="K201" s="2748"/>
      <c r="L201" s="2748"/>
      <c r="M201" s="2894">
        <f>M197+L10</f>
        <v>489668.9599999999</v>
      </c>
      <c r="N201" s="2894"/>
    </row>
    <row r="202" spans="1:16" s="1" customFormat="1" ht="26" customHeight="1" x14ac:dyDescent="0.15">
      <c r="A202" s="12">
        <v>6</v>
      </c>
      <c r="B202" s="1661" t="s">
        <v>1059</v>
      </c>
      <c r="C202" s="1944"/>
      <c r="D202" s="51" t="s">
        <v>164</v>
      </c>
      <c r="E202" s="1072">
        <v>0.624</v>
      </c>
      <c r="F202" s="1019">
        <f>G202/M198</f>
        <v>0.58327026838163687</v>
      </c>
      <c r="G202" s="260">
        <v>62768</v>
      </c>
      <c r="H202" s="531">
        <f>-(F202-E202)*M198</f>
        <v>4383.08608</v>
      </c>
      <c r="I202" s="260"/>
      <c r="J202" s="2664"/>
      <c r="K202" s="2664"/>
      <c r="L202" s="2664"/>
      <c r="M202" s="2664"/>
      <c r="N202" s="2664"/>
    </row>
    <row r="203" spans="1:16" s="1" customFormat="1" ht="26" customHeight="1" x14ac:dyDescent="0.15">
      <c r="A203" s="12">
        <v>7</v>
      </c>
      <c r="B203" s="1661" t="s">
        <v>1091</v>
      </c>
      <c r="C203" s="1944"/>
      <c r="D203" s="51" t="s">
        <v>164</v>
      </c>
      <c r="E203" s="1072">
        <v>0.434</v>
      </c>
      <c r="F203" s="1166" t="s">
        <v>142</v>
      </c>
      <c r="G203" s="260">
        <v>0</v>
      </c>
      <c r="H203" s="1121"/>
      <c r="I203" s="260"/>
      <c r="J203" s="2664"/>
      <c r="K203" s="2664"/>
      <c r="L203" s="2664"/>
      <c r="M203" s="2664"/>
      <c r="N203" s="2664"/>
    </row>
    <row r="204" spans="1:16" s="1" customFormat="1" ht="26" customHeight="1" x14ac:dyDescent="0.15">
      <c r="A204" s="12">
        <v>8</v>
      </c>
      <c r="B204" s="1661" t="s">
        <v>176</v>
      </c>
      <c r="C204" s="1944"/>
      <c r="D204" s="51" t="s">
        <v>169</v>
      </c>
      <c r="E204" s="259">
        <v>0.69699999999999995</v>
      </c>
      <c r="F204" s="1019">
        <f>G204/M197</f>
        <v>0.69741501259637528</v>
      </c>
      <c r="G204" s="260">
        <v>340215</v>
      </c>
      <c r="H204" s="531"/>
      <c r="I204" s="1122">
        <v>0</v>
      </c>
      <c r="J204" s="2664"/>
      <c r="K204" s="2664"/>
      <c r="L204" s="2664"/>
      <c r="M204" s="2664"/>
      <c r="N204" s="2664"/>
    </row>
    <row r="205" spans="1:16" s="1" customFormat="1" ht="26" customHeight="1" x14ac:dyDescent="0.15">
      <c r="A205" s="12">
        <v>9</v>
      </c>
      <c r="B205" s="1661" t="s">
        <v>177</v>
      </c>
      <c r="C205" s="1944"/>
      <c r="D205" s="51" t="s">
        <v>164</v>
      </c>
      <c r="E205" s="262">
        <v>3.7100000000000001E-2</v>
      </c>
      <c r="F205" s="1018">
        <f>G205/M201</f>
        <v>3.6003915788331779E-2</v>
      </c>
      <c r="G205" s="260">
        <v>17630</v>
      </c>
      <c r="H205" s="531">
        <f>-(F205-E205)*M197</f>
        <v>534.69495685852144</v>
      </c>
      <c r="I205" s="64">
        <v>0</v>
      </c>
      <c r="J205" s="2861"/>
      <c r="K205" s="2861"/>
      <c r="L205" s="2861"/>
      <c r="M205" s="2861"/>
      <c r="N205" s="2861"/>
    </row>
    <row r="206" spans="1:16" s="1" customFormat="1" ht="26" customHeight="1" x14ac:dyDescent="0.15">
      <c r="A206" s="12">
        <v>10</v>
      </c>
      <c r="B206" s="1661" t="s">
        <v>178</v>
      </c>
      <c r="C206" s="1944"/>
      <c r="D206" s="51" t="s">
        <v>164</v>
      </c>
      <c r="E206" s="262">
        <v>8.2000000000000007E-3</v>
      </c>
      <c r="F206" s="1018">
        <f>G206/M201</f>
        <v>7.3519056629605456E-3</v>
      </c>
      <c r="G206" s="260">
        <v>3600</v>
      </c>
      <c r="H206" s="531">
        <f>-(F206-E206)*M197</f>
        <v>413.71982200627758</v>
      </c>
      <c r="I206" s="1023"/>
      <c r="J206" s="2861"/>
      <c r="K206" s="2861"/>
      <c r="L206" s="2861"/>
      <c r="M206" s="2861"/>
      <c r="N206" s="2861"/>
    </row>
    <row r="207" spans="1:16" s="1" customFormat="1" ht="26" customHeight="1" x14ac:dyDescent="0.15">
      <c r="A207" s="12">
        <v>11</v>
      </c>
      <c r="B207" s="1661" t="s">
        <v>179</v>
      </c>
      <c r="C207" s="1944"/>
      <c r="D207" s="51" t="s">
        <v>164</v>
      </c>
      <c r="E207" s="262">
        <v>4.6100000000000002E-2</v>
      </c>
      <c r="F207" s="1018">
        <f>G207/M197</f>
        <v>7.6667170674733442E-2</v>
      </c>
      <c r="G207" s="260">
        <v>37400</v>
      </c>
      <c r="I207" s="531">
        <f>(F207-E207)*M197</f>
        <v>14911.365232000007</v>
      </c>
      <c r="J207" s="2861" t="s">
        <v>1092</v>
      </c>
      <c r="K207" s="2861"/>
      <c r="L207" s="2861"/>
      <c r="M207" s="2861"/>
      <c r="N207" s="2861"/>
    </row>
    <row r="208" spans="1:16" s="1" customFormat="1" ht="26" customHeight="1" x14ac:dyDescent="0.15">
      <c r="A208" s="37">
        <v>12</v>
      </c>
      <c r="B208" s="1942" t="s">
        <v>180</v>
      </c>
      <c r="C208" s="1945"/>
      <c r="D208" s="1040" t="s">
        <v>164</v>
      </c>
      <c r="E208" s="1044">
        <v>3.0000000000000001E-3</v>
      </c>
      <c r="F208" s="1117">
        <f>G208/M201</f>
        <v>0</v>
      </c>
      <c r="G208" s="1118"/>
      <c r="H208" s="531"/>
      <c r="I208" s="1120">
        <f>--(F208-E208)*L205</f>
        <v>0</v>
      </c>
      <c r="J208" s="2865"/>
      <c r="K208" s="2865"/>
      <c r="L208" s="2865"/>
      <c r="M208" s="2865"/>
      <c r="N208" s="2865"/>
    </row>
    <row r="209" spans="1:15" s="1" customFormat="1" ht="26" customHeight="1" x14ac:dyDescent="0.15">
      <c r="A209" s="12">
        <v>13</v>
      </c>
      <c r="B209" s="1661" t="s">
        <v>181</v>
      </c>
      <c r="C209" s="1944"/>
      <c r="D209" s="51" t="s">
        <v>164</v>
      </c>
      <c r="E209" s="258">
        <v>3.0899999999999999E-3</v>
      </c>
      <c r="F209" s="1019"/>
      <c r="G209" s="260">
        <f>AA209</f>
        <v>0</v>
      </c>
      <c r="H209" s="1020" t="s">
        <v>142</v>
      </c>
      <c r="I209" s="64">
        <f>--(F209-E209)*L206</f>
        <v>0</v>
      </c>
      <c r="J209" s="2664"/>
      <c r="K209" s="2664"/>
      <c r="L209" s="2664"/>
      <c r="M209" s="2664"/>
      <c r="N209" s="2664"/>
    </row>
    <row r="210" spans="1:15" s="1" customFormat="1" ht="26" customHeight="1" x14ac:dyDescent="0.15">
      <c r="A210" s="12">
        <v>14</v>
      </c>
      <c r="B210" s="1661" t="s">
        <v>182</v>
      </c>
      <c r="C210" s="1944"/>
      <c r="D210" s="1021" t="s">
        <v>164</v>
      </c>
      <c r="E210" s="1022">
        <v>1.6259999999999999</v>
      </c>
      <c r="F210" s="1019">
        <f>G210/M197</f>
        <v>1.6036166446313469</v>
      </c>
      <c r="G210" s="260">
        <v>782280.89</v>
      </c>
      <c r="H210" s="531">
        <f>-(F210-E210)*M201</f>
        <v>10960.434344678724</v>
      </c>
      <c r="I210" s="64">
        <f>--(F210-E210)*L207</f>
        <v>0</v>
      </c>
      <c r="J210" s="2664"/>
      <c r="K210" s="2664"/>
      <c r="L210" s="2664"/>
      <c r="M210" s="2664"/>
      <c r="N210" s="2664"/>
    </row>
    <row r="211" spans="1:15" s="1" customFormat="1" ht="26" customHeight="1" x14ac:dyDescent="0.15">
      <c r="A211" s="12">
        <v>15</v>
      </c>
      <c r="B211" s="1661" t="s">
        <v>183</v>
      </c>
      <c r="C211" s="1944"/>
      <c r="D211" s="51" t="s">
        <v>164</v>
      </c>
      <c r="E211" s="258">
        <v>6.4099999999999999E-3</v>
      </c>
      <c r="F211" s="933">
        <f>G211/M201</f>
        <v>6.3716515745658063E-3</v>
      </c>
      <c r="G211" s="260">
        <v>3120</v>
      </c>
      <c r="H211" s="531">
        <f>-(F211-E211)*M197</f>
        <v>18.707239338773583</v>
      </c>
      <c r="I211" s="1023"/>
      <c r="J211" s="2861"/>
      <c r="K211" s="2861"/>
      <c r="L211" s="2861"/>
      <c r="M211" s="2861"/>
      <c r="N211" s="2861"/>
    </row>
    <row r="212" spans="1:15" s="1" customFormat="1" ht="26" customHeight="1" x14ac:dyDescent="0.15">
      <c r="A212" s="12">
        <v>16</v>
      </c>
      <c r="B212" s="1661" t="s">
        <v>184</v>
      </c>
      <c r="C212" s="1944"/>
      <c r="D212" s="51" t="s">
        <v>169</v>
      </c>
      <c r="E212" s="258">
        <v>4.7239999999999997E-2</v>
      </c>
      <c r="F212" s="933">
        <f>G212/M197</f>
        <v>4.290491663695644E-2</v>
      </c>
      <c r="G212" s="260">
        <v>20930</v>
      </c>
      <c r="H212" s="531">
        <f>-(F212-E212)*M197</f>
        <v>2114.7528511999931</v>
      </c>
      <c r="I212" s="1023"/>
      <c r="J212" s="2664"/>
      <c r="K212" s="2664"/>
      <c r="L212" s="2664"/>
      <c r="M212" s="2664"/>
      <c r="N212" s="2664"/>
    </row>
    <row r="213" spans="1:15" s="1" customFormat="1" ht="31" customHeight="1" x14ac:dyDescent="0.15">
      <c r="A213" s="12">
        <v>17</v>
      </c>
      <c r="B213" s="1661" t="s">
        <v>185</v>
      </c>
      <c r="C213" s="1944"/>
      <c r="D213" s="51" t="s">
        <v>169</v>
      </c>
      <c r="E213" s="258"/>
      <c r="F213" s="1024"/>
      <c r="G213" s="260">
        <v>5905</v>
      </c>
      <c r="H213" s="1025"/>
      <c r="I213" s="64"/>
      <c r="J213" s="2861" t="s">
        <v>1093</v>
      </c>
      <c r="K213" s="2861"/>
      <c r="L213" s="2861"/>
      <c r="M213" s="2861"/>
      <c r="N213" s="2861"/>
    </row>
    <row r="214" spans="1:15" s="1" customFormat="1" ht="26" customHeight="1" x14ac:dyDescent="0.15">
      <c r="A214" s="12">
        <v>18</v>
      </c>
      <c r="B214" s="1661" t="s">
        <v>188</v>
      </c>
      <c r="C214" s="1944"/>
      <c r="D214" s="51" t="s">
        <v>164</v>
      </c>
      <c r="E214" s="258">
        <v>5.1999999999999998E-3</v>
      </c>
      <c r="F214" s="933">
        <f>G214/M197</f>
        <v>3.5053706378019834E-3</v>
      </c>
      <c r="G214" s="260">
        <v>1710</v>
      </c>
      <c r="H214" s="531">
        <f>-(F214-E214)*M197</f>
        <v>826.67897599999924</v>
      </c>
      <c r="I214" s="64">
        <f>--(F214-E214)*L212</f>
        <v>0</v>
      </c>
      <c r="J214" s="2664"/>
      <c r="K214" s="2664"/>
      <c r="L214" s="2664"/>
      <c r="M214" s="2664"/>
      <c r="N214" s="2664"/>
    </row>
    <row r="215" spans="1:15" s="1" customFormat="1" ht="17" customHeight="1" x14ac:dyDescent="0.15">
      <c r="A215" s="2"/>
      <c r="B215" s="4"/>
      <c r="C215" s="479"/>
      <c r="D215" s="68"/>
      <c r="E215" s="925"/>
      <c r="F215" s="926"/>
      <c r="G215" s="927"/>
      <c r="H215" s="928"/>
      <c r="I215" s="929"/>
      <c r="J215" s="2"/>
      <c r="K215" s="2"/>
      <c r="L215" s="2"/>
      <c r="M215" s="2"/>
      <c r="N215" s="2"/>
    </row>
    <row r="216" spans="1:15" s="1" customFormat="1" ht="26" hidden="1" customHeight="1" x14ac:dyDescent="0.2">
      <c r="A216" s="3061" t="s">
        <v>354</v>
      </c>
      <c r="B216" s="3061"/>
      <c r="C216" s="3061"/>
      <c r="D216" s="3061"/>
      <c r="E216" s="3061"/>
      <c r="F216" s="3061"/>
      <c r="G216" s="3061"/>
      <c r="H216" s="3061"/>
      <c r="I216" s="3061"/>
      <c r="J216" s="3061"/>
      <c r="K216" s="3061"/>
      <c r="L216" s="3061"/>
      <c r="M216" s="3061"/>
      <c r="N216" s="3061"/>
    </row>
    <row r="217" spans="1:15" s="1" customFormat="1" ht="30" hidden="1" customHeight="1" x14ac:dyDescent="0.15">
      <c r="A217" s="990" t="s">
        <v>39</v>
      </c>
      <c r="B217" s="3031" t="s">
        <v>191</v>
      </c>
      <c r="C217" s="2915"/>
      <c r="D217" s="990" t="s">
        <v>17</v>
      </c>
      <c r="E217" s="990" t="s">
        <v>192</v>
      </c>
      <c r="F217" s="990" t="s">
        <v>193</v>
      </c>
      <c r="G217" s="990" t="s">
        <v>151</v>
      </c>
      <c r="H217" s="1007" t="s">
        <v>152</v>
      </c>
      <c r="I217" s="1036" t="s">
        <v>153</v>
      </c>
      <c r="J217" s="3031" t="s">
        <v>47</v>
      </c>
      <c r="K217" s="3031"/>
      <c r="L217" s="3031"/>
      <c r="M217" s="3031"/>
      <c r="N217" s="3031"/>
    </row>
    <row r="218" spans="1:15" s="1" customFormat="1" ht="32" hidden="1" customHeight="1" x14ac:dyDescent="0.15">
      <c r="A218" s="264">
        <v>1</v>
      </c>
      <c r="B218" s="2880" t="s">
        <v>730</v>
      </c>
      <c r="C218" s="2915"/>
      <c r="D218" s="633" t="s">
        <v>49</v>
      </c>
      <c r="E218" s="1101">
        <v>21.26</v>
      </c>
      <c r="F218" s="261" t="e">
        <f>G218/$L$218*1000</f>
        <v>#DIV/0!</v>
      </c>
      <c r="G218" s="269"/>
      <c r="H218" s="531" t="e">
        <f>-(F218-E218)*L218</f>
        <v>#DIV/0!</v>
      </c>
      <c r="I218" s="445"/>
      <c r="J218" s="3437" t="s">
        <v>165</v>
      </c>
      <c r="K218" s="3437"/>
      <c r="L218" s="3438">
        <f>F188+F189</f>
        <v>0</v>
      </c>
      <c r="M218" s="3438"/>
      <c r="N218" s="3438"/>
      <c r="O218" s="526"/>
    </row>
    <row r="219" spans="1:15" s="1" customFormat="1" ht="32" hidden="1" customHeight="1" x14ac:dyDescent="0.15">
      <c r="A219" s="264">
        <v>2</v>
      </c>
      <c r="B219" s="2880" t="s">
        <v>731</v>
      </c>
      <c r="C219" s="2915"/>
      <c r="D219" s="633" t="s">
        <v>49</v>
      </c>
      <c r="E219" s="1098">
        <v>0.28000000000000003</v>
      </c>
      <c r="F219" s="268" t="e">
        <f>G219/$L$219</f>
        <v>#DIV/0!</v>
      </c>
      <c r="G219" s="269"/>
      <c r="H219" s="531"/>
      <c r="I219" s="445"/>
      <c r="J219" s="2748" t="s">
        <v>734</v>
      </c>
      <c r="K219" s="2748"/>
      <c r="L219" s="3440">
        <f>F188</f>
        <v>0</v>
      </c>
      <c r="M219" s="2664"/>
      <c r="N219" s="2664"/>
    </row>
    <row r="220" spans="1:15" s="1" customFormat="1" ht="32" hidden="1" customHeight="1" x14ac:dyDescent="0.15">
      <c r="A220" s="264">
        <v>3</v>
      </c>
      <c r="B220" s="2880" t="s">
        <v>732</v>
      </c>
      <c r="C220" s="2915"/>
      <c r="D220" s="633" t="s">
        <v>49</v>
      </c>
      <c r="E220" s="1098">
        <v>0.39</v>
      </c>
      <c r="F220" s="268" t="e">
        <f>G220/$L$220</f>
        <v>#DIV/0!</v>
      </c>
      <c r="G220" s="269"/>
      <c r="H220" s="531"/>
      <c r="I220" s="445"/>
      <c r="J220" s="3431" t="s">
        <v>735</v>
      </c>
      <c r="K220" s="3431"/>
      <c r="L220" s="3432">
        <f>F189</f>
        <v>0</v>
      </c>
      <c r="M220" s="3433"/>
      <c r="N220" s="3433"/>
    </row>
    <row r="221" spans="1:15" s="1" customFormat="1" ht="32" hidden="1" customHeight="1" x14ac:dyDescent="0.2">
      <c r="A221" s="264">
        <v>4</v>
      </c>
      <c r="B221" s="3412" t="s">
        <v>733</v>
      </c>
      <c r="C221" s="3412"/>
      <c r="D221" s="633" t="s">
        <v>49</v>
      </c>
      <c r="E221" s="1098">
        <v>9.2999999999999999E-2</v>
      </c>
      <c r="F221" s="268" t="e">
        <f>G221/L219</f>
        <v>#DIV/0!</v>
      </c>
      <c r="G221" s="269"/>
      <c r="H221" s="531"/>
      <c r="I221" s="531" t="e">
        <f>(F221-E221)*L219</f>
        <v>#DIV/0!</v>
      </c>
      <c r="J221" s="3441" t="s">
        <v>362</v>
      </c>
      <c r="K221" s="3441"/>
      <c r="L221" s="3438">
        <f>L218+L16</f>
        <v>0</v>
      </c>
      <c r="M221" s="3438"/>
      <c r="N221" s="3438"/>
    </row>
    <row r="222" spans="1:15" s="1" customFormat="1" ht="32" hidden="1" customHeight="1" x14ac:dyDescent="0.2">
      <c r="A222" s="264">
        <v>5</v>
      </c>
      <c r="B222" s="3412" t="s">
        <v>204</v>
      </c>
      <c r="C222" s="3412"/>
      <c r="D222" s="633" t="s">
        <v>49</v>
      </c>
      <c r="E222" s="1098">
        <v>0.39</v>
      </c>
      <c r="F222" s="268" t="e">
        <f>G222/L220</f>
        <v>#DIV/0!</v>
      </c>
      <c r="G222" s="269"/>
      <c r="H222" s="531"/>
      <c r="I222" s="445"/>
      <c r="J222" s="2664"/>
      <c r="K222" s="2664"/>
      <c r="L222" s="2664"/>
      <c r="M222" s="2664"/>
      <c r="N222" s="2664"/>
    </row>
    <row r="223" spans="1:15" s="1" customFormat="1" ht="28" hidden="1" customHeight="1" x14ac:dyDescent="0.2">
      <c r="A223" s="264">
        <v>6</v>
      </c>
      <c r="B223" s="3412" t="s">
        <v>196</v>
      </c>
      <c r="C223" s="3412"/>
      <c r="D223" s="633" t="s">
        <v>49</v>
      </c>
      <c r="E223" s="1099">
        <v>0.11700000000000001</v>
      </c>
      <c r="F223" s="270" t="e">
        <f>G223/$L$219</f>
        <v>#DIV/0!</v>
      </c>
      <c r="G223" s="269"/>
      <c r="H223" s="531"/>
      <c r="I223" s="531" t="e">
        <f>(F223-E223)*L219</f>
        <v>#DIV/0!</v>
      </c>
      <c r="J223" s="3433"/>
      <c r="K223" s="3433"/>
      <c r="L223" s="3433"/>
      <c r="M223" s="3433"/>
      <c r="N223" s="3433"/>
    </row>
    <row r="224" spans="1:15" s="1" customFormat="1" ht="28" hidden="1" customHeight="1" x14ac:dyDescent="0.2">
      <c r="A224" s="264">
        <v>7</v>
      </c>
      <c r="B224" s="3412" t="s">
        <v>176</v>
      </c>
      <c r="C224" s="3412"/>
      <c r="D224" s="633" t="s">
        <v>195</v>
      </c>
      <c r="E224" s="1100">
        <v>0.66900000000000004</v>
      </c>
      <c r="F224" s="270" t="e">
        <f>G224/$L$218</f>
        <v>#DIV/0!</v>
      </c>
      <c r="G224" s="269"/>
      <c r="H224" s="1008"/>
      <c r="I224" s="445"/>
      <c r="J224" s="2861"/>
      <c r="K224" s="2861"/>
      <c r="L224" s="2861"/>
      <c r="M224" s="2861"/>
      <c r="N224" s="2861"/>
    </row>
    <row r="225" spans="1:14" s="1" customFormat="1" ht="28" hidden="1" customHeight="1" x14ac:dyDescent="0.2">
      <c r="A225" s="264">
        <v>8</v>
      </c>
      <c r="B225" s="3420" t="s">
        <v>177</v>
      </c>
      <c r="C225" s="3421"/>
      <c r="D225" s="633" t="s">
        <v>49</v>
      </c>
      <c r="E225" s="1098">
        <v>0.02</v>
      </c>
      <c r="F225" s="268" t="e">
        <f>G225/$L$218</f>
        <v>#DIV/0!</v>
      </c>
      <c r="G225" s="269"/>
      <c r="H225" s="531"/>
      <c r="I225" s="445"/>
      <c r="J225" s="2861"/>
      <c r="K225" s="2861"/>
      <c r="L225" s="2861"/>
      <c r="M225" s="2861"/>
      <c r="N225" s="2861"/>
    </row>
    <row r="226" spans="1:14" s="1" customFormat="1" ht="28" hidden="1" customHeight="1" x14ac:dyDescent="0.2">
      <c r="A226" s="264">
        <v>9</v>
      </c>
      <c r="B226" s="3420" t="s">
        <v>178</v>
      </c>
      <c r="C226" s="3421"/>
      <c r="D226" s="633" t="s">
        <v>49</v>
      </c>
      <c r="E226" s="1100">
        <v>1.9599999999999999E-2</v>
      </c>
      <c r="F226" s="270" t="e">
        <f>G226/$L$218</f>
        <v>#DIV/0!</v>
      </c>
      <c r="G226" s="269"/>
      <c r="H226" s="531" t="e">
        <f>-(F226-E226)*L218</f>
        <v>#DIV/0!</v>
      </c>
      <c r="I226" s="445"/>
      <c r="J226" s="3439"/>
      <c r="K226" s="3439"/>
      <c r="L226" s="3439"/>
      <c r="M226" s="3439"/>
      <c r="N226" s="3439"/>
    </row>
    <row r="227" spans="1:14" s="1" customFormat="1" ht="28" hidden="1" customHeight="1" x14ac:dyDescent="0.2">
      <c r="A227" s="264">
        <v>10</v>
      </c>
      <c r="B227" s="3420" t="s">
        <v>197</v>
      </c>
      <c r="C227" s="3421"/>
      <c r="D227" s="633" t="s">
        <v>49</v>
      </c>
      <c r="E227" s="1101">
        <v>1.82</v>
      </c>
      <c r="F227" s="261" t="e">
        <f>G227/$L$218</f>
        <v>#DIV/0!</v>
      </c>
      <c r="G227" s="269"/>
      <c r="H227" s="531"/>
      <c r="I227" s="445" t="e">
        <f>(F227-E227)*L218</f>
        <v>#DIV/0!</v>
      </c>
      <c r="J227" s="2861"/>
      <c r="K227" s="2861"/>
      <c r="L227" s="2861"/>
      <c r="M227" s="2861"/>
      <c r="N227" s="2861"/>
    </row>
    <row r="228" spans="1:14" s="1" customFormat="1" ht="28" hidden="1" customHeight="1" x14ac:dyDescent="0.2">
      <c r="A228" s="264">
        <v>11</v>
      </c>
      <c r="B228" s="3420" t="s">
        <v>198</v>
      </c>
      <c r="C228" s="3421"/>
      <c r="D228" s="633" t="s">
        <v>49</v>
      </c>
      <c r="E228" s="1100">
        <v>7.6E-3</v>
      </c>
      <c r="F228" s="270" t="e">
        <f>G228/$L$218</f>
        <v>#DIV/0!</v>
      </c>
      <c r="G228" s="269"/>
      <c r="H228" s="531" t="e">
        <f>-(F228-E228)*L218</f>
        <v>#DIV/0!</v>
      </c>
      <c r="I228" s="445"/>
      <c r="J228" s="3433"/>
      <c r="K228" s="3433"/>
      <c r="L228" s="3433"/>
      <c r="M228" s="3433"/>
      <c r="N228" s="3433"/>
    </row>
    <row r="229" spans="1:14" s="1" customFormat="1" ht="28" hidden="1" customHeight="1" x14ac:dyDescent="0.2">
      <c r="A229" s="264">
        <v>12</v>
      </c>
      <c r="B229" s="3420" t="s">
        <v>185</v>
      </c>
      <c r="C229" s="3421"/>
      <c r="D229" s="633" t="s">
        <v>195</v>
      </c>
      <c r="E229" s="1100"/>
      <c r="F229" s="270"/>
      <c r="G229" s="269"/>
      <c r="H229" s="531">
        <f>-(F229-E229)*L218</f>
        <v>0</v>
      </c>
      <c r="I229" s="445"/>
      <c r="J229" s="3436" t="s">
        <v>736</v>
      </c>
      <c r="K229" s="3436"/>
      <c r="L229" s="3436"/>
      <c r="M229" s="3436"/>
      <c r="N229" s="3436"/>
    </row>
    <row r="230" spans="1:14" s="1" customFormat="1" ht="28" hidden="1" customHeight="1" x14ac:dyDescent="0.2">
      <c r="A230" s="264">
        <v>13</v>
      </c>
      <c r="B230" s="3420" t="s">
        <v>179</v>
      </c>
      <c r="C230" s="3421"/>
      <c r="D230" s="633" t="s">
        <v>49</v>
      </c>
      <c r="E230" s="1103">
        <v>2.7E-2</v>
      </c>
      <c r="F230" s="268" t="e">
        <f>G230/$L$218</f>
        <v>#DIV/0!</v>
      </c>
      <c r="G230" s="269"/>
      <c r="H230" s="531"/>
      <c r="I230" s="445" t="e">
        <f>(F230-E230)*L218</f>
        <v>#DIV/0!</v>
      </c>
      <c r="J230" s="2861" t="s">
        <v>653</v>
      </c>
      <c r="K230" s="2861"/>
      <c r="L230" s="2861"/>
      <c r="M230" s="2861"/>
      <c r="N230" s="2861"/>
    </row>
    <row r="231" spans="1:14" s="1" customFormat="1" ht="26" customHeight="1" x14ac:dyDescent="0.2">
      <c r="A231" s="3061" t="s">
        <v>1094</v>
      </c>
      <c r="B231" s="3061"/>
      <c r="C231" s="3061"/>
      <c r="D231" s="3061"/>
      <c r="E231" s="3061"/>
      <c r="F231" s="3061"/>
      <c r="G231" s="3061"/>
      <c r="H231" s="3061"/>
      <c r="I231" s="3061"/>
      <c r="J231" s="3061"/>
      <c r="K231" s="3061"/>
      <c r="L231" s="3061"/>
      <c r="M231" s="3061"/>
      <c r="N231" s="3061"/>
    </row>
    <row r="232" spans="1:14" s="1" customFormat="1" ht="33" customHeight="1" x14ac:dyDescent="0.15">
      <c r="A232" s="1786" t="s">
        <v>39</v>
      </c>
      <c r="B232" s="3515" t="s">
        <v>191</v>
      </c>
      <c r="C232" s="3516"/>
      <c r="D232" s="1786" t="s">
        <v>17</v>
      </c>
      <c r="E232" s="1786" t="s">
        <v>192</v>
      </c>
      <c r="F232" s="1786" t="s">
        <v>193</v>
      </c>
      <c r="G232" s="1786" t="s">
        <v>151</v>
      </c>
      <c r="H232" s="1787" t="s">
        <v>152</v>
      </c>
      <c r="I232" s="1788" t="s">
        <v>153</v>
      </c>
      <c r="J232" s="3515" t="s">
        <v>47</v>
      </c>
      <c r="K232" s="3515"/>
      <c r="L232" s="3515"/>
      <c r="M232" s="3515"/>
      <c r="N232" s="3515"/>
    </row>
    <row r="233" spans="1:14" s="1" customFormat="1" ht="28" customHeight="1" x14ac:dyDescent="0.2">
      <c r="A233" s="264">
        <v>1</v>
      </c>
      <c r="B233" s="3412" t="s">
        <v>163</v>
      </c>
      <c r="C233" s="3412"/>
      <c r="D233" s="223" t="s">
        <v>49</v>
      </c>
      <c r="E233" s="1102">
        <v>21.65</v>
      </c>
      <c r="F233" s="261">
        <f>G233/$L$233</f>
        <v>28.277642606109758</v>
      </c>
      <c r="G233" s="269">
        <v>125518.8</v>
      </c>
      <c r="H233" s="531"/>
      <c r="I233" s="531">
        <f>(F233-E233)*$L$233</f>
        <v>29418.780000000002</v>
      </c>
      <c r="J233" s="3437" t="s">
        <v>165</v>
      </c>
      <c r="K233" s="3437"/>
      <c r="L233" s="3438">
        <f>F190+F191</f>
        <v>4438.8</v>
      </c>
      <c r="M233" s="3438"/>
      <c r="N233" s="3438"/>
    </row>
    <row r="234" spans="1:14" s="1" customFormat="1" ht="28" customHeight="1" x14ac:dyDescent="0.2">
      <c r="A234" s="264">
        <v>2</v>
      </c>
      <c r="B234" s="3412" t="s">
        <v>1063</v>
      </c>
      <c r="C234" s="3412"/>
      <c r="D234" s="223" t="s">
        <v>49</v>
      </c>
      <c r="E234" s="1096">
        <v>0.436</v>
      </c>
      <c r="F234" s="268"/>
      <c r="G234" s="269"/>
      <c r="H234" s="531"/>
      <c r="I234" s="531"/>
      <c r="J234" s="2748" t="s">
        <v>741</v>
      </c>
      <c r="K234" s="2748"/>
      <c r="L234" s="3438">
        <f>F191</f>
        <v>4438.8</v>
      </c>
      <c r="M234" s="3438"/>
      <c r="N234" s="3438"/>
    </row>
    <row r="235" spans="1:14" s="1" customFormat="1" ht="28" customHeight="1" x14ac:dyDescent="0.2">
      <c r="A235" s="264">
        <v>3</v>
      </c>
      <c r="B235" s="3412" t="s">
        <v>1068</v>
      </c>
      <c r="C235" s="3412"/>
      <c r="D235" s="223" t="s">
        <v>49</v>
      </c>
      <c r="E235" s="1096">
        <v>0.31900000000000001</v>
      </c>
      <c r="F235" s="268">
        <f>G235/$L$234</f>
        <v>0.40799315130215374</v>
      </c>
      <c r="G235" s="269">
        <v>1811</v>
      </c>
      <c r="H235" s="531"/>
      <c r="I235" s="531">
        <f>(F235-E235)*$L$233</f>
        <v>395.02280000000002</v>
      </c>
      <c r="J235" s="3431" t="s">
        <v>735</v>
      </c>
      <c r="K235" s="3431"/>
      <c r="L235" s="3072">
        <f>F190</f>
        <v>0</v>
      </c>
      <c r="M235" s="3179"/>
      <c r="N235" s="3180"/>
    </row>
    <row r="236" spans="1:14" s="1" customFormat="1" ht="28" customHeight="1" x14ac:dyDescent="0.2">
      <c r="A236" s="264">
        <v>4</v>
      </c>
      <c r="B236" s="3412" t="s">
        <v>1065</v>
      </c>
      <c r="C236" s="3412"/>
      <c r="D236" s="223" t="s">
        <v>49</v>
      </c>
      <c r="E236" s="1096">
        <v>0.38900000000000001</v>
      </c>
      <c r="F236" s="268"/>
      <c r="G236" s="269"/>
      <c r="H236" s="531"/>
      <c r="I236" s="531"/>
      <c r="J236" s="3441" t="s">
        <v>362</v>
      </c>
      <c r="K236" s="3441"/>
      <c r="L236" s="3467">
        <f>L233+L22</f>
        <v>5263.2</v>
      </c>
      <c r="M236" s="3179"/>
      <c r="N236" s="3180"/>
    </row>
    <row r="237" spans="1:14" s="1" customFormat="1" ht="28" customHeight="1" x14ac:dyDescent="0.15">
      <c r="A237" s="1034">
        <v>5</v>
      </c>
      <c r="B237" s="3412" t="s">
        <v>1067</v>
      </c>
      <c r="C237" s="3412"/>
      <c r="D237" s="223" t="s">
        <v>49</v>
      </c>
      <c r="E237" s="1096">
        <v>0.31900000000000001</v>
      </c>
      <c r="F237" s="1104">
        <f>G237/$L$234</f>
        <v>0.6087005496981166</v>
      </c>
      <c r="G237" s="1041">
        <v>2701.9</v>
      </c>
      <c r="H237" s="531"/>
      <c r="I237" s="531">
        <f t="shared" ref="I237:I244" si="16">(F237-E237)*$L$233</f>
        <v>1285.9228000000001</v>
      </c>
      <c r="J237" s="3395"/>
      <c r="K237" s="3396"/>
      <c r="L237" s="3396"/>
      <c r="M237" s="3396"/>
      <c r="N237" s="3397"/>
    </row>
    <row r="238" spans="1:14" s="1" customFormat="1" ht="28" customHeight="1" x14ac:dyDescent="0.2">
      <c r="A238" s="1006">
        <v>6</v>
      </c>
      <c r="B238" s="3413" t="s">
        <v>176</v>
      </c>
      <c r="C238" s="3413"/>
      <c r="D238" s="1108" t="s">
        <v>195</v>
      </c>
      <c r="E238" s="1123">
        <v>0.55700000000000005</v>
      </c>
      <c r="F238" s="287">
        <f t="shared" ref="F238:F244" si="17">G238/$L$233</f>
        <v>0.56321528340993054</v>
      </c>
      <c r="G238" s="1038">
        <v>2500</v>
      </c>
      <c r="H238" s="531"/>
      <c r="I238" s="531">
        <f t="shared" si="16"/>
        <v>27.588399999999478</v>
      </c>
      <c r="J238" s="3442"/>
      <c r="K238" s="3442"/>
      <c r="L238" s="3442"/>
      <c r="M238" s="3442"/>
      <c r="N238" s="3442"/>
    </row>
    <row r="239" spans="1:14" s="1" customFormat="1" ht="28" customHeight="1" x14ac:dyDescent="0.2">
      <c r="A239" s="264">
        <v>7</v>
      </c>
      <c r="B239" s="3412" t="s">
        <v>177</v>
      </c>
      <c r="C239" s="3412"/>
      <c r="D239" s="223" t="s">
        <v>49</v>
      </c>
      <c r="E239" s="1096">
        <v>2.1999999999999999E-2</v>
      </c>
      <c r="F239" s="268">
        <f t="shared" si="17"/>
        <v>2.2078039109669278E-2</v>
      </c>
      <c r="G239" s="269">
        <v>98</v>
      </c>
      <c r="H239" s="531"/>
      <c r="I239" s="531">
        <f t="shared" si="16"/>
        <v>0.3463999999999961</v>
      </c>
      <c r="J239" s="3439"/>
      <c r="K239" s="3439"/>
      <c r="L239" s="3439"/>
      <c r="M239" s="3439"/>
      <c r="N239" s="3439"/>
    </row>
    <row r="240" spans="1:14" s="1" customFormat="1" ht="28" customHeight="1" x14ac:dyDescent="0.2">
      <c r="A240" s="264">
        <v>8</v>
      </c>
      <c r="B240" s="3412" t="s">
        <v>178</v>
      </c>
      <c r="C240" s="3412"/>
      <c r="D240" s="223" t="s">
        <v>49</v>
      </c>
      <c r="E240" s="1097">
        <v>1.09E-2</v>
      </c>
      <c r="F240" s="270">
        <f>G240/$L$236</f>
        <v>8.5499316005471955E-3</v>
      </c>
      <c r="G240" s="269">
        <v>45</v>
      </c>
      <c r="H240" s="531">
        <f>-(F240-E240)*$L$233</f>
        <v>10.431483611491108</v>
      </c>
      <c r="I240" s="531"/>
      <c r="J240" s="2664"/>
      <c r="K240" s="2664"/>
      <c r="L240" s="2664"/>
      <c r="M240" s="2664"/>
      <c r="N240" s="2664"/>
    </row>
    <row r="241" spans="1:14" s="1" customFormat="1" ht="28" customHeight="1" x14ac:dyDescent="0.2">
      <c r="A241" s="264">
        <v>9</v>
      </c>
      <c r="B241" s="3412" t="s">
        <v>197</v>
      </c>
      <c r="C241" s="3412"/>
      <c r="D241" s="223" t="s">
        <v>49</v>
      </c>
      <c r="E241" s="1102">
        <v>1.84</v>
      </c>
      <c r="F241" s="261">
        <f t="shared" si="17"/>
        <v>2.5134946381905019</v>
      </c>
      <c r="G241" s="269">
        <v>11156.9</v>
      </c>
      <c r="H241" s="531"/>
      <c r="I241" s="531">
        <f t="shared" si="16"/>
        <v>2989.5079999999994</v>
      </c>
      <c r="J241" s="3439"/>
      <c r="K241" s="3439"/>
      <c r="L241" s="3439"/>
      <c r="M241" s="3439"/>
      <c r="N241" s="3439"/>
    </row>
    <row r="242" spans="1:14" s="1" customFormat="1" ht="28" customHeight="1" x14ac:dyDescent="0.15">
      <c r="A242" s="264">
        <v>10</v>
      </c>
      <c r="B242" s="3412" t="s">
        <v>198</v>
      </c>
      <c r="C242" s="3412"/>
      <c r="D242" s="223" t="s">
        <v>49</v>
      </c>
      <c r="E242" s="1097">
        <v>5.3E-3</v>
      </c>
      <c r="F242" s="270">
        <f t="shared" si="17"/>
        <v>4.5057222672794444E-3</v>
      </c>
      <c r="G242" s="269">
        <v>20</v>
      </c>
      <c r="H242" s="531">
        <f>-(F242-E242)*$L$233</f>
        <v>3.5256400000000023</v>
      </c>
      <c r="I242" s="531"/>
      <c r="J242" s="3448"/>
      <c r="K242" s="3448"/>
      <c r="L242" s="3448"/>
      <c r="M242" s="3448"/>
      <c r="N242" s="3448"/>
    </row>
    <row r="243" spans="1:14" s="1" customFormat="1" ht="28" customHeight="1" x14ac:dyDescent="0.2">
      <c r="A243" s="264">
        <v>11</v>
      </c>
      <c r="B243" s="3412" t="s">
        <v>185</v>
      </c>
      <c r="C243" s="3412"/>
      <c r="D243" s="223" t="s">
        <v>195</v>
      </c>
      <c r="E243" s="1097"/>
      <c r="F243" s="270"/>
      <c r="G243" s="269">
        <v>75</v>
      </c>
      <c r="H243" s="531">
        <f>-(F243-E243)*$L$233</f>
        <v>0</v>
      </c>
      <c r="I243" s="531">
        <f t="shared" si="16"/>
        <v>0</v>
      </c>
      <c r="J243" s="3436" t="s">
        <v>1095</v>
      </c>
      <c r="K243" s="3436"/>
      <c r="L243" s="3436"/>
      <c r="M243" s="3436"/>
      <c r="N243" s="3436"/>
    </row>
    <row r="244" spans="1:14" s="1" customFormat="1" ht="28" customHeight="1" x14ac:dyDescent="0.2">
      <c r="A244" s="264">
        <v>12</v>
      </c>
      <c r="B244" s="3412" t="s">
        <v>179</v>
      </c>
      <c r="C244" s="3412"/>
      <c r="D244" s="223" t="s">
        <v>49</v>
      </c>
      <c r="E244" s="1096">
        <v>2.7E-2</v>
      </c>
      <c r="F244" s="270">
        <f t="shared" si="17"/>
        <v>0.70965125709651256</v>
      </c>
      <c r="G244" s="269">
        <v>3150</v>
      </c>
      <c r="H244" s="531"/>
      <c r="I244" s="531">
        <f t="shared" si="16"/>
        <v>3030.1523999999999</v>
      </c>
      <c r="J244" s="3439"/>
      <c r="K244" s="3439"/>
      <c r="L244" s="3439"/>
      <c r="M244" s="3439"/>
      <c r="N244" s="3439"/>
    </row>
    <row r="245" spans="1:14" s="1" customFormat="1" ht="26" customHeight="1" x14ac:dyDescent="0.2">
      <c r="A245" s="3061" t="s">
        <v>1096</v>
      </c>
      <c r="B245" s="3061"/>
      <c r="C245" s="3061"/>
      <c r="D245" s="3061"/>
      <c r="E245" s="3061"/>
      <c r="F245" s="3061"/>
      <c r="G245" s="3061"/>
      <c r="H245" s="3061"/>
      <c r="I245" s="3061"/>
      <c r="J245" s="3061"/>
      <c r="K245" s="3061"/>
      <c r="L245" s="3061"/>
      <c r="M245" s="3061"/>
      <c r="N245" s="3061"/>
    </row>
    <row r="246" spans="1:14" s="1" customFormat="1" ht="37" customHeight="1" x14ac:dyDescent="0.15">
      <c r="A246" s="1786" t="s">
        <v>39</v>
      </c>
      <c r="B246" s="3515" t="s">
        <v>191</v>
      </c>
      <c r="C246" s="3516"/>
      <c r="D246" s="1786" t="s">
        <v>17</v>
      </c>
      <c r="E246" s="1786" t="s">
        <v>192</v>
      </c>
      <c r="F246" s="1786" t="s">
        <v>193</v>
      </c>
      <c r="G246" s="1786" t="s">
        <v>151</v>
      </c>
      <c r="H246" s="1787" t="s">
        <v>152</v>
      </c>
      <c r="I246" s="1788" t="s">
        <v>153</v>
      </c>
      <c r="J246" s="3515" t="s">
        <v>47</v>
      </c>
      <c r="K246" s="3515"/>
      <c r="L246" s="3515"/>
      <c r="M246" s="3515"/>
      <c r="N246" s="3515"/>
    </row>
    <row r="247" spans="1:14" s="1" customFormat="1" ht="26" customHeight="1" x14ac:dyDescent="0.2">
      <c r="A247" s="264">
        <v>1</v>
      </c>
      <c r="B247" s="3412" t="s">
        <v>163</v>
      </c>
      <c r="C247" s="3412"/>
      <c r="D247" s="223" t="s">
        <v>49</v>
      </c>
      <c r="E247" s="1102">
        <v>21.01</v>
      </c>
      <c r="F247" s="1194">
        <f>G247/$L$247*1000</f>
        <v>20.065459557652098</v>
      </c>
      <c r="G247" s="269">
        <v>8665.2350000000006</v>
      </c>
      <c r="H247" s="531">
        <f t="shared" ref="H247:H258" si="18">-(F247-E247)*$L$247</f>
        <v>407898.20319999917</v>
      </c>
      <c r="I247" s="445"/>
      <c r="J247" s="3437" t="s">
        <v>165</v>
      </c>
      <c r="K247" s="3437"/>
      <c r="L247" s="3438">
        <f>F192</f>
        <v>431848.31999999995</v>
      </c>
      <c r="M247" s="3438"/>
      <c r="N247" s="3438"/>
    </row>
    <row r="248" spans="1:14" s="1" customFormat="1" ht="26" customHeight="1" x14ac:dyDescent="0.2">
      <c r="A248" s="264">
        <v>2</v>
      </c>
      <c r="B248" s="3412" t="s">
        <v>1056</v>
      </c>
      <c r="C248" s="3412"/>
      <c r="D248" s="223" t="s">
        <v>49</v>
      </c>
      <c r="E248" s="1096">
        <v>0.50900000000000001</v>
      </c>
      <c r="F248" s="281">
        <f>G248/$L$247</f>
        <v>0.48291376935309144</v>
      </c>
      <c r="G248" s="269">
        <v>208545.5</v>
      </c>
      <c r="H248" s="531">
        <f t="shared" si="18"/>
        <v>11265.294879999978</v>
      </c>
      <c r="I248" s="445"/>
      <c r="J248" s="3441" t="s">
        <v>362</v>
      </c>
      <c r="K248" s="3441"/>
      <c r="L248" s="3438">
        <f>L247+L28</f>
        <v>432892.31999999995</v>
      </c>
      <c r="M248" s="3438"/>
      <c r="N248" s="3438"/>
    </row>
    <row r="249" spans="1:14" s="1" customFormat="1" ht="26" customHeight="1" x14ac:dyDescent="0.2">
      <c r="A249" s="264">
        <v>3</v>
      </c>
      <c r="B249" s="3412" t="s">
        <v>1059</v>
      </c>
      <c r="C249" s="3412"/>
      <c r="D249" s="223" t="s">
        <v>49</v>
      </c>
      <c r="E249" s="1096">
        <v>0.59299999999999997</v>
      </c>
      <c r="F249" s="281">
        <f t="shared" ref="F249:F260" si="19">G249/$L$247</f>
        <v>0.57171439268306068</v>
      </c>
      <c r="G249" s="269">
        <v>246893.9</v>
      </c>
      <c r="H249" s="531">
        <f t="shared" si="18"/>
        <v>9192.1537599999392</v>
      </c>
      <c r="I249" s="445"/>
      <c r="J249" s="3433"/>
      <c r="K249" s="3433"/>
      <c r="L249" s="3433"/>
      <c r="M249" s="3433"/>
      <c r="N249" s="3433"/>
    </row>
    <row r="250" spans="1:14" s="1" customFormat="1" ht="26" customHeight="1" x14ac:dyDescent="0.2">
      <c r="A250" s="3477">
        <v>4</v>
      </c>
      <c r="B250" s="3412" t="s">
        <v>808</v>
      </c>
      <c r="C250" s="3412"/>
      <c r="D250" s="223" t="s">
        <v>195</v>
      </c>
      <c r="E250" s="1096">
        <v>0.627</v>
      </c>
      <c r="F250" s="281">
        <v>0.627</v>
      </c>
      <c r="G250" s="269">
        <v>267850</v>
      </c>
      <c r="H250" s="531">
        <f t="shared" si="18"/>
        <v>0</v>
      </c>
      <c r="I250" s="445">
        <f>(F250-E250)*$L$247</f>
        <v>0</v>
      </c>
      <c r="J250" s="3514"/>
      <c r="K250" s="3514"/>
      <c r="L250" s="3514"/>
      <c r="M250" s="3514"/>
      <c r="N250" s="3514"/>
    </row>
    <row r="251" spans="1:14" s="1" customFormat="1" ht="26" customHeight="1" x14ac:dyDescent="0.2">
      <c r="A251" s="3477"/>
      <c r="B251" s="3412" t="s">
        <v>810</v>
      </c>
      <c r="C251" s="3412"/>
      <c r="D251" s="223" t="s">
        <v>195</v>
      </c>
      <c r="E251" s="1096">
        <v>0.78400000000000003</v>
      </c>
      <c r="F251" s="281">
        <v>0.78400000000000003</v>
      </c>
      <c r="G251" s="269">
        <v>2765</v>
      </c>
      <c r="H251" s="531">
        <f t="shared" si="18"/>
        <v>0</v>
      </c>
      <c r="I251" s="445">
        <f>(F251-E251)*$L$247</f>
        <v>0</v>
      </c>
      <c r="J251" s="3514"/>
      <c r="K251" s="3514"/>
      <c r="L251" s="3514"/>
      <c r="M251" s="3514"/>
      <c r="N251" s="3514"/>
    </row>
    <row r="252" spans="1:14" s="1" customFormat="1" ht="26" customHeight="1" x14ac:dyDescent="0.15">
      <c r="A252" s="3477">
        <v>5</v>
      </c>
      <c r="B252" s="3412" t="s">
        <v>809</v>
      </c>
      <c r="C252" s="3412"/>
      <c r="D252" s="223" t="s">
        <v>49</v>
      </c>
      <c r="E252" s="1096">
        <v>2.5000000000000001E-2</v>
      </c>
      <c r="F252" s="281">
        <f t="shared" si="19"/>
        <v>2.4707749239362566E-2</v>
      </c>
      <c r="G252" s="269">
        <v>10670</v>
      </c>
      <c r="H252" s="531">
        <f t="shared" si="18"/>
        <v>126.20799999999878</v>
      </c>
      <c r="I252" s="445"/>
      <c r="J252" s="3448"/>
      <c r="K252" s="3448"/>
      <c r="L252" s="3448"/>
      <c r="M252" s="3448"/>
      <c r="N252" s="3448"/>
    </row>
    <row r="253" spans="1:14" s="1" customFormat="1" ht="26" customHeight="1" x14ac:dyDescent="0.15">
      <c r="A253" s="3477"/>
      <c r="B253" s="3412" t="s">
        <v>811</v>
      </c>
      <c r="C253" s="3412"/>
      <c r="D253" s="223" t="s">
        <v>49</v>
      </c>
      <c r="E253" s="1096">
        <v>2.8000000000000001E-2</v>
      </c>
      <c r="F253" s="281">
        <v>2.8000000000000001E-2</v>
      </c>
      <c r="G253" s="269">
        <v>100</v>
      </c>
      <c r="H253" s="531">
        <f t="shared" si="18"/>
        <v>0</v>
      </c>
      <c r="I253" s="445">
        <f>(F253-E253)*$L$247</f>
        <v>0</v>
      </c>
      <c r="J253" s="3448"/>
      <c r="K253" s="3448"/>
      <c r="L253" s="3448"/>
      <c r="M253" s="3448"/>
      <c r="N253" s="3448"/>
    </row>
    <row r="254" spans="1:14" s="1" customFormat="1" ht="26" customHeight="1" x14ac:dyDescent="0.2">
      <c r="A254" s="264">
        <v>6</v>
      </c>
      <c r="B254" s="3412" t="s">
        <v>178</v>
      </c>
      <c r="C254" s="3412"/>
      <c r="D254" s="223" t="s">
        <v>49</v>
      </c>
      <c r="E254" s="1097">
        <v>1.0699999999999999E-2</v>
      </c>
      <c r="F254" s="1794">
        <f t="shared" si="19"/>
        <v>1.0420325358681494E-2</v>
      </c>
      <c r="G254" s="269">
        <v>4500</v>
      </c>
      <c r="H254" s="531">
        <f t="shared" si="18"/>
        <v>120.77702399999932</v>
      </c>
      <c r="I254" s="445"/>
      <c r="J254" s="3439"/>
      <c r="K254" s="3439"/>
      <c r="L254" s="3439"/>
      <c r="M254" s="3439"/>
      <c r="N254" s="3439"/>
    </row>
    <row r="255" spans="1:14" s="1" customFormat="1" ht="26" customHeight="1" x14ac:dyDescent="0.2">
      <c r="A255" s="264">
        <v>7</v>
      </c>
      <c r="B255" s="3412" t="s">
        <v>197</v>
      </c>
      <c r="C255" s="3412"/>
      <c r="D255" s="223" t="s">
        <v>49</v>
      </c>
      <c r="E255" s="1102">
        <v>1.79</v>
      </c>
      <c r="F255" s="281">
        <f t="shared" si="19"/>
        <v>1.7894861788509449</v>
      </c>
      <c r="G255" s="269">
        <v>772786.6</v>
      </c>
      <c r="H255" s="531">
        <f t="shared" si="18"/>
        <v>221.89279999995011</v>
      </c>
      <c r="I255" s="445"/>
      <c r="J255" s="3439"/>
      <c r="K255" s="3439"/>
      <c r="L255" s="3439"/>
      <c r="M255" s="3439"/>
      <c r="N255" s="3439"/>
    </row>
    <row r="256" spans="1:14" s="1" customFormat="1" ht="26" customHeight="1" x14ac:dyDescent="0.2">
      <c r="A256" s="264">
        <v>8</v>
      </c>
      <c r="B256" s="3412" t="s">
        <v>198</v>
      </c>
      <c r="C256" s="3412"/>
      <c r="D256" s="223" t="s">
        <v>49</v>
      </c>
      <c r="E256" s="1097">
        <v>8.0999999999999996E-3</v>
      </c>
      <c r="F256" s="1794">
        <f t="shared" si="19"/>
        <v>8.0583849440470211E-3</v>
      </c>
      <c r="G256" s="269">
        <v>3480</v>
      </c>
      <c r="H256" s="531">
        <f t="shared" si="18"/>
        <v>17.971391999999724</v>
      </c>
      <c r="I256" s="445"/>
      <c r="J256" s="3513"/>
      <c r="K256" s="3513"/>
      <c r="L256" s="3513"/>
      <c r="M256" s="3513"/>
      <c r="N256" s="3513"/>
    </row>
    <row r="257" spans="1:16" s="1" customFormat="1" ht="26" customHeight="1" x14ac:dyDescent="0.2">
      <c r="A257" s="264">
        <v>9</v>
      </c>
      <c r="B257" s="3412" t="s">
        <v>199</v>
      </c>
      <c r="C257" s="3412"/>
      <c r="D257" s="223" t="s">
        <v>195</v>
      </c>
      <c r="E257" s="1096">
        <v>6.3E-2</v>
      </c>
      <c r="F257" s="281">
        <f t="shared" si="19"/>
        <v>6.1433607059071117E-2</v>
      </c>
      <c r="G257" s="269">
        <v>26530</v>
      </c>
      <c r="H257" s="531">
        <f t="shared" si="18"/>
        <v>676.4441599999974</v>
      </c>
      <c r="I257" s="445"/>
      <c r="J257" s="3439"/>
      <c r="K257" s="3439"/>
      <c r="L257" s="3439"/>
      <c r="M257" s="3439"/>
      <c r="N257" s="3439"/>
    </row>
    <row r="258" spans="1:16" s="1" customFormat="1" ht="26" customHeight="1" x14ac:dyDescent="0.2">
      <c r="A258" s="264">
        <v>10</v>
      </c>
      <c r="B258" s="3412" t="s">
        <v>185</v>
      </c>
      <c r="C258" s="3412"/>
      <c r="D258" s="223" t="s">
        <v>195</v>
      </c>
      <c r="E258" s="1097"/>
      <c r="F258" s="281"/>
      <c r="G258" s="269">
        <v>7000</v>
      </c>
      <c r="H258" s="531">
        <f t="shared" si="18"/>
        <v>0</v>
      </c>
      <c r="I258" s="445">
        <f>(F258-E258)*$L$247</f>
        <v>0</v>
      </c>
      <c r="J258" s="3436" t="s">
        <v>1097</v>
      </c>
      <c r="K258" s="3436"/>
      <c r="L258" s="3436"/>
      <c r="M258" s="3436"/>
      <c r="N258" s="3436"/>
    </row>
    <row r="259" spans="1:16" s="1" customFormat="1" ht="26" customHeight="1" x14ac:dyDescent="0.2">
      <c r="A259" s="264">
        <v>11</v>
      </c>
      <c r="B259" s="3412" t="s">
        <v>179</v>
      </c>
      <c r="C259" s="3412"/>
      <c r="D259" s="223" t="s">
        <v>49</v>
      </c>
      <c r="E259" s="1096">
        <v>2.5999999999999999E-2</v>
      </c>
      <c r="F259" s="281">
        <f t="shared" si="19"/>
        <v>4.7586152471312156E-2</v>
      </c>
      <c r="G259" s="269">
        <v>20550</v>
      </c>
      <c r="H259" s="531"/>
      <c r="I259" s="445">
        <f>(F259-E259)*$L$247</f>
        <v>9321.9436800000021</v>
      </c>
      <c r="J259" s="3439" t="s">
        <v>1098</v>
      </c>
      <c r="K259" s="3439"/>
      <c r="L259" s="3439"/>
      <c r="M259" s="3439"/>
      <c r="N259" s="3439"/>
    </row>
    <row r="260" spans="1:16" s="1" customFormat="1" ht="26" customHeight="1" x14ac:dyDescent="0.2">
      <c r="A260" s="264">
        <v>12</v>
      </c>
      <c r="B260" s="3412" t="s">
        <v>206</v>
      </c>
      <c r="C260" s="3412"/>
      <c r="D260" s="223" t="s">
        <v>49</v>
      </c>
      <c r="E260" s="1096">
        <v>3.0000000000000001E-3</v>
      </c>
      <c r="F260" s="281">
        <f t="shared" si="19"/>
        <v>0</v>
      </c>
      <c r="G260" s="269">
        <v>0</v>
      </c>
      <c r="H260" s="531">
        <f>-(F260-E260)*$L$247</f>
        <v>1295.5449599999999</v>
      </c>
      <c r="I260" s="445"/>
      <c r="J260" s="3439"/>
      <c r="K260" s="3439"/>
      <c r="L260" s="3439"/>
      <c r="M260" s="3439"/>
      <c r="N260" s="3439"/>
    </row>
    <row r="261" spans="1:16" s="1" customFormat="1" ht="29" customHeight="1" x14ac:dyDescent="0.2">
      <c r="A261" s="42" t="s">
        <v>1099</v>
      </c>
      <c r="H261" s="78"/>
      <c r="I261" s="447"/>
      <c r="J261" s="71"/>
      <c r="K261" s="71"/>
      <c r="N261" s="209"/>
    </row>
    <row r="262" spans="1:16" s="1" customFormat="1" ht="30" customHeight="1" x14ac:dyDescent="0.2">
      <c r="A262" s="42" t="s">
        <v>1100</v>
      </c>
      <c r="H262" s="78"/>
      <c r="I262" s="447"/>
      <c r="J262" s="71"/>
      <c r="K262" s="71"/>
      <c r="N262" s="209"/>
    </row>
    <row r="263" spans="1:16" s="1" customFormat="1" ht="41" customHeight="1" x14ac:dyDescent="0.2">
      <c r="A263" s="3511" t="s">
        <v>39</v>
      </c>
      <c r="B263" s="3511" t="s">
        <v>40</v>
      </c>
      <c r="C263" s="3511" t="s">
        <v>41</v>
      </c>
      <c r="D263" s="3511"/>
      <c r="E263" s="3511"/>
      <c r="F263" s="1795" t="s">
        <v>42</v>
      </c>
      <c r="G263" s="1795" t="s">
        <v>43</v>
      </c>
      <c r="H263" s="1796" t="s">
        <v>44</v>
      </c>
      <c r="I263" s="3511" t="s">
        <v>535</v>
      </c>
      <c r="J263" s="3511"/>
      <c r="K263" s="1797" t="s">
        <v>45</v>
      </c>
      <c r="L263" s="1795" t="s">
        <v>46</v>
      </c>
      <c r="M263" s="3512" t="s">
        <v>531</v>
      </c>
      <c r="N263" s="3512" t="s">
        <v>47</v>
      </c>
    </row>
    <row r="264" spans="1:16" s="2" customFormat="1" ht="33" customHeight="1" x14ac:dyDescent="0.2">
      <c r="A264" s="3511"/>
      <c r="B264" s="3511"/>
      <c r="C264" s="1795" t="s">
        <v>48</v>
      </c>
      <c r="D264" s="1797" t="s">
        <v>527</v>
      </c>
      <c r="E264" s="1797" t="s">
        <v>528</v>
      </c>
      <c r="F264" s="1795" t="s">
        <v>164</v>
      </c>
      <c r="G264" s="1795" t="s">
        <v>530</v>
      </c>
      <c r="H264" s="1796" t="s">
        <v>529</v>
      </c>
      <c r="I264" s="1795" t="s">
        <v>164</v>
      </c>
      <c r="J264" s="1797" t="s">
        <v>532</v>
      </c>
      <c r="K264" s="1796" t="s">
        <v>529</v>
      </c>
      <c r="L264" s="1795" t="s">
        <v>164</v>
      </c>
      <c r="M264" s="3512"/>
      <c r="N264" s="3512"/>
    </row>
    <row r="265" spans="1:16" ht="61" customHeight="1" x14ac:dyDescent="0.2">
      <c r="A265" s="51">
        <v>1</v>
      </c>
      <c r="B265" s="894" t="s">
        <v>787</v>
      </c>
      <c r="C265" s="1190">
        <v>7679</v>
      </c>
      <c r="D265" s="1191">
        <v>4.7</v>
      </c>
      <c r="E265" s="1192">
        <v>2</v>
      </c>
      <c r="F265" s="61">
        <v>594650</v>
      </c>
      <c r="G265" s="934">
        <v>230898</v>
      </c>
      <c r="H265" s="70">
        <f>F265/G265</f>
        <v>2.575379604847162</v>
      </c>
      <c r="I265" s="66">
        <v>70364</v>
      </c>
      <c r="J265" s="870">
        <f>I265/(I265+F265)*100</f>
        <v>10.580829877265742</v>
      </c>
      <c r="K265" s="722">
        <f>(F265+I265)/G265</f>
        <v>2.8801202262470875</v>
      </c>
      <c r="L265" s="66">
        <v>9968</v>
      </c>
      <c r="M265" s="70">
        <f>(F265+I265+L265)/G265</f>
        <v>2.923290803731518</v>
      </c>
      <c r="N265" s="1798" t="s">
        <v>1101</v>
      </c>
      <c r="P265" s="395"/>
    </row>
    <row r="266" spans="1:16" ht="61" customHeight="1" x14ac:dyDescent="0.2">
      <c r="A266" s="51">
        <v>2</v>
      </c>
      <c r="B266" s="894" t="s">
        <v>1102</v>
      </c>
      <c r="C266" s="1190">
        <v>7571</v>
      </c>
      <c r="D266" s="1191">
        <v>19.670000000000002</v>
      </c>
      <c r="E266" s="1191">
        <v>2.2999999999999998</v>
      </c>
      <c r="F266" s="61">
        <v>323768.90000000002</v>
      </c>
      <c r="G266" s="870">
        <v>123110.89</v>
      </c>
      <c r="H266" s="70">
        <f>F266/G266</f>
        <v>2.6298965103736966</v>
      </c>
      <c r="I266" s="66">
        <v>50276</v>
      </c>
      <c r="J266" s="870">
        <f>I266/(I266+F266)*100</f>
        <v>13.44116708983333</v>
      </c>
      <c r="K266" s="722">
        <f>(F266+I266)/G266</f>
        <v>3.0382763052074435</v>
      </c>
      <c r="L266" s="66"/>
      <c r="M266" s="70">
        <f>(F266+I266+L266)/G266</f>
        <v>3.0382763052074435</v>
      </c>
      <c r="N266" s="1798" t="s">
        <v>1103</v>
      </c>
    </row>
    <row r="267" spans="1:16" ht="61" customHeight="1" x14ac:dyDescent="0.2">
      <c r="A267" s="51">
        <v>3</v>
      </c>
      <c r="B267" s="894" t="s">
        <v>1104</v>
      </c>
      <c r="C267" s="1190">
        <v>7348</v>
      </c>
      <c r="D267" s="1191">
        <v>18.18</v>
      </c>
      <c r="E267" s="1191">
        <v>3.38</v>
      </c>
      <c r="F267" s="61">
        <v>280697</v>
      </c>
      <c r="G267" s="870">
        <v>106158.65</v>
      </c>
      <c r="H267" s="70">
        <f>F267/G267</f>
        <v>2.6441274451022125</v>
      </c>
      <c r="I267" s="66">
        <v>44520</v>
      </c>
      <c r="J267" s="870">
        <f>I267/(I267+F267)*100</f>
        <v>13.689321283942721</v>
      </c>
      <c r="K267" s="722">
        <f>(F267+I267)/G267</f>
        <v>3.063499771332812</v>
      </c>
      <c r="L267" s="66">
        <v>8804</v>
      </c>
      <c r="M267" s="70">
        <f>(F267+I267+L267)/G267</f>
        <v>3.1464322502217201</v>
      </c>
      <c r="N267" s="1798" t="s">
        <v>1103</v>
      </c>
    </row>
    <row r="268" spans="1:16" ht="68" customHeight="1" x14ac:dyDescent="0.2">
      <c r="A268" s="51">
        <v>4</v>
      </c>
      <c r="B268" s="894" t="s">
        <v>1105</v>
      </c>
      <c r="C268" s="1799">
        <v>7.5049999999999999</v>
      </c>
      <c r="D268" s="1191">
        <v>13.18</v>
      </c>
      <c r="E268" s="1191">
        <v>3.17</v>
      </c>
      <c r="F268" s="61">
        <v>72998</v>
      </c>
      <c r="G268" s="66">
        <v>27655.5</v>
      </c>
      <c r="H268" s="70">
        <f>F268/G268</f>
        <v>2.6395472871580696</v>
      </c>
      <c r="I268" s="66"/>
      <c r="J268" s="870">
        <f>I268/(I268+F268)*100</f>
        <v>0</v>
      </c>
      <c r="K268" s="722">
        <f>(F268+I268)/G268</f>
        <v>2.6395472871580696</v>
      </c>
      <c r="L268" s="66"/>
      <c r="M268" s="70">
        <f>(F268+I268+L268)/G268</f>
        <v>2.6395472871580696</v>
      </c>
      <c r="N268" s="1798" t="s">
        <v>1106</v>
      </c>
    </row>
    <row r="269" spans="1:16" s="1" customFormat="1" ht="38" customHeight="1" x14ac:dyDescent="0.2">
      <c r="A269" s="3335" t="s">
        <v>896</v>
      </c>
      <c r="B269" s="3335"/>
      <c r="C269" s="3335"/>
      <c r="D269" s="3335"/>
      <c r="E269" s="3335"/>
      <c r="F269" s="58">
        <f>SUM(F265:F268)</f>
        <v>1272113.8999999999</v>
      </c>
      <c r="G269" s="65">
        <f>SUM(G265:G268)</f>
        <v>487823.04000000004</v>
      </c>
      <c r="H269" s="59">
        <f>F269/G269</f>
        <v>2.6077364037582149</v>
      </c>
      <c r="I269" s="726">
        <f>SUM(I265:I268)</f>
        <v>165160</v>
      </c>
      <c r="J269" s="360">
        <f>I269/(I269+F269)*100</f>
        <v>11.491198720021286</v>
      </c>
      <c r="K269" s="360">
        <f>(F269+I269)/G269</f>
        <v>2.9463017982914455</v>
      </c>
      <c r="L269" s="65">
        <f>SUM(L265:L268)</f>
        <v>18772</v>
      </c>
      <c r="M269" s="59">
        <f>(F269+I269+L269)/G269</f>
        <v>2.9847829655606257</v>
      </c>
      <c r="N269" s="264"/>
    </row>
    <row r="270" spans="1:16" s="1" customFormat="1" ht="32" customHeight="1" x14ac:dyDescent="0.2">
      <c r="A270" s="42" t="s">
        <v>51</v>
      </c>
      <c r="H270" s="78"/>
      <c r="I270" s="447"/>
      <c r="J270" s="71"/>
      <c r="K270" s="71"/>
      <c r="N270" s="209"/>
    </row>
    <row r="271" spans="1:16" ht="41" customHeight="1" x14ac:dyDescent="0.2">
      <c r="A271" s="3511" t="s">
        <v>39</v>
      </c>
      <c r="B271" s="3511" t="s">
        <v>40</v>
      </c>
      <c r="C271" s="3511" t="s">
        <v>41</v>
      </c>
      <c r="D271" s="3511"/>
      <c r="E271" s="3511"/>
      <c r="F271" s="1795" t="s">
        <v>42</v>
      </c>
      <c r="G271" s="1795" t="s">
        <v>43</v>
      </c>
      <c r="H271" s="1796" t="s">
        <v>44</v>
      </c>
      <c r="I271" s="3511" t="s">
        <v>535</v>
      </c>
      <c r="J271" s="3511"/>
      <c r="K271" s="1797" t="s">
        <v>45</v>
      </c>
      <c r="L271" s="1795" t="s">
        <v>46</v>
      </c>
      <c r="M271" s="3512" t="s">
        <v>531</v>
      </c>
      <c r="N271" s="3512" t="s">
        <v>47</v>
      </c>
    </row>
    <row r="272" spans="1:16" ht="41" customHeight="1" x14ac:dyDescent="0.2">
      <c r="A272" s="3511"/>
      <c r="B272" s="3511"/>
      <c r="C272" s="1795" t="s">
        <v>48</v>
      </c>
      <c r="D272" s="1797" t="s">
        <v>527</v>
      </c>
      <c r="E272" s="1797" t="s">
        <v>528</v>
      </c>
      <c r="F272" s="1795" t="s">
        <v>164</v>
      </c>
      <c r="G272" s="1795" t="s">
        <v>530</v>
      </c>
      <c r="H272" s="1796" t="s">
        <v>529</v>
      </c>
      <c r="I272" s="1795" t="s">
        <v>164</v>
      </c>
      <c r="J272" s="1797" t="s">
        <v>532</v>
      </c>
      <c r="K272" s="1796" t="s">
        <v>529</v>
      </c>
      <c r="L272" s="1795" t="s">
        <v>164</v>
      </c>
      <c r="M272" s="3512"/>
      <c r="N272" s="3512"/>
    </row>
    <row r="273" spans="1:14" ht="72" customHeight="1" x14ac:dyDescent="0.2">
      <c r="A273" s="51">
        <v>1</v>
      </c>
      <c r="B273" s="894" t="s">
        <v>787</v>
      </c>
      <c r="C273" s="1190">
        <v>7679</v>
      </c>
      <c r="D273" s="1191">
        <v>4.7</v>
      </c>
      <c r="E273" s="1192">
        <v>2</v>
      </c>
      <c r="F273" s="61">
        <v>621142</v>
      </c>
      <c r="G273" s="1800">
        <v>205712.12</v>
      </c>
      <c r="H273" s="70">
        <f>F273/G273</f>
        <v>3.0194720661086962</v>
      </c>
      <c r="I273" s="872">
        <v>73235</v>
      </c>
      <c r="J273" s="870">
        <f>I273/(I273+F273)*100</f>
        <v>10.546864311461929</v>
      </c>
      <c r="K273" s="722">
        <f>(F273+I273)/G273</f>
        <v>3.3754792862958198</v>
      </c>
      <c r="L273" s="1801">
        <v>10375</v>
      </c>
      <c r="M273" s="70">
        <f>(F273+I273+L273)/G273</f>
        <v>3.425913845037424</v>
      </c>
      <c r="N273" s="1798" t="s">
        <v>1101</v>
      </c>
    </row>
    <row r="274" spans="1:14" ht="72" customHeight="1" x14ac:dyDescent="0.2">
      <c r="A274" s="51">
        <v>2</v>
      </c>
      <c r="B274" s="894" t="s">
        <v>1102</v>
      </c>
      <c r="C274" s="1190">
        <v>7571</v>
      </c>
      <c r="D274" s="1191">
        <v>19.670000000000002</v>
      </c>
      <c r="E274" s="1191">
        <v>2.2999999999999998</v>
      </c>
      <c r="F274" s="61">
        <v>329567</v>
      </c>
      <c r="G274" s="1802">
        <v>112968.1</v>
      </c>
      <c r="H274" s="70">
        <f>F274/G274</f>
        <v>2.9173456931647075</v>
      </c>
      <c r="I274" s="872">
        <v>51177</v>
      </c>
      <c r="J274" s="870">
        <f>I274/(I274+F274)*100</f>
        <v>13.441314899249889</v>
      </c>
      <c r="K274" s="722">
        <f>(F274+I274)/G274</f>
        <v>3.3703673868994874</v>
      </c>
      <c r="L274" s="1801"/>
      <c r="M274" s="70">
        <f>(F274+I274+L274)/G274</f>
        <v>3.3703673868994874</v>
      </c>
      <c r="N274" s="1798" t="s">
        <v>1103</v>
      </c>
    </row>
    <row r="275" spans="1:14" ht="72" customHeight="1" x14ac:dyDescent="0.2">
      <c r="A275" s="51">
        <v>3</v>
      </c>
      <c r="B275" s="894" t="s">
        <v>1104</v>
      </c>
      <c r="C275" s="1190">
        <v>7348</v>
      </c>
      <c r="D275" s="1191">
        <v>18.18</v>
      </c>
      <c r="E275" s="1191">
        <v>3.38</v>
      </c>
      <c r="F275" s="61">
        <v>284881</v>
      </c>
      <c r="G275" s="1802">
        <v>97788.1</v>
      </c>
      <c r="H275" s="70">
        <f>F275/G275</f>
        <v>2.9132481355093307</v>
      </c>
      <c r="I275" s="872">
        <v>45183</v>
      </c>
      <c r="J275" s="870">
        <f>I275/(I275+F275)*100</f>
        <v>13.689163313781568</v>
      </c>
      <c r="K275" s="722">
        <f>(F275+I275)/G275</f>
        <v>3.3752982213582223</v>
      </c>
      <c r="L275" s="1801">
        <v>8936</v>
      </c>
      <c r="M275" s="70">
        <f>(F275+I275+L275)/G275</f>
        <v>3.4666794834954353</v>
      </c>
      <c r="N275" s="1798" t="s">
        <v>1103</v>
      </c>
    </row>
    <row r="276" spans="1:14" ht="72" customHeight="1" x14ac:dyDescent="0.2">
      <c r="A276" s="51">
        <v>4</v>
      </c>
      <c r="B276" s="894" t="s">
        <v>1105</v>
      </c>
      <c r="C276" s="1799">
        <v>7.5049999999999999</v>
      </c>
      <c r="D276" s="1191">
        <v>13.18</v>
      </c>
      <c r="E276" s="1191">
        <v>3.17</v>
      </c>
      <c r="F276" s="61">
        <v>43454</v>
      </c>
      <c r="G276" s="1802">
        <v>15380</v>
      </c>
      <c r="H276" s="70">
        <f>F276/G276</f>
        <v>2.8253576072821844</v>
      </c>
      <c r="I276" s="872"/>
      <c r="J276" s="870">
        <f>I276/(I276+F276)*100</f>
        <v>0</v>
      </c>
      <c r="K276" s="722">
        <f>(F276+I276)/G276</f>
        <v>2.8253576072821844</v>
      </c>
      <c r="L276" s="1803"/>
      <c r="M276" s="70">
        <f>(F276+I276+L276)/G276</f>
        <v>2.8253576072821844</v>
      </c>
      <c r="N276" s="1798" t="s">
        <v>1106</v>
      </c>
    </row>
    <row r="277" spans="1:14" ht="36" customHeight="1" x14ac:dyDescent="0.2">
      <c r="A277" s="3336" t="s">
        <v>1107</v>
      </c>
      <c r="B277" s="3336"/>
      <c r="C277" s="3336"/>
      <c r="D277" s="3336"/>
      <c r="E277" s="3336"/>
      <c r="F277" s="888">
        <f>SUM(F273:F276)</f>
        <v>1279044</v>
      </c>
      <c r="G277" s="888">
        <f>SUM(G273:G276)</f>
        <v>431848.31999999995</v>
      </c>
      <c r="H277" s="59">
        <f>F277/G277</f>
        <v>2.9617899173487583</v>
      </c>
      <c r="I277" s="726">
        <f>SUM(I273:I276)</f>
        <v>169595</v>
      </c>
      <c r="J277" s="360">
        <f>I277/(I277+F277)*100</f>
        <v>11.707195512477574</v>
      </c>
      <c r="K277" s="360">
        <f>(F277+I277)/G277</f>
        <v>3.3545088238388892</v>
      </c>
      <c r="L277" s="60">
        <f>SUM(L273:L276)</f>
        <v>19311</v>
      </c>
      <c r="M277" s="59">
        <f>(F277+I277+L277)/G277</f>
        <v>3.3992259133947775</v>
      </c>
      <c r="N277" s="893"/>
    </row>
    <row r="278" spans="1:14" ht="31" customHeight="1" x14ac:dyDescent="0.2">
      <c r="A278" s="1804"/>
      <c r="B278" s="1804"/>
      <c r="C278" s="1804"/>
      <c r="D278" s="1804"/>
      <c r="E278" s="1804"/>
      <c r="F278" s="1805"/>
      <c r="G278" s="1805"/>
      <c r="H278" s="1127"/>
      <c r="I278" s="1189"/>
      <c r="J278" s="1129"/>
      <c r="K278" s="1129"/>
      <c r="L278" s="1126"/>
      <c r="M278" s="1127"/>
    </row>
    <row r="279" spans="1:14" s="1" customFormat="1" ht="34" customHeight="1" x14ac:dyDescent="0.2">
      <c r="A279" s="42" t="s">
        <v>686</v>
      </c>
      <c r="H279" s="78"/>
      <c r="I279" s="447"/>
      <c r="J279" s="71"/>
      <c r="K279" s="71"/>
      <c r="N279" s="209"/>
    </row>
    <row r="280" spans="1:14" s="1" customFormat="1" ht="41" customHeight="1" x14ac:dyDescent="0.2">
      <c r="A280" s="3511" t="s">
        <v>39</v>
      </c>
      <c r="B280" s="3511" t="s">
        <v>40</v>
      </c>
      <c r="C280" s="3511" t="s">
        <v>41</v>
      </c>
      <c r="D280" s="3511"/>
      <c r="E280" s="3511"/>
      <c r="F280" s="1795" t="s">
        <v>42</v>
      </c>
      <c r="G280" s="1795" t="s">
        <v>43</v>
      </c>
      <c r="H280" s="1796" t="s">
        <v>44</v>
      </c>
      <c r="I280" s="3511" t="s">
        <v>535</v>
      </c>
      <c r="J280" s="3511"/>
      <c r="K280" s="1797" t="s">
        <v>45</v>
      </c>
      <c r="L280" s="1795" t="s">
        <v>46</v>
      </c>
      <c r="M280" s="3512" t="s">
        <v>531</v>
      </c>
      <c r="N280" s="3512" t="s">
        <v>47</v>
      </c>
    </row>
    <row r="281" spans="1:14" s="1" customFormat="1" ht="41" customHeight="1" x14ac:dyDescent="0.2">
      <c r="A281" s="3511"/>
      <c r="B281" s="3511"/>
      <c r="C281" s="1795" t="s">
        <v>48</v>
      </c>
      <c r="D281" s="1797" t="s">
        <v>527</v>
      </c>
      <c r="E281" s="1797" t="s">
        <v>528</v>
      </c>
      <c r="F281" s="1795" t="s">
        <v>164</v>
      </c>
      <c r="G281" s="1795" t="s">
        <v>530</v>
      </c>
      <c r="H281" s="1796" t="s">
        <v>529</v>
      </c>
      <c r="I281" s="1795" t="s">
        <v>164</v>
      </c>
      <c r="J281" s="1797" t="s">
        <v>532</v>
      </c>
      <c r="K281" s="1796" t="s">
        <v>529</v>
      </c>
      <c r="L281" s="1795" t="s">
        <v>164</v>
      </c>
      <c r="M281" s="3512"/>
      <c r="N281" s="3512"/>
    </row>
    <row r="282" spans="1:14" s="1" customFormat="1" ht="57" customHeight="1" x14ac:dyDescent="0.2">
      <c r="A282" s="51">
        <v>1</v>
      </c>
      <c r="B282" s="868" t="s">
        <v>1105</v>
      </c>
      <c r="C282" s="1806">
        <v>7.5049999999999999</v>
      </c>
      <c r="D282" s="1136">
        <v>13.18</v>
      </c>
      <c r="E282" s="1136">
        <v>3.17</v>
      </c>
      <c r="F282" s="61">
        <v>12976</v>
      </c>
      <c r="G282" s="1807">
        <v>4438.8</v>
      </c>
      <c r="H282" s="70">
        <f>F282/G282</f>
        <v>2.9233126070109039</v>
      </c>
      <c r="I282" s="872">
        <v>0</v>
      </c>
      <c r="J282" s="870">
        <f>I282/(I282+F282)*100</f>
        <v>0</v>
      </c>
      <c r="K282" s="722">
        <f>(F282+I282)/G282</f>
        <v>2.9233126070109039</v>
      </c>
      <c r="L282" s="1801">
        <v>0</v>
      </c>
      <c r="M282" s="70">
        <f>(F282+I282+L282)/G282</f>
        <v>2.9233126070109039</v>
      </c>
      <c r="N282" s="893" t="s">
        <v>1106</v>
      </c>
    </row>
    <row r="283" spans="1:14" s="1" customFormat="1" ht="50" hidden="1" customHeight="1" x14ac:dyDescent="0.2">
      <c r="A283" s="51"/>
      <c r="B283" s="868"/>
      <c r="C283" s="1135"/>
      <c r="D283" s="1136"/>
      <c r="E283" s="1136"/>
      <c r="F283" s="61">
        <v>12976</v>
      </c>
      <c r="G283" s="1807">
        <v>4438.8</v>
      </c>
      <c r="H283" s="70"/>
      <c r="I283" s="872"/>
      <c r="J283" s="870"/>
      <c r="K283" s="722"/>
      <c r="L283" s="1801"/>
      <c r="M283" s="70"/>
      <c r="N283" s="1808"/>
    </row>
    <row r="284" spans="1:14" ht="50" hidden="1" customHeight="1" x14ac:dyDescent="0.2">
      <c r="A284" s="51"/>
      <c r="B284" s="868"/>
      <c r="C284" s="1135"/>
      <c r="D284" s="1136"/>
      <c r="E284" s="1136"/>
      <c r="F284" s="61">
        <v>12976</v>
      </c>
      <c r="G284" s="1807">
        <v>4438.8</v>
      </c>
      <c r="H284" s="70"/>
      <c r="I284" s="872"/>
      <c r="J284" s="870"/>
      <c r="K284" s="722"/>
      <c r="L284" s="1801"/>
      <c r="M284" s="70"/>
      <c r="N284" s="1809"/>
    </row>
    <row r="285" spans="1:14" s="1" customFormat="1" ht="50" hidden="1" customHeight="1" x14ac:dyDescent="0.2">
      <c r="A285" s="51"/>
      <c r="B285" s="868"/>
      <c r="C285" s="1806"/>
      <c r="D285" s="1136"/>
      <c r="E285" s="1136"/>
      <c r="F285" s="61">
        <v>12976</v>
      </c>
      <c r="G285" s="1807">
        <v>4438.8</v>
      </c>
      <c r="H285" s="70"/>
      <c r="I285" s="872"/>
      <c r="J285" s="870"/>
      <c r="K285" s="722"/>
      <c r="L285" s="1803"/>
      <c r="M285" s="70"/>
      <c r="N285" s="1809"/>
    </row>
    <row r="286" spans="1:14" s="1" customFormat="1" ht="32" customHeight="1" x14ac:dyDescent="0.2">
      <c r="A286" s="3336" t="s">
        <v>54</v>
      </c>
      <c r="B286" s="3336"/>
      <c r="C286" s="3336"/>
      <c r="D286" s="3336"/>
      <c r="E286" s="3336"/>
      <c r="F286" s="61">
        <v>12976</v>
      </c>
      <c r="G286" s="1807">
        <v>4438.8</v>
      </c>
      <c r="H286" s="59">
        <f>F286/G286</f>
        <v>2.9233126070109039</v>
      </c>
      <c r="I286" s="859">
        <f>I284+I285</f>
        <v>0</v>
      </c>
      <c r="J286" s="360">
        <f>I286/(I286+F286)*100</f>
        <v>0</v>
      </c>
      <c r="K286" s="360">
        <f>(F286+I286)/G286</f>
        <v>2.9233126070109039</v>
      </c>
      <c r="L286" s="60">
        <f>L284+L285</f>
        <v>0</v>
      </c>
      <c r="M286" s="59">
        <f>(F286+I286+L286)/G286</f>
        <v>2.9233126070109039</v>
      </c>
      <c r="N286" s="893"/>
    </row>
    <row r="287" spans="1:14" s="1" customFormat="1" ht="27" hidden="1" customHeight="1" x14ac:dyDescent="0.2">
      <c r="A287" s="42" t="s">
        <v>688</v>
      </c>
      <c r="H287" s="78"/>
      <c r="I287" s="447"/>
      <c r="J287" s="71"/>
      <c r="K287" s="71"/>
      <c r="N287" s="209"/>
    </row>
    <row r="288" spans="1:14" s="1" customFormat="1" ht="38" hidden="1" customHeight="1" x14ac:dyDescent="0.2">
      <c r="A288" s="3301" t="s">
        <v>39</v>
      </c>
      <c r="B288" s="3301" t="s">
        <v>40</v>
      </c>
      <c r="C288" s="3301" t="s">
        <v>41</v>
      </c>
      <c r="D288" s="3301"/>
      <c r="E288" s="3301"/>
      <c r="F288" s="50" t="s">
        <v>42</v>
      </c>
      <c r="G288" s="50" t="s">
        <v>43</v>
      </c>
      <c r="H288" s="537" t="s">
        <v>44</v>
      </c>
      <c r="I288" s="3301" t="s">
        <v>535</v>
      </c>
      <c r="J288" s="3301"/>
      <c r="K288" s="69" t="s">
        <v>45</v>
      </c>
      <c r="L288" s="50" t="s">
        <v>46</v>
      </c>
      <c r="M288" s="3419" t="s">
        <v>531</v>
      </c>
      <c r="N288" s="3419" t="s">
        <v>47</v>
      </c>
    </row>
    <row r="289" spans="1:14" s="1" customFormat="1" ht="32" hidden="1" customHeight="1" x14ac:dyDescent="0.2">
      <c r="A289" s="3301"/>
      <c r="B289" s="3301"/>
      <c r="C289" s="50" t="s">
        <v>48</v>
      </c>
      <c r="D289" s="69" t="s">
        <v>527</v>
      </c>
      <c r="E289" s="69" t="s">
        <v>528</v>
      </c>
      <c r="F289" s="50" t="s">
        <v>164</v>
      </c>
      <c r="G289" s="50" t="s">
        <v>530</v>
      </c>
      <c r="H289" s="537" t="s">
        <v>529</v>
      </c>
      <c r="I289" s="50" t="s">
        <v>164</v>
      </c>
      <c r="J289" s="69" t="s">
        <v>532</v>
      </c>
      <c r="K289" s="537" t="s">
        <v>529</v>
      </c>
      <c r="L289" s="50" t="s">
        <v>164</v>
      </c>
      <c r="M289" s="3419"/>
      <c r="N289" s="3419"/>
    </row>
    <row r="290" spans="1:14" s="1" customFormat="1" ht="32" hidden="1" customHeight="1" x14ac:dyDescent="0.2">
      <c r="A290" s="50"/>
      <c r="B290" s="50"/>
      <c r="C290" s="50"/>
      <c r="D290" s="69"/>
      <c r="E290" s="69"/>
      <c r="F290" s="50"/>
      <c r="G290" s="50"/>
      <c r="H290" s="537"/>
      <c r="I290" s="50"/>
      <c r="J290" s="69"/>
      <c r="K290" s="537"/>
      <c r="L290" s="50"/>
      <c r="M290" s="69"/>
      <c r="N290" s="69"/>
    </row>
    <row r="291" spans="1:14" s="1" customFormat="1" ht="32" hidden="1" customHeight="1" x14ac:dyDescent="0.2">
      <c r="A291" s="50"/>
      <c r="B291" s="50"/>
      <c r="C291" s="50"/>
      <c r="D291" s="69"/>
      <c r="E291" s="69"/>
      <c r="F291" s="50"/>
      <c r="G291" s="50"/>
      <c r="H291" s="537"/>
      <c r="I291" s="50"/>
      <c r="J291" s="69"/>
      <c r="K291" s="537"/>
      <c r="L291" s="50"/>
      <c r="M291" s="69"/>
      <c r="N291" s="69"/>
    </row>
    <row r="292" spans="1:14" ht="62" hidden="1" customHeight="1" x14ac:dyDescent="0.2">
      <c r="A292" s="51">
        <v>1</v>
      </c>
      <c r="B292" s="894"/>
      <c r="C292" s="53"/>
      <c r="D292" s="54"/>
      <c r="E292" s="54"/>
      <c r="F292" s="55"/>
      <c r="G292" s="1130"/>
      <c r="H292" s="70" t="e">
        <f>F292/G292</f>
        <v>#DIV/0!</v>
      </c>
      <c r="I292" s="66"/>
      <c r="J292" s="870" t="e">
        <f>I292/(I292+F292)*100</f>
        <v>#DIV/0!</v>
      </c>
      <c r="K292" s="722" t="e">
        <f>(F292+I292)/G292</f>
        <v>#DIV/0!</v>
      </c>
      <c r="L292" s="66"/>
      <c r="M292" s="70" t="e">
        <f>(F292+I292+L292)/G292</f>
        <v>#DIV/0!</v>
      </c>
      <c r="N292" s="893"/>
    </row>
    <row r="293" spans="1:14" ht="54" hidden="1" customHeight="1" x14ac:dyDescent="0.2">
      <c r="A293" s="51">
        <v>2</v>
      </c>
      <c r="B293" s="894"/>
      <c r="C293" s="53"/>
      <c r="D293" s="54"/>
      <c r="E293" s="54"/>
      <c r="F293" s="55"/>
      <c r="G293" s="66"/>
      <c r="H293" s="70" t="e">
        <f>F293/G293</f>
        <v>#DIV/0!</v>
      </c>
      <c r="I293" s="66"/>
      <c r="J293" s="870" t="e">
        <f>I293/(I293+F293)*100</f>
        <v>#DIV/0!</v>
      </c>
      <c r="K293" s="722" t="e">
        <f>(F293+I293)/G293</f>
        <v>#DIV/0!</v>
      </c>
      <c r="L293" s="1065">
        <v>0</v>
      </c>
      <c r="M293" s="70" t="e">
        <f>(F293+I293+L293)/G293</f>
        <v>#DIV/0!</v>
      </c>
      <c r="N293" s="893"/>
    </row>
    <row r="294" spans="1:14" s="1" customFormat="1" ht="27" hidden="1" customHeight="1" x14ac:dyDescent="0.2">
      <c r="A294" s="3336" t="s">
        <v>54</v>
      </c>
      <c r="B294" s="3336"/>
      <c r="C294" s="3336"/>
      <c r="D294" s="3336"/>
      <c r="E294" s="3336"/>
      <c r="F294" s="888">
        <f>F292+F293</f>
        <v>0</v>
      </c>
      <c r="G294" s="888">
        <f>G292+G293</f>
        <v>0</v>
      </c>
      <c r="H294" s="59" t="e">
        <f>F294/G294</f>
        <v>#DIV/0!</v>
      </c>
      <c r="I294" s="859">
        <f>I292+I293</f>
        <v>0</v>
      </c>
      <c r="J294" s="360" t="e">
        <f>I294/(I294+F294)*100</f>
        <v>#DIV/0!</v>
      </c>
      <c r="K294" s="360" t="e">
        <f>(F294+I294)/G294</f>
        <v>#DIV/0!</v>
      </c>
      <c r="L294" s="60">
        <f>L292+L293</f>
        <v>0</v>
      </c>
      <c r="M294" s="59" t="e">
        <f>(F294+I294+L294)/G294</f>
        <v>#DIV/0!</v>
      </c>
      <c r="N294" s="893"/>
    </row>
    <row r="295" spans="1:14" s="1" customFormat="1" ht="27" customHeight="1" x14ac:dyDescent="0.2">
      <c r="A295" s="3398" t="s">
        <v>1108</v>
      </c>
      <c r="B295" s="3398"/>
      <c r="C295" s="3398"/>
      <c r="D295" s="3398"/>
      <c r="E295" s="3398"/>
      <c r="F295" s="3398"/>
      <c r="G295" s="3398"/>
      <c r="H295" s="3398"/>
      <c r="I295" s="3398"/>
      <c r="J295" s="3398"/>
      <c r="K295" s="3398"/>
      <c r="L295" s="3398"/>
      <c r="M295" s="3398"/>
      <c r="N295" s="3398"/>
    </row>
    <row r="296" spans="1:14" s="1" customFormat="1" ht="35" customHeight="1" x14ac:dyDescent="0.2">
      <c r="A296" s="3511" t="s">
        <v>39</v>
      </c>
      <c r="B296" s="3511" t="s">
        <v>40</v>
      </c>
      <c r="C296" s="3511" t="s">
        <v>41</v>
      </c>
      <c r="D296" s="3511"/>
      <c r="E296" s="3511"/>
      <c r="F296" s="1795" t="s">
        <v>42</v>
      </c>
      <c r="G296" s="1795" t="s">
        <v>43</v>
      </c>
      <c r="H296" s="1796" t="s">
        <v>44</v>
      </c>
      <c r="I296" s="3511" t="s">
        <v>535</v>
      </c>
      <c r="J296" s="3511"/>
      <c r="K296" s="1797" t="s">
        <v>45</v>
      </c>
      <c r="L296" s="1795" t="s">
        <v>46</v>
      </c>
      <c r="M296" s="3512" t="s">
        <v>531</v>
      </c>
      <c r="N296" s="3512" t="s">
        <v>47</v>
      </c>
    </row>
    <row r="297" spans="1:14" s="1" customFormat="1" ht="32" customHeight="1" x14ac:dyDescent="0.2">
      <c r="A297" s="3511"/>
      <c r="B297" s="3511"/>
      <c r="C297" s="1795" t="s">
        <v>48</v>
      </c>
      <c r="D297" s="1797" t="s">
        <v>527</v>
      </c>
      <c r="E297" s="1797" t="s">
        <v>528</v>
      </c>
      <c r="F297" s="1795" t="s">
        <v>164</v>
      </c>
      <c r="G297" s="1795" t="s">
        <v>530</v>
      </c>
      <c r="H297" s="1796" t="s">
        <v>529</v>
      </c>
      <c r="I297" s="1795" t="s">
        <v>164</v>
      </c>
      <c r="J297" s="1797" t="s">
        <v>532</v>
      </c>
      <c r="K297" s="1796" t="s">
        <v>529</v>
      </c>
      <c r="L297" s="1795" t="s">
        <v>164</v>
      </c>
      <c r="M297" s="3512"/>
      <c r="N297" s="3512"/>
    </row>
    <row r="298" spans="1:14" ht="72" customHeight="1" x14ac:dyDescent="0.2">
      <c r="A298" s="51">
        <v>1</v>
      </c>
      <c r="B298" s="894" t="s">
        <v>787</v>
      </c>
      <c r="C298" s="1190">
        <v>7679</v>
      </c>
      <c r="D298" s="1191">
        <v>4.7</v>
      </c>
      <c r="E298" s="1192">
        <v>2</v>
      </c>
      <c r="F298" s="1800">
        <f t="shared" ref="F298:G300" si="20">F273</f>
        <v>621142</v>
      </c>
      <c r="G298" s="1800">
        <f t="shared" si="20"/>
        <v>205712.12</v>
      </c>
      <c r="H298" s="70">
        <f>F298/G298</f>
        <v>3.0194720661086962</v>
      </c>
      <c r="I298" s="872">
        <v>73235</v>
      </c>
      <c r="J298" s="870">
        <f>I298/(I298+F298)*100</f>
        <v>10.546864311461929</v>
      </c>
      <c r="K298" s="722">
        <f>(F298+I298)/G298</f>
        <v>3.3754792862958198</v>
      </c>
      <c r="L298" s="1801">
        <v>10375</v>
      </c>
      <c r="M298" s="70">
        <f>(F298+I298+L298)/G298</f>
        <v>3.425913845037424</v>
      </c>
      <c r="N298" s="1798" t="s">
        <v>1101</v>
      </c>
    </row>
    <row r="299" spans="1:14" ht="58" customHeight="1" x14ac:dyDescent="0.2">
      <c r="A299" s="51">
        <v>2</v>
      </c>
      <c r="B299" s="894" t="s">
        <v>1102</v>
      </c>
      <c r="C299" s="1190">
        <v>7571</v>
      </c>
      <c r="D299" s="1191">
        <v>19.670000000000002</v>
      </c>
      <c r="E299" s="1191">
        <v>2.2999999999999998</v>
      </c>
      <c r="F299" s="1802">
        <f t="shared" si="20"/>
        <v>329567</v>
      </c>
      <c r="G299" s="1802">
        <f t="shared" si="20"/>
        <v>112968.1</v>
      </c>
      <c r="H299" s="70">
        <f>F299/G299</f>
        <v>2.9173456931647075</v>
      </c>
      <c r="I299" s="872">
        <v>51177</v>
      </c>
      <c r="J299" s="870">
        <f>I299/(I299+F299)*100</f>
        <v>13.441314899249889</v>
      </c>
      <c r="K299" s="722">
        <f>(F299+I299)/G299</f>
        <v>3.3703673868994874</v>
      </c>
      <c r="L299" s="1801"/>
      <c r="M299" s="70">
        <f>(F299+I299+L299)/G299</f>
        <v>3.3703673868994874</v>
      </c>
      <c r="N299" s="1798" t="s">
        <v>1103</v>
      </c>
    </row>
    <row r="300" spans="1:14" s="1" customFormat="1" ht="61" customHeight="1" x14ac:dyDescent="0.2">
      <c r="A300" s="51">
        <v>3</v>
      </c>
      <c r="B300" s="894" t="s">
        <v>1104</v>
      </c>
      <c r="C300" s="1190">
        <v>7348</v>
      </c>
      <c r="D300" s="1191">
        <v>18.18</v>
      </c>
      <c r="E300" s="1191">
        <v>3.38</v>
      </c>
      <c r="F300" s="1802">
        <f t="shared" si="20"/>
        <v>284881</v>
      </c>
      <c r="G300" s="1802">
        <f t="shared" si="20"/>
        <v>97788.1</v>
      </c>
      <c r="H300" s="70">
        <f>F300/G300</f>
        <v>2.9132481355093307</v>
      </c>
      <c r="I300" s="872">
        <v>45183</v>
      </c>
      <c r="J300" s="870">
        <f>I300/(I300+F300)*100</f>
        <v>13.689163313781568</v>
      </c>
      <c r="K300" s="722">
        <f>(F300+I300)/G300</f>
        <v>3.3752982213582223</v>
      </c>
      <c r="L300" s="1801">
        <v>8936</v>
      </c>
      <c r="M300" s="70">
        <f>(F300+I300+L300)/G300</f>
        <v>3.4666794834954353</v>
      </c>
      <c r="N300" s="1798" t="s">
        <v>1103</v>
      </c>
    </row>
    <row r="301" spans="1:14" s="1" customFormat="1" ht="58" customHeight="1" x14ac:dyDescent="0.2">
      <c r="A301" s="51">
        <v>4</v>
      </c>
      <c r="B301" s="894" t="s">
        <v>1105</v>
      </c>
      <c r="C301" s="1799">
        <v>7.5049999999999999</v>
      </c>
      <c r="D301" s="1191">
        <v>13.18</v>
      </c>
      <c r="E301" s="1191">
        <v>3.17</v>
      </c>
      <c r="F301" s="1802">
        <f>F276+F282</f>
        <v>56430</v>
      </c>
      <c r="G301" s="1802">
        <f>G276+G282</f>
        <v>19818.8</v>
      </c>
      <c r="H301" s="70">
        <f>F301/G301</f>
        <v>2.8472965063475084</v>
      </c>
      <c r="I301" s="872"/>
      <c r="J301" s="870">
        <f>I301/(I301+F301)*100</f>
        <v>0</v>
      </c>
      <c r="K301" s="722">
        <f>(F301+I301)/G301</f>
        <v>2.8472965063475084</v>
      </c>
      <c r="L301" s="1803"/>
      <c r="M301" s="70">
        <f>(F301+I301+L301)/G301</f>
        <v>2.8472965063475084</v>
      </c>
      <c r="N301" s="1798" t="s">
        <v>1106</v>
      </c>
    </row>
    <row r="302" spans="1:14" s="1" customFormat="1" ht="36" customHeight="1" x14ac:dyDescent="0.2">
      <c r="A302" s="3335" t="s">
        <v>54</v>
      </c>
      <c r="B302" s="3335"/>
      <c r="C302" s="3335"/>
      <c r="D302" s="3335"/>
      <c r="E302" s="3335"/>
      <c r="F302" s="58">
        <f>SUM(F298:F301)</f>
        <v>1292020</v>
      </c>
      <c r="G302" s="60">
        <f>SUM(G298:G301)</f>
        <v>436287.11999999994</v>
      </c>
      <c r="H302" s="59">
        <f>F302/G302</f>
        <v>2.9613984478845037</v>
      </c>
      <c r="I302" s="859">
        <f>SUM(I298:I301)</f>
        <v>169595</v>
      </c>
      <c r="J302" s="360">
        <f>I302/(I302+F302)*100</f>
        <v>11.603260776606698</v>
      </c>
      <c r="K302" s="360">
        <f>(F302+I302)/G302</f>
        <v>3.3501218188609379</v>
      </c>
      <c r="L302" s="60">
        <f>SUM(L298:L301)</f>
        <v>19311</v>
      </c>
      <c r="M302" s="59">
        <f>(F302+I302+L302)/G302</f>
        <v>3.3943839552265493</v>
      </c>
      <c r="N302" s="264"/>
    </row>
    <row r="303" spans="1:14" s="1" customFormat="1" ht="23" customHeight="1" x14ac:dyDescent="0.2">
      <c r="A303" s="67"/>
      <c r="B303" s="67"/>
      <c r="C303" s="67"/>
      <c r="D303" s="67"/>
      <c r="E303" s="67"/>
      <c r="F303" s="1125"/>
      <c r="G303" s="1126"/>
      <c r="H303" s="1127"/>
      <c r="I303" s="1128"/>
      <c r="J303" s="1129"/>
      <c r="K303" s="1129"/>
      <c r="L303" s="1126"/>
      <c r="M303" s="1127"/>
      <c r="N303" s="272"/>
    </row>
    <row r="304" spans="1:14" s="1" customFormat="1" ht="28" customHeight="1" x14ac:dyDescent="0.2">
      <c r="A304" s="42" t="s">
        <v>1109</v>
      </c>
      <c r="H304" s="78"/>
      <c r="I304" s="447"/>
      <c r="J304" s="71"/>
      <c r="K304" s="71"/>
      <c r="N304" s="209"/>
    </row>
    <row r="305" spans="1:18" s="1" customFormat="1" ht="34" customHeight="1" x14ac:dyDescent="0.2">
      <c r="A305" s="3510" t="s">
        <v>39</v>
      </c>
      <c r="B305" s="3510" t="s">
        <v>40</v>
      </c>
      <c r="C305" s="3510" t="s">
        <v>41</v>
      </c>
      <c r="D305" s="3510"/>
      <c r="E305" s="3510"/>
      <c r="F305" s="1810" t="s">
        <v>42</v>
      </c>
      <c r="G305" s="1810" t="s">
        <v>43</v>
      </c>
      <c r="H305" s="1811" t="s">
        <v>533</v>
      </c>
      <c r="I305" s="3510" t="s">
        <v>535</v>
      </c>
      <c r="J305" s="3510"/>
      <c r="K305" s="1812" t="s">
        <v>45</v>
      </c>
      <c r="L305" s="1810" t="s">
        <v>46</v>
      </c>
      <c r="M305" s="3507" t="s">
        <v>531</v>
      </c>
      <c r="N305" s="3507" t="s">
        <v>47</v>
      </c>
    </row>
    <row r="306" spans="1:18" s="1" customFormat="1" ht="35" customHeight="1" x14ac:dyDescent="0.2">
      <c r="A306" s="3510"/>
      <c r="B306" s="3510"/>
      <c r="C306" s="1810" t="s">
        <v>48</v>
      </c>
      <c r="D306" s="1812" t="s">
        <v>527</v>
      </c>
      <c r="E306" s="1812" t="s">
        <v>528</v>
      </c>
      <c r="F306" s="1810" t="s">
        <v>164</v>
      </c>
      <c r="G306" s="1810" t="s">
        <v>530</v>
      </c>
      <c r="H306" s="1811" t="s">
        <v>534</v>
      </c>
      <c r="I306" s="1810" t="s">
        <v>164</v>
      </c>
      <c r="J306" s="1812" t="s">
        <v>532</v>
      </c>
      <c r="K306" s="1811" t="s">
        <v>534</v>
      </c>
      <c r="L306" s="1810" t="s">
        <v>164</v>
      </c>
      <c r="M306" s="3507"/>
      <c r="N306" s="3507"/>
    </row>
    <row r="307" spans="1:18" ht="62" customHeight="1" x14ac:dyDescent="0.2">
      <c r="A307" s="51">
        <v>1</v>
      </c>
      <c r="B307" s="894" t="s">
        <v>787</v>
      </c>
      <c r="C307" s="1190">
        <v>7679</v>
      </c>
      <c r="D307" s="1191">
        <v>4.7</v>
      </c>
      <c r="E307" s="1192">
        <v>2</v>
      </c>
      <c r="F307" s="61">
        <f t="shared" ref="F307:G310" si="21">F265+F298</f>
        <v>1215792</v>
      </c>
      <c r="G307" s="61">
        <f t="shared" si="21"/>
        <v>436610.12</v>
      </c>
      <c r="H307" s="70">
        <f t="shared" ref="H307:H312" si="22">F307/G307</f>
        <v>2.7846170858339243</v>
      </c>
      <c r="I307" s="61">
        <f>I265+I298</f>
        <v>143599</v>
      </c>
      <c r="J307" s="870">
        <f t="shared" ref="J307:J312" si="23">I307/(I307+F307)*100</f>
        <v>10.563480264324244</v>
      </c>
      <c r="K307" s="722">
        <f t="shared" ref="K307:K312" si="24">(F307+I307)/G307</f>
        <v>3.1135123482708096</v>
      </c>
      <c r="L307" s="61">
        <f>L265+L298</f>
        <v>20343</v>
      </c>
      <c r="M307" s="70">
        <f t="shared" ref="M307:M312" si="25">(F307+I307+L307)/G307</f>
        <v>3.1601054047945567</v>
      </c>
      <c r="N307" s="1798" t="s">
        <v>1101</v>
      </c>
    </row>
    <row r="308" spans="1:18" ht="62" customHeight="1" x14ac:dyDescent="0.2">
      <c r="A308" s="51">
        <v>2</v>
      </c>
      <c r="B308" s="894" t="s">
        <v>1102</v>
      </c>
      <c r="C308" s="1190">
        <v>7571</v>
      </c>
      <c r="D308" s="1191">
        <v>19.670000000000002</v>
      </c>
      <c r="E308" s="1191">
        <v>2.2999999999999998</v>
      </c>
      <c r="F308" s="61">
        <f t="shared" si="21"/>
        <v>653335.9</v>
      </c>
      <c r="G308" s="61">
        <f t="shared" si="21"/>
        <v>236078.99</v>
      </c>
      <c r="H308" s="70">
        <f t="shared" si="22"/>
        <v>2.7674461840081577</v>
      </c>
      <c r="I308" s="61">
        <f>I266+I299</f>
        <v>101453</v>
      </c>
      <c r="J308" s="870">
        <f t="shared" si="23"/>
        <v>13.441241650480022</v>
      </c>
      <c r="K308" s="722">
        <f t="shared" si="24"/>
        <v>3.1971879412056112</v>
      </c>
      <c r="L308" s="61">
        <f>L266+L299</f>
        <v>0</v>
      </c>
      <c r="M308" s="70">
        <f t="shared" si="25"/>
        <v>3.1971879412056112</v>
      </c>
      <c r="N308" s="1798" t="s">
        <v>1103</v>
      </c>
    </row>
    <row r="309" spans="1:18" ht="62" customHeight="1" x14ac:dyDescent="0.2">
      <c r="A309" s="51">
        <v>3</v>
      </c>
      <c r="B309" s="894" t="s">
        <v>1104</v>
      </c>
      <c r="C309" s="1190">
        <v>7348</v>
      </c>
      <c r="D309" s="1191">
        <v>18.18</v>
      </c>
      <c r="E309" s="1191">
        <v>3.38</v>
      </c>
      <c r="F309" s="61">
        <f t="shared" si="21"/>
        <v>565578</v>
      </c>
      <c r="G309" s="61">
        <f t="shared" si="21"/>
        <v>203946.75</v>
      </c>
      <c r="H309" s="70">
        <f t="shared" si="22"/>
        <v>2.7731650541133899</v>
      </c>
      <c r="I309" s="61">
        <f>I267+I300</f>
        <v>89703</v>
      </c>
      <c r="J309" s="870">
        <f t="shared" si="23"/>
        <v>13.689241714623194</v>
      </c>
      <c r="K309" s="722">
        <f t="shared" si="24"/>
        <v>3.2130004523239521</v>
      </c>
      <c r="L309" s="61">
        <f>L267+L300</f>
        <v>17740</v>
      </c>
      <c r="M309" s="70">
        <f t="shared" si="25"/>
        <v>3.2999839418867913</v>
      </c>
      <c r="N309" s="1798" t="s">
        <v>1103</v>
      </c>
    </row>
    <row r="310" spans="1:18" ht="62" customHeight="1" x14ac:dyDescent="0.2">
      <c r="A310" s="51">
        <v>4</v>
      </c>
      <c r="B310" s="894" t="s">
        <v>1105</v>
      </c>
      <c r="C310" s="1799">
        <v>7.5049999999999999</v>
      </c>
      <c r="D310" s="1191">
        <v>13.18</v>
      </c>
      <c r="E310" s="1191">
        <v>3.17</v>
      </c>
      <c r="F310" s="61">
        <f t="shared" si="21"/>
        <v>129428</v>
      </c>
      <c r="G310" s="61">
        <f t="shared" si="21"/>
        <v>47474.3</v>
      </c>
      <c r="H310" s="70">
        <f t="shared" si="22"/>
        <v>2.7262750582946982</v>
      </c>
      <c r="I310" s="61">
        <f>I268+I301</f>
        <v>0</v>
      </c>
      <c r="J310" s="870">
        <f t="shared" si="23"/>
        <v>0</v>
      </c>
      <c r="K310" s="722">
        <f t="shared" si="24"/>
        <v>2.7262750582946982</v>
      </c>
      <c r="L310" s="61">
        <f>L268+L301</f>
        <v>0</v>
      </c>
      <c r="M310" s="70">
        <f t="shared" si="25"/>
        <v>2.7262750582946982</v>
      </c>
      <c r="N310" s="1798" t="s">
        <v>1106</v>
      </c>
    </row>
    <row r="311" spans="1:18" ht="31" customHeight="1" x14ac:dyDescent="0.2">
      <c r="A311" s="3508" t="s">
        <v>54</v>
      </c>
      <c r="B311" s="3508"/>
      <c r="C311" s="3508"/>
      <c r="D311" s="3508"/>
      <c r="E311" s="3508"/>
      <c r="F311" s="1141">
        <f>SUM(F307:F310)</f>
        <v>2564133.9</v>
      </c>
      <c r="G311" s="1141">
        <f>SUM(G307:G310)</f>
        <v>924110.16</v>
      </c>
      <c r="H311" s="1142">
        <f t="shared" si="22"/>
        <v>2.7747058857138849</v>
      </c>
      <c r="I311" s="1169">
        <f>SUM(I307:I310)</f>
        <v>334755</v>
      </c>
      <c r="J311" s="1143">
        <f t="shared" si="23"/>
        <v>11.547700224041012</v>
      </c>
      <c r="K311" s="1143">
        <f t="shared" si="24"/>
        <v>3.136951659529422</v>
      </c>
      <c r="L311" s="1144">
        <f>SUM(L307:L310)</f>
        <v>38083</v>
      </c>
      <c r="M311" s="1142">
        <f t="shared" si="25"/>
        <v>3.1781621143522543</v>
      </c>
      <c r="N311" s="1140"/>
    </row>
    <row r="312" spans="1:18" s="1" customFormat="1" ht="31" customHeight="1" x14ac:dyDescent="0.2">
      <c r="A312" s="3509" t="s">
        <v>914</v>
      </c>
      <c r="B312" s="3509"/>
      <c r="C312" s="3509"/>
      <c r="D312" s="3509"/>
      <c r="E312" s="3509"/>
      <c r="F312" s="1145">
        <f>SUM(F307:F310)</f>
        <v>2564133.9</v>
      </c>
      <c r="G312" s="1145">
        <f>SUM(G307:G310)</f>
        <v>924110.16</v>
      </c>
      <c r="H312" s="1146">
        <f t="shared" si="22"/>
        <v>2.7747058857138849</v>
      </c>
      <c r="I312" s="1170">
        <f>SUM(I307:I310)</f>
        <v>334755</v>
      </c>
      <c r="J312" s="1147">
        <f t="shared" si="23"/>
        <v>11.547700224041012</v>
      </c>
      <c r="K312" s="1147">
        <f t="shared" si="24"/>
        <v>3.136951659529422</v>
      </c>
      <c r="L312" s="1148">
        <f>SUM(L307:L310)</f>
        <v>38083</v>
      </c>
      <c r="M312" s="1146">
        <f t="shared" si="25"/>
        <v>3.1781621143522543</v>
      </c>
      <c r="N312" s="1149"/>
    </row>
    <row r="313" spans="1:18" s="1" customFormat="1" ht="29" customHeight="1" x14ac:dyDescent="0.2">
      <c r="A313" s="1001" t="s">
        <v>515</v>
      </c>
      <c r="B313" s="1002"/>
      <c r="C313" s="1002"/>
      <c r="D313" s="1002"/>
      <c r="E313" s="1002"/>
      <c r="F313" s="1002"/>
      <c r="G313" s="1002"/>
      <c r="H313" s="1002"/>
      <c r="I313" s="1003"/>
      <c r="J313" s="1003"/>
      <c r="K313" s="1004"/>
      <c r="L313" s="1004"/>
      <c r="M313" s="1005"/>
      <c r="N313" s="1005"/>
      <c r="O313" s="876"/>
      <c r="P313" s="876"/>
      <c r="Q313" s="876"/>
      <c r="R313" s="876"/>
    </row>
    <row r="314" spans="1:18" s="1" customFormat="1" ht="46" customHeight="1" x14ac:dyDescent="0.2">
      <c r="A314" s="3197" t="s">
        <v>1110</v>
      </c>
      <c r="B314" s="3197"/>
      <c r="C314" s="3197"/>
      <c r="D314" s="3197"/>
      <c r="E314" s="3197"/>
      <c r="F314" s="3197"/>
      <c r="G314" s="3197"/>
      <c r="H314" s="3197"/>
      <c r="I314" s="3197"/>
      <c r="J314" s="3197"/>
      <c r="K314" s="3197"/>
      <c r="L314" s="3197"/>
      <c r="M314" s="3197"/>
      <c r="N314" s="3197"/>
      <c r="O314" s="1000"/>
      <c r="P314" s="1000"/>
      <c r="Q314" s="1000"/>
      <c r="R314" s="1000"/>
    </row>
    <row r="315" spans="1:18" s="1" customFormat="1" ht="27" customHeight="1" x14ac:dyDescent="0.2">
      <c r="A315" s="3197" t="s">
        <v>1111</v>
      </c>
      <c r="B315" s="3197"/>
      <c r="C315" s="3197"/>
      <c r="D315" s="3197"/>
      <c r="E315" s="3197"/>
      <c r="F315" s="3197"/>
      <c r="G315" s="3197"/>
      <c r="H315" s="3197"/>
      <c r="I315" s="3197"/>
      <c r="J315" s="3197"/>
      <c r="K315" s="3197"/>
      <c r="L315" s="3197"/>
      <c r="M315" s="3197"/>
      <c r="N315" s="3197"/>
      <c r="O315" s="1000"/>
      <c r="P315" s="1000"/>
      <c r="Q315" s="1000"/>
      <c r="R315" s="1000"/>
    </row>
    <row r="316" spans="1:18" s="1" customFormat="1" ht="27" customHeight="1" x14ac:dyDescent="0.2">
      <c r="A316" s="3197" t="s">
        <v>1112</v>
      </c>
      <c r="B316" s="3197"/>
      <c r="C316" s="3197"/>
      <c r="D316" s="3197"/>
      <c r="E316" s="3197"/>
      <c r="F316" s="3197"/>
      <c r="G316" s="3197"/>
      <c r="H316" s="3197"/>
      <c r="I316" s="3197"/>
      <c r="J316" s="3197"/>
      <c r="K316" s="3197"/>
      <c r="L316" s="3197"/>
      <c r="M316" s="3197"/>
      <c r="N316" s="3197"/>
      <c r="O316" s="1000"/>
      <c r="P316" s="1000"/>
      <c r="Q316" s="1000"/>
      <c r="R316" s="1000"/>
    </row>
    <row r="317" spans="1:18" s="1" customFormat="1" ht="27" customHeight="1" x14ac:dyDescent="0.2">
      <c r="A317" s="3197" t="s">
        <v>1113</v>
      </c>
      <c r="B317" s="3197"/>
      <c r="C317" s="3197"/>
      <c r="D317" s="3197"/>
      <c r="E317" s="3197"/>
      <c r="F317" s="3197"/>
      <c r="G317" s="3197"/>
      <c r="H317" s="3197"/>
      <c r="I317" s="3197"/>
      <c r="J317" s="3197"/>
      <c r="K317" s="3197"/>
      <c r="L317" s="3197"/>
      <c r="M317" s="3197"/>
      <c r="N317" s="3197"/>
      <c r="O317" s="1000"/>
      <c r="P317" s="1000"/>
      <c r="Q317" s="1000"/>
      <c r="R317" s="1000"/>
    </row>
    <row r="318" spans="1:18" s="1" customFormat="1" ht="24" customHeight="1" x14ac:dyDescent="0.2">
      <c r="A318" s="3197" t="s">
        <v>1114</v>
      </c>
      <c r="B318" s="3197"/>
      <c r="C318" s="3197"/>
      <c r="D318" s="3197"/>
      <c r="E318" s="3197"/>
      <c r="F318" s="3197"/>
      <c r="G318" s="3197"/>
      <c r="H318" s="3197"/>
      <c r="I318" s="3197"/>
      <c r="J318" s="3197"/>
      <c r="K318" s="3197"/>
      <c r="L318" s="3197"/>
      <c r="M318" s="3197"/>
      <c r="N318" s="3197"/>
      <c r="O318" s="1000"/>
      <c r="P318" s="1068"/>
      <c r="Q318" s="1068"/>
      <c r="R318" s="1068"/>
    </row>
    <row r="319" spans="1:18" s="1" customFormat="1" ht="26" customHeight="1" x14ac:dyDescent="0.2">
      <c r="A319" s="3197" t="s">
        <v>1115</v>
      </c>
      <c r="B319" s="3197"/>
      <c r="C319" s="3197"/>
      <c r="D319" s="3197"/>
      <c r="E319" s="3197"/>
      <c r="F319" s="3197"/>
      <c r="G319" s="3197"/>
      <c r="H319" s="3197"/>
      <c r="I319" s="3197"/>
      <c r="J319" s="3197"/>
      <c r="K319" s="3197"/>
      <c r="L319" s="3197"/>
      <c r="M319" s="3197"/>
      <c r="N319" s="3197"/>
      <c r="O319" s="1000"/>
      <c r="P319" s="1068"/>
      <c r="Q319" s="1068"/>
      <c r="R319" s="1068"/>
    </row>
    <row r="320" spans="1:18" s="1" customFormat="1" ht="26" customHeight="1" x14ac:dyDescent="0.2">
      <c r="A320" s="3197" t="s">
        <v>1116</v>
      </c>
      <c r="B320" s="3197"/>
      <c r="C320" s="3197"/>
      <c r="D320" s="3197"/>
      <c r="E320" s="3197"/>
      <c r="F320" s="3197"/>
      <c r="G320" s="3197"/>
      <c r="H320" s="3197"/>
      <c r="I320" s="3197"/>
      <c r="J320" s="3197"/>
      <c r="K320" s="3197"/>
      <c r="L320" s="3197"/>
      <c r="M320" s="3197"/>
      <c r="N320" s="3197"/>
      <c r="O320" s="1000"/>
      <c r="P320" s="1068"/>
      <c r="Q320" s="1068"/>
      <c r="R320" s="1068"/>
    </row>
    <row r="321" spans="1:18" s="1" customFormat="1" ht="43" customHeight="1" x14ac:dyDescent="0.2">
      <c r="A321" s="3197" t="s">
        <v>1117</v>
      </c>
      <c r="B321" s="3197"/>
      <c r="C321" s="3197"/>
      <c r="D321" s="3197"/>
      <c r="E321" s="3197"/>
      <c r="F321" s="3197"/>
      <c r="G321" s="3197"/>
      <c r="H321" s="3197"/>
      <c r="I321" s="3197"/>
      <c r="J321" s="3197"/>
      <c r="K321" s="3197"/>
      <c r="L321" s="3197"/>
      <c r="M321" s="3197"/>
      <c r="N321" s="3197"/>
      <c r="O321" s="1000"/>
      <c r="P321" s="1000"/>
      <c r="Q321" s="1000"/>
      <c r="R321" s="1150"/>
    </row>
    <row r="322" spans="1:18" s="1" customFormat="1" ht="26" customHeight="1" x14ac:dyDescent="0.2">
      <c r="A322" s="3435" t="s">
        <v>1118</v>
      </c>
      <c r="B322" s="3435"/>
      <c r="C322" s="3435"/>
      <c r="D322" s="3435"/>
      <c r="E322" s="3435"/>
      <c r="F322" s="3435"/>
      <c r="G322" s="3435"/>
      <c r="H322" s="3435"/>
      <c r="I322" s="3435"/>
      <c r="J322" s="3435"/>
      <c r="K322" s="3435"/>
      <c r="L322" s="3435"/>
      <c r="M322" s="3435"/>
      <c r="N322" s="3435"/>
      <c r="O322" s="999"/>
      <c r="P322" s="999"/>
      <c r="Q322" s="999"/>
      <c r="R322" s="994"/>
    </row>
    <row r="323" spans="1:18" s="1" customFormat="1" ht="32" customHeight="1" x14ac:dyDescent="0.2">
      <c r="A323" s="3186" t="s">
        <v>1119</v>
      </c>
      <c r="B323" s="3186"/>
      <c r="C323" s="3186"/>
      <c r="D323" s="3186"/>
      <c r="E323" s="3186"/>
      <c r="F323" s="3186"/>
      <c r="G323" s="3186"/>
      <c r="H323" s="3186"/>
      <c r="I323" s="3186"/>
      <c r="J323" s="3186"/>
      <c r="K323" s="3186"/>
      <c r="L323" s="3186"/>
      <c r="M323" s="3186"/>
      <c r="N323" s="3186"/>
      <c r="O323" s="998"/>
      <c r="P323" s="998"/>
      <c r="Q323" s="998"/>
      <c r="R323" s="995"/>
    </row>
    <row r="324" spans="1:18" s="476" customFormat="1" ht="60" customHeight="1" x14ac:dyDescent="0.2">
      <c r="A324" s="3502" t="s">
        <v>1120</v>
      </c>
      <c r="B324" s="3502"/>
      <c r="C324" s="3502"/>
      <c r="D324" s="3502"/>
      <c r="E324" s="3502"/>
      <c r="F324" s="3502"/>
      <c r="G324" s="3502"/>
      <c r="H324" s="3502"/>
      <c r="I324" s="3502"/>
      <c r="J324" s="3502"/>
      <c r="K324" s="3502"/>
      <c r="L324" s="3502"/>
      <c r="M324" s="3502"/>
      <c r="N324" s="3502"/>
      <c r="O324" s="1813"/>
      <c r="P324" s="1813"/>
      <c r="Q324" s="1813"/>
      <c r="R324" s="1814"/>
    </row>
    <row r="325" spans="1:18" s="476" customFormat="1" ht="51" customHeight="1" x14ac:dyDescent="0.2">
      <c r="A325" s="3503" t="s">
        <v>1121</v>
      </c>
      <c r="B325" s="3503"/>
      <c r="C325" s="3503"/>
      <c r="D325" s="3503"/>
      <c r="E325" s="3503"/>
      <c r="F325" s="3503"/>
      <c r="G325" s="3503"/>
      <c r="H325" s="3503"/>
      <c r="I325" s="3503"/>
      <c r="J325" s="3503"/>
      <c r="K325" s="3503"/>
      <c r="L325" s="3503"/>
      <c r="M325" s="3503"/>
      <c r="N325" s="3503"/>
      <c r="O325" s="1813"/>
      <c r="P325" s="1813"/>
      <c r="Q325" s="1813"/>
      <c r="R325" s="1814"/>
    </row>
    <row r="326" spans="1:18" s="1" customFormat="1" ht="26" customHeight="1" x14ac:dyDescent="0.2">
      <c r="A326" s="2475" t="s">
        <v>1122</v>
      </c>
      <c r="B326" s="2475"/>
      <c r="C326" s="2475"/>
      <c r="D326" s="2475"/>
      <c r="E326" s="2475"/>
      <c r="F326" s="2475"/>
      <c r="G326" s="2475"/>
      <c r="H326" s="2475"/>
      <c r="I326" s="2475"/>
      <c r="J326" s="2475"/>
      <c r="K326" s="2475"/>
      <c r="L326" s="2475"/>
      <c r="M326" s="2475"/>
      <c r="N326" s="2475"/>
      <c r="O326" s="75"/>
    </row>
    <row r="327" spans="1:18" s="1" customFormat="1" ht="46" customHeight="1" x14ac:dyDescent="0.2">
      <c r="A327" s="3371" t="s">
        <v>39</v>
      </c>
      <c r="B327" s="3371" t="s">
        <v>467</v>
      </c>
      <c r="C327" s="3371" t="s">
        <v>262</v>
      </c>
      <c r="D327" s="3371"/>
      <c r="E327" s="3504" t="s">
        <v>1123</v>
      </c>
      <c r="F327" s="3504"/>
      <c r="G327" s="3505" t="s">
        <v>263</v>
      </c>
      <c r="H327" s="3505"/>
      <c r="I327" s="3506" t="s">
        <v>264</v>
      </c>
      <c r="J327" s="3506"/>
      <c r="K327" s="3501" t="s">
        <v>1124</v>
      </c>
      <c r="L327" s="3501"/>
      <c r="M327" s="3185" t="s">
        <v>564</v>
      </c>
      <c r="N327" s="3185"/>
      <c r="O327" s="3196"/>
      <c r="P327" s="3196"/>
    </row>
    <row r="328" spans="1:18" s="1" customFormat="1" ht="44" customHeight="1" x14ac:dyDescent="0.2">
      <c r="A328" s="3371"/>
      <c r="B328" s="3371"/>
      <c r="C328" s="808" t="s">
        <v>5</v>
      </c>
      <c r="D328" s="808" t="s">
        <v>25</v>
      </c>
      <c r="E328" s="808" t="s">
        <v>5</v>
      </c>
      <c r="F328" s="808" t="s">
        <v>25</v>
      </c>
      <c r="G328" s="808" t="s">
        <v>5</v>
      </c>
      <c r="H328" s="808" t="s">
        <v>25</v>
      </c>
      <c r="I328" s="808" t="s">
        <v>5</v>
      </c>
      <c r="J328" s="808" t="s">
        <v>25</v>
      </c>
      <c r="K328" s="808" t="s">
        <v>5</v>
      </c>
      <c r="L328" s="808" t="s">
        <v>25</v>
      </c>
      <c r="M328" s="808" t="s">
        <v>5</v>
      </c>
      <c r="N328" s="808" t="s">
        <v>25</v>
      </c>
      <c r="O328" s="75"/>
    </row>
    <row r="329" spans="1:18" s="1" customFormat="1" ht="26" customHeight="1" x14ac:dyDescent="0.2">
      <c r="A329" s="51">
        <v>1</v>
      </c>
      <c r="B329" s="51" t="s">
        <v>469</v>
      </c>
      <c r="C329" s="1815">
        <v>2</v>
      </c>
      <c r="D329" s="805">
        <v>1</v>
      </c>
      <c r="E329" s="1816">
        <v>2</v>
      </c>
      <c r="F329" s="805"/>
      <c r="G329" s="806"/>
      <c r="H329" s="806"/>
      <c r="I329" s="806"/>
      <c r="J329" s="805"/>
      <c r="K329" s="805">
        <f>E329</f>
        <v>2</v>
      </c>
      <c r="L329" s="805">
        <f>D329</f>
        <v>1</v>
      </c>
      <c r="M329" s="1817">
        <f t="shared" ref="M329:N336" si="26">C329-K329</f>
        <v>0</v>
      </c>
      <c r="N329" s="1817">
        <f t="shared" si="26"/>
        <v>0</v>
      </c>
      <c r="O329" s="75"/>
    </row>
    <row r="330" spans="1:18" s="1" customFormat="1" ht="26" customHeight="1" x14ac:dyDescent="0.2">
      <c r="A330" s="51">
        <v>2</v>
      </c>
      <c r="B330" s="51" t="s">
        <v>1125</v>
      </c>
      <c r="C330" s="1815">
        <v>4</v>
      </c>
      <c r="D330" s="805">
        <v>5</v>
      </c>
      <c r="E330" s="1816">
        <v>4</v>
      </c>
      <c r="F330" s="805"/>
      <c r="G330" s="806"/>
      <c r="H330" s="806"/>
      <c r="I330" s="806"/>
      <c r="J330" s="805"/>
      <c r="K330" s="805">
        <f t="shared" ref="K330:K335" si="27">E330</f>
        <v>4</v>
      </c>
      <c r="L330" s="805">
        <f t="shared" ref="L330:L335" si="28">D330</f>
        <v>5</v>
      </c>
      <c r="M330" s="1817">
        <f t="shared" si="26"/>
        <v>0</v>
      </c>
      <c r="N330" s="1817">
        <f t="shared" si="26"/>
        <v>0</v>
      </c>
      <c r="O330" s="953"/>
    </row>
    <row r="331" spans="1:18" s="1" customFormat="1" ht="26" customHeight="1" x14ac:dyDescent="0.2">
      <c r="A331" s="51">
        <v>3</v>
      </c>
      <c r="B331" s="51" t="s">
        <v>471</v>
      </c>
      <c r="C331" s="1815">
        <v>25</v>
      </c>
      <c r="D331" s="805">
        <v>25</v>
      </c>
      <c r="E331" s="1816">
        <v>21</v>
      </c>
      <c r="F331" s="805"/>
      <c r="G331" s="806"/>
      <c r="H331" s="806">
        <v>3</v>
      </c>
      <c r="I331" s="806"/>
      <c r="J331" s="805">
        <v>1</v>
      </c>
      <c r="K331" s="805">
        <f t="shared" si="27"/>
        <v>21</v>
      </c>
      <c r="L331" s="805">
        <f t="shared" si="28"/>
        <v>25</v>
      </c>
      <c r="M331" s="1817">
        <f t="shared" si="26"/>
        <v>4</v>
      </c>
      <c r="N331" s="1817">
        <f t="shared" si="26"/>
        <v>0</v>
      </c>
      <c r="O331" s="953"/>
    </row>
    <row r="332" spans="1:18" s="1" customFormat="1" ht="26" customHeight="1" x14ac:dyDescent="0.2">
      <c r="A332" s="51">
        <v>4</v>
      </c>
      <c r="B332" s="51" t="s">
        <v>472</v>
      </c>
      <c r="C332" s="1815">
        <v>27</v>
      </c>
      <c r="D332" s="805">
        <v>27</v>
      </c>
      <c r="E332" s="1816">
        <v>24</v>
      </c>
      <c r="F332" s="805"/>
      <c r="G332" s="806">
        <v>3</v>
      </c>
      <c r="H332" s="806">
        <v>1</v>
      </c>
      <c r="I332" s="806">
        <v>2</v>
      </c>
      <c r="J332" s="805"/>
      <c r="K332" s="805">
        <f t="shared" si="27"/>
        <v>24</v>
      </c>
      <c r="L332" s="805">
        <v>25</v>
      </c>
      <c r="M332" s="1817">
        <f t="shared" si="26"/>
        <v>3</v>
      </c>
      <c r="N332" s="1817">
        <f t="shared" si="26"/>
        <v>2</v>
      </c>
      <c r="O332" s="953"/>
    </row>
    <row r="333" spans="1:18" s="1" customFormat="1" ht="26" customHeight="1" x14ac:dyDescent="0.2">
      <c r="A333" s="51">
        <v>5</v>
      </c>
      <c r="B333" s="51" t="s">
        <v>473</v>
      </c>
      <c r="C333" s="1815">
        <f>14*3+1</f>
        <v>43</v>
      </c>
      <c r="D333" s="805">
        <v>43</v>
      </c>
      <c r="E333" s="1816">
        <v>40</v>
      </c>
      <c r="F333" s="805"/>
      <c r="G333" s="806">
        <v>9</v>
      </c>
      <c r="H333" s="806">
        <v>2</v>
      </c>
      <c r="I333" s="806">
        <v>8</v>
      </c>
      <c r="J333" s="805"/>
      <c r="K333" s="805">
        <f>E333+G333-I333</f>
        <v>41</v>
      </c>
      <c r="L333" s="805">
        <v>41</v>
      </c>
      <c r="M333" s="1817">
        <f t="shared" si="26"/>
        <v>2</v>
      </c>
      <c r="N333" s="1817">
        <f t="shared" si="26"/>
        <v>2</v>
      </c>
      <c r="O333" s="953"/>
    </row>
    <row r="334" spans="1:18" s="1" customFormat="1" ht="26" customHeight="1" x14ac:dyDescent="0.2">
      <c r="A334" s="51">
        <v>6</v>
      </c>
      <c r="B334" s="51" t="s">
        <v>474</v>
      </c>
      <c r="C334" s="1815">
        <v>6</v>
      </c>
      <c r="D334" s="805">
        <v>6</v>
      </c>
      <c r="E334" s="1816">
        <v>6</v>
      </c>
      <c r="F334" s="805"/>
      <c r="G334" s="806"/>
      <c r="H334" s="806"/>
      <c r="I334" s="806"/>
      <c r="J334" s="805"/>
      <c r="K334" s="805">
        <f t="shared" si="27"/>
        <v>6</v>
      </c>
      <c r="L334" s="805">
        <f t="shared" si="28"/>
        <v>6</v>
      </c>
      <c r="M334" s="1817">
        <f t="shared" si="26"/>
        <v>0</v>
      </c>
      <c r="N334" s="1817">
        <f t="shared" si="26"/>
        <v>0</v>
      </c>
      <c r="O334" s="953"/>
    </row>
    <row r="335" spans="1:18" s="1" customFormat="1" ht="26" customHeight="1" x14ac:dyDescent="0.2">
      <c r="A335" s="51">
        <v>7</v>
      </c>
      <c r="B335" s="51" t="s">
        <v>475</v>
      </c>
      <c r="C335" s="1815">
        <v>1</v>
      </c>
      <c r="D335" s="805">
        <v>1</v>
      </c>
      <c r="E335" s="1816">
        <v>1</v>
      </c>
      <c r="F335" s="805"/>
      <c r="G335" s="806"/>
      <c r="H335" s="806"/>
      <c r="I335" s="806"/>
      <c r="J335" s="805"/>
      <c r="K335" s="805">
        <f t="shared" si="27"/>
        <v>1</v>
      </c>
      <c r="L335" s="805">
        <f t="shared" si="28"/>
        <v>1</v>
      </c>
      <c r="M335" s="1817">
        <f t="shared" si="26"/>
        <v>0</v>
      </c>
      <c r="N335" s="1817">
        <f t="shared" si="26"/>
        <v>0</v>
      </c>
      <c r="O335" s="953"/>
    </row>
    <row r="336" spans="1:18" s="1" customFormat="1" ht="26" customHeight="1" x14ac:dyDescent="0.2">
      <c r="A336" s="3017" t="s">
        <v>476</v>
      </c>
      <c r="B336" s="3017"/>
      <c r="C336" s="813">
        <f t="shared" ref="C336:L336" si="29">SUM(C329:C335)</f>
        <v>108</v>
      </c>
      <c r="D336" s="813">
        <f t="shared" si="29"/>
        <v>108</v>
      </c>
      <c r="E336" s="807">
        <f t="shared" si="29"/>
        <v>98</v>
      </c>
      <c r="F336" s="807">
        <f t="shared" si="29"/>
        <v>0</v>
      </c>
      <c r="G336" s="807">
        <f t="shared" si="29"/>
        <v>12</v>
      </c>
      <c r="H336" s="807">
        <f t="shared" si="29"/>
        <v>6</v>
      </c>
      <c r="I336" s="807">
        <f t="shared" si="29"/>
        <v>10</v>
      </c>
      <c r="J336" s="807">
        <f t="shared" si="29"/>
        <v>1</v>
      </c>
      <c r="K336" s="813">
        <f t="shared" si="29"/>
        <v>99</v>
      </c>
      <c r="L336" s="813">
        <f t="shared" si="29"/>
        <v>104</v>
      </c>
      <c r="M336" s="813">
        <f t="shared" si="26"/>
        <v>9</v>
      </c>
      <c r="N336" s="813">
        <f t="shared" si="26"/>
        <v>4</v>
      </c>
      <c r="O336" s="953"/>
    </row>
    <row r="337" spans="1:15" s="1" customFormat="1" ht="26" customHeight="1" x14ac:dyDescent="0.2">
      <c r="A337" s="67"/>
      <c r="B337" s="67"/>
      <c r="C337" s="1057"/>
      <c r="D337" s="1057"/>
      <c r="E337" s="1058"/>
      <c r="F337" s="1058"/>
      <c r="G337" s="1058"/>
      <c r="H337" s="1058"/>
      <c r="I337" s="1058"/>
      <c r="J337" s="1058"/>
      <c r="K337" s="1057"/>
      <c r="L337" s="1057"/>
      <c r="M337" s="1057"/>
      <c r="N337" s="1057"/>
      <c r="O337" s="953"/>
    </row>
    <row r="338" spans="1:15" s="1" customFormat="1" ht="26" customHeight="1" x14ac:dyDescent="0.2">
      <c r="A338" s="51">
        <v>8</v>
      </c>
      <c r="B338" s="51" t="s">
        <v>663</v>
      </c>
      <c r="C338" s="805">
        <v>59</v>
      </c>
      <c r="D338" s="805"/>
      <c r="E338" s="805"/>
      <c r="F338" s="805"/>
      <c r="G338" s="806"/>
      <c r="H338" s="806"/>
      <c r="I338" s="806"/>
      <c r="J338" s="805"/>
      <c r="K338" s="805"/>
      <c r="L338" s="805"/>
      <c r="M338" s="1817">
        <f>C338-L338</f>
        <v>59</v>
      </c>
      <c r="N338" s="1817">
        <f>C338-M338</f>
        <v>0</v>
      </c>
      <c r="O338" s="953"/>
    </row>
    <row r="339" spans="1:15" s="1" customFormat="1" ht="26" customHeight="1" x14ac:dyDescent="0.2">
      <c r="A339" s="51">
        <v>9</v>
      </c>
      <c r="B339" s="51" t="s">
        <v>665</v>
      </c>
      <c r="C339" s="805">
        <v>24</v>
      </c>
      <c r="D339" s="805"/>
      <c r="E339" s="805"/>
      <c r="F339" s="805"/>
      <c r="G339" s="806"/>
      <c r="H339" s="806"/>
      <c r="I339" s="806"/>
      <c r="J339" s="805"/>
      <c r="K339" s="805"/>
      <c r="L339" s="805"/>
      <c r="M339" s="1817">
        <f>C339-K339</f>
        <v>24</v>
      </c>
      <c r="N339" s="1817">
        <f>C339-M339</f>
        <v>0</v>
      </c>
      <c r="O339" s="953"/>
    </row>
    <row r="340" spans="1:15" s="1" customFormat="1" ht="26" customHeight="1" x14ac:dyDescent="0.2">
      <c r="A340" s="51">
        <v>10</v>
      </c>
      <c r="B340" s="51" t="s">
        <v>666</v>
      </c>
      <c r="C340" s="805">
        <v>21</v>
      </c>
      <c r="D340" s="805"/>
      <c r="E340" s="805"/>
      <c r="F340" s="805"/>
      <c r="G340" s="806"/>
      <c r="H340" s="806"/>
      <c r="I340" s="806"/>
      <c r="J340" s="805"/>
      <c r="K340" s="805"/>
      <c r="L340" s="805"/>
      <c r="M340" s="1817">
        <f>C340-K340</f>
        <v>21</v>
      </c>
      <c r="N340" s="1817">
        <f>C340-M340</f>
        <v>0</v>
      </c>
      <c r="O340" s="953"/>
    </row>
    <row r="341" spans="1:15" s="1" customFormat="1" ht="19" customHeight="1" x14ac:dyDescent="0.2">
      <c r="A341" s="3199" t="s">
        <v>1126</v>
      </c>
      <c r="B341" s="3199"/>
      <c r="C341" s="3199"/>
      <c r="D341" s="3199"/>
      <c r="E341" s="3199"/>
      <c r="F341" s="3199"/>
      <c r="G341" s="3199"/>
      <c r="H341" s="3199"/>
      <c r="I341" s="3199"/>
      <c r="J341" s="3199"/>
      <c r="K341" s="3199"/>
      <c r="L341" s="3199"/>
      <c r="M341" s="3199"/>
      <c r="N341" s="3199"/>
      <c r="O341" s="953"/>
    </row>
    <row r="342" spans="1:15" s="1" customFormat="1" ht="19" customHeight="1" x14ac:dyDescent="0.2">
      <c r="A342" s="2909" t="s">
        <v>1127</v>
      </c>
      <c r="B342" s="2909"/>
      <c r="C342" s="2909"/>
      <c r="D342" s="2909"/>
      <c r="E342" s="2909"/>
      <c r="F342" s="2909"/>
      <c r="G342" s="2909"/>
      <c r="H342" s="2909"/>
      <c r="I342" s="2909"/>
      <c r="J342" s="2909"/>
      <c r="K342" s="2909"/>
      <c r="L342" s="2909"/>
      <c r="M342" s="2909"/>
      <c r="N342" s="2909"/>
      <c r="O342" s="953"/>
    </row>
    <row r="343" spans="1:15" s="1" customFormat="1" ht="34" customHeight="1" x14ac:dyDescent="0.2">
      <c r="A343" s="2663" t="s">
        <v>1128</v>
      </c>
      <c r="B343" s="2663"/>
      <c r="C343" s="2663"/>
      <c r="D343" s="2663"/>
      <c r="E343" s="2663"/>
      <c r="F343" s="2663"/>
      <c r="G343" s="2663"/>
      <c r="H343" s="2663"/>
      <c r="I343" s="2663"/>
      <c r="J343" s="2663"/>
      <c r="K343" s="2663"/>
      <c r="L343" s="2663"/>
      <c r="M343" s="2663"/>
      <c r="N343" s="2663"/>
      <c r="O343" s="953"/>
    </row>
    <row r="344" spans="1:15" s="1" customFormat="1" ht="19" customHeight="1" x14ac:dyDescent="0.2">
      <c r="A344" s="2663" t="s">
        <v>1129</v>
      </c>
      <c r="B344" s="2663"/>
      <c r="C344" s="2663"/>
      <c r="D344" s="2663"/>
      <c r="E344" s="2663"/>
      <c r="F344" s="2663"/>
      <c r="G344" s="2663"/>
      <c r="H344" s="2663"/>
      <c r="I344" s="2663"/>
      <c r="J344" s="2663"/>
      <c r="K344" s="2663"/>
      <c r="L344" s="2663"/>
      <c r="M344" s="2663"/>
      <c r="N344" s="2663"/>
      <c r="O344" s="953"/>
    </row>
    <row r="345" spans="1:15" s="1" customFormat="1" ht="105" customHeight="1" x14ac:dyDescent="0.2">
      <c r="A345" s="2663" t="s">
        <v>1130</v>
      </c>
      <c r="B345" s="2663"/>
      <c r="C345" s="2663"/>
      <c r="D345" s="2663"/>
      <c r="E345" s="2663"/>
      <c r="F345" s="2663"/>
      <c r="G345" s="2663"/>
      <c r="H345" s="2663"/>
      <c r="I345" s="2663"/>
      <c r="J345" s="2663"/>
      <c r="K345" s="2663"/>
      <c r="L345" s="2663"/>
      <c r="M345" s="2663"/>
      <c r="N345" s="2663"/>
      <c r="O345" s="953"/>
    </row>
    <row r="346" spans="1:15" s="1" customFormat="1" ht="24" customHeight="1" x14ac:dyDescent="0.2">
      <c r="A346" s="2475" t="s">
        <v>414</v>
      </c>
      <c r="B346" s="2475"/>
      <c r="C346" s="2475"/>
      <c r="D346" s="2475"/>
      <c r="E346" s="2475"/>
      <c r="F346" s="2475"/>
      <c r="G346" s="2475"/>
      <c r="H346" s="2475"/>
      <c r="I346" s="2475"/>
      <c r="J346" s="2475"/>
      <c r="K346" s="2475"/>
      <c r="L346" s="2475"/>
      <c r="M346" s="2475"/>
      <c r="N346" s="2475"/>
      <c r="O346" s="953"/>
    </row>
    <row r="347" spans="1:15" s="1" customFormat="1" ht="37" customHeight="1" x14ac:dyDescent="0.2">
      <c r="A347" s="2663" t="s">
        <v>1131</v>
      </c>
      <c r="B347" s="2663"/>
      <c r="C347" s="2663"/>
      <c r="D347" s="2663"/>
      <c r="E347" s="2663"/>
      <c r="F347" s="2663"/>
      <c r="G347" s="2663"/>
      <c r="H347" s="2663"/>
      <c r="I347" s="2663"/>
      <c r="J347" s="2663"/>
      <c r="K347" s="2663"/>
      <c r="L347" s="2663"/>
      <c r="M347" s="2663"/>
      <c r="N347" s="2663"/>
      <c r="O347" s="953"/>
    </row>
    <row r="348" spans="1:15" s="1" customFormat="1" ht="24" customHeight="1" x14ac:dyDescent="0.2">
      <c r="A348" s="2663" t="s">
        <v>831</v>
      </c>
      <c r="B348" s="2663"/>
      <c r="C348" s="2663"/>
      <c r="D348" s="2663"/>
      <c r="E348" s="2663"/>
      <c r="F348" s="2663"/>
      <c r="G348" s="2663"/>
      <c r="H348" s="2663"/>
      <c r="I348" s="2663"/>
      <c r="J348" s="2663"/>
      <c r="K348" s="2663"/>
      <c r="L348" s="2663"/>
      <c r="M348" s="2663"/>
      <c r="N348" s="2663"/>
      <c r="O348" s="953"/>
    </row>
    <row r="349" spans="1:15" s="1" customFormat="1" ht="24" customHeight="1" x14ac:dyDescent="0.2">
      <c r="A349" s="2475" t="s">
        <v>60</v>
      </c>
      <c r="B349" s="2475"/>
      <c r="C349" s="2475"/>
      <c r="D349" s="2475"/>
      <c r="E349" s="2475"/>
      <c r="F349" s="2475"/>
      <c r="G349" s="2475"/>
      <c r="H349" s="2475"/>
      <c r="I349" s="2475"/>
      <c r="J349" s="2475"/>
      <c r="K349" s="2475"/>
      <c r="L349" s="2475"/>
      <c r="M349" s="2475"/>
      <c r="N349" s="2475"/>
      <c r="O349" s="953"/>
    </row>
    <row r="350" spans="1:15" s="1" customFormat="1" ht="24" customHeight="1" x14ac:dyDescent="0.2">
      <c r="A350" s="79" t="s">
        <v>551</v>
      </c>
      <c r="B350" s="85"/>
      <c r="C350" s="85"/>
      <c r="D350" s="85"/>
      <c r="E350" s="85"/>
      <c r="F350" s="85"/>
      <c r="G350" s="85"/>
      <c r="H350" s="399"/>
      <c r="I350" s="450"/>
      <c r="J350" s="85"/>
      <c r="K350" s="85"/>
      <c r="L350" s="85"/>
      <c r="M350" s="85"/>
      <c r="N350" s="86"/>
      <c r="O350" s="953"/>
    </row>
    <row r="351" spans="1:15" s="1" customFormat="1" ht="41" customHeight="1" x14ac:dyDescent="0.2">
      <c r="A351" s="2663" t="s">
        <v>1132</v>
      </c>
      <c r="B351" s="2663"/>
      <c r="C351" s="2663"/>
      <c r="D351" s="2663"/>
      <c r="E351" s="2663"/>
      <c r="F351" s="2663"/>
      <c r="G351" s="2663"/>
      <c r="H351" s="2663"/>
      <c r="I351" s="2663"/>
      <c r="J351" s="2663"/>
      <c r="K351" s="2663"/>
      <c r="L351" s="2663"/>
      <c r="M351" s="2663"/>
      <c r="N351" s="2663"/>
      <c r="O351" s="953"/>
    </row>
    <row r="352" spans="1:15" s="1" customFormat="1" ht="42" customHeight="1" x14ac:dyDescent="0.2">
      <c r="A352" s="2663" t="s">
        <v>1133</v>
      </c>
      <c r="B352" s="2663"/>
      <c r="C352" s="2663"/>
      <c r="D352" s="2663"/>
      <c r="E352" s="2663"/>
      <c r="F352" s="2663"/>
      <c r="G352" s="2663"/>
      <c r="H352" s="2663"/>
      <c r="I352" s="2663"/>
      <c r="J352" s="2663"/>
      <c r="K352" s="2663"/>
      <c r="L352" s="2663"/>
      <c r="M352" s="2663"/>
      <c r="N352" s="41"/>
      <c r="O352" s="953"/>
    </row>
    <row r="353" spans="1:15" s="1" customFormat="1" ht="29" customHeight="1" x14ac:dyDescent="0.2">
      <c r="A353" s="2663" t="s">
        <v>1134</v>
      </c>
      <c r="B353" s="2663"/>
      <c r="C353" s="2663"/>
      <c r="D353" s="2663"/>
      <c r="E353" s="2663"/>
      <c r="F353" s="2663"/>
      <c r="G353" s="2663"/>
      <c r="H353" s="2663"/>
      <c r="I353" s="2663"/>
      <c r="J353" s="2663"/>
      <c r="K353" s="2663"/>
      <c r="L353" s="2663"/>
      <c r="M353" s="2663"/>
      <c r="N353" s="41"/>
      <c r="O353" s="953"/>
    </row>
    <row r="354" spans="1:15" s="1" customFormat="1" ht="38" customHeight="1" x14ac:dyDescent="0.2">
      <c r="A354" s="2663" t="s">
        <v>1135</v>
      </c>
      <c r="B354" s="2725"/>
      <c r="C354" s="2725"/>
      <c r="D354" s="2725"/>
      <c r="E354" s="2725"/>
      <c r="F354" s="2725"/>
      <c r="G354" s="2725"/>
      <c r="H354" s="2725"/>
      <c r="I354" s="2725"/>
      <c r="J354" s="2725"/>
      <c r="K354" s="2725"/>
      <c r="L354" s="2725"/>
      <c r="M354" s="2725"/>
      <c r="N354" s="2725"/>
      <c r="O354" s="953"/>
    </row>
    <row r="355" spans="1:15" s="1" customFormat="1" ht="19" customHeight="1" x14ac:dyDescent="0.2">
      <c r="A355" s="42" t="s">
        <v>64</v>
      </c>
      <c r="B355" s="84"/>
      <c r="C355" s="84"/>
      <c r="D355" s="84"/>
      <c r="E355" s="84"/>
      <c r="F355" s="84"/>
      <c r="G355" s="84"/>
      <c r="H355" s="394"/>
      <c r="I355" s="451"/>
      <c r="J355" s="355"/>
      <c r="K355" s="355"/>
      <c r="L355" s="84"/>
      <c r="M355" s="84"/>
      <c r="N355" s="350"/>
      <c r="O355" s="953"/>
    </row>
    <row r="356" spans="1:15" s="1" customFormat="1" ht="21" customHeight="1" x14ac:dyDescent="0.2">
      <c r="A356" s="79" t="s">
        <v>65</v>
      </c>
      <c r="B356" s="84"/>
      <c r="C356" s="84"/>
      <c r="D356" s="84"/>
      <c r="E356" s="84"/>
      <c r="F356" s="84"/>
      <c r="G356" s="84"/>
      <c r="H356" s="394"/>
      <c r="I356" s="451"/>
      <c r="J356" s="355"/>
      <c r="K356" s="355"/>
      <c r="L356" s="84"/>
      <c r="M356" s="84"/>
      <c r="N356" s="350"/>
      <c r="O356" s="953"/>
    </row>
    <row r="357" spans="1:15" s="1" customFormat="1" ht="38" customHeight="1" x14ac:dyDescent="0.2">
      <c r="A357" s="2663" t="s">
        <v>1136</v>
      </c>
      <c r="B357" s="2663"/>
      <c r="C357" s="2663"/>
      <c r="D357" s="2663"/>
      <c r="E357" s="2663"/>
      <c r="F357" s="2663"/>
      <c r="G357" s="2663"/>
      <c r="H357" s="2663"/>
      <c r="I357" s="2663"/>
      <c r="J357" s="2663"/>
      <c r="K357" s="2663"/>
      <c r="L357" s="2663"/>
      <c r="M357" s="2663"/>
      <c r="N357" s="2663"/>
      <c r="O357" s="953"/>
    </row>
    <row r="358" spans="1:15" s="1" customFormat="1" ht="36" customHeight="1" x14ac:dyDescent="0.2">
      <c r="A358" s="2663" t="s">
        <v>1137</v>
      </c>
      <c r="B358" s="2663"/>
      <c r="C358" s="2663"/>
      <c r="D358" s="2663"/>
      <c r="E358" s="2663"/>
      <c r="F358" s="2663"/>
      <c r="G358" s="2663"/>
      <c r="H358" s="2663"/>
      <c r="I358" s="2663"/>
      <c r="J358" s="2663"/>
      <c r="K358" s="2663"/>
      <c r="L358" s="2663"/>
      <c r="M358" s="2663"/>
      <c r="N358" s="2663"/>
      <c r="O358" s="953"/>
    </row>
    <row r="359" spans="1:15" s="1" customFormat="1" ht="19" customHeight="1" x14ac:dyDescent="0.2">
      <c r="A359" s="79" t="s">
        <v>1138</v>
      </c>
      <c r="B359" s="84"/>
      <c r="C359" s="84"/>
      <c r="D359" s="84"/>
      <c r="E359" s="84"/>
      <c r="F359" s="84"/>
      <c r="G359" s="84"/>
      <c r="H359" s="394"/>
      <c r="I359" s="451"/>
      <c r="J359" s="355"/>
      <c r="K359" s="355"/>
      <c r="L359" s="84"/>
      <c r="M359" s="84"/>
      <c r="N359" s="350"/>
      <c r="O359" s="953"/>
    </row>
    <row r="360" spans="1:15" s="1" customFormat="1" ht="41" customHeight="1" x14ac:dyDescent="0.2">
      <c r="A360" s="2663" t="s">
        <v>1139</v>
      </c>
      <c r="B360" s="2663"/>
      <c r="C360" s="2663"/>
      <c r="D360" s="2663"/>
      <c r="E360" s="2663"/>
      <c r="F360" s="2663"/>
      <c r="G360" s="2663"/>
      <c r="H360" s="2663"/>
      <c r="I360" s="2663"/>
      <c r="J360" s="2663"/>
      <c r="K360" s="2663"/>
      <c r="L360" s="2663"/>
      <c r="M360" s="2663"/>
      <c r="N360" s="2663"/>
      <c r="O360" s="953"/>
    </row>
    <row r="361" spans="1:15" s="1" customFormat="1" ht="19" customHeight="1" x14ac:dyDescent="0.2">
      <c r="A361" s="335" t="s">
        <v>571</v>
      </c>
      <c r="H361" s="78"/>
      <c r="I361" s="447"/>
      <c r="J361" s="71"/>
      <c r="K361" s="71"/>
      <c r="N361" s="209"/>
      <c r="O361" s="953"/>
    </row>
    <row r="362" spans="1:15" s="1" customFormat="1" ht="19" customHeight="1" x14ac:dyDescent="0.2">
      <c r="A362" s="79" t="s">
        <v>572</v>
      </c>
      <c r="H362" s="78"/>
      <c r="I362" s="447"/>
      <c r="J362" s="71"/>
      <c r="K362" s="71"/>
      <c r="N362" s="209"/>
      <c r="O362" s="953"/>
    </row>
    <row r="363" spans="1:15" s="1" customFormat="1" ht="19" customHeight="1" x14ac:dyDescent="0.2">
      <c r="A363" s="2663" t="s">
        <v>1140</v>
      </c>
      <c r="B363" s="2663"/>
      <c r="C363" s="2663"/>
      <c r="D363" s="2663"/>
      <c r="E363" s="2663"/>
      <c r="F363" s="2663"/>
      <c r="G363" s="2663"/>
      <c r="H363" s="2663"/>
      <c r="I363" s="2663"/>
      <c r="J363" s="2663"/>
      <c r="K363" s="2663"/>
      <c r="L363" s="2663"/>
      <c r="M363" s="2663"/>
      <c r="N363" s="2663"/>
      <c r="O363" s="953"/>
    </row>
    <row r="364" spans="1:15" s="1" customFormat="1" ht="26" customHeight="1" x14ac:dyDescent="0.2">
      <c r="A364" s="42" t="s">
        <v>1141</v>
      </c>
      <c r="B364" s="42"/>
      <c r="E364" s="43"/>
      <c r="F364" s="43"/>
      <c r="H364" s="78"/>
      <c r="I364" s="447"/>
      <c r="J364" s="71"/>
      <c r="K364" s="71"/>
      <c r="N364" s="209"/>
      <c r="O364" s="75"/>
    </row>
    <row r="365" spans="1:15" s="1" customFormat="1" ht="31" customHeight="1" x14ac:dyDescent="0.2">
      <c r="A365" s="3017" t="s">
        <v>34</v>
      </c>
      <c r="B365" s="3192" t="s">
        <v>6</v>
      </c>
      <c r="C365" s="3192"/>
      <c r="D365" s="3488" t="s">
        <v>7</v>
      </c>
      <c r="E365" s="3192" t="s">
        <v>8</v>
      </c>
      <c r="F365" s="3192"/>
      <c r="G365" s="3192"/>
      <c r="H365" s="3490" t="s">
        <v>9</v>
      </c>
      <c r="I365" s="3488" t="s">
        <v>10</v>
      </c>
      <c r="J365" s="1305" t="s">
        <v>35</v>
      </c>
      <c r="K365" s="1305" t="s">
        <v>12</v>
      </c>
      <c r="L365" s="812" t="s">
        <v>13</v>
      </c>
      <c r="M365" s="812" t="s">
        <v>14</v>
      </c>
      <c r="N365" s="1305" t="s">
        <v>15</v>
      </c>
      <c r="O365" s="75"/>
    </row>
    <row r="366" spans="1:15" s="1" customFormat="1" ht="31" customHeight="1" x14ac:dyDescent="0.2">
      <c r="A366" s="3017"/>
      <c r="B366" s="1305" t="s">
        <v>36</v>
      </c>
      <c r="C366" s="812" t="s">
        <v>17</v>
      </c>
      <c r="D366" s="3488"/>
      <c r="E366" s="1818" t="s">
        <v>18</v>
      </c>
      <c r="F366" s="1818" t="s">
        <v>19</v>
      </c>
      <c r="G366" s="812" t="s">
        <v>20</v>
      </c>
      <c r="H366" s="3490"/>
      <c r="I366" s="3488"/>
      <c r="J366" s="1305" t="s">
        <v>21</v>
      </c>
      <c r="K366" s="1305" t="s">
        <v>22</v>
      </c>
      <c r="L366" s="3192" t="s">
        <v>22</v>
      </c>
      <c r="M366" s="3192"/>
      <c r="N366" s="1305" t="s">
        <v>23</v>
      </c>
      <c r="O366" s="75"/>
    </row>
    <row r="367" spans="1:15" s="1" customFormat="1" ht="34" customHeight="1" x14ac:dyDescent="0.2">
      <c r="A367" s="3477" t="s">
        <v>1142</v>
      </c>
      <c r="B367" s="3477" t="s">
        <v>412</v>
      </c>
      <c r="C367" s="51" t="s">
        <v>21</v>
      </c>
      <c r="D367" s="1819">
        <f>I367*J367*100/K368</f>
        <v>487459.18367346941</v>
      </c>
      <c r="E367" s="1819">
        <f>E368*H367/100</f>
        <v>425161.9</v>
      </c>
      <c r="F367" s="1819">
        <f>F368*H367/100</f>
        <v>28662.6</v>
      </c>
      <c r="G367" s="1819">
        <f>G368*H367/100</f>
        <v>23885.5</v>
      </c>
      <c r="H367" s="1820">
        <f>J367*I367</f>
        <v>477710</v>
      </c>
      <c r="I367" s="1821">
        <v>31</v>
      </c>
      <c r="J367" s="1822">
        <v>15410</v>
      </c>
      <c r="K367" s="1823"/>
      <c r="L367" s="733"/>
      <c r="M367" s="733"/>
      <c r="N367" s="1823"/>
      <c r="O367" s="75"/>
    </row>
    <row r="368" spans="1:15" s="1" customFormat="1" ht="34" customHeight="1" x14ac:dyDescent="0.2">
      <c r="A368" s="3477"/>
      <c r="B368" s="3477"/>
      <c r="C368" s="51" t="s">
        <v>22</v>
      </c>
      <c r="D368" s="1824"/>
      <c r="E368" s="1825">
        <v>89</v>
      </c>
      <c r="F368" s="1825">
        <v>6</v>
      </c>
      <c r="G368" s="1825">
        <v>5</v>
      </c>
      <c r="H368" s="1826">
        <f>SUM(E368:G368)</f>
        <v>100</v>
      </c>
      <c r="I368" s="1827"/>
      <c r="J368" s="1828"/>
      <c r="K368" s="1829">
        <v>98</v>
      </c>
      <c r="L368" s="3478">
        <v>2</v>
      </c>
      <c r="M368" s="3478"/>
      <c r="N368" s="1823">
        <v>40</v>
      </c>
      <c r="O368" s="75"/>
    </row>
    <row r="369" spans="1:15" s="1" customFormat="1" ht="28" hidden="1" customHeight="1" x14ac:dyDescent="0.2">
      <c r="A369" s="3500" t="s">
        <v>594</v>
      </c>
      <c r="B369" s="3500" t="s">
        <v>412</v>
      </c>
      <c r="C369" s="1040" t="s">
        <v>21</v>
      </c>
      <c r="D369" s="1830">
        <f>I369*J369*100/K370</f>
        <v>0</v>
      </c>
      <c r="E369" s="1830">
        <f>E370*H369/100</f>
        <v>0</v>
      </c>
      <c r="F369" s="1830">
        <f>F370*H369/100</f>
        <v>0</v>
      </c>
      <c r="G369" s="1830">
        <f>G370*H369/100</f>
        <v>0</v>
      </c>
      <c r="H369" s="1831">
        <f>J369*I369</f>
        <v>0</v>
      </c>
      <c r="I369" s="1832"/>
      <c r="J369" s="1833"/>
      <c r="K369" s="1834"/>
      <c r="L369" s="1835"/>
      <c r="M369" s="1835"/>
      <c r="N369" s="1834"/>
      <c r="O369" s="75"/>
    </row>
    <row r="370" spans="1:15" s="1" customFormat="1" ht="28" hidden="1" customHeight="1" x14ac:dyDescent="0.2">
      <c r="A370" s="3483"/>
      <c r="B370" s="3483"/>
      <c r="C370" s="51" t="s">
        <v>22</v>
      </c>
      <c r="D370" s="1824"/>
      <c r="E370" s="1825"/>
      <c r="F370" s="1825"/>
      <c r="G370" s="1825"/>
      <c r="H370" s="1826">
        <v>100</v>
      </c>
      <c r="I370" s="1827"/>
      <c r="J370" s="1828"/>
      <c r="K370" s="1829">
        <v>98</v>
      </c>
      <c r="L370" s="3491">
        <v>2</v>
      </c>
      <c r="M370" s="3492"/>
      <c r="N370" s="1823">
        <v>40</v>
      </c>
      <c r="O370" s="75"/>
    </row>
    <row r="371" spans="1:15" s="1" customFormat="1" ht="30" hidden="1" customHeight="1" x14ac:dyDescent="0.2">
      <c r="A371" s="3493" t="s">
        <v>1143</v>
      </c>
      <c r="B371" s="3494"/>
      <c r="C371" s="1836" t="s">
        <v>21</v>
      </c>
      <c r="D371" s="1837">
        <f t="shared" ref="D371:I371" si="30">D367+D369</f>
        <v>487459.18367346941</v>
      </c>
      <c r="E371" s="1837">
        <f t="shared" si="30"/>
        <v>425161.9</v>
      </c>
      <c r="F371" s="1837">
        <f t="shared" si="30"/>
        <v>28662.6</v>
      </c>
      <c r="G371" s="1837">
        <f t="shared" si="30"/>
        <v>23885.5</v>
      </c>
      <c r="H371" s="1837">
        <f t="shared" si="30"/>
        <v>477710</v>
      </c>
      <c r="I371" s="1838">
        <f t="shared" si="30"/>
        <v>31</v>
      </c>
      <c r="J371" s="1837">
        <f>H371/I371</f>
        <v>15410</v>
      </c>
      <c r="K371" s="1839"/>
      <c r="L371" s="1840"/>
      <c r="M371" s="1840"/>
      <c r="N371" s="1841"/>
      <c r="O371" s="75"/>
    </row>
    <row r="372" spans="1:15" s="1" customFormat="1" ht="30" hidden="1" customHeight="1" x14ac:dyDescent="0.2">
      <c r="A372" s="3495"/>
      <c r="B372" s="3496"/>
      <c r="C372" s="1836" t="s">
        <v>22</v>
      </c>
      <c r="D372" s="1842"/>
      <c r="E372" s="1843">
        <f>+E371/H371*100</f>
        <v>89</v>
      </c>
      <c r="F372" s="1843">
        <f>+F371/H371*100</f>
        <v>6</v>
      </c>
      <c r="G372" s="1843">
        <f>+G371/H371*100</f>
        <v>5</v>
      </c>
      <c r="H372" s="1844">
        <v>100</v>
      </c>
      <c r="I372" s="1845"/>
      <c r="J372" s="1846"/>
      <c r="K372" s="1847">
        <f>+H371/D371*100</f>
        <v>98</v>
      </c>
      <c r="L372" s="3497">
        <f>100-K372</f>
        <v>2</v>
      </c>
      <c r="M372" s="3498"/>
      <c r="N372" s="1848"/>
      <c r="O372" s="75"/>
    </row>
    <row r="373" spans="1:15" s="1" customFormat="1" ht="25" customHeight="1" x14ac:dyDescent="0.2">
      <c r="A373" s="3499" t="s">
        <v>1144</v>
      </c>
      <c r="B373" s="3499" t="s">
        <v>1145</v>
      </c>
      <c r="C373" s="51" t="s">
        <v>21</v>
      </c>
      <c r="D373" s="14">
        <f>I373*J373*100/K374</f>
        <v>183061.22448979592</v>
      </c>
      <c r="E373" s="14">
        <f>E374*H373/100</f>
        <v>159666</v>
      </c>
      <c r="F373" s="14">
        <f>F374*H373/100</f>
        <v>8970</v>
      </c>
      <c r="G373" s="14">
        <f>G374*H373/100</f>
        <v>10764</v>
      </c>
      <c r="H373" s="853">
        <f>J373*I373</f>
        <v>179400</v>
      </c>
      <c r="I373" s="434">
        <v>15</v>
      </c>
      <c r="J373" s="357">
        <v>11960</v>
      </c>
      <c r="K373" s="348"/>
      <c r="L373" s="28"/>
      <c r="M373" s="28"/>
      <c r="N373" s="348"/>
      <c r="O373" s="75"/>
    </row>
    <row r="374" spans="1:15" s="1" customFormat="1" ht="25" customHeight="1" x14ac:dyDescent="0.2">
      <c r="A374" s="3483"/>
      <c r="B374" s="3483"/>
      <c r="C374" s="51" t="s">
        <v>22</v>
      </c>
      <c r="D374" s="13"/>
      <c r="E374" s="16">
        <v>89</v>
      </c>
      <c r="F374" s="16">
        <v>5</v>
      </c>
      <c r="G374" s="16">
        <v>6</v>
      </c>
      <c r="H374" s="396">
        <f>SUM(E374:G374)</f>
        <v>100</v>
      </c>
      <c r="I374" s="435"/>
      <c r="J374" s="362"/>
      <c r="K374" s="365">
        <v>98</v>
      </c>
      <c r="L374" s="2933">
        <f>100-K374</f>
        <v>2</v>
      </c>
      <c r="M374" s="2933"/>
      <c r="N374" s="348">
        <v>100</v>
      </c>
      <c r="O374" s="75"/>
    </row>
    <row r="375" spans="1:15" s="1" customFormat="1" ht="25" customHeight="1" x14ac:dyDescent="0.2">
      <c r="A375" s="3499" t="s">
        <v>1146</v>
      </c>
      <c r="B375" s="3499" t="s">
        <v>819</v>
      </c>
      <c r="C375" s="51" t="s">
        <v>21</v>
      </c>
      <c r="D375" s="14">
        <f>I375*J375*100/K376</f>
        <v>188693.87755102041</v>
      </c>
      <c r="E375" s="14">
        <f>E376*H375/100</f>
        <v>173824.8</v>
      </c>
      <c r="F375" s="14">
        <f>F376*H375/100</f>
        <v>5547.6</v>
      </c>
      <c r="G375" s="14">
        <f>G376*H375/100</f>
        <v>5547.6</v>
      </c>
      <c r="H375" s="853">
        <f>J375*I375</f>
        <v>184920</v>
      </c>
      <c r="I375" s="434">
        <v>15</v>
      </c>
      <c r="J375" s="357">
        <v>12328</v>
      </c>
      <c r="K375" s="348"/>
      <c r="L375" s="28"/>
      <c r="M375" s="28"/>
      <c r="N375" s="348"/>
      <c r="O375" s="75"/>
    </row>
    <row r="376" spans="1:15" s="1" customFormat="1" ht="25" customHeight="1" x14ac:dyDescent="0.2">
      <c r="A376" s="3483"/>
      <c r="B376" s="3483"/>
      <c r="C376" s="51" t="s">
        <v>22</v>
      </c>
      <c r="D376" s="13"/>
      <c r="E376" s="16">
        <v>94</v>
      </c>
      <c r="F376" s="16">
        <v>3</v>
      </c>
      <c r="G376" s="16">
        <v>3</v>
      </c>
      <c r="H376" s="396">
        <f>SUM(E376:G376)</f>
        <v>100</v>
      </c>
      <c r="I376" s="435"/>
      <c r="J376" s="362"/>
      <c r="K376" s="365">
        <v>98</v>
      </c>
      <c r="L376" s="2933">
        <v>2</v>
      </c>
      <c r="M376" s="2933"/>
      <c r="N376" s="348">
        <v>100</v>
      </c>
      <c r="O376" s="75"/>
    </row>
    <row r="377" spans="1:15" s="1" customFormat="1" ht="26" hidden="1" customHeight="1" x14ac:dyDescent="0.2">
      <c r="A377" s="1849"/>
      <c r="B377" s="3468" t="s">
        <v>492</v>
      </c>
      <c r="C377" s="51" t="s">
        <v>21</v>
      </c>
      <c r="D377" s="1819">
        <f>I377*J377*100/K378</f>
        <v>0</v>
      </c>
      <c r="E377" s="1819">
        <f>E378*H377/100</f>
        <v>0</v>
      </c>
      <c r="F377" s="1819">
        <f>F378*H377/100</f>
        <v>0</v>
      </c>
      <c r="G377" s="1819">
        <f>G378*H377/100</f>
        <v>0</v>
      </c>
      <c r="H377" s="1820">
        <f>J377*I377</f>
        <v>0</v>
      </c>
      <c r="I377" s="1821"/>
      <c r="J377" s="1822"/>
      <c r="K377" s="1823"/>
      <c r="L377" s="733"/>
      <c r="M377" s="733"/>
      <c r="N377" s="1823"/>
      <c r="O377" s="75"/>
    </row>
    <row r="378" spans="1:15" s="1" customFormat="1" ht="27" hidden="1" customHeight="1" x14ac:dyDescent="0.2">
      <c r="A378" s="1849"/>
      <c r="B378" s="3189"/>
      <c r="C378" s="51" t="s">
        <v>22</v>
      </c>
      <c r="D378" s="1824"/>
      <c r="E378" s="1825"/>
      <c r="F378" s="1825"/>
      <c r="G378" s="1825"/>
      <c r="H378" s="1826">
        <f>SUM(E378:G378)</f>
        <v>0</v>
      </c>
      <c r="I378" s="1827"/>
      <c r="J378" s="1828"/>
      <c r="K378" s="1829">
        <v>98</v>
      </c>
      <c r="L378" s="3491">
        <v>2</v>
      </c>
      <c r="M378" s="3492"/>
      <c r="N378" s="1823">
        <v>40</v>
      </c>
      <c r="O378" s="75"/>
    </row>
    <row r="379" spans="1:15" s="1" customFormat="1" ht="28" customHeight="1" x14ac:dyDescent="0.2">
      <c r="A379" s="3470" t="s">
        <v>1147</v>
      </c>
      <c r="B379" s="3470"/>
      <c r="C379" s="1836" t="s">
        <v>21</v>
      </c>
      <c r="D379" s="1850">
        <f t="shared" ref="D379:I379" si="31">D373+D375+D377</f>
        <v>371755.10204081633</v>
      </c>
      <c r="E379" s="1850">
        <f t="shared" si="31"/>
        <v>333490.8</v>
      </c>
      <c r="F379" s="1850">
        <f t="shared" si="31"/>
        <v>14517.6</v>
      </c>
      <c r="G379" s="1850">
        <f t="shared" si="31"/>
        <v>16311.6</v>
      </c>
      <c r="H379" s="1850">
        <f t="shared" si="31"/>
        <v>364320</v>
      </c>
      <c r="I379" s="1758">
        <f t="shared" si="31"/>
        <v>30</v>
      </c>
      <c r="J379" s="1850">
        <f>H379/I379</f>
        <v>12144</v>
      </c>
      <c r="K379" s="1851"/>
      <c r="L379" s="1852"/>
      <c r="M379" s="1852"/>
      <c r="N379" s="1853"/>
      <c r="O379" s="75"/>
    </row>
    <row r="380" spans="1:15" s="1" customFormat="1" ht="28" customHeight="1" x14ac:dyDescent="0.2">
      <c r="A380" s="3470"/>
      <c r="B380" s="3470"/>
      <c r="C380" s="1836" t="s">
        <v>22</v>
      </c>
      <c r="D380" s="1842"/>
      <c r="E380" s="1843">
        <f>+E379/H379*100</f>
        <v>91.537878787878782</v>
      </c>
      <c r="F380" s="1843">
        <f>+F379/H379*100</f>
        <v>3.9848484848484849</v>
      </c>
      <c r="G380" s="1843">
        <f>+G379/H379*100</f>
        <v>4.4772727272727275</v>
      </c>
      <c r="H380" s="1844">
        <v>100</v>
      </c>
      <c r="I380" s="1845"/>
      <c r="J380" s="1846"/>
      <c r="K380" s="1847">
        <f>+H379/D379*100</f>
        <v>98</v>
      </c>
      <c r="L380" s="3471">
        <f>100-K380</f>
        <v>2</v>
      </c>
      <c r="M380" s="3471"/>
      <c r="N380" s="1853"/>
      <c r="O380" s="75"/>
    </row>
    <row r="381" spans="1:15" s="1" customFormat="1" ht="28" customHeight="1" x14ac:dyDescent="0.2">
      <c r="A381" s="3472" t="s">
        <v>1148</v>
      </c>
      <c r="B381" s="3472"/>
      <c r="C381" s="1854" t="s">
        <v>21</v>
      </c>
      <c r="D381" s="1855">
        <f t="shared" ref="D381:I381" si="32">D379+D371</f>
        <v>859214.28571428568</v>
      </c>
      <c r="E381" s="1855">
        <f t="shared" si="32"/>
        <v>758652.7</v>
      </c>
      <c r="F381" s="1855">
        <f t="shared" si="32"/>
        <v>43180.2</v>
      </c>
      <c r="G381" s="1855">
        <f t="shared" si="32"/>
        <v>40197.1</v>
      </c>
      <c r="H381" s="1855">
        <f t="shared" si="32"/>
        <v>842030</v>
      </c>
      <c r="I381" s="1856">
        <f t="shared" si="32"/>
        <v>61</v>
      </c>
      <c r="J381" s="1855">
        <f>H381/I381</f>
        <v>13803.77049180328</v>
      </c>
      <c r="K381" s="1857"/>
      <c r="L381" s="1858"/>
      <c r="M381" s="1858"/>
      <c r="N381" s="1859"/>
      <c r="O381" s="75"/>
    </row>
    <row r="382" spans="1:15" s="1" customFormat="1" ht="28" customHeight="1" x14ac:dyDescent="0.2">
      <c r="A382" s="3472"/>
      <c r="B382" s="3472"/>
      <c r="C382" s="1854" t="s">
        <v>22</v>
      </c>
      <c r="D382" s="1860"/>
      <c r="E382" s="1861">
        <f>+E381/H381*100</f>
        <v>90.098060639169617</v>
      </c>
      <c r="F382" s="1861">
        <f>+F381/H381*100</f>
        <v>5.1281070745697894</v>
      </c>
      <c r="G382" s="1861">
        <f>+G381/H381*100</f>
        <v>4.7738322862605838</v>
      </c>
      <c r="H382" s="1862">
        <v>100</v>
      </c>
      <c r="I382" s="1863"/>
      <c r="J382" s="1864"/>
      <c r="K382" s="1865">
        <f>+H381/D381*100</f>
        <v>98.000000000000014</v>
      </c>
      <c r="L382" s="3473">
        <f>100-K382</f>
        <v>1.9999999999999858</v>
      </c>
      <c r="M382" s="3473"/>
      <c r="N382" s="1859"/>
      <c r="O382" s="75"/>
    </row>
    <row r="383" spans="1:15" s="340" customFormat="1" ht="26" customHeight="1" thickBot="1" x14ac:dyDescent="0.2">
      <c r="A383" s="2475" t="s">
        <v>1149</v>
      </c>
      <c r="B383" s="2475"/>
      <c r="C383" s="2475"/>
      <c r="D383" s="2475"/>
      <c r="E383" s="2475"/>
      <c r="F383" s="2475"/>
      <c r="G383" s="2475"/>
      <c r="H383" s="2475"/>
      <c r="I383" s="2475"/>
      <c r="J383" s="2475"/>
      <c r="K383" s="2475"/>
      <c r="L383" s="2475"/>
      <c r="M383" s="2475"/>
      <c r="N383" s="2475"/>
    </row>
    <row r="384" spans="1:15" s="340" customFormat="1" ht="45" customHeight="1" x14ac:dyDescent="0.15">
      <c r="A384" s="3484" t="s">
        <v>34</v>
      </c>
      <c r="B384" s="3486" t="s">
        <v>6</v>
      </c>
      <c r="C384" s="3486"/>
      <c r="D384" s="3487" t="s">
        <v>7</v>
      </c>
      <c r="E384" s="3486" t="s">
        <v>8</v>
      </c>
      <c r="F384" s="3486"/>
      <c r="G384" s="3486"/>
      <c r="H384" s="3489" t="s">
        <v>9</v>
      </c>
      <c r="I384" s="3487" t="s">
        <v>10</v>
      </c>
      <c r="J384" s="1867" t="s">
        <v>35</v>
      </c>
      <c r="K384" s="1867" t="s">
        <v>12</v>
      </c>
      <c r="L384" s="1866" t="s">
        <v>13</v>
      </c>
      <c r="M384" s="1866" t="s">
        <v>14</v>
      </c>
      <c r="N384" s="1293" t="s">
        <v>15</v>
      </c>
    </row>
    <row r="385" spans="1:14" s="340" customFormat="1" ht="35" customHeight="1" x14ac:dyDescent="0.15">
      <c r="A385" s="3485"/>
      <c r="B385" s="1305" t="s">
        <v>37</v>
      </c>
      <c r="C385" s="812" t="s">
        <v>17</v>
      </c>
      <c r="D385" s="3488"/>
      <c r="E385" s="1818" t="s">
        <v>18</v>
      </c>
      <c r="F385" s="1818" t="s">
        <v>19</v>
      </c>
      <c r="G385" s="812" t="s">
        <v>20</v>
      </c>
      <c r="H385" s="3490"/>
      <c r="I385" s="3488"/>
      <c r="J385" s="1305" t="s">
        <v>21</v>
      </c>
      <c r="K385" s="1305" t="s">
        <v>22</v>
      </c>
      <c r="L385" s="3192" t="s">
        <v>22</v>
      </c>
      <c r="M385" s="3192"/>
      <c r="N385" s="1294" t="s">
        <v>23</v>
      </c>
    </row>
    <row r="386" spans="1:14" s="340" customFormat="1" ht="33" customHeight="1" x14ac:dyDescent="0.15">
      <c r="A386" s="3479" t="s">
        <v>1150</v>
      </c>
      <c r="B386" s="3477" t="s">
        <v>412</v>
      </c>
      <c r="C386" s="51" t="s">
        <v>21</v>
      </c>
      <c r="D386" s="1819">
        <f>I386*J386*100/K387</f>
        <v>497208.36734693876</v>
      </c>
      <c r="E386" s="1819">
        <f>E387*H386/100</f>
        <v>443410.42200000002</v>
      </c>
      <c r="F386" s="1819">
        <f>F387*H386/100</f>
        <v>19490.567999999999</v>
      </c>
      <c r="G386" s="1819">
        <f>G387*H386/100</f>
        <v>24363.21</v>
      </c>
      <c r="H386" s="1820">
        <f>J386*I386</f>
        <v>487264.2</v>
      </c>
      <c r="I386" s="1821">
        <v>31</v>
      </c>
      <c r="J386" s="1822">
        <f>J367*1.02</f>
        <v>15718.2</v>
      </c>
      <c r="K386" s="1823"/>
      <c r="L386" s="733"/>
      <c r="M386" s="733"/>
      <c r="N386" s="1868">
        <v>25</v>
      </c>
    </row>
    <row r="387" spans="1:14" s="340" customFormat="1" ht="33" customHeight="1" thickBot="1" x14ac:dyDescent="0.2">
      <c r="A387" s="3480"/>
      <c r="B387" s="3481"/>
      <c r="C387" s="1869" t="s">
        <v>22</v>
      </c>
      <c r="D387" s="1870"/>
      <c r="E387" s="1871">
        <v>91</v>
      </c>
      <c r="F387" s="1871">
        <v>4</v>
      </c>
      <c r="G387" s="1871">
        <v>5</v>
      </c>
      <c r="H387" s="1872">
        <v>100</v>
      </c>
      <c r="I387" s="1873"/>
      <c r="J387" s="1874"/>
      <c r="K387" s="1875">
        <v>98</v>
      </c>
      <c r="L387" s="3482">
        <f>100-K387</f>
        <v>2</v>
      </c>
      <c r="M387" s="3482"/>
      <c r="N387" s="1876"/>
    </row>
    <row r="388" spans="1:14" s="340" customFormat="1" ht="33" hidden="1" customHeight="1" x14ac:dyDescent="0.15">
      <c r="A388" s="3483" t="s">
        <v>594</v>
      </c>
      <c r="B388" s="3483" t="s">
        <v>412</v>
      </c>
      <c r="C388" s="1040" t="s">
        <v>21</v>
      </c>
      <c r="D388" s="1830">
        <f>I388*J388*100/K389</f>
        <v>0</v>
      </c>
      <c r="E388" s="1830">
        <f>E389*H388/100</f>
        <v>0</v>
      </c>
      <c r="F388" s="1830">
        <f>F389*H388/100</f>
        <v>0</v>
      </c>
      <c r="G388" s="1830">
        <f>G389*H388/100</f>
        <v>0</v>
      </c>
      <c r="H388" s="1831">
        <f>J388*I388</f>
        <v>0</v>
      </c>
      <c r="I388" s="1832"/>
      <c r="J388" s="1833"/>
      <c r="K388" s="1834"/>
      <c r="L388" s="1835"/>
      <c r="M388" s="1835"/>
      <c r="N388" s="1834">
        <v>25</v>
      </c>
    </row>
    <row r="389" spans="1:14" s="340" customFormat="1" ht="33" hidden="1" customHeight="1" x14ac:dyDescent="0.15">
      <c r="A389" s="3477"/>
      <c r="B389" s="3477"/>
      <c r="C389" s="51" t="s">
        <v>22</v>
      </c>
      <c r="D389" s="1824"/>
      <c r="E389" s="1825"/>
      <c r="F389" s="1825"/>
      <c r="G389" s="1825"/>
      <c r="H389" s="1826">
        <v>100</v>
      </c>
      <c r="I389" s="1827"/>
      <c r="J389" s="1828"/>
      <c r="K389" s="1829">
        <v>98</v>
      </c>
      <c r="L389" s="3478">
        <v>2</v>
      </c>
      <c r="M389" s="3478"/>
      <c r="N389" s="1823"/>
    </row>
    <row r="390" spans="1:14" s="340" customFormat="1" ht="39" customHeight="1" x14ac:dyDescent="0.15">
      <c r="A390" s="3474" t="s">
        <v>1151</v>
      </c>
      <c r="B390" s="3474"/>
      <c r="C390" s="1836" t="s">
        <v>21</v>
      </c>
      <c r="D390" s="1850">
        <f t="shared" ref="D390:I390" si="33">D386+D388</f>
        <v>497208.36734693876</v>
      </c>
      <c r="E390" s="1850">
        <f t="shared" si="33"/>
        <v>443410.42200000002</v>
      </c>
      <c r="F390" s="1850">
        <f t="shared" si="33"/>
        <v>19490.567999999999</v>
      </c>
      <c r="G390" s="1850">
        <f t="shared" si="33"/>
        <v>24363.21</v>
      </c>
      <c r="H390" s="1850">
        <f t="shared" si="33"/>
        <v>487264.2</v>
      </c>
      <c r="I390" s="1758">
        <f t="shared" si="33"/>
        <v>31</v>
      </c>
      <c r="J390" s="1850">
        <f>H390/I390</f>
        <v>15718.2</v>
      </c>
      <c r="K390" s="1851"/>
      <c r="L390" s="1852"/>
      <c r="M390" s="1852"/>
      <c r="N390" s="1853">
        <v>25</v>
      </c>
    </row>
    <row r="391" spans="1:14" s="340" customFormat="1" ht="39" customHeight="1" x14ac:dyDescent="0.15">
      <c r="A391" s="3475"/>
      <c r="B391" s="3475"/>
      <c r="C391" s="1877" t="s">
        <v>22</v>
      </c>
      <c r="D391" s="1878"/>
      <c r="E391" s="1879">
        <f>+E390/H390*100</f>
        <v>91</v>
      </c>
      <c r="F391" s="1879">
        <f>+F390/H390*100</f>
        <v>4</v>
      </c>
      <c r="G391" s="1879">
        <f>+G390/H390*100</f>
        <v>5</v>
      </c>
      <c r="H391" s="1880">
        <v>100</v>
      </c>
      <c r="I391" s="1881"/>
      <c r="J391" s="1882"/>
      <c r="K391" s="1883">
        <f>+H390/D390*100</f>
        <v>98.000000000000014</v>
      </c>
      <c r="L391" s="3476">
        <f>100-K391</f>
        <v>1.9999999999999858</v>
      </c>
      <c r="M391" s="3476"/>
      <c r="N391" s="1884"/>
    </row>
    <row r="392" spans="1:14" s="340" customFormat="1" ht="39" customHeight="1" x14ac:dyDescent="0.15">
      <c r="A392" s="3477" t="s">
        <v>1144</v>
      </c>
      <c r="B392" s="3477" t="s">
        <v>1145</v>
      </c>
      <c r="C392" s="51" t="s">
        <v>21</v>
      </c>
      <c r="D392" s="1819">
        <f>I392*J392*100/K393</f>
        <v>186722.44897959183</v>
      </c>
      <c r="E392" s="1819">
        <f>E393*H392/100</f>
        <v>164689.20000000001</v>
      </c>
      <c r="F392" s="1819">
        <f>F393*H392/100</f>
        <v>9149.4</v>
      </c>
      <c r="G392" s="1819">
        <f>G393*H392/100</f>
        <v>9149.4</v>
      </c>
      <c r="H392" s="1820">
        <f>J392*I392</f>
        <v>182988</v>
      </c>
      <c r="I392" s="1821">
        <v>15</v>
      </c>
      <c r="J392" s="1822">
        <f>J373*1.02</f>
        <v>12199.2</v>
      </c>
      <c r="K392" s="1823"/>
      <c r="L392" s="733"/>
      <c r="M392" s="733"/>
      <c r="N392" s="1823">
        <v>80</v>
      </c>
    </row>
    <row r="393" spans="1:14" s="340" customFormat="1" ht="39" customHeight="1" x14ac:dyDescent="0.15">
      <c r="A393" s="3477"/>
      <c r="B393" s="3477"/>
      <c r="C393" s="51" t="s">
        <v>22</v>
      </c>
      <c r="D393" s="1824"/>
      <c r="E393" s="1825">
        <v>90</v>
      </c>
      <c r="F393" s="1825">
        <v>5</v>
      </c>
      <c r="G393" s="1825">
        <v>5</v>
      </c>
      <c r="H393" s="1826">
        <v>100</v>
      </c>
      <c r="I393" s="1827"/>
      <c r="J393" s="1828"/>
      <c r="K393" s="1829">
        <v>98</v>
      </c>
      <c r="L393" s="3478">
        <f>100-K393</f>
        <v>2</v>
      </c>
      <c r="M393" s="3478"/>
      <c r="N393" s="1823"/>
    </row>
    <row r="394" spans="1:14" s="340" customFormat="1" ht="39" customHeight="1" x14ac:dyDescent="0.15">
      <c r="A394" s="3477" t="s">
        <v>1146</v>
      </c>
      <c r="B394" s="3477" t="s">
        <v>819</v>
      </c>
      <c r="C394" s="51" t="s">
        <v>21</v>
      </c>
      <c r="D394" s="1819">
        <f>I394*J394*100/K395</f>
        <v>192467.75510204083</v>
      </c>
      <c r="E394" s="1819">
        <f>E395*H394/100</f>
        <v>181073.66399999999</v>
      </c>
      <c r="F394" s="1819">
        <f>F395*H394/100</f>
        <v>3772.3679999999999</v>
      </c>
      <c r="G394" s="1819">
        <f>G395*H394/100</f>
        <v>3772.3679999999999</v>
      </c>
      <c r="H394" s="1820">
        <f>J394*I394</f>
        <v>188618.4</v>
      </c>
      <c r="I394" s="1821">
        <v>15</v>
      </c>
      <c r="J394" s="1822">
        <f>J375*1.02</f>
        <v>12574.56</v>
      </c>
      <c r="K394" s="1823"/>
      <c r="L394" s="733"/>
      <c r="M394" s="733"/>
      <c r="N394" s="1823">
        <v>80</v>
      </c>
    </row>
    <row r="395" spans="1:14" s="340" customFormat="1" ht="39" customHeight="1" x14ac:dyDescent="0.15">
      <c r="A395" s="3477"/>
      <c r="B395" s="3477"/>
      <c r="C395" s="51" t="s">
        <v>22</v>
      </c>
      <c r="D395" s="1824"/>
      <c r="E395" s="1825">
        <v>96</v>
      </c>
      <c r="F395" s="1825">
        <v>2</v>
      </c>
      <c r="G395" s="1825">
        <v>2</v>
      </c>
      <c r="H395" s="1826">
        <v>100</v>
      </c>
      <c r="I395" s="1827"/>
      <c r="J395" s="1828"/>
      <c r="K395" s="1829">
        <v>98</v>
      </c>
      <c r="L395" s="3478">
        <v>2</v>
      </c>
      <c r="M395" s="3478"/>
      <c r="N395" s="1823"/>
    </row>
    <row r="396" spans="1:14" s="340" customFormat="1" ht="25" hidden="1" customHeight="1" x14ac:dyDescent="0.15">
      <c r="A396" s="1885"/>
      <c r="B396" s="3189" t="s">
        <v>492</v>
      </c>
      <c r="C396" s="1040" t="s">
        <v>21</v>
      </c>
      <c r="D396" s="1830">
        <f>I396*J396*100/K397</f>
        <v>0</v>
      </c>
      <c r="E396" s="1830">
        <f>E397*H396/100</f>
        <v>0</v>
      </c>
      <c r="F396" s="1830">
        <f>F397*H396/100</f>
        <v>0</v>
      </c>
      <c r="G396" s="1830">
        <f>G397*H396/100</f>
        <v>0</v>
      </c>
      <c r="H396" s="1831">
        <f>J396*I396</f>
        <v>0</v>
      </c>
      <c r="I396" s="1832"/>
      <c r="J396" s="1833">
        <f>J373+J373*2%</f>
        <v>12199.2</v>
      </c>
      <c r="K396" s="1834"/>
      <c r="L396" s="1835"/>
      <c r="M396" s="1835"/>
      <c r="N396" s="1834"/>
    </row>
    <row r="397" spans="1:14" s="340" customFormat="1" ht="26" hidden="1" customHeight="1" x14ac:dyDescent="0.15">
      <c r="A397" s="1886"/>
      <c r="B397" s="3468"/>
      <c r="C397" s="1037" t="s">
        <v>22</v>
      </c>
      <c r="D397" s="1887"/>
      <c r="E397" s="1888">
        <v>91</v>
      </c>
      <c r="F397" s="1888">
        <v>6</v>
      </c>
      <c r="G397" s="1888">
        <v>3</v>
      </c>
      <c r="H397" s="1889">
        <v>100</v>
      </c>
      <c r="I397" s="1890"/>
      <c r="J397" s="1891"/>
      <c r="K397" s="1892">
        <v>98</v>
      </c>
      <c r="L397" s="3469">
        <v>2</v>
      </c>
      <c r="M397" s="3469"/>
      <c r="N397" s="1893"/>
    </row>
    <row r="398" spans="1:14" s="340" customFormat="1" ht="28" customHeight="1" x14ac:dyDescent="0.15">
      <c r="A398" s="3470" t="s">
        <v>1152</v>
      </c>
      <c r="B398" s="3470"/>
      <c r="C398" s="1836" t="s">
        <v>21</v>
      </c>
      <c r="D398" s="1850">
        <f t="shared" ref="D398:I398" si="34">D392+D394+D396</f>
        <v>379190.20408163266</v>
      </c>
      <c r="E398" s="1850">
        <f t="shared" si="34"/>
        <v>345762.864</v>
      </c>
      <c r="F398" s="1850">
        <f t="shared" si="34"/>
        <v>12921.768</v>
      </c>
      <c r="G398" s="1850">
        <f t="shared" si="34"/>
        <v>12921.768</v>
      </c>
      <c r="H398" s="1850">
        <f t="shared" si="34"/>
        <v>371606.4</v>
      </c>
      <c r="I398" s="1758">
        <f t="shared" si="34"/>
        <v>30</v>
      </c>
      <c r="J398" s="1850">
        <f>H398/I398</f>
        <v>12386.880000000001</v>
      </c>
      <c r="K398" s="1851"/>
      <c r="L398" s="1852"/>
      <c r="M398" s="1852"/>
      <c r="N398" s="1853"/>
    </row>
    <row r="399" spans="1:14" s="340" customFormat="1" ht="28" customHeight="1" x14ac:dyDescent="0.15">
      <c r="A399" s="3470"/>
      <c r="B399" s="3470"/>
      <c r="C399" s="1836" t="s">
        <v>22</v>
      </c>
      <c r="D399" s="1842"/>
      <c r="E399" s="1843">
        <f>+E398/H398*100</f>
        <v>93.045454545454547</v>
      </c>
      <c r="F399" s="1843">
        <f>+F398/H398*100</f>
        <v>3.4772727272727266</v>
      </c>
      <c r="G399" s="1843">
        <f>+G398/H398*100</f>
        <v>3.4772727272727266</v>
      </c>
      <c r="H399" s="1844">
        <v>100</v>
      </c>
      <c r="I399" s="1845"/>
      <c r="J399" s="1846"/>
      <c r="K399" s="1847">
        <f>+H398/D398*100</f>
        <v>98</v>
      </c>
      <c r="L399" s="3471">
        <f>100-K399</f>
        <v>2</v>
      </c>
      <c r="M399" s="3471"/>
      <c r="N399" s="1853"/>
    </row>
    <row r="400" spans="1:14" s="340" customFormat="1" ht="28" customHeight="1" x14ac:dyDescent="0.15">
      <c r="A400" s="3472" t="s">
        <v>1153</v>
      </c>
      <c r="B400" s="3472"/>
      <c r="C400" s="1854" t="s">
        <v>21</v>
      </c>
      <c r="D400" s="1855">
        <f t="shared" ref="D400:I400" si="35">D398+D390</f>
        <v>876398.57142857136</v>
      </c>
      <c r="E400" s="1855">
        <f t="shared" si="35"/>
        <v>789173.28600000008</v>
      </c>
      <c r="F400" s="1855">
        <f t="shared" si="35"/>
        <v>32412.335999999999</v>
      </c>
      <c r="G400" s="1855">
        <f t="shared" si="35"/>
        <v>37284.978000000003</v>
      </c>
      <c r="H400" s="1855">
        <f t="shared" si="35"/>
        <v>858870.60000000009</v>
      </c>
      <c r="I400" s="1856">
        <f t="shared" si="35"/>
        <v>61</v>
      </c>
      <c r="J400" s="1855">
        <f>H400/I400</f>
        <v>14079.845901639346</v>
      </c>
      <c r="K400" s="1857"/>
      <c r="L400" s="1858"/>
      <c r="M400" s="1858"/>
      <c r="N400" s="1859"/>
    </row>
    <row r="401" spans="1:14" s="340" customFormat="1" ht="28" customHeight="1" x14ac:dyDescent="0.15">
      <c r="A401" s="3472"/>
      <c r="B401" s="3472"/>
      <c r="C401" s="1854" t="s">
        <v>22</v>
      </c>
      <c r="D401" s="1860"/>
      <c r="E401" s="1861">
        <f>+E400/H400*100</f>
        <v>91.885004097241179</v>
      </c>
      <c r="F401" s="1861">
        <f>+F400/H400*100</f>
        <v>3.7738322862605838</v>
      </c>
      <c r="G401" s="1861">
        <f>+G400/H400*100</f>
        <v>4.3411636164982248</v>
      </c>
      <c r="H401" s="1862">
        <v>100</v>
      </c>
      <c r="I401" s="1863"/>
      <c r="J401" s="1864"/>
      <c r="K401" s="1865">
        <f>+H400/D400*100</f>
        <v>98.000000000000014</v>
      </c>
      <c r="L401" s="3473">
        <f>100-K401</f>
        <v>1.9999999999999858</v>
      </c>
      <c r="M401" s="3473"/>
      <c r="N401" s="1859"/>
    </row>
    <row r="402" spans="1:14" s="340" customFormat="1" ht="22" customHeight="1" x14ac:dyDescent="0.15">
      <c r="A402" s="2909" t="s">
        <v>597</v>
      </c>
      <c r="B402" s="2909"/>
      <c r="C402" s="2909"/>
      <c r="D402" s="2909"/>
      <c r="E402" s="2909"/>
      <c r="F402" s="2909"/>
      <c r="G402" s="2909"/>
      <c r="H402" s="2909"/>
      <c r="I402" s="2909"/>
      <c r="J402" s="2909"/>
      <c r="K402" s="2909"/>
      <c r="L402" s="2909"/>
      <c r="M402" s="2909"/>
      <c r="N402" s="2909"/>
    </row>
    <row r="403" spans="1:14" s="340" customFormat="1" ht="22" customHeight="1" x14ac:dyDescent="0.15">
      <c r="A403" s="3198" t="s">
        <v>849</v>
      </c>
      <c r="B403" s="3198"/>
      <c r="C403" s="3198"/>
      <c r="D403" s="3198"/>
      <c r="E403" s="3198"/>
      <c r="F403" s="3198"/>
      <c r="G403" s="3198"/>
      <c r="H403" s="3198"/>
      <c r="I403" s="3198"/>
      <c r="J403" s="3198"/>
      <c r="K403" s="3198"/>
      <c r="L403" s="3198"/>
      <c r="M403" s="3198"/>
      <c r="N403" s="3198"/>
    </row>
    <row r="404" spans="1:14" s="340" customFormat="1" ht="22" customHeight="1" x14ac:dyDescent="0.15">
      <c r="A404" s="3198" t="s">
        <v>1154</v>
      </c>
      <c r="B404" s="3198"/>
      <c r="C404" s="3198"/>
      <c r="D404" s="3198"/>
      <c r="E404" s="3198"/>
      <c r="F404" s="3198"/>
      <c r="G404" s="3198"/>
      <c r="H404" s="3198"/>
      <c r="I404" s="3198"/>
      <c r="J404" s="3198"/>
      <c r="K404" s="3198"/>
      <c r="L404" s="3198"/>
      <c r="M404" s="3198"/>
      <c r="N404" s="3198"/>
    </row>
    <row r="405" spans="1:14" s="340" customFormat="1" ht="24" customHeight="1" x14ac:dyDescent="0.15">
      <c r="A405" s="3463" t="s">
        <v>1155</v>
      </c>
      <c r="B405" s="3463"/>
      <c r="C405" s="3463"/>
      <c r="D405" s="3463"/>
      <c r="E405" s="3463"/>
      <c r="F405" s="3463"/>
      <c r="G405" s="3463"/>
      <c r="H405" s="3463"/>
      <c r="I405" s="3463"/>
      <c r="J405" s="3463"/>
      <c r="K405" s="3463"/>
      <c r="L405" s="3463"/>
      <c r="M405" s="3463"/>
      <c r="N405" s="3463"/>
    </row>
    <row r="406" spans="1:14" s="340" customFormat="1" ht="24" customHeight="1" x14ac:dyDescent="0.15">
      <c r="A406" s="2663" t="s">
        <v>1156</v>
      </c>
      <c r="B406" s="2663"/>
      <c r="C406" s="2663"/>
      <c r="D406" s="2663"/>
      <c r="E406" s="2663"/>
      <c r="F406" s="2663"/>
      <c r="G406" s="2663"/>
      <c r="H406" s="2663"/>
      <c r="I406" s="2663"/>
      <c r="J406" s="2663"/>
      <c r="K406" s="2663"/>
      <c r="L406" s="2663"/>
      <c r="M406" s="2663"/>
      <c r="N406" s="2663"/>
    </row>
    <row r="407" spans="1:14" s="340" customFormat="1" ht="24" customHeight="1" x14ac:dyDescent="0.15">
      <c r="A407" s="2663" t="s">
        <v>1157</v>
      </c>
      <c r="B407" s="2663"/>
      <c r="C407" s="2663"/>
      <c r="D407" s="2663"/>
      <c r="E407" s="2663"/>
      <c r="F407" s="2663"/>
      <c r="G407" s="2663"/>
      <c r="H407" s="2663"/>
      <c r="I407" s="2663"/>
      <c r="J407" s="2663"/>
      <c r="K407" s="2663"/>
      <c r="L407" s="2663"/>
      <c r="M407" s="2663"/>
      <c r="N407" s="2663"/>
    </row>
    <row r="408" spans="1:14" s="340" customFormat="1" ht="24" customHeight="1" x14ac:dyDescent="0.15">
      <c r="A408" s="2663" t="s">
        <v>1158</v>
      </c>
      <c r="B408" s="2663"/>
      <c r="C408" s="2663"/>
      <c r="D408" s="2663"/>
      <c r="E408" s="2663"/>
      <c r="F408" s="2663"/>
      <c r="G408" s="2663"/>
      <c r="H408" s="2663"/>
      <c r="I408" s="2663"/>
      <c r="J408" s="2663"/>
      <c r="K408" s="2663"/>
      <c r="L408" s="2663"/>
      <c r="M408" s="2663"/>
      <c r="N408" s="2663"/>
    </row>
    <row r="409" spans="1:14" s="340" customFormat="1" ht="24" customHeight="1" x14ac:dyDescent="0.15">
      <c r="A409" s="2663" t="s">
        <v>1159</v>
      </c>
      <c r="B409" s="2663"/>
      <c r="C409" s="2663"/>
      <c r="D409" s="2663"/>
      <c r="E409" s="2663"/>
      <c r="F409" s="2663"/>
      <c r="G409" s="2663"/>
      <c r="H409" s="2663"/>
      <c r="I409" s="2663"/>
      <c r="J409" s="2663"/>
      <c r="K409" s="2663"/>
      <c r="L409" s="2663"/>
      <c r="M409" s="2663"/>
      <c r="N409" s="2663"/>
    </row>
    <row r="410" spans="1:14" s="340" customFormat="1" ht="24" customHeight="1" x14ac:dyDescent="0.15">
      <c r="A410" s="2663" t="s">
        <v>1160</v>
      </c>
      <c r="B410" s="2663"/>
      <c r="C410" s="2663"/>
      <c r="D410" s="2663"/>
      <c r="E410" s="2663"/>
      <c r="F410" s="2663"/>
      <c r="G410" s="2663"/>
      <c r="H410" s="2663"/>
      <c r="I410" s="2663"/>
      <c r="J410" s="2663"/>
      <c r="K410" s="2663"/>
      <c r="L410" s="2663"/>
      <c r="M410" s="2663"/>
      <c r="N410" s="2663"/>
    </row>
    <row r="411" spans="1:14" s="340" customFormat="1" ht="24" customHeight="1" x14ac:dyDescent="0.15">
      <c r="A411" s="2663" t="s">
        <v>1161</v>
      </c>
      <c r="B411" s="2663"/>
      <c r="C411" s="2663"/>
      <c r="D411" s="2663"/>
      <c r="E411" s="2663"/>
      <c r="F411" s="2663"/>
      <c r="G411" s="2663"/>
      <c r="H411" s="2663"/>
      <c r="I411" s="2663"/>
      <c r="J411" s="2663"/>
      <c r="K411" s="2663"/>
      <c r="L411" s="2663"/>
      <c r="M411" s="2663"/>
      <c r="N411" s="2663"/>
    </row>
    <row r="412" spans="1:14" s="340" customFormat="1" ht="24" customHeight="1" x14ac:dyDescent="0.15">
      <c r="A412" s="2663" t="s">
        <v>1162</v>
      </c>
      <c r="B412" s="2663"/>
      <c r="C412" s="2663"/>
      <c r="D412" s="2663"/>
      <c r="E412" s="2663"/>
      <c r="F412" s="2663"/>
      <c r="G412" s="2663"/>
      <c r="H412" s="2663"/>
      <c r="I412" s="2663"/>
      <c r="J412" s="2663"/>
      <c r="K412" s="2663"/>
      <c r="L412" s="2663"/>
      <c r="M412" s="2663"/>
      <c r="N412" s="2663"/>
    </row>
    <row r="413" spans="1:14" s="340" customFormat="1" ht="24" customHeight="1" x14ac:dyDescent="0.15">
      <c r="A413" s="79" t="s">
        <v>1163</v>
      </c>
      <c r="B413" s="41"/>
      <c r="C413" s="41"/>
      <c r="D413" s="41"/>
      <c r="E413" s="41"/>
      <c r="F413" s="41"/>
      <c r="G413" s="41"/>
      <c r="H413" s="41"/>
      <c r="I413" s="41"/>
      <c r="J413" s="41"/>
      <c r="K413" s="41"/>
      <c r="L413" s="41"/>
      <c r="M413" s="41"/>
      <c r="N413" s="41"/>
    </row>
    <row r="414" spans="1:14" s="340" customFormat="1" ht="58" customHeight="1" x14ac:dyDescent="0.15">
      <c r="A414" s="2663" t="s">
        <v>1164</v>
      </c>
      <c r="B414" s="2663"/>
      <c r="C414" s="2663"/>
      <c r="D414" s="2663"/>
      <c r="E414" s="2663"/>
      <c r="F414" s="2663"/>
      <c r="G414" s="2663"/>
      <c r="H414" s="2663"/>
      <c r="I414" s="2663"/>
      <c r="J414" s="2663"/>
      <c r="K414" s="2663"/>
      <c r="L414" s="2663"/>
      <c r="M414" s="2663"/>
      <c r="N414" s="2663"/>
    </row>
    <row r="415" spans="1:14" s="340" customFormat="1" ht="37" customHeight="1" x14ac:dyDescent="0.15">
      <c r="A415" s="2663" t="s">
        <v>1165</v>
      </c>
      <c r="B415" s="2663"/>
      <c r="C415" s="2663"/>
      <c r="D415" s="2663"/>
      <c r="E415" s="2663"/>
      <c r="F415" s="2663"/>
      <c r="G415" s="2663"/>
      <c r="H415" s="2663"/>
      <c r="I415" s="2663"/>
      <c r="J415" s="2663"/>
      <c r="K415" s="2663"/>
      <c r="L415" s="2663"/>
      <c r="M415" s="2663"/>
      <c r="N415" s="2663"/>
    </row>
    <row r="416" spans="1:14" s="84" customFormat="1" ht="22.5" customHeight="1" x14ac:dyDescent="0.2">
      <c r="A416" s="88" t="s">
        <v>494</v>
      </c>
      <c r="H416" s="394"/>
      <c r="I416" s="451"/>
      <c r="J416" s="355"/>
      <c r="K416" s="355"/>
      <c r="N416" s="350"/>
    </row>
    <row r="417" spans="1:14" s="1" customFormat="1" ht="16" x14ac:dyDescent="0.2">
      <c r="A417" s="1029" t="s">
        <v>655</v>
      </c>
      <c r="C417" s="42"/>
      <c r="E417" s="43"/>
      <c r="F417" s="43"/>
      <c r="H417" s="78"/>
      <c r="I417" s="447"/>
      <c r="J417" s="2682" t="s">
        <v>1166</v>
      </c>
      <c r="K417" s="2682"/>
      <c r="L417" s="2682"/>
      <c r="M417" s="2682"/>
      <c r="N417" s="2682"/>
    </row>
    <row r="418" spans="1:14" s="84" customFormat="1" ht="24" customHeight="1" x14ac:dyDescent="0.15">
      <c r="A418" s="1031" t="s">
        <v>656</v>
      </c>
      <c r="B418" s="1030"/>
      <c r="C418" s="1031"/>
      <c r="D418" s="2683" t="s">
        <v>897</v>
      </c>
      <c r="E418" s="2683"/>
      <c r="F418" s="2683"/>
      <c r="G418" s="339"/>
      <c r="H418" s="339"/>
      <c r="I418" s="339"/>
      <c r="J418" s="2683" t="s">
        <v>1167</v>
      </c>
      <c r="K418" s="2683"/>
      <c r="L418" s="2683"/>
      <c r="M418" s="2683"/>
      <c r="N418" s="2683"/>
    </row>
    <row r="419" spans="1:14" x14ac:dyDescent="0.15">
      <c r="A419" s="94" t="s">
        <v>657</v>
      </c>
      <c r="B419" s="1030"/>
      <c r="C419" s="1031"/>
    </row>
    <row r="420" spans="1:14" x14ac:dyDescent="0.15">
      <c r="A420" s="1032" t="s">
        <v>658</v>
      </c>
      <c r="B420" s="1030"/>
      <c r="C420" s="1031"/>
    </row>
    <row r="421" spans="1:14" x14ac:dyDescent="0.2">
      <c r="A421" s="3434" t="s">
        <v>838</v>
      </c>
      <c r="B421" s="3434"/>
      <c r="C421" s="1031"/>
    </row>
    <row r="422" spans="1:14" x14ac:dyDescent="0.15">
      <c r="A422" s="1029" t="s">
        <v>659</v>
      </c>
      <c r="B422" s="1030"/>
      <c r="C422" s="1031"/>
    </row>
    <row r="423" spans="1:14" x14ac:dyDescent="0.2">
      <c r="A423" s="94" t="s">
        <v>660</v>
      </c>
      <c r="B423" s="92"/>
    </row>
    <row r="424" spans="1:14" x14ac:dyDescent="0.2">
      <c r="B424" s="92"/>
    </row>
  </sheetData>
  <mergeCells count="500">
    <mergeCell ref="B20:B21"/>
    <mergeCell ref="L30:M30"/>
    <mergeCell ref="I6:I7"/>
    <mergeCell ref="L7:M7"/>
    <mergeCell ref="B8:B9"/>
    <mergeCell ref="L9:M9"/>
    <mergeCell ref="B10:B11"/>
    <mergeCell ref="L11:M11"/>
    <mergeCell ref="A1:N1"/>
    <mergeCell ref="A2:N2"/>
    <mergeCell ref="A3:N3"/>
    <mergeCell ref="A4:N4"/>
    <mergeCell ref="A5:N5"/>
    <mergeCell ref="A6:A13"/>
    <mergeCell ref="B6:C6"/>
    <mergeCell ref="D6:D7"/>
    <mergeCell ref="E6:G6"/>
    <mergeCell ref="H6:H7"/>
    <mergeCell ref="B12:B13"/>
    <mergeCell ref="L12:M12"/>
    <mergeCell ref="A32:A37"/>
    <mergeCell ref="B32:B33"/>
    <mergeCell ref="L33:M33"/>
    <mergeCell ref="B34:B35"/>
    <mergeCell ref="L35:M35"/>
    <mergeCell ref="B36:B37"/>
    <mergeCell ref="L36:M36"/>
    <mergeCell ref="L21:M21"/>
    <mergeCell ref="B22:B23"/>
    <mergeCell ref="B24:B25"/>
    <mergeCell ref="L24:M24"/>
    <mergeCell ref="A26:A31"/>
    <mergeCell ref="B26:B27"/>
    <mergeCell ref="L27:M27"/>
    <mergeCell ref="B28:B29"/>
    <mergeCell ref="L29:M29"/>
    <mergeCell ref="B30:B31"/>
    <mergeCell ref="A14:A25"/>
    <mergeCell ref="B14:B15"/>
    <mergeCell ref="L15:M15"/>
    <mergeCell ref="B16:B17"/>
    <mergeCell ref="L17:M17"/>
    <mergeCell ref="B18:B19"/>
    <mergeCell ref="L18:M18"/>
    <mergeCell ref="A44:N44"/>
    <mergeCell ref="A45:N45"/>
    <mergeCell ref="A46:N46"/>
    <mergeCell ref="A49:A50"/>
    <mergeCell ref="B49:B50"/>
    <mergeCell ref="C49:C50"/>
    <mergeCell ref="D49:G49"/>
    <mergeCell ref="I49:N50"/>
    <mergeCell ref="A38:A43"/>
    <mergeCell ref="B38:B39"/>
    <mergeCell ref="L39:M39"/>
    <mergeCell ref="B40:B41"/>
    <mergeCell ref="L41:M41"/>
    <mergeCell ref="B42:B43"/>
    <mergeCell ref="L43:M43"/>
    <mergeCell ref="A51:A52"/>
    <mergeCell ref="B51:B52"/>
    <mergeCell ref="I51:N68"/>
    <mergeCell ref="A53:A54"/>
    <mergeCell ref="B53:B54"/>
    <mergeCell ref="A55:A56"/>
    <mergeCell ref="B55:B56"/>
    <mergeCell ref="A57:A58"/>
    <mergeCell ref="B57:B58"/>
    <mergeCell ref="A59:A60"/>
    <mergeCell ref="A69:A70"/>
    <mergeCell ref="B69:B70"/>
    <mergeCell ref="I69:N74"/>
    <mergeCell ref="A71:A72"/>
    <mergeCell ref="B71:B72"/>
    <mergeCell ref="A73:A74"/>
    <mergeCell ref="B73:B74"/>
    <mergeCell ref="B59:B60"/>
    <mergeCell ref="A61:A62"/>
    <mergeCell ref="B61:B62"/>
    <mergeCell ref="A63:A64"/>
    <mergeCell ref="B63:B64"/>
    <mergeCell ref="A65:A66"/>
    <mergeCell ref="B65:B66"/>
    <mergeCell ref="A89:B90"/>
    <mergeCell ref="I89:N89"/>
    <mergeCell ref="I90:N90"/>
    <mergeCell ref="A91:N91"/>
    <mergeCell ref="B92:C92"/>
    <mergeCell ref="I92:N92"/>
    <mergeCell ref="I77:N77"/>
    <mergeCell ref="I78:N78"/>
    <mergeCell ref="A79:B80"/>
    <mergeCell ref="I79:N88"/>
    <mergeCell ref="A81:B82"/>
    <mergeCell ref="A83:B84"/>
    <mergeCell ref="A85:B86"/>
    <mergeCell ref="A96:C96"/>
    <mergeCell ref="I96:N96"/>
    <mergeCell ref="A99:A100"/>
    <mergeCell ref="B99:B100"/>
    <mergeCell ref="C99:C100"/>
    <mergeCell ref="D99:G99"/>
    <mergeCell ref="I99:N100"/>
    <mergeCell ref="B93:C93"/>
    <mergeCell ref="I93:N93"/>
    <mergeCell ref="B94:C94"/>
    <mergeCell ref="I94:N94"/>
    <mergeCell ref="B95:C95"/>
    <mergeCell ref="I95:N95"/>
    <mergeCell ref="A101:A102"/>
    <mergeCell ref="B101:B102"/>
    <mergeCell ref="I101:N114"/>
    <mergeCell ref="A103:A104"/>
    <mergeCell ref="B103:B104"/>
    <mergeCell ref="A105:A106"/>
    <mergeCell ref="B105:B106"/>
    <mergeCell ref="A107:A108"/>
    <mergeCell ref="B107:B108"/>
    <mergeCell ref="A109:A110"/>
    <mergeCell ref="I115:N118"/>
    <mergeCell ref="A117:A118"/>
    <mergeCell ref="B117:B118"/>
    <mergeCell ref="A119:B120"/>
    <mergeCell ref="I119:N119"/>
    <mergeCell ref="I120:N120"/>
    <mergeCell ref="B109:B110"/>
    <mergeCell ref="A111:A112"/>
    <mergeCell ref="B111:B112"/>
    <mergeCell ref="A113:A114"/>
    <mergeCell ref="B113:B114"/>
    <mergeCell ref="A115:A116"/>
    <mergeCell ref="B115:B116"/>
    <mergeCell ref="A121:A122"/>
    <mergeCell ref="B121:B122"/>
    <mergeCell ref="I121:N136"/>
    <mergeCell ref="A123:A124"/>
    <mergeCell ref="B123:B124"/>
    <mergeCell ref="A125:A126"/>
    <mergeCell ref="B125:B126"/>
    <mergeCell ref="A131:A132"/>
    <mergeCell ref="B131:B132"/>
    <mergeCell ref="A133:A134"/>
    <mergeCell ref="P126:P127"/>
    <mergeCell ref="A127:A128"/>
    <mergeCell ref="B127:B128"/>
    <mergeCell ref="A129:A130"/>
    <mergeCell ref="B129:B130"/>
    <mergeCell ref="P129:P130"/>
    <mergeCell ref="B143:B144"/>
    <mergeCell ref="A145:A146"/>
    <mergeCell ref="B145:B146"/>
    <mergeCell ref="B133:B134"/>
    <mergeCell ref="A135:B136"/>
    <mergeCell ref="A137:A138"/>
    <mergeCell ref="B137:B138"/>
    <mergeCell ref="B159:B160"/>
    <mergeCell ref="A167:B168"/>
    <mergeCell ref="I137:N152"/>
    <mergeCell ref="A139:A140"/>
    <mergeCell ref="B139:B140"/>
    <mergeCell ref="A141:A142"/>
    <mergeCell ref="B141:B142"/>
    <mergeCell ref="A143:A144"/>
    <mergeCell ref="A147:A148"/>
    <mergeCell ref="B147:B148"/>
    <mergeCell ref="A149:A150"/>
    <mergeCell ref="B149:B150"/>
    <mergeCell ref="A151:B152"/>
    <mergeCell ref="I153:N168"/>
    <mergeCell ref="I169:N178"/>
    <mergeCell ref="A171:A172"/>
    <mergeCell ref="B171:B172"/>
    <mergeCell ref="A173:A174"/>
    <mergeCell ref="B173:B174"/>
    <mergeCell ref="A175:A176"/>
    <mergeCell ref="B175:B176"/>
    <mergeCell ref="A153:A154"/>
    <mergeCell ref="B153:B154"/>
    <mergeCell ref="A155:A156"/>
    <mergeCell ref="B155:B156"/>
    <mergeCell ref="A157:A158"/>
    <mergeCell ref="B157:B158"/>
    <mergeCell ref="A177:A178"/>
    <mergeCell ref="B177:B178"/>
    <mergeCell ref="A161:A162"/>
    <mergeCell ref="B161:B162"/>
    <mergeCell ref="A163:A164"/>
    <mergeCell ref="B163:B164"/>
    <mergeCell ref="A165:A166"/>
    <mergeCell ref="B165:B166"/>
    <mergeCell ref="A169:A170"/>
    <mergeCell ref="B169:B170"/>
    <mergeCell ref="A159:A160"/>
    <mergeCell ref="A179:A180"/>
    <mergeCell ref="B179:B180"/>
    <mergeCell ref="I179:N184"/>
    <mergeCell ref="A181:A182"/>
    <mergeCell ref="B181:B182"/>
    <mergeCell ref="A183:A184"/>
    <mergeCell ref="B183:B184"/>
    <mergeCell ref="A190:A191"/>
    <mergeCell ref="B190:C191"/>
    <mergeCell ref="D190:D191"/>
    <mergeCell ref="I190:N190"/>
    <mergeCell ref="I191:N191"/>
    <mergeCell ref="B192:C192"/>
    <mergeCell ref="I192:N192"/>
    <mergeCell ref="A185:B186"/>
    <mergeCell ref="I185:N185"/>
    <mergeCell ref="I186:N186"/>
    <mergeCell ref="B187:C187"/>
    <mergeCell ref="I187:N187"/>
    <mergeCell ref="A188:A189"/>
    <mergeCell ref="B188:C189"/>
    <mergeCell ref="D188:D189"/>
    <mergeCell ref="I188:N188"/>
    <mergeCell ref="I189:N189"/>
    <mergeCell ref="J198:L198"/>
    <mergeCell ref="M198:N198"/>
    <mergeCell ref="J199:L199"/>
    <mergeCell ref="M199:N199"/>
    <mergeCell ref="J200:L200"/>
    <mergeCell ref="M200:N200"/>
    <mergeCell ref="A193:C193"/>
    <mergeCell ref="I193:N193"/>
    <mergeCell ref="A194:N194"/>
    <mergeCell ref="A195:N195"/>
    <mergeCell ref="J196:N196"/>
    <mergeCell ref="J197:L197"/>
    <mergeCell ref="M197:N197"/>
    <mergeCell ref="J206:N206"/>
    <mergeCell ref="J207:N207"/>
    <mergeCell ref="J208:N208"/>
    <mergeCell ref="J209:N209"/>
    <mergeCell ref="J210:N210"/>
    <mergeCell ref="J211:N211"/>
    <mergeCell ref="J201:L201"/>
    <mergeCell ref="M201:N201"/>
    <mergeCell ref="J202:N202"/>
    <mergeCell ref="J203:N203"/>
    <mergeCell ref="J204:N204"/>
    <mergeCell ref="J205:N205"/>
    <mergeCell ref="B218:C218"/>
    <mergeCell ref="J218:K218"/>
    <mergeCell ref="L218:N218"/>
    <mergeCell ref="B219:C219"/>
    <mergeCell ref="J219:K219"/>
    <mergeCell ref="L219:N219"/>
    <mergeCell ref="J212:N212"/>
    <mergeCell ref="J213:N213"/>
    <mergeCell ref="J214:N214"/>
    <mergeCell ref="A216:N216"/>
    <mergeCell ref="B217:C217"/>
    <mergeCell ref="J217:N217"/>
    <mergeCell ref="B222:C222"/>
    <mergeCell ref="J222:N222"/>
    <mergeCell ref="B223:C223"/>
    <mergeCell ref="J223:N223"/>
    <mergeCell ref="B224:C224"/>
    <mergeCell ref="J224:N224"/>
    <mergeCell ref="B220:C220"/>
    <mergeCell ref="J220:K220"/>
    <mergeCell ref="L220:N220"/>
    <mergeCell ref="B221:C221"/>
    <mergeCell ref="J221:K221"/>
    <mergeCell ref="L221:N221"/>
    <mergeCell ref="B228:C228"/>
    <mergeCell ref="J228:N228"/>
    <mergeCell ref="B229:C229"/>
    <mergeCell ref="J229:N229"/>
    <mergeCell ref="B230:C230"/>
    <mergeCell ref="J230:N230"/>
    <mergeCell ref="B225:C225"/>
    <mergeCell ref="J225:N225"/>
    <mergeCell ref="B226:C226"/>
    <mergeCell ref="J226:N226"/>
    <mergeCell ref="B227:C227"/>
    <mergeCell ref="J227:N227"/>
    <mergeCell ref="B234:C234"/>
    <mergeCell ref="J234:K234"/>
    <mergeCell ref="L234:N234"/>
    <mergeCell ref="B235:C235"/>
    <mergeCell ref="J235:K235"/>
    <mergeCell ref="L235:N235"/>
    <mergeCell ref="A231:N231"/>
    <mergeCell ref="B232:C232"/>
    <mergeCell ref="J232:N232"/>
    <mergeCell ref="B233:C233"/>
    <mergeCell ref="J233:K233"/>
    <mergeCell ref="L233:N233"/>
    <mergeCell ref="B239:C239"/>
    <mergeCell ref="J239:N239"/>
    <mergeCell ref="B240:C240"/>
    <mergeCell ref="J240:N240"/>
    <mergeCell ref="B241:C241"/>
    <mergeCell ref="J241:N241"/>
    <mergeCell ref="B236:C236"/>
    <mergeCell ref="J236:K236"/>
    <mergeCell ref="L236:N236"/>
    <mergeCell ref="B237:C237"/>
    <mergeCell ref="J237:N237"/>
    <mergeCell ref="B238:C238"/>
    <mergeCell ref="J238:N238"/>
    <mergeCell ref="A245:N245"/>
    <mergeCell ref="B246:C246"/>
    <mergeCell ref="J246:N246"/>
    <mergeCell ref="B247:C247"/>
    <mergeCell ref="J247:K247"/>
    <mergeCell ref="L247:N247"/>
    <mergeCell ref="B242:C242"/>
    <mergeCell ref="J242:N242"/>
    <mergeCell ref="B243:C243"/>
    <mergeCell ref="J243:N243"/>
    <mergeCell ref="B244:C244"/>
    <mergeCell ref="J244:N244"/>
    <mergeCell ref="A252:A253"/>
    <mergeCell ref="B252:C252"/>
    <mergeCell ref="J252:N252"/>
    <mergeCell ref="B253:C253"/>
    <mergeCell ref="J253:N253"/>
    <mergeCell ref="B254:C254"/>
    <mergeCell ref="J254:N254"/>
    <mergeCell ref="B248:C248"/>
    <mergeCell ref="J248:K248"/>
    <mergeCell ref="L248:N248"/>
    <mergeCell ref="B249:C249"/>
    <mergeCell ref="J249:N249"/>
    <mergeCell ref="A250:A251"/>
    <mergeCell ref="B250:C250"/>
    <mergeCell ref="J250:N250"/>
    <mergeCell ref="B251:C251"/>
    <mergeCell ref="J251:N251"/>
    <mergeCell ref="N263:N264"/>
    <mergeCell ref="B258:C258"/>
    <mergeCell ref="J258:N258"/>
    <mergeCell ref="B259:C259"/>
    <mergeCell ref="J259:N259"/>
    <mergeCell ref="B260:C260"/>
    <mergeCell ref="J260:N260"/>
    <mergeCell ref="B255:C255"/>
    <mergeCell ref="J255:N255"/>
    <mergeCell ref="B256:C256"/>
    <mergeCell ref="J256:N256"/>
    <mergeCell ref="B257:C257"/>
    <mergeCell ref="J257:N257"/>
    <mergeCell ref="A269:E269"/>
    <mergeCell ref="A271:A272"/>
    <mergeCell ref="B271:B272"/>
    <mergeCell ref="C271:E271"/>
    <mergeCell ref="I271:J271"/>
    <mergeCell ref="M271:M272"/>
    <mergeCell ref="A263:A264"/>
    <mergeCell ref="B263:B264"/>
    <mergeCell ref="C263:E263"/>
    <mergeCell ref="I263:J263"/>
    <mergeCell ref="M263:M264"/>
    <mergeCell ref="A286:E286"/>
    <mergeCell ref="A288:A289"/>
    <mergeCell ref="B288:B289"/>
    <mergeCell ref="C288:E288"/>
    <mergeCell ref="I288:J288"/>
    <mergeCell ref="M288:M289"/>
    <mergeCell ref="N271:N272"/>
    <mergeCell ref="A277:E277"/>
    <mergeCell ref="A280:A281"/>
    <mergeCell ref="B280:B281"/>
    <mergeCell ref="C280:E280"/>
    <mergeCell ref="I280:J280"/>
    <mergeCell ref="M280:M281"/>
    <mergeCell ref="N280:N281"/>
    <mergeCell ref="A302:E302"/>
    <mergeCell ref="A305:A306"/>
    <mergeCell ref="B305:B306"/>
    <mergeCell ref="C305:E305"/>
    <mergeCell ref="I305:J305"/>
    <mergeCell ref="M305:M306"/>
    <mergeCell ref="N288:N289"/>
    <mergeCell ref="A294:E294"/>
    <mergeCell ref="A295:N295"/>
    <mergeCell ref="A296:A297"/>
    <mergeCell ref="B296:B297"/>
    <mergeCell ref="C296:E296"/>
    <mergeCell ref="I296:J296"/>
    <mergeCell ref="M296:M297"/>
    <mergeCell ref="N296:N297"/>
    <mergeCell ref="A317:N317"/>
    <mergeCell ref="A318:N318"/>
    <mergeCell ref="A319:N319"/>
    <mergeCell ref="A320:N320"/>
    <mergeCell ref="A321:N321"/>
    <mergeCell ref="A322:N322"/>
    <mergeCell ref="N305:N306"/>
    <mergeCell ref="A311:E311"/>
    <mergeCell ref="A312:E312"/>
    <mergeCell ref="A314:N314"/>
    <mergeCell ref="A315:N315"/>
    <mergeCell ref="A316:N316"/>
    <mergeCell ref="K327:L327"/>
    <mergeCell ref="M327:N327"/>
    <mergeCell ref="O327:P327"/>
    <mergeCell ref="A336:B336"/>
    <mergeCell ref="A341:N341"/>
    <mergeCell ref="A342:N342"/>
    <mergeCell ref="A323:N323"/>
    <mergeCell ref="A324:N324"/>
    <mergeCell ref="A325:N325"/>
    <mergeCell ref="A326:N326"/>
    <mergeCell ref="A327:A328"/>
    <mergeCell ref="B327:B328"/>
    <mergeCell ref="C327:D327"/>
    <mergeCell ref="E327:F327"/>
    <mergeCell ref="G327:H327"/>
    <mergeCell ref="I327:J327"/>
    <mergeCell ref="A349:N349"/>
    <mergeCell ref="A351:N351"/>
    <mergeCell ref="A352:M352"/>
    <mergeCell ref="A353:M353"/>
    <mergeCell ref="A354:N354"/>
    <mergeCell ref="A357:N357"/>
    <mergeCell ref="A343:N343"/>
    <mergeCell ref="A344:N344"/>
    <mergeCell ref="A345:N345"/>
    <mergeCell ref="A346:N346"/>
    <mergeCell ref="A347:N347"/>
    <mergeCell ref="A348:N348"/>
    <mergeCell ref="A358:N358"/>
    <mergeCell ref="A360:N360"/>
    <mergeCell ref="A363:N363"/>
    <mergeCell ref="A365:A366"/>
    <mergeCell ref="B365:C365"/>
    <mergeCell ref="D365:D366"/>
    <mergeCell ref="E365:G365"/>
    <mergeCell ref="H365:H366"/>
    <mergeCell ref="I365:I366"/>
    <mergeCell ref="L366:M366"/>
    <mergeCell ref="A371:B372"/>
    <mergeCell ref="L372:M372"/>
    <mergeCell ref="A373:A374"/>
    <mergeCell ref="B373:B374"/>
    <mergeCell ref="L374:M374"/>
    <mergeCell ref="A375:A376"/>
    <mergeCell ref="B375:B376"/>
    <mergeCell ref="L376:M376"/>
    <mergeCell ref="A367:A368"/>
    <mergeCell ref="B367:B368"/>
    <mergeCell ref="L368:M368"/>
    <mergeCell ref="A369:A370"/>
    <mergeCell ref="B369:B370"/>
    <mergeCell ref="L370:M370"/>
    <mergeCell ref="A383:N383"/>
    <mergeCell ref="A384:A385"/>
    <mergeCell ref="B384:C384"/>
    <mergeCell ref="D384:D385"/>
    <mergeCell ref="E384:G384"/>
    <mergeCell ref="H384:H385"/>
    <mergeCell ref="I384:I385"/>
    <mergeCell ref="L385:M385"/>
    <mergeCell ref="B377:B378"/>
    <mergeCell ref="L378:M378"/>
    <mergeCell ref="A379:B380"/>
    <mergeCell ref="L380:M380"/>
    <mergeCell ref="A381:B382"/>
    <mergeCell ref="L382:M382"/>
    <mergeCell ref="A390:B391"/>
    <mergeCell ref="L391:M391"/>
    <mergeCell ref="A392:A393"/>
    <mergeCell ref="B392:B393"/>
    <mergeCell ref="L393:M393"/>
    <mergeCell ref="A394:A395"/>
    <mergeCell ref="B394:B395"/>
    <mergeCell ref="L395:M395"/>
    <mergeCell ref="A386:A387"/>
    <mergeCell ref="B386:B387"/>
    <mergeCell ref="L387:M387"/>
    <mergeCell ref="A388:A389"/>
    <mergeCell ref="B388:B389"/>
    <mergeCell ref="L389:M389"/>
    <mergeCell ref="A402:N402"/>
    <mergeCell ref="A403:N403"/>
    <mergeCell ref="A404:N404"/>
    <mergeCell ref="A405:N405"/>
    <mergeCell ref="A406:N406"/>
    <mergeCell ref="A407:N407"/>
    <mergeCell ref="B396:B397"/>
    <mergeCell ref="L397:M397"/>
    <mergeCell ref="A398:B399"/>
    <mergeCell ref="L399:M399"/>
    <mergeCell ref="A400:B401"/>
    <mergeCell ref="L401:M401"/>
    <mergeCell ref="A415:N415"/>
    <mergeCell ref="J417:N417"/>
    <mergeCell ref="D418:F418"/>
    <mergeCell ref="J418:N418"/>
    <mergeCell ref="A421:B421"/>
    <mergeCell ref="A408:N408"/>
    <mergeCell ref="A409:N409"/>
    <mergeCell ref="A410:N410"/>
    <mergeCell ref="A411:N411"/>
    <mergeCell ref="A412:N412"/>
    <mergeCell ref="A414:N414"/>
  </mergeCells>
  <pageMargins left="0.7" right="0.7" top="0.75" bottom="0.75" header="0.3" footer="0.3"/>
  <pageSetup paperSize="9" orientation="portrait" horizontalDpi="0" verticalDpi="0"/>
  <drawing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4F38D-512D-D345-80A9-89B95957D45F}">
  <dimension ref="A1:U437"/>
  <sheetViews>
    <sheetView topLeftCell="A333" zoomScale="130" zoomScaleNormal="130" workbookViewId="0">
      <selection activeCell="S343" sqref="S343"/>
    </sheetView>
  </sheetViews>
  <sheetFormatPr baseColWidth="10" defaultColWidth="8.6640625" defaultRowHeight="14" x14ac:dyDescent="0.2"/>
  <cols>
    <col min="1" max="1" width="5.1640625" style="4" customWidth="1"/>
    <col min="2" max="2" width="10.33203125" style="4" customWidth="1"/>
    <col min="3" max="3" width="5.5" style="4" customWidth="1"/>
    <col min="4" max="4" width="9.83203125" style="4" customWidth="1"/>
    <col min="5" max="5" width="9.83203125" style="93" customWidth="1"/>
    <col min="6" max="6" width="10.1640625" style="93" customWidth="1"/>
    <col min="7" max="7" width="10.83203125" style="4" customWidth="1"/>
    <col min="8" max="8" width="9.83203125" style="395" customWidth="1"/>
    <col min="9" max="9" width="9.83203125" style="452" customWidth="1"/>
    <col min="10" max="10" width="9" style="356" customWidth="1"/>
    <col min="11" max="11" width="7.5" style="356" customWidth="1"/>
    <col min="12" max="12" width="8.1640625" style="4" customWidth="1"/>
    <col min="13" max="13" width="7.5" style="4" customWidth="1"/>
    <col min="14" max="14" width="9.83203125" style="272" customWidth="1"/>
    <col min="15" max="15" width="9" style="4" bestFit="1" customWidth="1"/>
    <col min="16" max="20" width="8.6640625" style="4"/>
    <col min="21" max="21" width="9" style="4" bestFit="1" customWidth="1"/>
    <col min="22" max="16384" width="8.6640625" style="4"/>
  </cols>
  <sheetData>
    <row r="1" spans="1:21" s="1" customFormat="1" ht="21" customHeight="1" x14ac:dyDescent="0.2">
      <c r="A1" s="2995" t="s">
        <v>0</v>
      </c>
      <c r="B1" s="2996"/>
      <c r="C1" s="2996"/>
      <c r="D1" s="2996"/>
      <c r="E1" s="2996"/>
      <c r="F1" s="2996"/>
      <c r="G1" s="2996"/>
      <c r="H1" s="2996"/>
      <c r="I1" s="2996"/>
      <c r="J1" s="2996"/>
      <c r="K1" s="2996"/>
      <c r="L1" s="2996"/>
      <c r="M1" s="2996"/>
      <c r="N1" s="2997"/>
    </row>
    <row r="2" spans="1:21" s="1" customFormat="1" ht="21" customHeight="1" x14ac:dyDescent="0.2">
      <c r="A2" s="2998" t="s">
        <v>1256</v>
      </c>
      <c r="B2" s="2532"/>
      <c r="C2" s="2532"/>
      <c r="D2" s="2532"/>
      <c r="E2" s="2532"/>
      <c r="F2" s="2532"/>
      <c r="G2" s="2532"/>
      <c r="H2" s="2532"/>
      <c r="I2" s="2532"/>
      <c r="J2" s="2532"/>
      <c r="K2" s="2532"/>
      <c r="L2" s="2532"/>
      <c r="M2" s="2532"/>
      <c r="N2" s="2999"/>
    </row>
    <row r="3" spans="1:21" s="1" customFormat="1" ht="21" customHeight="1" thickBot="1" x14ac:dyDescent="0.25">
      <c r="A3" s="3000" t="s">
        <v>2</v>
      </c>
      <c r="B3" s="3001"/>
      <c r="C3" s="3001"/>
      <c r="D3" s="3001"/>
      <c r="E3" s="3001"/>
      <c r="F3" s="3001"/>
      <c r="G3" s="3001"/>
      <c r="H3" s="3001"/>
      <c r="I3" s="3001"/>
      <c r="J3" s="3001"/>
      <c r="K3" s="3001"/>
      <c r="L3" s="3001"/>
      <c r="M3" s="3001"/>
      <c r="N3" s="3002"/>
    </row>
    <row r="4" spans="1:21" ht="25" customHeight="1" x14ac:dyDescent="0.2">
      <c r="A4" s="3550" t="s">
        <v>1255</v>
      </c>
      <c r="B4" s="3550"/>
      <c r="C4" s="3550"/>
      <c r="D4" s="3550"/>
      <c r="E4" s="3550"/>
      <c r="F4" s="3550"/>
      <c r="G4" s="3550"/>
      <c r="H4" s="3550"/>
      <c r="I4" s="3550"/>
      <c r="J4" s="3550"/>
      <c r="K4" s="3550"/>
      <c r="L4" s="3550"/>
      <c r="M4" s="3550"/>
      <c r="N4" s="3550"/>
    </row>
    <row r="5" spans="1:21" s="1" customFormat="1" ht="23" customHeight="1" thickBot="1" x14ac:dyDescent="0.25">
      <c r="A5" s="2475" t="s">
        <v>507</v>
      </c>
      <c r="B5" s="2475"/>
      <c r="C5" s="2475"/>
      <c r="D5" s="2475"/>
      <c r="E5" s="2475"/>
      <c r="F5" s="2475"/>
      <c r="G5" s="2475"/>
      <c r="H5" s="2475"/>
      <c r="I5" s="2475"/>
      <c r="J5" s="2475"/>
      <c r="K5" s="2475"/>
      <c r="L5" s="2475"/>
      <c r="M5" s="2475"/>
      <c r="N5" s="2475"/>
    </row>
    <row r="6" spans="1:21" s="71" customFormat="1" ht="33" customHeight="1" x14ac:dyDescent="0.2">
      <c r="A6" s="3551" t="s">
        <v>5</v>
      </c>
      <c r="B6" s="2817" t="s">
        <v>6</v>
      </c>
      <c r="C6" s="2817"/>
      <c r="D6" s="2817" t="s">
        <v>7</v>
      </c>
      <c r="E6" s="2817" t="s">
        <v>8</v>
      </c>
      <c r="F6" s="2817"/>
      <c r="G6" s="2817"/>
      <c r="H6" s="3038" t="s">
        <v>9</v>
      </c>
      <c r="I6" s="2817" t="s">
        <v>10</v>
      </c>
      <c r="J6" s="6" t="s">
        <v>11</v>
      </c>
      <c r="K6" s="6" t="s">
        <v>12</v>
      </c>
      <c r="L6" s="6" t="s">
        <v>13</v>
      </c>
      <c r="M6" s="6" t="s">
        <v>14</v>
      </c>
      <c r="N6" s="1767" t="s">
        <v>15</v>
      </c>
    </row>
    <row r="7" spans="1:21" s="71" customFormat="1" ht="33" customHeight="1" x14ac:dyDescent="0.2">
      <c r="A7" s="3552"/>
      <c r="B7" s="8" t="s">
        <v>16</v>
      </c>
      <c r="C7" s="8" t="s">
        <v>17</v>
      </c>
      <c r="D7" s="2602"/>
      <c r="E7" s="10" t="s">
        <v>18</v>
      </c>
      <c r="F7" s="10" t="s">
        <v>19</v>
      </c>
      <c r="G7" s="8" t="s">
        <v>20</v>
      </c>
      <c r="H7" s="3039"/>
      <c r="I7" s="2602"/>
      <c r="J7" s="8" t="s">
        <v>21</v>
      </c>
      <c r="K7" s="8" t="s">
        <v>22</v>
      </c>
      <c r="L7" s="2602" t="s">
        <v>22</v>
      </c>
      <c r="M7" s="2602"/>
      <c r="N7" s="1768" t="s">
        <v>23</v>
      </c>
      <c r="U7" s="1109"/>
    </row>
    <row r="8" spans="1:21" s="1" customFormat="1" ht="31" customHeight="1" x14ac:dyDescent="0.2">
      <c r="A8" s="3552"/>
      <c r="B8" s="2551" t="s">
        <v>24</v>
      </c>
      <c r="C8" s="12" t="s">
        <v>21</v>
      </c>
      <c r="D8" s="848">
        <f>I8*J8*100/K9</f>
        <v>456010.20408163266</v>
      </c>
      <c r="E8" s="848">
        <f>E9*$H$8/100</f>
        <v>397732.1</v>
      </c>
      <c r="F8" s="848">
        <f>F9*$H$8/100</f>
        <v>26813.4</v>
      </c>
      <c r="G8" s="848">
        <f>G9*$H$8/100</f>
        <v>22344.5</v>
      </c>
      <c r="H8" s="849">
        <f>I8*J8</f>
        <v>446890</v>
      </c>
      <c r="I8" s="574">
        <v>29</v>
      </c>
      <c r="J8" s="575">
        <v>15410</v>
      </c>
      <c r="K8" s="348"/>
      <c r="L8" s="28"/>
      <c r="M8" s="28"/>
      <c r="N8" s="952">
        <v>40</v>
      </c>
      <c r="U8" s="1109"/>
    </row>
    <row r="9" spans="1:21" s="1" customFormat="1" ht="31" customHeight="1" x14ac:dyDescent="0.2">
      <c r="A9" s="3552"/>
      <c r="B9" s="2551"/>
      <c r="C9" s="577" t="s">
        <v>22</v>
      </c>
      <c r="D9" s="578"/>
      <c r="E9" s="578">
        <v>89</v>
      </c>
      <c r="F9" s="578">
        <v>6</v>
      </c>
      <c r="G9" s="578">
        <v>5</v>
      </c>
      <c r="H9" s="1132">
        <f>SUM(E9:G9)</f>
        <v>100</v>
      </c>
      <c r="I9" s="580"/>
      <c r="J9" s="581"/>
      <c r="K9" s="365">
        <v>98</v>
      </c>
      <c r="L9" s="3548">
        <f>100-K9</f>
        <v>2</v>
      </c>
      <c r="M9" s="3548"/>
      <c r="N9" s="952"/>
      <c r="U9" s="1109"/>
    </row>
    <row r="10" spans="1:21" s="1" customFormat="1" ht="31" customHeight="1" x14ac:dyDescent="0.2">
      <c r="A10" s="3552"/>
      <c r="B10" s="2551" t="s">
        <v>1070</v>
      </c>
      <c r="C10" s="12" t="s">
        <v>21</v>
      </c>
      <c r="D10" s="853">
        <v>469429</v>
      </c>
      <c r="E10" s="895">
        <v>415283.04</v>
      </c>
      <c r="F10" s="895">
        <v>25112.16</v>
      </c>
      <c r="G10" s="895">
        <v>21552.48</v>
      </c>
      <c r="H10" s="849">
        <f>SUM(E10:G10)</f>
        <v>461947.67999999993</v>
      </c>
      <c r="I10" s="574">
        <v>29.3</v>
      </c>
      <c r="J10" s="575">
        <f>+H10/I10</f>
        <v>15766.132423208188</v>
      </c>
      <c r="K10" s="584"/>
      <c r="L10" s="73">
        <v>1621.44</v>
      </c>
      <c r="M10" s="73">
        <v>1704.96</v>
      </c>
      <c r="N10" s="952">
        <v>36</v>
      </c>
      <c r="U10" s="1109"/>
    </row>
    <row r="11" spans="1:21" s="1" customFormat="1" ht="31" customHeight="1" x14ac:dyDescent="0.2">
      <c r="A11" s="3552"/>
      <c r="B11" s="2551"/>
      <c r="C11" s="577" t="s">
        <v>22</v>
      </c>
      <c r="D11" s="578"/>
      <c r="E11" s="578">
        <f>+E10/H10*100</f>
        <v>89.898284584955604</v>
      </c>
      <c r="F11" s="578">
        <f>+F10/H10*100</f>
        <v>5.4361480936542428</v>
      </c>
      <c r="G11" s="578">
        <f>+G10/H10*100</f>
        <v>4.6655673213901636</v>
      </c>
      <c r="H11" s="1132">
        <f>SUM(E11:G11)</f>
        <v>100</v>
      </c>
      <c r="I11" s="580"/>
      <c r="J11" s="581"/>
      <c r="K11" s="365">
        <f>(H10/D10)*100</f>
        <v>98.406293603505517</v>
      </c>
      <c r="L11" s="3549">
        <f>100-K11</f>
        <v>1.5937063964944826</v>
      </c>
      <c r="M11" s="3549"/>
      <c r="N11" s="910"/>
      <c r="U11" s="1111"/>
    </row>
    <row r="12" spans="1:21" s="1" customFormat="1" ht="31" customHeight="1" x14ac:dyDescent="0.2">
      <c r="A12" s="3552"/>
      <c r="B12" s="2792" t="s">
        <v>83</v>
      </c>
      <c r="C12" s="606" t="s">
        <v>21</v>
      </c>
      <c r="D12" s="709">
        <f t="shared" ref="D12:J13" si="0">D10-D8</f>
        <v>13418.795918367337</v>
      </c>
      <c r="E12" s="709">
        <f t="shared" si="0"/>
        <v>17550.940000000002</v>
      </c>
      <c r="F12" s="709">
        <f t="shared" si="0"/>
        <v>-1701.2400000000016</v>
      </c>
      <c r="G12" s="709">
        <f t="shared" si="0"/>
        <v>-792.02000000000044</v>
      </c>
      <c r="H12" s="709">
        <f t="shared" si="0"/>
        <v>15057.679999999935</v>
      </c>
      <c r="I12" s="600">
        <f t="shared" si="0"/>
        <v>0.30000000000000071</v>
      </c>
      <c r="J12" s="709">
        <f t="shared" si="0"/>
        <v>356.1324232081879</v>
      </c>
      <c r="K12" s="944"/>
      <c r="L12" s="3543"/>
      <c r="M12" s="3543"/>
      <c r="N12" s="955"/>
    </row>
    <row r="13" spans="1:21" s="1" customFormat="1" ht="31" customHeight="1" x14ac:dyDescent="0.2">
      <c r="A13" s="3562"/>
      <c r="B13" s="3563"/>
      <c r="C13" s="818" t="s">
        <v>22</v>
      </c>
      <c r="D13" s="819"/>
      <c r="E13" s="819">
        <f>E11-E9</f>
        <v>0.89828458495560426</v>
      </c>
      <c r="F13" s="819">
        <f t="shared" si="0"/>
        <v>-0.56385190634575721</v>
      </c>
      <c r="G13" s="819">
        <f t="shared" si="0"/>
        <v>-0.33443267860983639</v>
      </c>
      <c r="H13" s="819">
        <f t="shared" si="0"/>
        <v>0</v>
      </c>
      <c r="I13" s="820"/>
      <c r="J13" s="821"/>
      <c r="K13" s="822"/>
      <c r="L13" s="823"/>
      <c r="M13" s="823"/>
      <c r="N13" s="1587"/>
      <c r="U13" s="1111"/>
    </row>
    <row r="14" spans="1:21" s="1" customFormat="1" ht="25" customHeight="1" x14ac:dyDescent="0.2">
      <c r="A14" s="3116" t="s">
        <v>25</v>
      </c>
      <c r="B14" s="2927" t="s">
        <v>27</v>
      </c>
      <c r="C14" s="17" t="s">
        <v>21</v>
      </c>
      <c r="D14" s="21">
        <f>H14*100/K15</f>
        <v>116357.14285714286</v>
      </c>
      <c r="E14" s="21">
        <f>E15*$H$14/100</f>
        <v>107188.2</v>
      </c>
      <c r="F14" s="21">
        <f t="shared" ref="F14:G14" si="1">F15*$H$14/100</f>
        <v>3420.9</v>
      </c>
      <c r="G14" s="21">
        <f t="shared" si="1"/>
        <v>3420.9</v>
      </c>
      <c r="H14" s="836">
        <f>I14*J14</f>
        <v>114030</v>
      </c>
      <c r="I14" s="18">
        <v>9</v>
      </c>
      <c r="J14" s="1085">
        <v>12670</v>
      </c>
      <c r="K14" s="21"/>
      <c r="L14" s="381"/>
      <c r="M14" s="381"/>
      <c r="N14" s="381">
        <v>100</v>
      </c>
    </row>
    <row r="15" spans="1:21" s="1" customFormat="1" ht="25" customHeight="1" x14ac:dyDescent="0.2">
      <c r="A15" s="3116"/>
      <c r="B15" s="2927"/>
      <c r="C15" s="17" t="s">
        <v>22</v>
      </c>
      <c r="D15" s="23"/>
      <c r="E15" s="378">
        <v>94</v>
      </c>
      <c r="F15" s="379">
        <v>3</v>
      </c>
      <c r="G15" s="379">
        <v>3</v>
      </c>
      <c r="H15" s="1088">
        <f>SUM(E15:G15)</f>
        <v>100</v>
      </c>
      <c r="I15" s="430"/>
      <c r="J15" s="380"/>
      <c r="K15" s="365">
        <v>98</v>
      </c>
      <c r="L15" s="3544">
        <f>100-K15</f>
        <v>2</v>
      </c>
      <c r="M15" s="3544"/>
      <c r="N15" s="381"/>
    </row>
    <row r="16" spans="1:21" s="1" customFormat="1" ht="25" customHeight="1" x14ac:dyDescent="0.2">
      <c r="A16" s="3116"/>
      <c r="B16" s="2927" t="s">
        <v>1071</v>
      </c>
      <c r="C16" s="17" t="s">
        <v>21</v>
      </c>
      <c r="D16" s="845">
        <v>128254</v>
      </c>
      <c r="E16" s="839">
        <v>123810</v>
      </c>
      <c r="F16" s="840">
        <v>0</v>
      </c>
      <c r="G16" s="840">
        <v>4354.5</v>
      </c>
      <c r="H16" s="836">
        <f>SUM(E16:G16)</f>
        <v>128164.5</v>
      </c>
      <c r="I16" s="431">
        <v>9</v>
      </c>
      <c r="J16" s="21">
        <v>14240.5</v>
      </c>
      <c r="K16" s="17"/>
      <c r="L16" s="1084">
        <v>480</v>
      </c>
      <c r="M16" s="1084">
        <v>471</v>
      </c>
      <c r="N16" s="381">
        <v>125</v>
      </c>
    </row>
    <row r="17" spans="1:14" s="1" customFormat="1" ht="25" customHeight="1" x14ac:dyDescent="0.2">
      <c r="A17" s="3116"/>
      <c r="B17" s="2927"/>
      <c r="C17" s="17" t="s">
        <v>22</v>
      </c>
      <c r="D17" s="23"/>
      <c r="E17" s="378">
        <f>+E16/$H$16*100</f>
        <v>96.602413304776277</v>
      </c>
      <c r="F17" s="378">
        <f t="shared" ref="F17:G17" si="2">+F16/$H$16*100</f>
        <v>0</v>
      </c>
      <c r="G17" s="378">
        <f t="shared" si="2"/>
        <v>3.3975866952237164</v>
      </c>
      <c r="H17" s="1088">
        <f>SUM(E17:G17)</f>
        <v>100</v>
      </c>
      <c r="I17" s="431"/>
      <c r="J17" s="21"/>
      <c r="K17" s="365">
        <f>H16/D16*100</f>
        <v>99.930216601431539</v>
      </c>
      <c r="L17" s="3544">
        <f>100-K17</f>
        <v>6.9783398568461052E-2</v>
      </c>
      <c r="M17" s="3544"/>
      <c r="N17" s="381"/>
    </row>
    <row r="18" spans="1:14" s="1" customFormat="1" ht="25" customHeight="1" x14ac:dyDescent="0.2">
      <c r="A18" s="3116"/>
      <c r="B18" s="2792" t="s">
        <v>83</v>
      </c>
      <c r="C18" s="606" t="s">
        <v>21</v>
      </c>
      <c r="D18" s="709">
        <f t="shared" ref="D18:J19" si="3">D16-D14</f>
        <v>11896.857142857145</v>
      </c>
      <c r="E18" s="709">
        <f t="shared" si="3"/>
        <v>16621.800000000003</v>
      </c>
      <c r="F18" s="709">
        <f t="shared" si="3"/>
        <v>-3420.9</v>
      </c>
      <c r="G18" s="709">
        <f t="shared" si="3"/>
        <v>933.59999999999991</v>
      </c>
      <c r="H18" s="709">
        <f t="shared" si="3"/>
        <v>14134.5</v>
      </c>
      <c r="I18" s="600">
        <f t="shared" si="3"/>
        <v>0</v>
      </c>
      <c r="J18" s="709">
        <f t="shared" si="3"/>
        <v>1570.5</v>
      </c>
      <c r="K18" s="944"/>
      <c r="L18" s="3543"/>
      <c r="M18" s="3543"/>
      <c r="N18" s="709"/>
    </row>
    <row r="19" spans="1:14" s="1" customFormat="1" ht="25" customHeight="1" x14ac:dyDescent="0.2">
      <c r="A19" s="3116"/>
      <c r="B19" s="3370"/>
      <c r="C19" s="599" t="s">
        <v>22</v>
      </c>
      <c r="D19" s="709"/>
      <c r="E19" s="600">
        <f>E17-E15</f>
        <v>2.6024133047762774</v>
      </c>
      <c r="F19" s="600">
        <f t="shared" si="3"/>
        <v>-3</v>
      </c>
      <c r="G19" s="600">
        <f t="shared" si="3"/>
        <v>0.39758669522371637</v>
      </c>
      <c r="H19" s="600">
        <f t="shared" si="3"/>
        <v>0</v>
      </c>
      <c r="I19" s="601"/>
      <c r="J19" s="602"/>
      <c r="K19" s="603"/>
      <c r="L19" s="604"/>
      <c r="M19" s="604"/>
      <c r="N19" s="605"/>
    </row>
    <row r="20" spans="1:14" s="1" customFormat="1" ht="41" customHeight="1" x14ac:dyDescent="0.2">
      <c r="A20" s="3116" t="s">
        <v>25</v>
      </c>
      <c r="B20" s="2927" t="s">
        <v>26</v>
      </c>
      <c r="C20" s="17" t="s">
        <v>21</v>
      </c>
      <c r="D20" s="21">
        <f>H20*100/K21</f>
        <v>292020.40816326533</v>
      </c>
      <c r="E20" s="21">
        <f>E21*$H$20/100</f>
        <v>254700.2</v>
      </c>
      <c r="F20" s="21">
        <f>F21*$H$20/100</f>
        <v>22894.400000000001</v>
      </c>
      <c r="G20" s="21">
        <f>G21*$H$20/100</f>
        <v>8585.4</v>
      </c>
      <c r="H20" s="836">
        <f>I20*J20</f>
        <v>286180</v>
      </c>
      <c r="I20" s="18">
        <v>20.5</v>
      </c>
      <c r="J20" s="1085">
        <v>13960</v>
      </c>
      <c r="K20" s="21"/>
      <c r="L20" s="381"/>
      <c r="M20" s="381"/>
      <c r="N20" s="381">
        <v>40</v>
      </c>
    </row>
    <row r="21" spans="1:14" s="1" customFormat="1" ht="41" customHeight="1" x14ac:dyDescent="0.2">
      <c r="A21" s="3116"/>
      <c r="B21" s="2927"/>
      <c r="C21" s="17" t="s">
        <v>22</v>
      </c>
      <c r="D21" s="23"/>
      <c r="E21" s="378">
        <v>89</v>
      </c>
      <c r="F21" s="379">
        <v>8</v>
      </c>
      <c r="G21" s="379">
        <v>3</v>
      </c>
      <c r="H21" s="1088">
        <f>SUM(E21:G21)</f>
        <v>100</v>
      </c>
      <c r="I21" s="430"/>
      <c r="J21" s="380"/>
      <c r="K21" s="365">
        <v>98</v>
      </c>
      <c r="L21" s="3544">
        <f>100-K21</f>
        <v>2</v>
      </c>
      <c r="M21" s="3544"/>
      <c r="N21" s="381"/>
    </row>
    <row r="22" spans="1:14" s="1" customFormat="1" ht="41" customHeight="1" x14ac:dyDescent="0.2">
      <c r="A22" s="3116"/>
      <c r="B22" s="2927" t="s">
        <v>1073</v>
      </c>
      <c r="C22" s="17" t="s">
        <v>21</v>
      </c>
      <c r="D22" s="845">
        <v>314362</v>
      </c>
      <c r="E22" s="839">
        <v>287979.2</v>
      </c>
      <c r="F22" s="840">
        <v>640</v>
      </c>
      <c r="G22" s="840">
        <v>16661.12</v>
      </c>
      <c r="H22" s="836">
        <f>SUM(E22:G22)</f>
        <v>305280.32</v>
      </c>
      <c r="I22" s="431">
        <v>20.5</v>
      </c>
      <c r="J22" s="21">
        <f>+H22/I22</f>
        <v>14891.722926829269</v>
      </c>
      <c r="K22" s="17"/>
      <c r="L22" s="1084">
        <v>1609.6</v>
      </c>
      <c r="M22" s="1084">
        <v>2057.2800000000002</v>
      </c>
      <c r="N22" s="381">
        <v>18</v>
      </c>
    </row>
    <row r="23" spans="1:14" s="1" customFormat="1" ht="41" customHeight="1" x14ac:dyDescent="0.2">
      <c r="A23" s="3116"/>
      <c r="B23" s="2927"/>
      <c r="C23" s="17" t="s">
        <v>22</v>
      </c>
      <c r="D23" s="23"/>
      <c r="E23" s="378">
        <f>+E22/$H$22*100</f>
        <v>94.332710343070929</v>
      </c>
      <c r="F23" s="378">
        <f>+F22/$H$22*100</f>
        <v>0.2096433861180439</v>
      </c>
      <c r="G23" s="378">
        <f>+G22/$H$22*100</f>
        <v>5.4576462708110363</v>
      </c>
      <c r="H23" s="1088">
        <f>SUM(E23:G23)</f>
        <v>100.00000000000001</v>
      </c>
      <c r="I23" s="431"/>
      <c r="J23" s="21"/>
      <c r="K23" s="365">
        <f>H22/D22*100</f>
        <v>97.11107576615494</v>
      </c>
      <c r="L23" s="3544">
        <f>100-K23</f>
        <v>2.88892423384506</v>
      </c>
      <c r="M23" s="3544"/>
      <c r="N23" s="381"/>
    </row>
    <row r="24" spans="1:14" s="1" customFormat="1" ht="41" customHeight="1" x14ac:dyDescent="0.2">
      <c r="A24" s="3116"/>
      <c r="B24" s="2792" t="s">
        <v>83</v>
      </c>
      <c r="C24" s="606" t="s">
        <v>21</v>
      </c>
      <c r="D24" s="709">
        <f t="shared" ref="D24:J25" si="4">D22-D20</f>
        <v>22341.591836734675</v>
      </c>
      <c r="E24" s="709">
        <f t="shared" si="4"/>
        <v>33279</v>
      </c>
      <c r="F24" s="709">
        <f t="shared" si="4"/>
        <v>-22254.400000000001</v>
      </c>
      <c r="G24" s="709">
        <f t="shared" si="4"/>
        <v>8075.7199999999993</v>
      </c>
      <c r="H24" s="709">
        <f t="shared" si="4"/>
        <v>19100.320000000007</v>
      </c>
      <c r="I24" s="600">
        <f t="shared" si="4"/>
        <v>0</v>
      </c>
      <c r="J24" s="709">
        <f t="shared" si="4"/>
        <v>931.72292682926854</v>
      </c>
      <c r="K24" s="944"/>
      <c r="L24" s="3543"/>
      <c r="M24" s="3543"/>
      <c r="N24" s="709"/>
    </row>
    <row r="25" spans="1:14" s="1" customFormat="1" ht="41" customHeight="1" x14ac:dyDescent="0.2">
      <c r="A25" s="3116"/>
      <c r="B25" s="3370"/>
      <c r="C25" s="599" t="s">
        <v>22</v>
      </c>
      <c r="D25" s="600"/>
      <c r="E25" s="600">
        <f>E23-E21</f>
        <v>5.3327103430709286</v>
      </c>
      <c r="F25" s="600">
        <f t="shared" si="4"/>
        <v>-7.790356613881956</v>
      </c>
      <c r="G25" s="600">
        <f t="shared" si="4"/>
        <v>2.4576462708110363</v>
      </c>
      <c r="H25" s="600">
        <f t="shared" si="4"/>
        <v>0</v>
      </c>
      <c r="I25" s="601"/>
      <c r="J25" s="602"/>
      <c r="K25" s="603"/>
      <c r="L25" s="604"/>
      <c r="M25" s="604"/>
      <c r="N25" s="605"/>
    </row>
    <row r="26" spans="1:14" s="1" customFormat="1" ht="41" customHeight="1" x14ac:dyDescent="0.2">
      <c r="A26" s="3419" t="s">
        <v>674</v>
      </c>
      <c r="B26" s="3529" t="s">
        <v>1074</v>
      </c>
      <c r="C26" s="509" t="s">
        <v>21</v>
      </c>
      <c r="D26" s="731" cm="1">
        <f t="array" ref="D26">SUM(SUMIF($B:$B, {"Kế hoạch 50x50";"Kế hoạch 60x60";"Kế hoạch 40x80"}, D:D))</f>
        <v>408377.55102040817</v>
      </c>
      <c r="E26" s="731" cm="1">
        <f t="array" ref="E26">SUM(SUMIF($B:$B, {"Kế hoạch 50x50";"Kế hoạch 60x60";"Kế hoạch 40x80"}, E:E))</f>
        <v>361888.4</v>
      </c>
      <c r="F26" s="731" cm="1">
        <f t="array" ref="F26">SUM(SUMIF($B:$B, {"Kế hoạch 50x50";"Kế hoạch 60x60";"Kế hoạch 40x80"}, F:F))</f>
        <v>26315.300000000003</v>
      </c>
      <c r="G26" s="731" cm="1">
        <f t="array" ref="G26">SUM(SUMIF($B:$B, {"Kế hoạch 50x50";"Kế hoạch 60x60";"Kế hoạch 40x80"}, G:G))</f>
        <v>12006.3</v>
      </c>
      <c r="H26" s="731">
        <f>SUM(E26:G26)</f>
        <v>400210</v>
      </c>
      <c r="I26" s="511">
        <f>I14+I20</f>
        <v>29.5</v>
      </c>
      <c r="J26" s="514">
        <f>H26/I26</f>
        <v>13566.440677966102</v>
      </c>
      <c r="K26" s="515"/>
      <c r="L26" s="516"/>
      <c r="M26" s="516"/>
      <c r="N26" s="1010"/>
    </row>
    <row r="27" spans="1:14" s="1" customFormat="1" ht="41" customHeight="1" x14ac:dyDescent="0.2">
      <c r="A27" s="3419"/>
      <c r="B27" s="3529"/>
      <c r="C27" s="509" t="s">
        <v>22</v>
      </c>
      <c r="D27" s="511"/>
      <c r="E27" s="518">
        <f>E26/$H$26*100</f>
        <v>90.424627070787849</v>
      </c>
      <c r="F27" s="518">
        <f>F26/$H$26*100</f>
        <v>6.5753729292121648</v>
      </c>
      <c r="G27" s="518">
        <f>G26/$H$26*100</f>
        <v>3</v>
      </c>
      <c r="H27" s="1133">
        <f>SUM(E27:G27)</f>
        <v>100.00000000000001</v>
      </c>
      <c r="I27" s="520"/>
      <c r="J27" s="521"/>
      <c r="K27" s="825">
        <f>H26/D26*100</f>
        <v>98</v>
      </c>
      <c r="L27" s="3540">
        <f>100-K27</f>
        <v>2</v>
      </c>
      <c r="M27" s="3540"/>
      <c r="N27" s="1011"/>
    </row>
    <row r="28" spans="1:14" s="1" customFormat="1" ht="41" customHeight="1" x14ac:dyDescent="0.2">
      <c r="A28" s="3419"/>
      <c r="B28" s="3529" t="s">
        <v>1075</v>
      </c>
      <c r="C28" s="509" t="s">
        <v>21</v>
      </c>
      <c r="D28" s="731" cm="1">
        <f t="array" ref="D28">SUM(SUMIF($B:$B, {"Thực hiện 50x50";"Thực hiện 60x60";"Thực hiện 40x80"}, D:D))</f>
        <v>442616</v>
      </c>
      <c r="E28" s="731" cm="1">
        <f t="array" ref="E28">SUM(SUMIF($B:$B, {"Thực hiện 50x50";"Thực hiện 60x60";"Thực hiện 40x80"}, E:E))</f>
        <v>411789.2</v>
      </c>
      <c r="F28" s="731" cm="1">
        <f t="array" ref="F28">SUM(SUMIF($B:$B, {"Thực hiện 50x50";"Thực hiện 60x60";"Thực hiện 40x80"}, F:F))</f>
        <v>640</v>
      </c>
      <c r="G28" s="731" cm="1">
        <f t="array" ref="G28">SUM(SUMIF($B:$B, {"Thực hiện 50x50";"Thực hiện 60x60";"Thực hiện 40x80"}, G:G))</f>
        <v>21015.62</v>
      </c>
      <c r="H28" s="731">
        <f>SUM(E28:G28)</f>
        <v>433444.82</v>
      </c>
      <c r="I28" s="511">
        <f>I16+I22</f>
        <v>29.5</v>
      </c>
      <c r="J28" s="514">
        <f>+H28/I28</f>
        <v>14693.044745762712</v>
      </c>
      <c r="K28" s="1086"/>
      <c r="L28" s="1087"/>
      <c r="M28" s="1087"/>
      <c r="N28" s="1010"/>
    </row>
    <row r="29" spans="1:14" s="1" customFormat="1" ht="41" customHeight="1" x14ac:dyDescent="0.2">
      <c r="A29" s="3419"/>
      <c r="B29" s="3529"/>
      <c r="C29" s="509" t="s">
        <v>22</v>
      </c>
      <c r="D29" s="511"/>
      <c r="E29" s="518">
        <f>+E28/$H$28*100</f>
        <v>95.003834628823114</v>
      </c>
      <c r="F29" s="518">
        <f>+F28/$H$28*100</f>
        <v>0.14765431964327086</v>
      </c>
      <c r="G29" s="518">
        <f>+G28/$H$28*100</f>
        <v>4.8485110515336185</v>
      </c>
      <c r="H29" s="1133">
        <f>SUM(E29:G29)</f>
        <v>100</v>
      </c>
      <c r="I29" s="520"/>
      <c r="J29" s="521"/>
      <c r="K29" s="522">
        <f>+H28/D28*100</f>
        <v>97.927960127966458</v>
      </c>
      <c r="L29" s="3540">
        <f>100-K29</f>
        <v>2.0720398720335425</v>
      </c>
      <c r="M29" s="3540"/>
      <c r="N29" s="1011"/>
    </row>
    <row r="30" spans="1:14" s="1" customFormat="1" ht="41" customHeight="1" x14ac:dyDescent="0.2">
      <c r="A30" s="3419"/>
      <c r="B30" s="2792" t="s">
        <v>83</v>
      </c>
      <c r="C30" s="606" t="s">
        <v>21</v>
      </c>
      <c r="D30" s="838">
        <f>D28-D26</f>
        <v>34238.448979591834</v>
      </c>
      <c r="E30" s="838">
        <f t="shared" ref="E30:K31" si="5">E28-E26</f>
        <v>49900.799999999988</v>
      </c>
      <c r="F30" s="838">
        <f t="shared" si="5"/>
        <v>-25675.300000000003</v>
      </c>
      <c r="G30" s="838">
        <f t="shared" si="5"/>
        <v>9009.32</v>
      </c>
      <c r="H30" s="838">
        <f t="shared" si="5"/>
        <v>33234.820000000007</v>
      </c>
      <c r="I30" s="622">
        <f t="shared" si="5"/>
        <v>0</v>
      </c>
      <c r="J30" s="838">
        <f t="shared" si="5"/>
        <v>1126.6040677966103</v>
      </c>
      <c r="K30" s="838">
        <f t="shared" si="5"/>
        <v>0</v>
      </c>
      <c r="L30" s="3541"/>
      <c r="M30" s="3541"/>
      <c r="N30" s="948"/>
    </row>
    <row r="31" spans="1:14" s="1" customFormat="1" ht="41" customHeight="1" x14ac:dyDescent="0.2">
      <c r="A31" s="3419"/>
      <c r="B31" s="3370"/>
      <c r="C31" s="599" t="s">
        <v>22</v>
      </c>
      <c r="D31" s="622"/>
      <c r="E31" s="600">
        <f>E29-E27</f>
        <v>4.5792075580352645</v>
      </c>
      <c r="F31" s="600">
        <f t="shared" si="5"/>
        <v>-6.4277186095688936</v>
      </c>
      <c r="G31" s="600">
        <f t="shared" si="5"/>
        <v>1.8485110515336185</v>
      </c>
      <c r="H31" s="600">
        <f t="shared" si="5"/>
        <v>0</v>
      </c>
      <c r="I31" s="601"/>
      <c r="J31" s="602"/>
      <c r="K31" s="603"/>
      <c r="L31" s="604"/>
      <c r="M31" s="604"/>
      <c r="N31" s="1012"/>
    </row>
    <row r="32" spans="1:14" s="1" customFormat="1" ht="46" customHeight="1" x14ac:dyDescent="0.2">
      <c r="A32" s="3538" t="s">
        <v>28</v>
      </c>
      <c r="B32" s="3470" t="s">
        <v>1076</v>
      </c>
      <c r="C32" s="31" t="s">
        <v>21</v>
      </c>
      <c r="D32" s="842">
        <f t="shared" ref="D32:I32" si="6">D8+D26</f>
        <v>864387.75510204083</v>
      </c>
      <c r="E32" s="842">
        <f t="shared" si="6"/>
        <v>759620.5</v>
      </c>
      <c r="F32" s="842">
        <f t="shared" si="6"/>
        <v>53128.700000000004</v>
      </c>
      <c r="G32" s="842">
        <f t="shared" si="6"/>
        <v>34350.800000000003</v>
      </c>
      <c r="H32" s="842">
        <f t="shared" si="6"/>
        <v>847100</v>
      </c>
      <c r="I32" s="34">
        <f t="shared" si="6"/>
        <v>58.5</v>
      </c>
      <c r="J32" s="359">
        <f>+H32/I32</f>
        <v>14480.341880341881</v>
      </c>
      <c r="K32" s="368"/>
      <c r="L32" s="826"/>
      <c r="M32" s="826"/>
      <c r="N32" s="1056"/>
    </row>
    <row r="33" spans="1:14" s="1" customFormat="1" ht="46" customHeight="1" x14ac:dyDescent="0.2">
      <c r="A33" s="3538"/>
      <c r="B33" s="3470"/>
      <c r="C33" s="31" t="s">
        <v>22</v>
      </c>
      <c r="D33" s="32"/>
      <c r="E33" s="33">
        <f>+E32/H32*100</f>
        <v>89.673061031755395</v>
      </c>
      <c r="F33" s="33">
        <f>+F32/H32*100</f>
        <v>6.2718333136583651</v>
      </c>
      <c r="G33" s="33">
        <f>+G32/H32*100</f>
        <v>4.0551056545862361</v>
      </c>
      <c r="H33" s="1134">
        <v>100</v>
      </c>
      <c r="I33" s="436"/>
      <c r="J33" s="358"/>
      <c r="K33" s="976">
        <f>+H32/D32*100</f>
        <v>98</v>
      </c>
      <c r="L33" s="3033">
        <f>100-K33</f>
        <v>2</v>
      </c>
      <c r="M33" s="3033"/>
      <c r="N33" s="1056"/>
    </row>
    <row r="34" spans="1:14" s="1" customFormat="1" ht="46" customHeight="1" x14ac:dyDescent="0.2">
      <c r="A34" s="3538"/>
      <c r="B34" s="3470" t="s">
        <v>1077</v>
      </c>
      <c r="C34" s="31" t="s">
        <v>21</v>
      </c>
      <c r="D34" s="842">
        <f t="shared" ref="D34:I34" si="7">D10+D28</f>
        <v>912045</v>
      </c>
      <c r="E34" s="842">
        <f t="shared" si="7"/>
        <v>827072.24</v>
      </c>
      <c r="F34" s="842">
        <f t="shared" si="7"/>
        <v>25752.16</v>
      </c>
      <c r="G34" s="842">
        <f t="shared" si="7"/>
        <v>42568.1</v>
      </c>
      <c r="H34" s="842">
        <f t="shared" si="7"/>
        <v>895392.5</v>
      </c>
      <c r="I34" s="34">
        <f t="shared" si="7"/>
        <v>58.8</v>
      </c>
      <c r="J34" s="359">
        <f>H34/I34</f>
        <v>15227.763605442178</v>
      </c>
      <c r="K34" s="1089"/>
      <c r="L34" s="1090"/>
      <c r="M34" s="1090"/>
      <c r="N34" s="1056"/>
    </row>
    <row r="35" spans="1:14" s="1" customFormat="1" ht="46" customHeight="1" x14ac:dyDescent="0.2">
      <c r="A35" s="3538"/>
      <c r="B35" s="3470"/>
      <c r="C35" s="31" t="s">
        <v>22</v>
      </c>
      <c r="D35" s="32"/>
      <c r="E35" s="33">
        <f>E34/$H$34*100</f>
        <v>92.369797602727303</v>
      </c>
      <c r="F35" s="33">
        <f>F34/$H$34*100</f>
        <v>2.876075017380646</v>
      </c>
      <c r="G35" s="33">
        <f>G34/$H$34*100</f>
        <v>4.7541273798920587</v>
      </c>
      <c r="H35" s="1134">
        <f>SUM(E35:G35)</f>
        <v>100</v>
      </c>
      <c r="I35" s="436"/>
      <c r="J35" s="358"/>
      <c r="K35" s="976">
        <f>H34/D34*100</f>
        <v>98.174158073340678</v>
      </c>
      <c r="L35" s="3033">
        <f>100-K35</f>
        <v>1.8258419266593222</v>
      </c>
      <c r="M35" s="3033"/>
      <c r="N35" s="1056"/>
    </row>
    <row r="36" spans="1:14" s="1" customFormat="1" ht="46" customHeight="1" x14ac:dyDescent="0.2">
      <c r="A36" s="3538"/>
      <c r="B36" s="3032" t="s">
        <v>30</v>
      </c>
      <c r="C36" s="31" t="s">
        <v>21</v>
      </c>
      <c r="D36" s="844">
        <f>D34-D32</f>
        <v>47657.244897959172</v>
      </c>
      <c r="E36" s="844">
        <f t="shared" ref="E36:J37" si="8">E34-E32</f>
        <v>67451.739999999991</v>
      </c>
      <c r="F36" s="844">
        <f t="shared" si="8"/>
        <v>-27376.540000000005</v>
      </c>
      <c r="G36" s="844">
        <f t="shared" si="8"/>
        <v>8217.2999999999956</v>
      </c>
      <c r="H36" s="844">
        <f t="shared" si="8"/>
        <v>48292.5</v>
      </c>
      <c r="I36" s="32">
        <f t="shared" si="8"/>
        <v>0.29999999999999716</v>
      </c>
      <c r="J36" s="844">
        <f t="shared" si="8"/>
        <v>747.42172510029741</v>
      </c>
      <c r="K36" s="368"/>
      <c r="L36" s="36"/>
      <c r="M36" s="36"/>
      <c r="N36" s="367"/>
    </row>
    <row r="37" spans="1:14" s="1" customFormat="1" ht="46" customHeight="1" x14ac:dyDescent="0.2">
      <c r="A37" s="3538"/>
      <c r="B37" s="3032"/>
      <c r="C37" s="31" t="s">
        <v>22</v>
      </c>
      <c r="D37" s="32"/>
      <c r="E37" s="33">
        <f>E35-E33</f>
        <v>2.6967365709719076</v>
      </c>
      <c r="F37" s="33">
        <f t="shared" si="8"/>
        <v>-3.3957582962777191</v>
      </c>
      <c r="G37" s="33">
        <f t="shared" si="8"/>
        <v>0.69902172530582263</v>
      </c>
      <c r="H37" s="397"/>
      <c r="I37" s="437"/>
      <c r="J37" s="827"/>
      <c r="K37" s="368"/>
      <c r="L37" s="3539"/>
      <c r="M37" s="3539"/>
      <c r="N37" s="828"/>
    </row>
    <row r="38" spans="1:14" s="1" customFormat="1" ht="29" customHeight="1" x14ac:dyDescent="0.2">
      <c r="A38" s="2941" t="s">
        <v>32</v>
      </c>
      <c r="B38" s="2941"/>
      <c r="C38" s="2941"/>
      <c r="D38" s="2941"/>
      <c r="E38" s="2941"/>
      <c r="F38" s="2941"/>
      <c r="G38" s="2941"/>
      <c r="H38" s="2941"/>
      <c r="I38" s="2941"/>
      <c r="J38" s="2941"/>
      <c r="K38" s="2941"/>
      <c r="L38" s="2941"/>
      <c r="M38" s="2941"/>
      <c r="N38" s="2941"/>
    </row>
    <row r="39" spans="1:14" s="1" customFormat="1" ht="39" customHeight="1" x14ac:dyDescent="0.2">
      <c r="A39" s="2909" t="s">
        <v>1344</v>
      </c>
      <c r="B39" s="2909"/>
      <c r="C39" s="2909"/>
      <c r="D39" s="2909"/>
      <c r="E39" s="2909"/>
      <c r="F39" s="2909"/>
      <c r="G39" s="2909"/>
      <c r="H39" s="2909"/>
      <c r="I39" s="2909"/>
      <c r="J39" s="2909"/>
      <c r="K39" s="2909"/>
      <c r="L39" s="2909"/>
      <c r="M39" s="2909"/>
      <c r="N39" s="2909"/>
    </row>
    <row r="40" spans="1:14" s="1" customFormat="1" ht="32" customHeight="1" x14ac:dyDescent="0.2">
      <c r="A40" s="3561" t="s">
        <v>1257</v>
      </c>
      <c r="B40" s="3561"/>
      <c r="C40" s="3561"/>
      <c r="D40" s="3561"/>
      <c r="E40" s="3561"/>
      <c r="F40" s="3561"/>
      <c r="G40" s="3561"/>
      <c r="H40" s="3561"/>
      <c r="I40" s="3561"/>
      <c r="J40" s="3561"/>
      <c r="K40" s="3561"/>
      <c r="L40" s="3561"/>
      <c r="M40" s="3561"/>
      <c r="N40" s="3561"/>
    </row>
    <row r="41" spans="1:14" s="1" customFormat="1" ht="28" customHeight="1" x14ac:dyDescent="0.2">
      <c r="A41" s="42" t="s">
        <v>1258</v>
      </c>
      <c r="B41" s="41"/>
      <c r="C41" s="41"/>
      <c r="D41" s="41"/>
      <c r="E41" s="41"/>
      <c r="F41" s="41"/>
      <c r="G41" s="41"/>
      <c r="H41" s="399"/>
      <c r="I41" s="439"/>
      <c r="J41" s="41"/>
      <c r="K41" s="41"/>
      <c r="L41" s="41"/>
      <c r="M41" s="41"/>
      <c r="N41" s="41"/>
    </row>
    <row r="42" spans="1:14" s="1" customFormat="1" ht="28" customHeight="1" x14ac:dyDescent="0.2">
      <c r="A42" s="42" t="s">
        <v>312</v>
      </c>
      <c r="B42" s="41"/>
      <c r="C42" s="41"/>
      <c r="D42" s="41"/>
      <c r="E42" s="41"/>
      <c r="F42" s="41"/>
      <c r="G42" s="41"/>
      <c r="H42" s="399"/>
      <c r="I42" s="439"/>
      <c r="J42" s="41"/>
      <c r="K42" s="41"/>
      <c r="L42" s="41"/>
      <c r="M42" s="41"/>
      <c r="N42" s="41"/>
    </row>
    <row r="43" spans="1:14" s="1" customFormat="1" ht="32" customHeight="1" x14ac:dyDescent="0.2">
      <c r="A43" s="3536" t="s">
        <v>39</v>
      </c>
      <c r="B43" s="3537" t="s">
        <v>105</v>
      </c>
      <c r="C43" s="3537" t="s">
        <v>17</v>
      </c>
      <c r="D43" s="3537" t="s">
        <v>106</v>
      </c>
      <c r="E43" s="3537"/>
      <c r="F43" s="3537"/>
      <c r="G43" s="3537"/>
      <c r="H43" s="1781" t="s">
        <v>107</v>
      </c>
      <c r="I43" s="3537" t="s">
        <v>47</v>
      </c>
      <c r="J43" s="3537"/>
      <c r="K43" s="3537"/>
      <c r="L43" s="3537"/>
      <c r="M43" s="3537"/>
      <c r="N43" s="3537"/>
    </row>
    <row r="44" spans="1:14" s="1" customFormat="1" ht="40" customHeight="1" x14ac:dyDescent="0.2">
      <c r="A44" s="3536"/>
      <c r="B44" s="3537"/>
      <c r="C44" s="3537"/>
      <c r="D44" s="1780" t="s">
        <v>18</v>
      </c>
      <c r="E44" s="1780" t="s">
        <v>19</v>
      </c>
      <c r="F44" s="1780" t="s">
        <v>20</v>
      </c>
      <c r="G44" s="1780" t="s">
        <v>108</v>
      </c>
      <c r="H44" s="1781" t="s">
        <v>22</v>
      </c>
      <c r="I44" s="3537"/>
      <c r="J44" s="3537"/>
      <c r="K44" s="3537"/>
      <c r="L44" s="3537"/>
      <c r="M44" s="3537"/>
      <c r="N44" s="3537"/>
    </row>
    <row r="45" spans="1:14" s="1" customFormat="1" ht="27" customHeight="1" x14ac:dyDescent="0.2">
      <c r="A45" s="2664">
        <v>1</v>
      </c>
      <c r="B45" s="3535" t="s">
        <v>120</v>
      </c>
      <c r="C45" s="57" t="s">
        <v>21</v>
      </c>
      <c r="D45" s="834">
        <v>290933.28000000003</v>
      </c>
      <c r="E45" s="834">
        <v>20352.96</v>
      </c>
      <c r="F45" s="834">
        <v>13474.08</v>
      </c>
      <c r="G45" s="831">
        <f>SUM(D45:F45)</f>
        <v>324760.32000000007</v>
      </c>
      <c r="H45" s="216">
        <f>(G45/$G$61)*100</f>
        <v>70.302403077335541</v>
      </c>
      <c r="I45" s="2599" t="s">
        <v>121</v>
      </c>
      <c r="J45" s="2599"/>
      <c r="K45" s="2599"/>
      <c r="L45" s="2599"/>
      <c r="M45" s="2599"/>
      <c r="N45" s="2599"/>
    </row>
    <row r="46" spans="1:14" s="1" customFormat="1" ht="27" customHeight="1" x14ac:dyDescent="0.2">
      <c r="A46" s="2664"/>
      <c r="B46" s="3535"/>
      <c r="C46" s="57" t="s">
        <v>22</v>
      </c>
      <c r="D46" s="739">
        <f>D45/$G$45*100</f>
        <v>89.583998439218178</v>
      </c>
      <c r="E46" s="739">
        <f>E45/$G$45*100</f>
        <v>6.2670710510446579</v>
      </c>
      <c r="F46" s="739">
        <f>F45/$G$45*100</f>
        <v>4.1489305097371494</v>
      </c>
      <c r="G46" s="216"/>
      <c r="H46" s="216">
        <f t="shared" ref="H46:H60" si="9">(G46/$G$61)*100</f>
        <v>0</v>
      </c>
      <c r="I46" s="2599"/>
      <c r="J46" s="2599"/>
      <c r="K46" s="2599"/>
      <c r="L46" s="2599"/>
      <c r="M46" s="2599"/>
      <c r="N46" s="2599"/>
    </row>
    <row r="47" spans="1:14" s="1" customFormat="1" ht="27" customHeight="1" x14ac:dyDescent="0.2">
      <c r="A47" s="2664">
        <v>2</v>
      </c>
      <c r="B47" s="3535" t="s">
        <v>146</v>
      </c>
      <c r="C47" s="57" t="s">
        <v>21</v>
      </c>
      <c r="D47" s="831">
        <v>10296</v>
      </c>
      <c r="E47" s="214"/>
      <c r="F47" s="831">
        <v>1235.52</v>
      </c>
      <c r="G47" s="831">
        <f>SUM(D47:F47)</f>
        <v>11531.52</v>
      </c>
      <c r="H47" s="216">
        <f t="shared" si="9"/>
        <v>2.4962826959104985</v>
      </c>
      <c r="I47" s="2599"/>
      <c r="J47" s="2599"/>
      <c r="K47" s="2599"/>
      <c r="L47" s="2599"/>
      <c r="M47" s="2599"/>
      <c r="N47" s="2599"/>
    </row>
    <row r="48" spans="1:14" s="1" customFormat="1" ht="27" customHeight="1" x14ac:dyDescent="0.2">
      <c r="A48" s="2664"/>
      <c r="B48" s="3535"/>
      <c r="C48" s="57" t="s">
        <v>22</v>
      </c>
      <c r="D48" s="216">
        <f>D47/$G$47*100</f>
        <v>89.285714285714278</v>
      </c>
      <c r="E48" s="216">
        <f>E47/$G$47*100</f>
        <v>0</v>
      </c>
      <c r="F48" s="216">
        <f>F47/$G$47*100</f>
        <v>10.714285714285714</v>
      </c>
      <c r="G48" s="831"/>
      <c r="H48" s="216">
        <f t="shared" si="9"/>
        <v>0</v>
      </c>
      <c r="I48" s="2599"/>
      <c r="J48" s="2599"/>
      <c r="K48" s="2599"/>
      <c r="L48" s="2599"/>
      <c r="M48" s="2599"/>
      <c r="N48" s="2599"/>
    </row>
    <row r="49" spans="1:14" s="1" customFormat="1" ht="27" customHeight="1" x14ac:dyDescent="0.2">
      <c r="A49" s="2664">
        <v>3</v>
      </c>
      <c r="B49" s="3535" t="s">
        <v>125</v>
      </c>
      <c r="C49" s="57" t="s">
        <v>21</v>
      </c>
      <c r="D49" s="831">
        <v>14791.68</v>
      </c>
      <c r="E49" s="214"/>
      <c r="F49" s="831">
        <v>1228.32</v>
      </c>
      <c r="G49" s="831">
        <f>SUM(D49:F49)</f>
        <v>16020</v>
      </c>
      <c r="H49" s="216">
        <f t="shared" si="9"/>
        <v>3.4679251988017348</v>
      </c>
      <c r="I49" s="2599"/>
      <c r="J49" s="2599"/>
      <c r="K49" s="2599"/>
      <c r="L49" s="2599"/>
      <c r="M49" s="2599"/>
      <c r="N49" s="2599"/>
    </row>
    <row r="50" spans="1:14" s="1" customFormat="1" ht="27" customHeight="1" x14ac:dyDescent="0.2">
      <c r="A50" s="2664"/>
      <c r="B50" s="3535"/>
      <c r="C50" s="57" t="s">
        <v>22</v>
      </c>
      <c r="D50" s="216">
        <f>D49/$G$49*100</f>
        <v>92.332584269662917</v>
      </c>
      <c r="E50" s="216">
        <f>E49/$G$49*100</f>
        <v>0</v>
      </c>
      <c r="F50" s="216">
        <f>F49/$G$49*100</f>
        <v>7.667415730337078</v>
      </c>
      <c r="G50" s="214"/>
      <c r="H50" s="216">
        <f t="shared" si="9"/>
        <v>0</v>
      </c>
      <c r="I50" s="2599"/>
      <c r="J50" s="2599"/>
      <c r="K50" s="2599"/>
      <c r="L50" s="2599"/>
      <c r="M50" s="2599"/>
      <c r="N50" s="2599"/>
    </row>
    <row r="51" spans="1:14" s="1" customFormat="1" ht="27" customHeight="1" x14ac:dyDescent="0.2">
      <c r="A51" s="2664">
        <v>4</v>
      </c>
      <c r="B51" s="3534" t="s">
        <v>114</v>
      </c>
      <c r="C51" s="57" t="s">
        <v>21</v>
      </c>
      <c r="D51" s="831">
        <v>17631.36</v>
      </c>
      <c r="E51" s="214"/>
      <c r="F51" s="831">
        <v>2587.6799999999998</v>
      </c>
      <c r="G51" s="831">
        <f t="shared" ref="G51:G57" si="10">SUM(D51:F51)</f>
        <v>20219.04</v>
      </c>
      <c r="H51" s="216">
        <f t="shared" si="9"/>
        <v>4.3769112554045089</v>
      </c>
      <c r="I51" s="2599"/>
      <c r="J51" s="2599"/>
      <c r="K51" s="2599"/>
      <c r="L51" s="2599"/>
      <c r="M51" s="2599"/>
      <c r="N51" s="2599"/>
    </row>
    <row r="52" spans="1:14" s="1" customFormat="1" ht="27" customHeight="1" x14ac:dyDescent="0.2">
      <c r="A52" s="2664"/>
      <c r="B52" s="3534"/>
      <c r="C52" s="57" t="s">
        <v>22</v>
      </c>
      <c r="D52" s="216">
        <f>D51/$G$51*100</f>
        <v>87.201766255964671</v>
      </c>
      <c r="E52" s="216">
        <f>E51/$G$51*100</f>
        <v>0</v>
      </c>
      <c r="F52" s="216">
        <f>F51/$G$51*100</f>
        <v>12.798233744035322</v>
      </c>
      <c r="G52" s="214"/>
      <c r="H52" s="216">
        <f t="shared" si="9"/>
        <v>0</v>
      </c>
      <c r="I52" s="2599"/>
      <c r="J52" s="2599"/>
      <c r="K52" s="2599"/>
      <c r="L52" s="2599"/>
      <c r="M52" s="2599"/>
      <c r="N52" s="2599"/>
    </row>
    <row r="53" spans="1:14" s="1" customFormat="1" ht="27" customHeight="1" x14ac:dyDescent="0.2">
      <c r="A53" s="2664">
        <v>5</v>
      </c>
      <c r="B53" s="3535" t="s">
        <v>129</v>
      </c>
      <c r="C53" s="57" t="s">
        <v>21</v>
      </c>
      <c r="D53" s="831">
        <v>34341.120000000003</v>
      </c>
      <c r="E53" s="831">
        <v>2599.1999999999998</v>
      </c>
      <c r="F53" s="831">
        <v>1290.24</v>
      </c>
      <c r="G53" s="831">
        <f t="shared" si="10"/>
        <v>38230.559999999998</v>
      </c>
      <c r="H53" s="216">
        <f t="shared" si="9"/>
        <v>8.2759502115044725</v>
      </c>
      <c r="I53" s="2599"/>
      <c r="J53" s="2599"/>
      <c r="K53" s="2599"/>
      <c r="L53" s="2599"/>
      <c r="M53" s="2599"/>
      <c r="N53" s="2599"/>
    </row>
    <row r="54" spans="1:14" s="1" customFormat="1" ht="27" customHeight="1" x14ac:dyDescent="0.2">
      <c r="A54" s="2664"/>
      <c r="B54" s="3535"/>
      <c r="C54" s="57" t="s">
        <v>22</v>
      </c>
      <c r="D54" s="216">
        <f>D53/$G$53*100</f>
        <v>89.82635880824138</v>
      </c>
      <c r="E54" s="216">
        <f>E53/$G$53*100</f>
        <v>6.798749482089721</v>
      </c>
      <c r="F54" s="216">
        <f>F53/$G$53*100</f>
        <v>3.3748917096689146</v>
      </c>
      <c r="G54" s="214"/>
      <c r="H54" s="216">
        <f t="shared" si="9"/>
        <v>0</v>
      </c>
      <c r="I54" s="2599"/>
      <c r="J54" s="2599"/>
      <c r="K54" s="2599"/>
      <c r="L54" s="2599"/>
      <c r="M54" s="2599"/>
      <c r="N54" s="2599"/>
    </row>
    <row r="55" spans="1:14" s="1" customFormat="1" ht="27" customHeight="1" x14ac:dyDescent="0.2">
      <c r="A55" s="2664">
        <v>6</v>
      </c>
      <c r="B55" s="3534" t="s">
        <v>112</v>
      </c>
      <c r="C55" s="57" t="s">
        <v>21</v>
      </c>
      <c r="D55" s="831">
        <v>14320.8</v>
      </c>
      <c r="E55" s="831">
        <v>984.96</v>
      </c>
      <c r="F55" s="831">
        <v>524.16</v>
      </c>
      <c r="G55" s="831">
        <f t="shared" si="10"/>
        <v>15829.919999999998</v>
      </c>
      <c r="H55" s="216">
        <f t="shared" si="9"/>
        <v>3.4267776818361768</v>
      </c>
      <c r="I55" s="2599"/>
      <c r="J55" s="2599"/>
      <c r="K55" s="2599"/>
      <c r="L55" s="2599"/>
      <c r="M55" s="2599"/>
      <c r="N55" s="2599"/>
    </row>
    <row r="56" spans="1:14" s="1" customFormat="1" ht="27" customHeight="1" x14ac:dyDescent="0.2">
      <c r="A56" s="2664"/>
      <c r="B56" s="3534"/>
      <c r="C56" s="57" t="s">
        <v>22</v>
      </c>
      <c r="D56" s="216">
        <f>D55/$G$55*100</f>
        <v>90.466660602201415</v>
      </c>
      <c r="E56" s="216">
        <f>E55/$G$55*100</f>
        <v>6.2221413626853463</v>
      </c>
      <c r="F56" s="216">
        <f>F55/$G$55*100</f>
        <v>3.3111980351132537</v>
      </c>
      <c r="G56" s="214"/>
      <c r="H56" s="216">
        <f t="shared" si="9"/>
        <v>0</v>
      </c>
      <c r="I56" s="2599"/>
      <c r="J56" s="2599"/>
      <c r="K56" s="2599"/>
      <c r="L56" s="2599"/>
      <c r="M56" s="2599"/>
      <c r="N56" s="2599"/>
    </row>
    <row r="57" spans="1:14" s="1" customFormat="1" ht="27" customHeight="1" x14ac:dyDescent="0.2">
      <c r="A57" s="2664">
        <v>7</v>
      </c>
      <c r="B57" s="3534" t="s">
        <v>128</v>
      </c>
      <c r="C57" s="57" t="s">
        <v>21</v>
      </c>
      <c r="D57" s="831">
        <v>6577.92</v>
      </c>
      <c r="E57" s="214"/>
      <c r="F57" s="831">
        <v>414.72</v>
      </c>
      <c r="G57" s="831">
        <f t="shared" si="10"/>
        <v>6992.64</v>
      </c>
      <c r="H57" s="216">
        <f t="shared" si="9"/>
        <v>1.5137298665511214</v>
      </c>
      <c r="I57" s="2599"/>
      <c r="J57" s="2599"/>
      <c r="K57" s="2599"/>
      <c r="L57" s="2599"/>
      <c r="M57" s="2599"/>
      <c r="N57" s="2599"/>
    </row>
    <row r="58" spans="1:14" s="1" customFormat="1" ht="27" customHeight="1" x14ac:dyDescent="0.2">
      <c r="A58" s="2664"/>
      <c r="B58" s="3534"/>
      <c r="C58" s="57" t="s">
        <v>22</v>
      </c>
      <c r="D58" s="216">
        <f>D57/$G$57*100</f>
        <v>94.06919275123559</v>
      </c>
      <c r="E58" s="216">
        <f>E57/$G$57*100</f>
        <v>0</v>
      </c>
      <c r="F58" s="216">
        <f>F57/$G$57*100</f>
        <v>5.930807248764415</v>
      </c>
      <c r="G58" s="214"/>
      <c r="H58" s="216">
        <f t="shared" si="9"/>
        <v>0</v>
      </c>
      <c r="I58" s="2599"/>
      <c r="J58" s="2599"/>
      <c r="K58" s="2599"/>
      <c r="L58" s="2599"/>
      <c r="M58" s="2599"/>
      <c r="N58" s="2599"/>
    </row>
    <row r="59" spans="1:14" s="1" customFormat="1" ht="27" customHeight="1" x14ac:dyDescent="0.2">
      <c r="A59" s="2664">
        <v>8</v>
      </c>
      <c r="B59" s="3534" t="s">
        <v>541</v>
      </c>
      <c r="C59" s="57" t="s">
        <v>21</v>
      </c>
      <c r="D59" s="831">
        <v>26390.880000000001</v>
      </c>
      <c r="E59" s="831">
        <v>1175.04</v>
      </c>
      <c r="F59" s="831">
        <v>797.76</v>
      </c>
      <c r="G59" s="831">
        <f>SUM(D59:F59)</f>
        <v>28363.68</v>
      </c>
      <c r="H59" s="216">
        <f t="shared" si="9"/>
        <v>6.1400200126559801</v>
      </c>
      <c r="I59" s="2599"/>
      <c r="J59" s="2599"/>
      <c r="K59" s="2599"/>
      <c r="L59" s="2599"/>
      <c r="M59" s="2599"/>
      <c r="N59" s="2599"/>
    </row>
    <row r="60" spans="1:14" s="1" customFormat="1" ht="27" customHeight="1" x14ac:dyDescent="0.2">
      <c r="A60" s="2664"/>
      <c r="B60" s="3534"/>
      <c r="C60" s="57" t="s">
        <v>22</v>
      </c>
      <c r="D60" s="216">
        <f>D59/$G$59*100</f>
        <v>93.044626085190643</v>
      </c>
      <c r="E60" s="216">
        <f>E59/$G$59*100</f>
        <v>4.142762857287912</v>
      </c>
      <c r="F60" s="216">
        <f>F59/$G$59*100</f>
        <v>2.8126110575214502</v>
      </c>
      <c r="G60" s="214"/>
      <c r="H60" s="216">
        <f t="shared" si="9"/>
        <v>0</v>
      </c>
      <c r="I60" s="2599"/>
      <c r="J60" s="2599"/>
      <c r="K60" s="2599"/>
      <c r="L60" s="2599"/>
      <c r="M60" s="2599"/>
      <c r="N60" s="2599"/>
    </row>
    <row r="61" spans="1:14" s="1" customFormat="1" ht="50" customHeight="1" x14ac:dyDescent="0.2">
      <c r="A61" s="1663"/>
      <c r="B61" s="2378" t="s">
        <v>1081</v>
      </c>
      <c r="C61" s="414" t="s">
        <v>21</v>
      </c>
      <c r="D61" s="832">
        <f>SUMIFS(D45:D60,$C$45:$C$60,"m2")</f>
        <v>415283.04</v>
      </c>
      <c r="E61" s="832">
        <f>SUMIFS(E45:E60,$C$45:$C$60,"m2")</f>
        <v>25112.16</v>
      </c>
      <c r="F61" s="832">
        <f>SUMIFS(F45:F60,$C$45:$C$60,"m2")</f>
        <v>21552.48</v>
      </c>
      <c r="G61" s="832">
        <f>SUM(D61:F61)</f>
        <v>461947.67999999993</v>
      </c>
      <c r="H61" s="216"/>
      <c r="I61" s="2599"/>
      <c r="J61" s="2599"/>
      <c r="K61" s="2599"/>
      <c r="L61" s="2599"/>
      <c r="M61" s="2599"/>
      <c r="N61" s="2599"/>
    </row>
    <row r="62" spans="1:14" s="1" customFormat="1" ht="27" customHeight="1" x14ac:dyDescent="0.2">
      <c r="A62" s="1663"/>
      <c r="B62" s="1663"/>
      <c r="C62" s="414" t="s">
        <v>22</v>
      </c>
      <c r="D62" s="417">
        <f>D61/$G$61*100</f>
        <v>89.898284584955604</v>
      </c>
      <c r="E62" s="417">
        <f>E61/$G$61*100</f>
        <v>5.4361480936542428</v>
      </c>
      <c r="F62" s="417">
        <f>F61/$G$61*100</f>
        <v>4.6655673213901636</v>
      </c>
      <c r="G62" s="415"/>
      <c r="H62" s="216"/>
      <c r="I62" s="2599"/>
      <c r="J62" s="2599"/>
      <c r="K62" s="2599"/>
      <c r="L62" s="2599"/>
      <c r="M62" s="2599"/>
      <c r="N62" s="2599"/>
    </row>
    <row r="63" spans="1:14" s="1" customFormat="1" ht="35" hidden="1" customHeight="1" x14ac:dyDescent="0.2">
      <c r="A63" s="2664">
        <v>1</v>
      </c>
      <c r="B63" s="3533" t="s">
        <v>109</v>
      </c>
      <c r="C63" s="57" t="s">
        <v>21</v>
      </c>
      <c r="D63" s="834"/>
      <c r="E63" s="738"/>
      <c r="F63" s="738"/>
      <c r="G63" s="831">
        <f>SUM(D63:F63)</f>
        <v>0</v>
      </c>
      <c r="H63" s="216">
        <f t="shared" ref="H63:H83" si="11">(G63/$G$83)*100</f>
        <v>0</v>
      </c>
      <c r="I63" s="2599" t="s">
        <v>110</v>
      </c>
      <c r="J63" s="2599"/>
      <c r="K63" s="2599"/>
      <c r="L63" s="2599"/>
      <c r="M63" s="2599"/>
      <c r="N63" s="2599"/>
    </row>
    <row r="64" spans="1:14" s="1" customFormat="1" ht="35" hidden="1" customHeight="1" x14ac:dyDescent="0.2">
      <c r="A64" s="2664"/>
      <c r="B64" s="3533"/>
      <c r="C64" s="57" t="s">
        <v>22</v>
      </c>
      <c r="D64" s="215" t="e">
        <f>D63/$G$63*100</f>
        <v>#DIV/0!</v>
      </c>
      <c r="E64" s="215" t="e">
        <f>E63/$G$63*100</f>
        <v>#DIV/0!</v>
      </c>
      <c r="F64" s="215" t="e">
        <f>F63/$G$63*100</f>
        <v>#DIV/0!</v>
      </c>
      <c r="G64" s="214"/>
      <c r="H64" s="216">
        <f t="shared" si="11"/>
        <v>0</v>
      </c>
      <c r="I64" s="2599"/>
      <c r="J64" s="2599"/>
      <c r="K64" s="2599"/>
      <c r="L64" s="2599"/>
      <c r="M64" s="2599"/>
      <c r="N64" s="2599"/>
    </row>
    <row r="65" spans="1:14" s="1" customFormat="1" ht="35" hidden="1" customHeight="1" x14ac:dyDescent="0.2">
      <c r="A65" s="2664">
        <v>2</v>
      </c>
      <c r="B65" s="3533" t="s">
        <v>113</v>
      </c>
      <c r="C65" s="57" t="s">
        <v>21</v>
      </c>
      <c r="D65" s="834"/>
      <c r="E65" s="834"/>
      <c r="F65" s="834"/>
      <c r="G65" s="831"/>
      <c r="H65" s="216">
        <f t="shared" si="11"/>
        <v>0</v>
      </c>
      <c r="I65" s="2599"/>
      <c r="J65" s="2599"/>
      <c r="K65" s="2599"/>
      <c r="L65" s="2599"/>
      <c r="M65" s="2599"/>
      <c r="N65" s="2599"/>
    </row>
    <row r="66" spans="1:14" s="1" customFormat="1" ht="35" hidden="1" customHeight="1" x14ac:dyDescent="0.2">
      <c r="A66" s="2664"/>
      <c r="B66" s="3533"/>
      <c r="C66" s="57" t="s">
        <v>22</v>
      </c>
      <c r="D66" s="216" t="e">
        <f>D65/$G$65*100</f>
        <v>#DIV/0!</v>
      </c>
      <c r="E66" s="216" t="e">
        <f>E65/$G$65*100</f>
        <v>#DIV/0!</v>
      </c>
      <c r="F66" s="216" t="e">
        <f>F65/$G$65*100</f>
        <v>#DIV/0!</v>
      </c>
      <c r="G66" s="214"/>
      <c r="H66" s="216">
        <f t="shared" si="11"/>
        <v>0</v>
      </c>
      <c r="I66" s="2599"/>
      <c r="J66" s="2599"/>
      <c r="K66" s="2599"/>
      <c r="L66" s="2599"/>
      <c r="M66" s="2599"/>
      <c r="N66" s="2599"/>
    </row>
    <row r="67" spans="1:14" s="1" customFormat="1" ht="35" hidden="1" customHeight="1" x14ac:dyDescent="0.2">
      <c r="A67" s="2664">
        <v>3</v>
      </c>
      <c r="B67" s="3533" t="s">
        <v>114</v>
      </c>
      <c r="C67" s="57" t="s">
        <v>21</v>
      </c>
      <c r="D67" s="834"/>
      <c r="E67" s="738"/>
      <c r="F67" s="834"/>
      <c r="G67" s="831">
        <f>SUM(D67:F67)</f>
        <v>0</v>
      </c>
      <c r="H67" s="216">
        <f t="shared" si="11"/>
        <v>0</v>
      </c>
      <c r="I67" s="2599"/>
      <c r="J67" s="2599"/>
      <c r="K67" s="2599"/>
      <c r="L67" s="2599"/>
      <c r="M67" s="2599"/>
      <c r="N67" s="2599"/>
    </row>
    <row r="68" spans="1:14" s="1" customFormat="1" ht="35" hidden="1" customHeight="1" x14ac:dyDescent="0.2">
      <c r="A68" s="2664"/>
      <c r="B68" s="3533"/>
      <c r="C68" s="57" t="s">
        <v>22</v>
      </c>
      <c r="D68" s="216" t="e">
        <f>D67/$G$67*100</f>
        <v>#DIV/0!</v>
      </c>
      <c r="E68" s="216" t="e">
        <f>E67/$G$67*100</f>
        <v>#DIV/0!</v>
      </c>
      <c r="F68" s="216" t="e">
        <f>F67/$G$67*100</f>
        <v>#DIV/0!</v>
      </c>
      <c r="G68" s="214"/>
      <c r="H68" s="216">
        <f t="shared" si="11"/>
        <v>0</v>
      </c>
      <c r="I68" s="2599"/>
      <c r="J68" s="2599"/>
      <c r="K68" s="2599"/>
      <c r="L68" s="2599"/>
      <c r="M68" s="2599"/>
      <c r="N68" s="2599"/>
    </row>
    <row r="69" spans="1:14" s="1" customFormat="1" ht="23" hidden="1" customHeight="1" x14ac:dyDescent="0.2">
      <c r="A69" s="321"/>
      <c r="B69" s="924" t="s">
        <v>129</v>
      </c>
      <c r="C69" s="57" t="s">
        <v>21</v>
      </c>
      <c r="D69" s="738"/>
      <c r="E69" s="738"/>
      <c r="F69" s="738"/>
      <c r="G69" s="214">
        <f>SUM(D69:F69)</f>
        <v>0</v>
      </c>
      <c r="H69" s="216">
        <f t="shared" si="11"/>
        <v>0</v>
      </c>
      <c r="I69" s="1014"/>
      <c r="J69" s="1014"/>
      <c r="K69" s="1014"/>
      <c r="L69" s="1014"/>
      <c r="M69" s="1014"/>
      <c r="N69" s="1014"/>
    </row>
    <row r="70" spans="1:14" s="1" customFormat="1" ht="23" hidden="1" customHeight="1" x14ac:dyDescent="0.2">
      <c r="A70" s="321"/>
      <c r="B70" s="924"/>
      <c r="C70" s="57" t="s">
        <v>22</v>
      </c>
      <c r="D70" s="216" t="e">
        <f>D69/$G$69*100</f>
        <v>#DIV/0!</v>
      </c>
      <c r="E70" s="216" t="e">
        <f>E69/$G$69*100</f>
        <v>#DIV/0!</v>
      </c>
      <c r="F70" s="216" t="e">
        <f>F69/$G$69*100</f>
        <v>#DIV/0!</v>
      </c>
      <c r="G70" s="214" t="e">
        <f>SUM(D70:F70)</f>
        <v>#DIV/0!</v>
      </c>
      <c r="H70" s="216" t="e">
        <f t="shared" si="11"/>
        <v>#DIV/0!</v>
      </c>
      <c r="I70" s="1014"/>
      <c r="J70" s="1014"/>
      <c r="K70" s="1014"/>
      <c r="L70" s="1014"/>
      <c r="M70" s="1014"/>
      <c r="N70" s="1014"/>
    </row>
    <row r="71" spans="1:14" s="1" customFormat="1" ht="35" hidden="1" customHeight="1" x14ac:dyDescent="0.2">
      <c r="B71" s="1664" t="s">
        <v>1082</v>
      </c>
      <c r="C71" s="971" t="s">
        <v>21</v>
      </c>
      <c r="D71" s="972">
        <f>SUMIFS(D63:D68, $C$63:$C$68, "m2")</f>
        <v>0</v>
      </c>
      <c r="E71" s="972">
        <f>SUMIFS(E63:E68, $C$63:$C$68, "m2")</f>
        <v>0</v>
      </c>
      <c r="F71" s="972">
        <f>SUMIFS(F63:F68, $C$63:$C$68, "m2")</f>
        <v>0</v>
      </c>
      <c r="G71" s="972">
        <f>SUM(D71:F71)</f>
        <v>0</v>
      </c>
      <c r="H71" s="216"/>
      <c r="I71" s="2599"/>
      <c r="J71" s="2599"/>
      <c r="K71" s="2599"/>
      <c r="L71" s="2599"/>
      <c r="M71" s="2599"/>
      <c r="N71" s="2599"/>
    </row>
    <row r="72" spans="1:14" s="1" customFormat="1" ht="35" hidden="1" customHeight="1" x14ac:dyDescent="0.2">
      <c r="A72" s="1664"/>
      <c r="B72" s="1664"/>
      <c r="C72" s="971" t="s">
        <v>22</v>
      </c>
      <c r="D72" s="973"/>
      <c r="E72" s="973" t="e">
        <f>E71/$G$71*100</f>
        <v>#DIV/0!</v>
      </c>
      <c r="F72" s="973" t="e">
        <f>F71/$G$71*100</f>
        <v>#DIV/0!</v>
      </c>
      <c r="G72" s="974"/>
      <c r="H72" s="216">
        <f t="shared" si="11"/>
        <v>0</v>
      </c>
      <c r="I72" s="2599"/>
      <c r="J72" s="2599"/>
      <c r="K72" s="2599"/>
      <c r="L72" s="2599"/>
      <c r="M72" s="2599"/>
      <c r="N72" s="2599"/>
    </row>
    <row r="73" spans="1:14" s="1" customFormat="1" ht="29" hidden="1" customHeight="1" x14ac:dyDescent="0.2">
      <c r="A73" s="2904" t="s">
        <v>125</v>
      </c>
      <c r="B73" s="2904"/>
      <c r="C73" s="57" t="s">
        <v>21</v>
      </c>
      <c r="D73" s="738"/>
      <c r="E73" s="738"/>
      <c r="F73" s="738"/>
      <c r="G73" s="831">
        <f>SUM(D73:F73)</f>
        <v>0</v>
      </c>
      <c r="H73" s="216">
        <f t="shared" si="11"/>
        <v>0</v>
      </c>
      <c r="I73" s="3433" t="s">
        <v>131</v>
      </c>
      <c r="J73" s="3433"/>
      <c r="K73" s="3433"/>
      <c r="L73" s="3433"/>
      <c r="M73" s="3433"/>
      <c r="N73" s="3433"/>
    </row>
    <row r="74" spans="1:14" s="1" customFormat="1" ht="29" hidden="1" customHeight="1" x14ac:dyDescent="0.2">
      <c r="A74" s="2904"/>
      <c r="B74" s="2904"/>
      <c r="C74" s="57" t="s">
        <v>22</v>
      </c>
      <c r="D74" s="216" t="e">
        <f>D73/$G$73*100</f>
        <v>#DIV/0!</v>
      </c>
      <c r="E74" s="216" t="e">
        <f>E73/$G$73*100</f>
        <v>#DIV/0!</v>
      </c>
      <c r="F74" s="216" t="e">
        <f>F73/$G$73*100</f>
        <v>#DIV/0!</v>
      </c>
      <c r="G74" s="216"/>
      <c r="H74" s="216">
        <f t="shared" si="11"/>
        <v>0</v>
      </c>
      <c r="I74" s="3433"/>
      <c r="J74" s="3433"/>
      <c r="K74" s="3433"/>
      <c r="L74" s="3433"/>
      <c r="M74" s="3433"/>
      <c r="N74" s="3433"/>
    </row>
    <row r="75" spans="1:14" s="1" customFormat="1" ht="29" hidden="1" customHeight="1" x14ac:dyDescent="0.2">
      <c r="A75" s="2904" t="s">
        <v>313</v>
      </c>
      <c r="B75" s="2904"/>
      <c r="C75" s="57" t="s">
        <v>21</v>
      </c>
      <c r="D75" s="834"/>
      <c r="E75" s="738"/>
      <c r="F75" s="738"/>
      <c r="G75" s="831">
        <f>SUM(D75:F75)</f>
        <v>0</v>
      </c>
      <c r="H75" s="216">
        <f t="shared" si="11"/>
        <v>0</v>
      </c>
      <c r="I75" s="3433"/>
      <c r="J75" s="3433"/>
      <c r="K75" s="3433"/>
      <c r="L75" s="3433"/>
      <c r="M75" s="3433"/>
      <c r="N75" s="3433"/>
    </row>
    <row r="76" spans="1:14" s="1" customFormat="1" ht="29" hidden="1" customHeight="1" x14ac:dyDescent="0.2">
      <c r="A76" s="2904"/>
      <c r="B76" s="2904"/>
      <c r="C76" s="57" t="s">
        <v>22</v>
      </c>
      <c r="D76" s="216" t="e">
        <f>D75/$G$75*100</f>
        <v>#DIV/0!</v>
      </c>
      <c r="E76" s="216" t="e">
        <f>E75/$G$75*100</f>
        <v>#DIV/0!</v>
      </c>
      <c r="F76" s="216" t="e">
        <f>F75/$G$75*100</f>
        <v>#DIV/0!</v>
      </c>
      <c r="G76" s="216"/>
      <c r="H76" s="216">
        <f t="shared" si="11"/>
        <v>0</v>
      </c>
      <c r="I76" s="3433"/>
      <c r="J76" s="3433"/>
      <c r="K76" s="3433"/>
      <c r="L76" s="3433"/>
      <c r="M76" s="3433"/>
      <c r="N76" s="3433"/>
    </row>
    <row r="77" spans="1:14" s="1" customFormat="1" ht="29" hidden="1" customHeight="1" x14ac:dyDescent="0.2">
      <c r="A77" s="2905" t="s">
        <v>109</v>
      </c>
      <c r="B77" s="2905"/>
      <c r="C77" s="57" t="s">
        <v>21</v>
      </c>
      <c r="D77" s="834"/>
      <c r="E77" s="738"/>
      <c r="F77" s="738"/>
      <c r="G77" s="831">
        <f>SUM(D77:F77)</f>
        <v>0</v>
      </c>
      <c r="H77" s="216">
        <f t="shared" si="11"/>
        <v>0</v>
      </c>
      <c r="I77" s="3433"/>
      <c r="J77" s="3433"/>
      <c r="K77" s="3433"/>
      <c r="L77" s="3433"/>
      <c r="M77" s="3433"/>
      <c r="N77" s="3433"/>
    </row>
    <row r="78" spans="1:14" s="1" customFormat="1" ht="29" hidden="1" customHeight="1" x14ac:dyDescent="0.2">
      <c r="A78" s="2905"/>
      <c r="B78" s="2905"/>
      <c r="C78" s="57" t="s">
        <v>22</v>
      </c>
      <c r="D78" s="216" t="e">
        <f>D77/$G$77*100</f>
        <v>#DIV/0!</v>
      </c>
      <c r="E78" s="216" t="e">
        <f>E77/$G$77*100</f>
        <v>#DIV/0!</v>
      </c>
      <c r="F78" s="216" t="e">
        <f>F77/$G$77*100</f>
        <v>#DIV/0!</v>
      </c>
      <c r="G78" s="216"/>
      <c r="H78" s="216">
        <f t="shared" si="11"/>
        <v>0</v>
      </c>
      <c r="I78" s="3433"/>
      <c r="J78" s="3433"/>
      <c r="K78" s="3433"/>
      <c r="L78" s="3433"/>
      <c r="M78" s="3433"/>
      <c r="N78" s="3433"/>
    </row>
    <row r="79" spans="1:14" s="1" customFormat="1" ht="29" hidden="1" customHeight="1" x14ac:dyDescent="0.2">
      <c r="A79" s="2904" t="s">
        <v>129</v>
      </c>
      <c r="B79" s="2904"/>
      <c r="C79" s="57" t="s">
        <v>21</v>
      </c>
      <c r="D79" s="831"/>
      <c r="E79" s="831"/>
      <c r="F79" s="831"/>
      <c r="G79" s="831">
        <f>SUM(D79:F79)</f>
        <v>0</v>
      </c>
      <c r="H79" s="216">
        <f t="shared" si="11"/>
        <v>0</v>
      </c>
      <c r="I79" s="3433"/>
      <c r="J79" s="3433"/>
      <c r="K79" s="3433"/>
      <c r="L79" s="3433"/>
      <c r="M79" s="3433"/>
      <c r="N79" s="3433"/>
    </row>
    <row r="80" spans="1:14" s="1" customFormat="1" ht="29" hidden="1" customHeight="1" x14ac:dyDescent="0.2">
      <c r="A80" s="2904"/>
      <c r="B80" s="2904"/>
      <c r="C80" s="57" t="s">
        <v>22</v>
      </c>
      <c r="D80" s="216" t="e">
        <f>D79/$G$79*100</f>
        <v>#DIV/0!</v>
      </c>
      <c r="E80" s="216" t="e">
        <f>E79/$G$79*100</f>
        <v>#DIV/0!</v>
      </c>
      <c r="F80" s="216" t="e">
        <f>F79/$G$79*100</f>
        <v>#DIV/0!</v>
      </c>
      <c r="G80" s="216"/>
      <c r="H80" s="216">
        <f t="shared" si="11"/>
        <v>0</v>
      </c>
      <c r="I80" s="3433"/>
      <c r="J80" s="3433"/>
      <c r="K80" s="3433"/>
      <c r="L80" s="3433"/>
      <c r="M80" s="3433"/>
      <c r="N80" s="3433"/>
    </row>
    <row r="81" spans="1:14" s="1" customFormat="1" ht="29" hidden="1" customHeight="1" x14ac:dyDescent="0.2">
      <c r="B81" s="1663" t="s">
        <v>1083</v>
      </c>
      <c r="C81" s="414" t="s">
        <v>21</v>
      </c>
      <c r="D81" s="832">
        <f>D73+D75+D77+D79</f>
        <v>0</v>
      </c>
      <c r="E81" s="832">
        <f>E73+E75+E77+E79</f>
        <v>0</v>
      </c>
      <c r="F81" s="832">
        <f>F73+F75+F77+F79</f>
        <v>0</v>
      </c>
      <c r="G81" s="832">
        <f>SUM(D81:F81)</f>
        <v>0</v>
      </c>
      <c r="H81" s="216">
        <f t="shared" si="11"/>
        <v>0</v>
      </c>
      <c r="I81" s="3433"/>
      <c r="J81" s="3433"/>
      <c r="K81" s="3433"/>
      <c r="L81" s="3433"/>
      <c r="M81" s="3433"/>
      <c r="N81" s="3433"/>
    </row>
    <row r="82" spans="1:14" s="1" customFormat="1" ht="29" hidden="1" customHeight="1" x14ac:dyDescent="0.2">
      <c r="A82" s="1663"/>
      <c r="B82" s="1663"/>
      <c r="C82" s="414" t="s">
        <v>22</v>
      </c>
      <c r="D82" s="417" t="e">
        <f>D81/$G$81*100</f>
        <v>#DIV/0!</v>
      </c>
      <c r="E82" s="417" t="e">
        <f>E81/$G$81*100</f>
        <v>#DIV/0!</v>
      </c>
      <c r="F82" s="417" t="e">
        <f>F81/$G$81*100</f>
        <v>#DIV/0!</v>
      </c>
      <c r="G82" s="415"/>
      <c r="H82" s="216">
        <f t="shared" si="11"/>
        <v>0</v>
      </c>
      <c r="I82" s="3433"/>
      <c r="J82" s="3433"/>
      <c r="K82" s="3433"/>
      <c r="L82" s="3433"/>
      <c r="M82" s="3433"/>
      <c r="N82" s="3433"/>
    </row>
    <row r="83" spans="1:14" s="1" customFormat="1" ht="39" customHeight="1" x14ac:dyDescent="0.2">
      <c r="A83" s="3530" t="s">
        <v>124</v>
      </c>
      <c r="B83" s="3530"/>
      <c r="C83" s="387" t="s">
        <v>21</v>
      </c>
      <c r="D83" s="896">
        <f>SUMIFS(D45:D82,$B$45:$B$82,"TỔNG MEN*",$C$45:$C$82,"m2")</f>
        <v>415283.04</v>
      </c>
      <c r="E83" s="896">
        <f>SUMIFS(E45:E82,$B$45:$B$82,"TỔNG MEN*",$C$45:$C$82,"m2")</f>
        <v>25112.16</v>
      </c>
      <c r="F83" s="896">
        <f>SUMIFS(F45:F82,$B$45:$B$82,"TỔNG MEN*",$C$45:$C$82,"m2")</f>
        <v>21552.48</v>
      </c>
      <c r="G83" s="896">
        <f>SUM(D83:F83)</f>
        <v>461947.67999999993</v>
      </c>
      <c r="H83" s="549">
        <f t="shared" si="11"/>
        <v>100</v>
      </c>
      <c r="I83" s="3531"/>
      <c r="J83" s="3531"/>
      <c r="K83" s="3531"/>
      <c r="L83" s="3531"/>
      <c r="M83" s="3531"/>
      <c r="N83" s="3531"/>
    </row>
    <row r="84" spans="1:14" s="1" customFormat="1" ht="39" customHeight="1" x14ac:dyDescent="0.2">
      <c r="A84" s="3530"/>
      <c r="B84" s="3530"/>
      <c r="C84" s="387" t="s">
        <v>22</v>
      </c>
      <c r="D84" s="389">
        <f>D83/$G$83*100</f>
        <v>89.898284584955604</v>
      </c>
      <c r="E84" s="389">
        <f>E83/$G$83*100</f>
        <v>5.4361480936542428</v>
      </c>
      <c r="F84" s="389">
        <f>F83/$G$83*100</f>
        <v>4.6655673213901636</v>
      </c>
      <c r="G84" s="389"/>
      <c r="H84" s="389"/>
      <c r="I84" s="3532"/>
      <c r="J84" s="3532"/>
      <c r="K84" s="3532"/>
      <c r="L84" s="3532"/>
      <c r="M84" s="3532"/>
      <c r="N84" s="3532"/>
    </row>
    <row r="85" spans="1:14" s="1" customFormat="1" ht="29" customHeight="1" x14ac:dyDescent="0.2">
      <c r="A85" s="3207" t="s">
        <v>506</v>
      </c>
      <c r="B85" s="3207"/>
      <c r="C85" s="3207"/>
      <c r="D85" s="3207"/>
      <c r="E85" s="3207"/>
      <c r="F85" s="3207"/>
      <c r="G85" s="3207"/>
      <c r="H85" s="3207"/>
      <c r="I85" s="3207"/>
      <c r="J85" s="3207"/>
      <c r="K85" s="3207"/>
      <c r="L85" s="3207"/>
      <c r="M85" s="3207"/>
      <c r="N85" s="3207"/>
    </row>
    <row r="86" spans="1:14" s="1" customFormat="1" ht="38" customHeight="1" x14ac:dyDescent="0.2">
      <c r="A86" s="221" t="s">
        <v>39</v>
      </c>
      <c r="B86" s="2551" t="s">
        <v>134</v>
      </c>
      <c r="C86" s="2551"/>
      <c r="D86" s="222" t="s">
        <v>6</v>
      </c>
      <c r="E86" s="222" t="s">
        <v>135</v>
      </c>
      <c r="F86" s="222" t="s">
        <v>43</v>
      </c>
      <c r="G86" s="222" t="s">
        <v>10</v>
      </c>
      <c r="H86" s="391" t="s">
        <v>314</v>
      </c>
      <c r="I86" s="2605" t="s">
        <v>47</v>
      </c>
      <c r="J86" s="2605"/>
      <c r="K86" s="2605"/>
      <c r="L86" s="2605"/>
      <c r="M86" s="2605"/>
      <c r="N86" s="2605"/>
    </row>
    <row r="87" spans="1:14" s="1" customFormat="1" ht="38" customHeight="1" x14ac:dyDescent="0.2">
      <c r="A87" s="223">
        <v>1</v>
      </c>
      <c r="B87" s="2599" t="s">
        <v>137</v>
      </c>
      <c r="C87" s="2599"/>
      <c r="D87" s="224" t="s">
        <v>138</v>
      </c>
      <c r="E87" s="2383" t="s">
        <v>139</v>
      </c>
      <c r="F87" s="830">
        <f>G61</f>
        <v>461947.67999999993</v>
      </c>
      <c r="G87" s="224">
        <f>F87/$J$10</f>
        <v>29.3</v>
      </c>
      <c r="H87" s="214">
        <f>F87/$F$90*100</f>
        <v>100</v>
      </c>
      <c r="I87" s="2600"/>
      <c r="J87" s="2600"/>
      <c r="K87" s="2600"/>
      <c r="L87" s="2600"/>
      <c r="M87" s="2600"/>
      <c r="N87" s="2600"/>
    </row>
    <row r="88" spans="1:14" s="1" customFormat="1" ht="38" customHeight="1" x14ac:dyDescent="0.2">
      <c r="A88" s="223">
        <v>2</v>
      </c>
      <c r="B88" s="2599" t="s">
        <v>137</v>
      </c>
      <c r="C88" s="2599"/>
      <c r="D88" s="224" t="s">
        <v>138</v>
      </c>
      <c r="E88" s="224" t="s">
        <v>140</v>
      </c>
      <c r="F88" s="830">
        <f>G71</f>
        <v>0</v>
      </c>
      <c r="G88" s="224">
        <f>F88/$J$10</f>
        <v>0</v>
      </c>
      <c r="H88" s="214">
        <f>F88/$F$90*100</f>
        <v>0</v>
      </c>
      <c r="I88" s="2600"/>
      <c r="J88" s="2600"/>
      <c r="K88" s="2600"/>
      <c r="L88" s="2600"/>
      <c r="M88" s="2600"/>
      <c r="N88" s="2600"/>
    </row>
    <row r="89" spans="1:14" s="1" customFormat="1" ht="38" customHeight="1" x14ac:dyDescent="0.2">
      <c r="A89" s="223">
        <v>3</v>
      </c>
      <c r="B89" s="2599" t="s">
        <v>137</v>
      </c>
      <c r="C89" s="2599"/>
      <c r="D89" s="224" t="s">
        <v>138</v>
      </c>
      <c r="E89" s="224" t="s">
        <v>141</v>
      </c>
      <c r="F89" s="830">
        <f>G81</f>
        <v>0</v>
      </c>
      <c r="G89" s="224">
        <f>F89/$J$10</f>
        <v>0</v>
      </c>
      <c r="H89" s="214">
        <f>F89/$F$90*100</f>
        <v>0</v>
      </c>
      <c r="I89" s="2600"/>
      <c r="J89" s="2600"/>
      <c r="K89" s="2600"/>
      <c r="L89" s="2600"/>
      <c r="M89" s="2600"/>
      <c r="N89" s="2600"/>
    </row>
    <row r="90" spans="1:14" s="1" customFormat="1" ht="38" customHeight="1" x14ac:dyDescent="0.2">
      <c r="A90" s="3377" t="s">
        <v>1345</v>
      </c>
      <c r="B90" s="3377"/>
      <c r="C90" s="3377"/>
      <c r="D90" s="225" t="s">
        <v>142</v>
      </c>
      <c r="E90" s="225" t="s">
        <v>142</v>
      </c>
      <c r="F90" s="860">
        <f>SUM(F87:F89)</f>
        <v>461947.67999999993</v>
      </c>
      <c r="G90" s="226">
        <f>SUM(G87:G89)</f>
        <v>29.3</v>
      </c>
      <c r="H90" s="227">
        <f>SUM(H87:H89)</f>
        <v>100</v>
      </c>
      <c r="I90" s="2603"/>
      <c r="J90" s="2603"/>
      <c r="K90" s="2603"/>
      <c r="L90" s="2603"/>
      <c r="M90" s="2603"/>
      <c r="N90" s="2603"/>
    </row>
    <row r="91" spans="1:14" s="1" customFormat="1" ht="42" customHeight="1" x14ac:dyDescent="0.2">
      <c r="A91" s="42" t="s">
        <v>497</v>
      </c>
      <c r="B91" s="459"/>
      <c r="C91" s="459"/>
      <c r="D91" s="460"/>
      <c r="E91" s="460"/>
      <c r="F91" s="461"/>
      <c r="G91" s="462"/>
      <c r="H91" s="463"/>
      <c r="I91" s="465"/>
      <c r="J91" s="464"/>
      <c r="K91" s="41"/>
      <c r="L91" s="41"/>
      <c r="M91" s="41"/>
      <c r="N91" s="41"/>
    </row>
    <row r="92" spans="1:14" s="1" customFormat="1" ht="36" customHeight="1" x14ac:dyDescent="0.2">
      <c r="A92" s="3528" t="s">
        <v>39</v>
      </c>
      <c r="B92" s="3529" t="s">
        <v>105</v>
      </c>
      <c r="C92" s="3529" t="s">
        <v>17</v>
      </c>
      <c r="D92" s="3529" t="s">
        <v>106</v>
      </c>
      <c r="E92" s="3529"/>
      <c r="F92" s="3529"/>
      <c r="G92" s="3529"/>
      <c r="H92" s="1784" t="s">
        <v>107</v>
      </c>
      <c r="I92" s="3529" t="s">
        <v>47</v>
      </c>
      <c r="J92" s="3529"/>
      <c r="K92" s="3529"/>
      <c r="L92" s="3529"/>
      <c r="M92" s="3529"/>
      <c r="N92" s="3529"/>
    </row>
    <row r="93" spans="1:14" s="1" customFormat="1" ht="52" customHeight="1" x14ac:dyDescent="0.2">
      <c r="A93" s="3528"/>
      <c r="B93" s="3529"/>
      <c r="C93" s="3529"/>
      <c r="D93" s="1779" t="s">
        <v>18</v>
      </c>
      <c r="E93" s="1779" t="s">
        <v>19</v>
      </c>
      <c r="F93" s="1779" t="s">
        <v>20</v>
      </c>
      <c r="G93" s="1779" t="s">
        <v>108</v>
      </c>
      <c r="H93" s="1784" t="s">
        <v>22</v>
      </c>
      <c r="I93" s="3529"/>
      <c r="J93" s="3529"/>
      <c r="K93" s="3529"/>
      <c r="L93" s="3529"/>
      <c r="M93" s="3529"/>
      <c r="N93" s="3529"/>
    </row>
    <row r="94" spans="1:14" s="1" customFormat="1" ht="23" customHeight="1" x14ac:dyDescent="0.2">
      <c r="A94" s="2664">
        <v>1</v>
      </c>
      <c r="B94" s="3525" t="s">
        <v>109</v>
      </c>
      <c r="C94" s="57" t="s">
        <v>21</v>
      </c>
      <c r="D94" s="834">
        <v>58416</v>
      </c>
      <c r="E94" s="738"/>
      <c r="F94" s="834">
        <v>472.5</v>
      </c>
      <c r="G94" s="831">
        <f>SUM(D94:F94)</f>
        <v>58888.5</v>
      </c>
      <c r="H94" s="214">
        <f>(G94/$G$112*100)</f>
        <v>66.455074818877378</v>
      </c>
      <c r="I94" s="2599" t="s">
        <v>770</v>
      </c>
      <c r="J94" s="2599"/>
      <c r="K94" s="2599"/>
      <c r="L94" s="2599"/>
      <c r="M94" s="2599"/>
      <c r="N94" s="2599"/>
    </row>
    <row r="95" spans="1:14" s="1" customFormat="1" ht="25" customHeight="1" x14ac:dyDescent="0.2">
      <c r="A95" s="2664"/>
      <c r="B95" s="3525"/>
      <c r="C95" s="57" t="s">
        <v>22</v>
      </c>
      <c r="D95" s="739">
        <f>D94/$G$94*100</f>
        <v>99.197636210805157</v>
      </c>
      <c r="E95" s="739"/>
      <c r="F95" s="739">
        <f>F94/$G$94*100</f>
        <v>0.80236378919483431</v>
      </c>
      <c r="G95" s="216"/>
      <c r="H95" s="214">
        <f t="shared" ref="H95:H127" si="12">(G95/$G$112*100)</f>
        <v>0</v>
      </c>
      <c r="I95" s="2599"/>
      <c r="J95" s="2599"/>
      <c r="K95" s="2599"/>
      <c r="L95" s="2599"/>
      <c r="M95" s="2599"/>
      <c r="N95" s="2599"/>
    </row>
    <row r="96" spans="1:14" s="1" customFormat="1" ht="25" customHeight="1" x14ac:dyDescent="0.2">
      <c r="A96" s="2664">
        <v>2</v>
      </c>
      <c r="B96" s="3525" t="s">
        <v>129</v>
      </c>
      <c r="C96" s="57" t="s">
        <v>21</v>
      </c>
      <c r="D96" s="831">
        <v>12024</v>
      </c>
      <c r="E96" s="214"/>
      <c r="F96" s="831">
        <v>231</v>
      </c>
      <c r="G96" s="831">
        <f>SUM(D96:F96)</f>
        <v>12255</v>
      </c>
      <c r="H96" s="214">
        <f t="shared" si="12"/>
        <v>13.829643171507888</v>
      </c>
      <c r="I96" s="2599"/>
      <c r="J96" s="2599"/>
      <c r="K96" s="2599"/>
      <c r="L96" s="2599"/>
      <c r="M96" s="2599"/>
      <c r="N96" s="2599"/>
    </row>
    <row r="97" spans="1:14" s="1" customFormat="1" ht="25" customHeight="1" x14ac:dyDescent="0.2">
      <c r="A97" s="2664"/>
      <c r="B97" s="3525"/>
      <c r="C97" s="57" t="s">
        <v>22</v>
      </c>
      <c r="D97" s="216">
        <f>D96/$G$96*100</f>
        <v>98.115055079559369</v>
      </c>
      <c r="E97" s="216">
        <f>E96/$G$96*100</f>
        <v>0</v>
      </c>
      <c r="F97" s="216">
        <f>F96/$G$96*100</f>
        <v>1.8849449204406363</v>
      </c>
      <c r="G97" s="216"/>
      <c r="H97" s="214">
        <f t="shared" si="12"/>
        <v>0</v>
      </c>
      <c r="I97" s="2599"/>
      <c r="J97" s="2599"/>
      <c r="K97" s="2599"/>
      <c r="L97" s="2599"/>
      <c r="M97" s="2599"/>
      <c r="N97" s="2599"/>
    </row>
    <row r="98" spans="1:14" s="1" customFormat="1" ht="25" customHeight="1" x14ac:dyDescent="0.2">
      <c r="A98" s="2664">
        <v>3</v>
      </c>
      <c r="B98" s="3525" t="s">
        <v>125</v>
      </c>
      <c r="C98" s="57" t="s">
        <v>21</v>
      </c>
      <c r="D98" s="831">
        <v>6775.5</v>
      </c>
      <c r="E98" s="214">
        <v>0</v>
      </c>
      <c r="F98" s="831">
        <v>78</v>
      </c>
      <c r="G98" s="831">
        <f>SUM(D98:F98)</f>
        <v>6853.5</v>
      </c>
      <c r="H98" s="214">
        <f t="shared" si="12"/>
        <v>7.7341052203940688</v>
      </c>
      <c r="I98" s="2599" t="s">
        <v>770</v>
      </c>
      <c r="J98" s="2599"/>
      <c r="K98" s="2599"/>
      <c r="L98" s="2599"/>
      <c r="M98" s="2599"/>
      <c r="N98" s="2599"/>
    </row>
    <row r="99" spans="1:14" s="1" customFormat="1" ht="25" customHeight="1" x14ac:dyDescent="0.2">
      <c r="A99" s="2664"/>
      <c r="B99" s="3525"/>
      <c r="C99" s="57" t="s">
        <v>22</v>
      </c>
      <c r="D99" s="216">
        <f>D98/$G$98*100</f>
        <v>98.861895381921656</v>
      </c>
      <c r="E99" s="216">
        <f>E98/$G$98*100</f>
        <v>0</v>
      </c>
      <c r="F99" s="216">
        <f>F98/$G$98*100</f>
        <v>1.1381046180783541</v>
      </c>
      <c r="G99" s="216"/>
      <c r="H99" s="214">
        <f t="shared" si="12"/>
        <v>0</v>
      </c>
      <c r="I99" s="2599"/>
      <c r="J99" s="2599"/>
      <c r="K99" s="2599"/>
      <c r="L99" s="2599"/>
      <c r="M99" s="2599"/>
      <c r="N99" s="2599"/>
    </row>
    <row r="100" spans="1:14" s="1" customFormat="1" ht="25" hidden="1" customHeight="1" x14ac:dyDescent="0.2">
      <c r="A100" s="2664">
        <v>4</v>
      </c>
      <c r="B100" s="3525" t="s">
        <v>541</v>
      </c>
      <c r="C100" s="57" t="s">
        <v>21</v>
      </c>
      <c r="D100" s="831"/>
      <c r="E100" s="214"/>
      <c r="F100" s="831"/>
      <c r="G100" s="831">
        <f>SUM(D100:F100)</f>
        <v>0</v>
      </c>
      <c r="H100" s="214">
        <f t="shared" si="12"/>
        <v>0</v>
      </c>
      <c r="I100" s="2599"/>
      <c r="J100" s="2599"/>
      <c r="K100" s="2599"/>
      <c r="L100" s="2599"/>
      <c r="M100" s="2599"/>
      <c r="N100" s="2599"/>
    </row>
    <row r="101" spans="1:14" s="1" customFormat="1" ht="25" hidden="1" customHeight="1" x14ac:dyDescent="0.2">
      <c r="A101" s="2664"/>
      <c r="B101" s="3525"/>
      <c r="C101" s="57" t="s">
        <v>22</v>
      </c>
      <c r="D101" s="216" t="e">
        <f>D100/$G$100*100</f>
        <v>#DIV/0!</v>
      </c>
      <c r="E101" s="216" t="e">
        <f>E100/$G$100*100</f>
        <v>#DIV/0!</v>
      </c>
      <c r="F101" s="216" t="e">
        <f>F100/$G$100*100</f>
        <v>#DIV/0!</v>
      </c>
      <c r="G101" s="216"/>
      <c r="H101" s="214">
        <f t="shared" si="12"/>
        <v>0</v>
      </c>
      <c r="I101" s="2599"/>
      <c r="J101" s="2599"/>
      <c r="K101" s="2599"/>
      <c r="L101" s="2599"/>
      <c r="M101" s="2599"/>
      <c r="N101" s="2599"/>
    </row>
    <row r="102" spans="1:14" s="1" customFormat="1" ht="25" customHeight="1" x14ac:dyDescent="0.2">
      <c r="A102" s="2664">
        <v>4</v>
      </c>
      <c r="B102" s="3525" t="s">
        <v>117</v>
      </c>
      <c r="C102" s="57" t="s">
        <v>21</v>
      </c>
      <c r="D102" s="831">
        <v>4531.5</v>
      </c>
      <c r="E102" s="214">
        <v>0</v>
      </c>
      <c r="F102" s="831">
        <v>34.5</v>
      </c>
      <c r="G102" s="831">
        <f t="shared" ref="G102:G108" si="13">SUM(D102:F102)</f>
        <v>4566</v>
      </c>
      <c r="H102" s="214">
        <f t="shared" si="12"/>
        <v>5.1526846773647508</v>
      </c>
      <c r="I102" s="2599"/>
      <c r="J102" s="2599"/>
      <c r="K102" s="2599"/>
      <c r="L102" s="2599"/>
      <c r="M102" s="2599"/>
      <c r="N102" s="2599"/>
    </row>
    <row r="103" spans="1:14" s="1" customFormat="1" ht="25" customHeight="1" x14ac:dyDescent="0.2">
      <c r="A103" s="2664"/>
      <c r="B103" s="3525"/>
      <c r="C103" s="57" t="s">
        <v>22</v>
      </c>
      <c r="D103" s="216">
        <f>D102/$G$102*100</f>
        <v>99.244415243101187</v>
      </c>
      <c r="E103" s="216">
        <f>E102/$G$102*100</f>
        <v>0</v>
      </c>
      <c r="F103" s="216">
        <f>F102/$G$102*100</f>
        <v>0.75558475689881732</v>
      </c>
      <c r="G103" s="216"/>
      <c r="H103" s="214">
        <f t="shared" si="12"/>
        <v>0</v>
      </c>
      <c r="I103" s="2599"/>
      <c r="J103" s="2599"/>
      <c r="K103" s="2599"/>
      <c r="L103" s="2599"/>
      <c r="M103" s="2599"/>
      <c r="N103" s="2599"/>
    </row>
    <row r="104" spans="1:14" s="1" customFormat="1" ht="25" customHeight="1" x14ac:dyDescent="0.2">
      <c r="A104" s="2664">
        <v>5</v>
      </c>
      <c r="B104" s="3525" t="s">
        <v>322</v>
      </c>
      <c r="C104" s="57" t="s">
        <v>21</v>
      </c>
      <c r="D104" s="831">
        <v>6006</v>
      </c>
      <c r="E104" s="214">
        <v>0</v>
      </c>
      <c r="F104" s="831">
        <v>45</v>
      </c>
      <c r="G104" s="831">
        <f t="shared" si="13"/>
        <v>6051</v>
      </c>
      <c r="H104" s="214">
        <f t="shared" si="12"/>
        <v>6.8284921118559145</v>
      </c>
      <c r="I104" s="2599"/>
      <c r="J104" s="2599"/>
      <c r="K104" s="2599"/>
      <c r="L104" s="2599"/>
      <c r="M104" s="2599"/>
      <c r="N104" s="2599"/>
    </row>
    <row r="105" spans="1:14" s="1" customFormat="1" ht="25" customHeight="1" x14ac:dyDescent="0.2">
      <c r="A105" s="2664"/>
      <c r="B105" s="3525"/>
      <c r="C105" s="57" t="s">
        <v>22</v>
      </c>
      <c r="D105" s="216">
        <f>D104/$G$104*100</f>
        <v>99.256321269211696</v>
      </c>
      <c r="E105" s="216">
        <f>E104/$G$104*100</f>
        <v>0</v>
      </c>
      <c r="F105" s="216">
        <f>F104/$G$104*100</f>
        <v>0.74367873078829949</v>
      </c>
      <c r="G105" s="214"/>
      <c r="H105" s="214">
        <f t="shared" si="12"/>
        <v>0</v>
      </c>
      <c r="I105" s="2599"/>
      <c r="J105" s="2599"/>
      <c r="K105" s="2599"/>
      <c r="L105" s="2599"/>
      <c r="M105" s="2599"/>
      <c r="N105" s="2599"/>
    </row>
    <row r="106" spans="1:14" s="1" customFormat="1" ht="23" hidden="1" customHeight="1" x14ac:dyDescent="0.2">
      <c r="A106" s="2664">
        <v>7</v>
      </c>
      <c r="B106" s="3525" t="s">
        <v>125</v>
      </c>
      <c r="C106" s="57" t="s">
        <v>21</v>
      </c>
      <c r="D106" s="831"/>
      <c r="E106" s="214"/>
      <c r="F106" s="831"/>
      <c r="G106" s="831">
        <f>SUM(D106:F106)</f>
        <v>0</v>
      </c>
      <c r="H106" s="214">
        <f t="shared" si="12"/>
        <v>0</v>
      </c>
      <c r="I106" s="1014"/>
      <c r="J106" s="1014"/>
      <c r="K106" s="1014"/>
      <c r="L106" s="1014"/>
      <c r="M106" s="1014"/>
      <c r="N106" s="1014"/>
    </row>
    <row r="107" spans="1:14" s="1" customFormat="1" ht="23" hidden="1" customHeight="1" x14ac:dyDescent="0.2">
      <c r="A107" s="2664"/>
      <c r="B107" s="3525"/>
      <c r="C107" s="57" t="s">
        <v>22</v>
      </c>
      <c r="D107" s="216" t="e">
        <f>D106/$G$106*100</f>
        <v>#DIV/0!</v>
      </c>
      <c r="E107" s="216" t="e">
        <f>E106/$G$106*100</f>
        <v>#DIV/0!</v>
      </c>
      <c r="F107" s="216" t="e">
        <f>F106/$G$106*100</f>
        <v>#DIV/0!</v>
      </c>
      <c r="G107" s="214"/>
      <c r="H107" s="214">
        <f t="shared" si="12"/>
        <v>0</v>
      </c>
      <c r="I107" s="1014"/>
      <c r="J107" s="1014"/>
      <c r="K107" s="1014"/>
      <c r="L107" s="1014"/>
      <c r="M107" s="1014"/>
      <c r="N107" s="1014"/>
    </row>
    <row r="108" spans="1:14" s="1" customFormat="1" ht="23" hidden="1" customHeight="1" x14ac:dyDescent="0.2">
      <c r="A108" s="2664">
        <v>8</v>
      </c>
      <c r="B108" s="3525" t="s">
        <v>637</v>
      </c>
      <c r="C108" s="57" t="s">
        <v>21</v>
      </c>
      <c r="D108" s="831"/>
      <c r="E108" s="214"/>
      <c r="F108" s="831"/>
      <c r="G108" s="831">
        <f t="shared" si="13"/>
        <v>0</v>
      </c>
      <c r="H108" s="214">
        <f t="shared" si="12"/>
        <v>0</v>
      </c>
      <c r="I108" s="2599"/>
      <c r="J108" s="2599"/>
      <c r="K108" s="2599"/>
      <c r="L108" s="2599"/>
      <c r="M108" s="2599"/>
      <c r="N108" s="2599"/>
    </row>
    <row r="109" spans="1:14" s="1" customFormat="1" ht="23" hidden="1" customHeight="1" x14ac:dyDescent="0.2">
      <c r="A109" s="2664"/>
      <c r="B109" s="3525"/>
      <c r="C109" s="57" t="s">
        <v>22</v>
      </c>
      <c r="D109" s="216" t="e">
        <f>D108/$G$108*100</f>
        <v>#DIV/0!</v>
      </c>
      <c r="E109" s="216" t="e">
        <f>E108/$G$108*100</f>
        <v>#DIV/0!</v>
      </c>
      <c r="F109" s="216" t="e">
        <f>F108/$G$108*100</f>
        <v>#DIV/0!</v>
      </c>
      <c r="G109" s="214"/>
      <c r="H109" s="214">
        <f t="shared" si="12"/>
        <v>0</v>
      </c>
      <c r="I109" s="2599"/>
      <c r="J109" s="2599"/>
      <c r="K109" s="2599"/>
      <c r="L109" s="2599"/>
      <c r="M109" s="2599"/>
      <c r="N109" s="2599"/>
    </row>
    <row r="110" spans="1:14" s="1" customFormat="1" ht="23" hidden="1" customHeight="1" x14ac:dyDescent="0.2">
      <c r="A110" s="2664">
        <v>9</v>
      </c>
      <c r="B110" s="3525" t="s">
        <v>144</v>
      </c>
      <c r="C110" s="57" t="s">
        <v>21</v>
      </c>
      <c r="D110" s="831"/>
      <c r="E110" s="214"/>
      <c r="F110" s="831"/>
      <c r="G110" s="831"/>
      <c r="H110" s="214">
        <f t="shared" si="12"/>
        <v>0</v>
      </c>
      <c r="I110" s="2599"/>
      <c r="J110" s="2599"/>
      <c r="K110" s="2599"/>
      <c r="L110" s="2599"/>
      <c r="M110" s="2599"/>
      <c r="N110" s="2599"/>
    </row>
    <row r="111" spans="1:14" s="1" customFormat="1" ht="23" hidden="1" customHeight="1" x14ac:dyDescent="0.2">
      <c r="A111" s="2664"/>
      <c r="B111" s="3525"/>
      <c r="C111" s="57" t="s">
        <v>22</v>
      </c>
      <c r="D111" s="216" t="e">
        <f>D110/$G$110*100</f>
        <v>#DIV/0!</v>
      </c>
      <c r="E111" s="216" t="e">
        <f>E110/$G$110*100</f>
        <v>#DIV/0!</v>
      </c>
      <c r="F111" s="216" t="e">
        <f>F110/$G$110*100</f>
        <v>#DIV/0!</v>
      </c>
      <c r="G111" s="214"/>
      <c r="H111" s="214">
        <f t="shared" si="12"/>
        <v>0</v>
      </c>
      <c r="I111" s="2599"/>
      <c r="J111" s="2599"/>
      <c r="K111" s="2599"/>
      <c r="L111" s="2599"/>
      <c r="M111" s="2599"/>
      <c r="N111" s="2599"/>
    </row>
    <row r="112" spans="1:14" s="1" customFormat="1" ht="31" customHeight="1" x14ac:dyDescent="0.2">
      <c r="A112" s="3526" t="s">
        <v>1085</v>
      </c>
      <c r="B112" s="3526"/>
      <c r="C112" s="1092" t="s">
        <v>21</v>
      </c>
      <c r="D112" s="1112">
        <f>SUMIFS(D94:D111,$C$94:$C$111,"m2")</f>
        <v>87753</v>
      </c>
      <c r="E112" s="1112">
        <f>SUMIFS(E94:E111,$C$94:$C$111,"m2")</f>
        <v>0</v>
      </c>
      <c r="F112" s="1112">
        <f>SUMIFS(F94:F111,$C$94:$C$111,"m2")</f>
        <v>861</v>
      </c>
      <c r="G112" s="1112">
        <f>SUM(D112:F112)</f>
        <v>88614</v>
      </c>
      <c r="H112" s="1091"/>
      <c r="I112" s="3527"/>
      <c r="J112" s="3527"/>
      <c r="K112" s="3527"/>
      <c r="L112" s="3527"/>
      <c r="M112" s="3527"/>
      <c r="N112" s="3527"/>
    </row>
    <row r="113" spans="1:16" s="1" customFormat="1" ht="31" customHeight="1" x14ac:dyDescent="0.2">
      <c r="A113" s="3526"/>
      <c r="B113" s="3526"/>
      <c r="C113" s="1092" t="s">
        <v>22</v>
      </c>
      <c r="D113" s="1093">
        <f>D112/$G$112*100</f>
        <v>99.028370234951595</v>
      </c>
      <c r="E113" s="1093">
        <f>E112/$G$112*100</f>
        <v>0</v>
      </c>
      <c r="F113" s="1093">
        <f>F112/$G$112*100</f>
        <v>0.97162976504841214</v>
      </c>
      <c r="G113" s="1094"/>
      <c r="H113" s="1091"/>
      <c r="I113" s="3527"/>
      <c r="J113" s="3527"/>
      <c r="K113" s="3527"/>
      <c r="L113" s="3527"/>
      <c r="M113" s="3527"/>
      <c r="N113" s="3527"/>
    </row>
    <row r="114" spans="1:16" s="1" customFormat="1" ht="24" customHeight="1" x14ac:dyDescent="0.2">
      <c r="A114" s="2664">
        <v>1</v>
      </c>
      <c r="B114" s="3518" t="s">
        <v>129</v>
      </c>
      <c r="C114" s="57" t="s">
        <v>21</v>
      </c>
      <c r="D114" s="834">
        <v>4090.5</v>
      </c>
      <c r="E114" s="738">
        <v>0</v>
      </c>
      <c r="F114" s="834">
        <v>463.5</v>
      </c>
      <c r="G114" s="831">
        <f>SUM(D114:F114)</f>
        <v>4554</v>
      </c>
      <c r="H114" s="214">
        <f t="shared" si="12"/>
        <v>5.1391427991062359</v>
      </c>
      <c r="I114" s="2599" t="s">
        <v>771</v>
      </c>
      <c r="J114" s="2599"/>
      <c r="K114" s="2599"/>
      <c r="L114" s="2599"/>
      <c r="M114" s="2599"/>
      <c r="N114" s="2599"/>
    </row>
    <row r="115" spans="1:16" s="1" customFormat="1" ht="24" customHeight="1" x14ac:dyDescent="0.2">
      <c r="A115" s="2664"/>
      <c r="B115" s="3518"/>
      <c r="C115" s="57" t="s">
        <v>22</v>
      </c>
      <c r="D115" s="739">
        <f>D114/$G$114*100</f>
        <v>89.822134387351781</v>
      </c>
      <c r="E115" s="739">
        <f>E114/$G$114*100</f>
        <v>0</v>
      </c>
      <c r="F115" s="739">
        <f>F114/$G$114*100</f>
        <v>10.177865612648221</v>
      </c>
      <c r="G115" s="216"/>
      <c r="H115" s="214">
        <f t="shared" si="12"/>
        <v>0</v>
      </c>
      <c r="I115" s="2599"/>
      <c r="J115" s="2599"/>
      <c r="K115" s="2599"/>
      <c r="L115" s="2599"/>
      <c r="M115" s="2599"/>
      <c r="N115" s="2599"/>
    </row>
    <row r="116" spans="1:16" s="1" customFormat="1" ht="24" customHeight="1" x14ac:dyDescent="0.2">
      <c r="A116" s="2664">
        <v>2</v>
      </c>
      <c r="B116" s="3520" t="s">
        <v>109</v>
      </c>
      <c r="C116" s="57" t="s">
        <v>21</v>
      </c>
      <c r="D116" s="831">
        <v>25161</v>
      </c>
      <c r="E116" s="214">
        <v>0</v>
      </c>
      <c r="F116" s="831">
        <v>2149.5</v>
      </c>
      <c r="G116" s="831">
        <f>SUM(D116:F116)</f>
        <v>27310.5</v>
      </c>
      <c r="H116" s="214">
        <f t="shared" si="12"/>
        <v>30.819622181596589</v>
      </c>
      <c r="I116" s="2599"/>
      <c r="J116" s="2599"/>
      <c r="K116" s="2599"/>
      <c r="L116" s="2599"/>
      <c r="M116" s="2599"/>
      <c r="N116" s="2599"/>
    </row>
    <row r="117" spans="1:16" s="1" customFormat="1" ht="24" customHeight="1" x14ac:dyDescent="0.2">
      <c r="A117" s="2664"/>
      <c r="B117" s="3520"/>
      <c r="C117" s="57" t="s">
        <v>22</v>
      </c>
      <c r="D117" s="216">
        <f>D116/$G$116*100</f>
        <v>92.129400779919806</v>
      </c>
      <c r="E117" s="216">
        <f>E116/$G$116*100</f>
        <v>0</v>
      </c>
      <c r="F117" s="216">
        <f>F116/$G$116*100</f>
        <v>7.8705992200801891</v>
      </c>
      <c r="G117" s="216"/>
      <c r="H117" s="214">
        <f t="shared" si="12"/>
        <v>0</v>
      </c>
      <c r="I117" s="2599"/>
      <c r="J117" s="2599"/>
      <c r="K117" s="2599"/>
      <c r="L117" s="2599"/>
      <c r="M117" s="2599"/>
      <c r="N117" s="2599"/>
    </row>
    <row r="118" spans="1:16" s="1" customFormat="1" ht="24" customHeight="1" x14ac:dyDescent="0.2">
      <c r="A118" s="2664">
        <v>3</v>
      </c>
      <c r="B118" s="3518" t="s">
        <v>322</v>
      </c>
      <c r="C118" s="57" t="s">
        <v>21</v>
      </c>
      <c r="D118" s="831">
        <v>3892.5</v>
      </c>
      <c r="E118" s="214">
        <v>0</v>
      </c>
      <c r="F118" s="831">
        <v>586.5</v>
      </c>
      <c r="G118" s="831">
        <f>SUM(D118:F118)</f>
        <v>4479</v>
      </c>
      <c r="H118" s="214">
        <f t="shared" si="12"/>
        <v>5.0545060599905201</v>
      </c>
      <c r="I118" s="2599"/>
      <c r="J118" s="2599"/>
      <c r="K118" s="2599"/>
      <c r="L118" s="2599"/>
      <c r="M118" s="2599"/>
      <c r="N118" s="2599"/>
    </row>
    <row r="119" spans="1:16" s="1" customFormat="1" ht="24" customHeight="1" x14ac:dyDescent="0.2">
      <c r="A119" s="2664"/>
      <c r="B119" s="3518"/>
      <c r="C119" s="57" t="s">
        <v>22</v>
      </c>
      <c r="D119" s="216">
        <f>D118/$G$118*100</f>
        <v>86.905559276624246</v>
      </c>
      <c r="E119" s="216">
        <f>E118/$G$118*100</f>
        <v>0</v>
      </c>
      <c r="F119" s="216">
        <f>F118/$G$118*100</f>
        <v>13.094440723375753</v>
      </c>
      <c r="G119" s="216"/>
      <c r="H119" s="214">
        <f t="shared" si="12"/>
        <v>0</v>
      </c>
      <c r="I119" s="2599"/>
      <c r="J119" s="2599"/>
      <c r="K119" s="2599"/>
      <c r="L119" s="2599"/>
      <c r="M119" s="2599"/>
      <c r="N119" s="2599"/>
      <c r="P119" s="3521"/>
    </row>
    <row r="120" spans="1:16" s="1" customFormat="1" ht="24" customHeight="1" x14ac:dyDescent="0.2">
      <c r="A120" s="2664">
        <v>4</v>
      </c>
      <c r="B120" s="3518" t="s">
        <v>117</v>
      </c>
      <c r="C120" s="57" t="s">
        <v>21</v>
      </c>
      <c r="D120" s="831">
        <v>1576.5</v>
      </c>
      <c r="E120" s="214">
        <v>0</v>
      </c>
      <c r="F120" s="831">
        <v>55.5</v>
      </c>
      <c r="G120" s="831">
        <f>SUM(D120:F120)</f>
        <v>1632</v>
      </c>
      <c r="H120" s="214">
        <f t="shared" si="12"/>
        <v>1.841695443157966</v>
      </c>
      <c r="I120" s="2599"/>
      <c r="J120" s="2599"/>
      <c r="K120" s="2599"/>
      <c r="L120" s="2599"/>
      <c r="M120" s="2599"/>
      <c r="N120" s="2599"/>
      <c r="P120" s="3521"/>
    </row>
    <row r="121" spans="1:16" s="1" customFormat="1" ht="24" customHeight="1" x14ac:dyDescent="0.2">
      <c r="A121" s="2664"/>
      <c r="B121" s="3518"/>
      <c r="C121" s="57" t="s">
        <v>22</v>
      </c>
      <c r="D121" s="216">
        <f>D120/$G$120*100</f>
        <v>96.599264705882348</v>
      </c>
      <c r="E121" s="216">
        <f>E120/$G$120*100</f>
        <v>0</v>
      </c>
      <c r="F121" s="216">
        <f>F120/$G$120*100</f>
        <v>3.4007352941176467</v>
      </c>
      <c r="G121" s="216"/>
      <c r="H121" s="214">
        <f t="shared" si="12"/>
        <v>0</v>
      </c>
      <c r="I121" s="2599"/>
      <c r="J121" s="2599"/>
      <c r="K121" s="2599"/>
      <c r="L121" s="2599"/>
      <c r="M121" s="2599"/>
      <c r="N121" s="2599"/>
    </row>
    <row r="122" spans="1:16" s="1" customFormat="1" ht="24" customHeight="1" x14ac:dyDescent="0.2">
      <c r="A122" s="2664">
        <v>5</v>
      </c>
      <c r="B122" s="3519" t="s">
        <v>125</v>
      </c>
      <c r="C122" s="57" t="s">
        <v>21</v>
      </c>
      <c r="D122" s="831">
        <v>1336.5</v>
      </c>
      <c r="E122" s="214">
        <v>0</v>
      </c>
      <c r="F122" s="831">
        <v>238.5</v>
      </c>
      <c r="G122" s="831">
        <f t="shared" ref="G122:G127" si="14">SUM(D122:F122)</f>
        <v>1575</v>
      </c>
      <c r="H122" s="214">
        <f t="shared" si="12"/>
        <v>1.7773715214300223</v>
      </c>
      <c r="I122" s="2599"/>
      <c r="J122" s="2599"/>
      <c r="K122" s="2599"/>
      <c r="L122" s="2599"/>
      <c r="M122" s="2599"/>
      <c r="N122" s="2599"/>
      <c r="P122" s="3521"/>
    </row>
    <row r="123" spans="1:16" s="1" customFormat="1" ht="24" customHeight="1" x14ac:dyDescent="0.2">
      <c r="A123" s="2664"/>
      <c r="B123" s="3519"/>
      <c r="C123" s="57" t="s">
        <v>22</v>
      </c>
      <c r="D123" s="216">
        <f>D122/$G$122*100</f>
        <v>84.857142857142847</v>
      </c>
      <c r="E123" s="216">
        <f>E122/$G$122*100</f>
        <v>0</v>
      </c>
      <c r="F123" s="216">
        <f>F122/$G$122*100</f>
        <v>15.142857142857144</v>
      </c>
      <c r="G123" s="216"/>
      <c r="H123" s="214">
        <f t="shared" si="12"/>
        <v>0</v>
      </c>
      <c r="I123" s="2599"/>
      <c r="J123" s="2599"/>
      <c r="K123" s="2599"/>
      <c r="L123" s="2599"/>
      <c r="M123" s="2599"/>
      <c r="N123" s="2599"/>
      <c r="P123" s="3521"/>
    </row>
    <row r="124" spans="1:16" s="1" customFormat="1" ht="24" hidden="1" customHeight="1" x14ac:dyDescent="0.2">
      <c r="A124" s="2664">
        <v>6</v>
      </c>
      <c r="B124" s="3518" t="s">
        <v>322</v>
      </c>
      <c r="C124" s="57" t="s">
        <v>21</v>
      </c>
      <c r="D124" s="831"/>
      <c r="E124" s="214"/>
      <c r="F124" s="831"/>
      <c r="G124" s="831">
        <f t="shared" si="14"/>
        <v>0</v>
      </c>
      <c r="H124" s="214">
        <f t="shared" si="12"/>
        <v>0</v>
      </c>
      <c r="I124" s="2599"/>
      <c r="J124" s="2599"/>
      <c r="K124" s="2599"/>
      <c r="L124" s="2599"/>
      <c r="M124" s="2599"/>
      <c r="N124" s="2599"/>
    </row>
    <row r="125" spans="1:16" s="1" customFormat="1" ht="24" hidden="1" customHeight="1" x14ac:dyDescent="0.2">
      <c r="A125" s="2664"/>
      <c r="B125" s="3518"/>
      <c r="C125" s="57" t="s">
        <v>22</v>
      </c>
      <c r="D125" s="216" t="e">
        <f>D124/$G$124*100</f>
        <v>#DIV/0!</v>
      </c>
      <c r="E125" s="216" t="e">
        <f>E124/$G$124*100</f>
        <v>#DIV/0!</v>
      </c>
      <c r="F125" s="216" t="e">
        <f>F124/$G$124*100</f>
        <v>#DIV/0!</v>
      </c>
      <c r="G125" s="214"/>
      <c r="H125" s="214">
        <f t="shared" si="12"/>
        <v>0</v>
      </c>
      <c r="I125" s="2599"/>
      <c r="J125" s="2599"/>
      <c r="K125" s="2599"/>
      <c r="L125" s="2599"/>
      <c r="M125" s="2599"/>
      <c r="N125" s="2599"/>
    </row>
    <row r="126" spans="1:16" s="1" customFormat="1" ht="24" hidden="1" customHeight="1" x14ac:dyDescent="0.2">
      <c r="A126" s="2664">
        <v>7</v>
      </c>
      <c r="B126" s="3518" t="s">
        <v>541</v>
      </c>
      <c r="C126" s="57" t="s">
        <v>21</v>
      </c>
      <c r="D126" s="831"/>
      <c r="E126" s="214"/>
      <c r="F126" s="831"/>
      <c r="G126" s="831">
        <f t="shared" si="14"/>
        <v>0</v>
      </c>
      <c r="H126" s="214">
        <f t="shared" si="12"/>
        <v>0</v>
      </c>
      <c r="I126" s="2599"/>
      <c r="J126" s="2599"/>
      <c r="K126" s="2599"/>
      <c r="L126" s="2599"/>
      <c r="M126" s="2599"/>
      <c r="N126" s="2599"/>
    </row>
    <row r="127" spans="1:16" s="1" customFormat="1" ht="24" hidden="1" customHeight="1" x14ac:dyDescent="0.2">
      <c r="A127" s="2664"/>
      <c r="B127" s="3518"/>
      <c r="C127" s="57" t="s">
        <v>22</v>
      </c>
      <c r="D127" s="216" t="e">
        <f>D126/$G$110*100</f>
        <v>#DIV/0!</v>
      </c>
      <c r="E127" s="216" t="e">
        <f>E126/$G$110*100</f>
        <v>#DIV/0!</v>
      </c>
      <c r="F127" s="216" t="e">
        <f>F126/$G$110*100</f>
        <v>#DIV/0!</v>
      </c>
      <c r="G127" s="214" t="e">
        <f t="shared" si="14"/>
        <v>#DIV/0!</v>
      </c>
      <c r="H127" s="214" t="e">
        <f t="shared" si="12"/>
        <v>#DIV/0!</v>
      </c>
      <c r="I127" s="2599"/>
      <c r="J127" s="2599"/>
      <c r="K127" s="2599"/>
      <c r="L127" s="2599"/>
      <c r="M127" s="2599"/>
      <c r="N127" s="2599"/>
    </row>
    <row r="128" spans="1:16" s="1" customFormat="1" ht="24" customHeight="1" x14ac:dyDescent="0.2">
      <c r="A128" s="3518" t="s">
        <v>1086</v>
      </c>
      <c r="B128" s="3518"/>
      <c r="C128" s="971" t="s">
        <v>21</v>
      </c>
      <c r="D128" s="972">
        <f>SUMIFS(D114:D127,$C$114:$C$127,"m2")</f>
        <v>36057</v>
      </c>
      <c r="E128" s="972">
        <f>SUMIFS(E114:E127,$C$114:$C$127,"m2")</f>
        <v>0</v>
      </c>
      <c r="F128" s="972">
        <f>SUMIFS(F114:F127,$C$114:$C$127,"m2")</f>
        <v>3493.5</v>
      </c>
      <c r="G128" s="972">
        <f>SUM(D128:F128)</f>
        <v>39550.5</v>
      </c>
      <c r="H128" s="214"/>
      <c r="I128" s="2599"/>
      <c r="J128" s="2599"/>
      <c r="K128" s="2599"/>
      <c r="L128" s="2599"/>
      <c r="M128" s="2599"/>
      <c r="N128" s="2599"/>
    </row>
    <row r="129" spans="1:14" s="1" customFormat="1" ht="24" customHeight="1" x14ac:dyDescent="0.2">
      <c r="A129" s="3518"/>
      <c r="B129" s="3518"/>
      <c r="C129" s="971" t="s">
        <v>22</v>
      </c>
      <c r="D129" s="973">
        <f>D128/$G$128*100</f>
        <v>91.166989039329465</v>
      </c>
      <c r="E129" s="973">
        <f>E128/$G$128*100</f>
        <v>0</v>
      </c>
      <c r="F129" s="973">
        <f>F128/$G$128*100</f>
        <v>8.8330109606705349</v>
      </c>
      <c r="G129" s="974"/>
      <c r="H129" s="214"/>
      <c r="I129" s="2599"/>
      <c r="J129" s="2599"/>
      <c r="K129" s="2599"/>
      <c r="L129" s="2599"/>
      <c r="M129" s="2599"/>
      <c r="N129" s="2599"/>
    </row>
    <row r="130" spans="1:14" s="1" customFormat="1" ht="34" hidden="1" customHeight="1" x14ac:dyDescent="0.2">
      <c r="A130" s="2664">
        <v>1</v>
      </c>
      <c r="B130" s="3520" t="s">
        <v>109</v>
      </c>
      <c r="C130" s="57" t="s">
        <v>21</v>
      </c>
      <c r="D130" s="834"/>
      <c r="E130" s="738"/>
      <c r="F130" s="834"/>
      <c r="G130" s="831">
        <f>SUM(D130:F130)</f>
        <v>0</v>
      </c>
      <c r="H130" s="214">
        <f t="shared" ref="H130:H143" si="15">(G130/$G$112*100)</f>
        <v>0</v>
      </c>
      <c r="I130" s="2647" t="s">
        <v>772</v>
      </c>
      <c r="J130" s="2648"/>
      <c r="K130" s="2648"/>
      <c r="L130" s="2648"/>
      <c r="M130" s="2648"/>
      <c r="N130" s="2649"/>
    </row>
    <row r="131" spans="1:14" s="1" customFormat="1" ht="34" hidden="1" customHeight="1" x14ac:dyDescent="0.2">
      <c r="A131" s="2664"/>
      <c r="B131" s="3520"/>
      <c r="C131" s="57" t="s">
        <v>22</v>
      </c>
      <c r="D131" s="739" t="e">
        <f>D130/$G$130*100</f>
        <v>#DIV/0!</v>
      </c>
      <c r="E131" s="739"/>
      <c r="F131" s="739" t="e">
        <f>F130/$G$130*100</f>
        <v>#DIV/0!</v>
      </c>
      <c r="G131" s="216"/>
      <c r="H131" s="214">
        <f t="shared" si="15"/>
        <v>0</v>
      </c>
      <c r="I131" s="2650"/>
      <c r="J131" s="2507"/>
      <c r="K131" s="2507"/>
      <c r="L131" s="2507"/>
      <c r="M131" s="2507"/>
      <c r="N131" s="2651"/>
    </row>
    <row r="132" spans="1:14" s="1" customFormat="1" ht="34" hidden="1" customHeight="1" x14ac:dyDescent="0.2">
      <c r="A132" s="2664">
        <v>2</v>
      </c>
      <c r="B132" s="3518" t="s">
        <v>117</v>
      </c>
      <c r="C132" s="57" t="s">
        <v>21</v>
      </c>
      <c r="D132" s="831"/>
      <c r="E132" s="214"/>
      <c r="F132" s="831"/>
      <c r="G132" s="831">
        <f>SUM(D132:F132)</f>
        <v>0</v>
      </c>
      <c r="H132" s="214">
        <f t="shared" si="15"/>
        <v>0</v>
      </c>
      <c r="I132" s="2650"/>
      <c r="J132" s="2507"/>
      <c r="K132" s="2507"/>
      <c r="L132" s="2507"/>
      <c r="M132" s="2507"/>
      <c r="N132" s="2651"/>
    </row>
    <row r="133" spans="1:14" s="1" customFormat="1" ht="34" hidden="1" customHeight="1" x14ac:dyDescent="0.2">
      <c r="A133" s="2664"/>
      <c r="B133" s="3518"/>
      <c r="C133" s="57" t="s">
        <v>22</v>
      </c>
      <c r="D133" s="216" t="e">
        <f>D132/$G$132*100</f>
        <v>#DIV/0!</v>
      </c>
      <c r="E133" s="216" t="e">
        <f>E132/$G$132*100</f>
        <v>#DIV/0!</v>
      </c>
      <c r="F133" s="216" t="e">
        <f>F132/$G$132*100</f>
        <v>#DIV/0!</v>
      </c>
      <c r="G133" s="216"/>
      <c r="H133" s="214">
        <f t="shared" si="15"/>
        <v>0</v>
      </c>
      <c r="I133" s="2650"/>
      <c r="J133" s="2507"/>
      <c r="K133" s="2507"/>
      <c r="L133" s="2507"/>
      <c r="M133" s="2507"/>
      <c r="N133" s="2651"/>
    </row>
    <row r="134" spans="1:14" s="1" customFormat="1" ht="34" hidden="1" customHeight="1" x14ac:dyDescent="0.2">
      <c r="A134" s="2664">
        <v>3</v>
      </c>
      <c r="B134" s="3518" t="s">
        <v>125</v>
      </c>
      <c r="C134" s="57" t="s">
        <v>21</v>
      </c>
      <c r="D134" s="831"/>
      <c r="E134" s="214"/>
      <c r="F134" s="831"/>
      <c r="G134" s="831">
        <f>SUM(D134:F134)</f>
        <v>0</v>
      </c>
      <c r="H134" s="214">
        <f t="shared" si="15"/>
        <v>0</v>
      </c>
      <c r="I134" s="2650"/>
      <c r="J134" s="2507"/>
      <c r="K134" s="2507"/>
      <c r="L134" s="2507"/>
      <c r="M134" s="2507"/>
      <c r="N134" s="2651"/>
    </row>
    <row r="135" spans="1:14" s="1" customFormat="1" ht="34" hidden="1" customHeight="1" x14ac:dyDescent="0.2">
      <c r="A135" s="2664"/>
      <c r="B135" s="3518"/>
      <c r="C135" s="57" t="s">
        <v>22</v>
      </c>
      <c r="D135" s="216" t="e">
        <f>D134/$G$134*100</f>
        <v>#DIV/0!</v>
      </c>
      <c r="E135" s="216" t="e">
        <f>E134/$G$134*100</f>
        <v>#DIV/0!</v>
      </c>
      <c r="F135" s="216" t="e">
        <f>F134/$G$134*100</f>
        <v>#DIV/0!</v>
      </c>
      <c r="G135" s="216"/>
      <c r="H135" s="214">
        <f t="shared" si="15"/>
        <v>0</v>
      </c>
      <c r="I135" s="2650"/>
      <c r="J135" s="2507"/>
      <c r="K135" s="2507"/>
      <c r="L135" s="2507"/>
      <c r="M135" s="2507"/>
      <c r="N135" s="2651"/>
    </row>
    <row r="136" spans="1:14" s="1" customFormat="1" ht="34" hidden="1" customHeight="1" x14ac:dyDescent="0.2">
      <c r="A136" s="2664">
        <v>4</v>
      </c>
      <c r="B136" s="3519" t="s">
        <v>129</v>
      </c>
      <c r="C136" s="57" t="s">
        <v>21</v>
      </c>
      <c r="D136" s="831"/>
      <c r="E136" s="214"/>
      <c r="F136" s="831"/>
      <c r="G136" s="831">
        <f>SUM(D136:F136)</f>
        <v>0</v>
      </c>
      <c r="H136" s="214">
        <f t="shared" si="15"/>
        <v>0</v>
      </c>
      <c r="I136" s="2650"/>
      <c r="J136" s="2507"/>
      <c r="K136" s="2507"/>
      <c r="L136" s="2507"/>
      <c r="M136" s="2507"/>
      <c r="N136" s="2651"/>
    </row>
    <row r="137" spans="1:14" s="1" customFormat="1" ht="30" hidden="1" customHeight="1" x14ac:dyDescent="0.2">
      <c r="A137" s="2664"/>
      <c r="B137" s="3519"/>
      <c r="C137" s="57" t="s">
        <v>22</v>
      </c>
      <c r="D137" s="216" t="e">
        <f>D136/$G$136*100</f>
        <v>#DIV/0!</v>
      </c>
      <c r="E137" s="216" t="e">
        <f>E136/$G$136*100</f>
        <v>#DIV/0!</v>
      </c>
      <c r="F137" s="216" t="e">
        <f>F136/$G$136*100</f>
        <v>#DIV/0!</v>
      </c>
      <c r="G137" s="216"/>
      <c r="H137" s="214">
        <f t="shared" si="15"/>
        <v>0</v>
      </c>
      <c r="I137" s="2650"/>
      <c r="J137" s="2507"/>
      <c r="K137" s="2507"/>
      <c r="L137" s="2507"/>
      <c r="M137" s="2507"/>
      <c r="N137" s="2651"/>
    </row>
    <row r="138" spans="1:14" s="1" customFormat="1" ht="30" hidden="1" customHeight="1" x14ac:dyDescent="0.2">
      <c r="A138" s="2664">
        <v>5</v>
      </c>
      <c r="B138" s="3518" t="s">
        <v>146</v>
      </c>
      <c r="C138" s="57" t="s">
        <v>21</v>
      </c>
      <c r="D138" s="831"/>
      <c r="E138" s="214"/>
      <c r="F138" s="831"/>
      <c r="G138" s="831">
        <f>SUM(D138:F138)</f>
        <v>0</v>
      </c>
      <c r="H138" s="214">
        <f t="shared" si="15"/>
        <v>0</v>
      </c>
      <c r="I138" s="2650"/>
      <c r="J138" s="2507"/>
      <c r="K138" s="2507"/>
      <c r="L138" s="2507"/>
      <c r="M138" s="2507"/>
      <c r="N138" s="2651"/>
    </row>
    <row r="139" spans="1:14" s="1" customFormat="1" ht="30" hidden="1" customHeight="1" x14ac:dyDescent="0.2">
      <c r="A139" s="2664"/>
      <c r="B139" s="3518"/>
      <c r="C139" s="57" t="s">
        <v>22</v>
      </c>
      <c r="D139" s="216" t="e">
        <f>D138/$G$138*100</f>
        <v>#DIV/0!</v>
      </c>
      <c r="E139" s="216" t="e">
        <f>E138/$G$138*100</f>
        <v>#DIV/0!</v>
      </c>
      <c r="F139" s="216" t="e">
        <f>F138/$G$138*100</f>
        <v>#DIV/0!</v>
      </c>
      <c r="G139" s="216"/>
      <c r="H139" s="214">
        <f t="shared" si="15"/>
        <v>0</v>
      </c>
      <c r="I139" s="2650"/>
      <c r="J139" s="2507"/>
      <c r="K139" s="2507"/>
      <c r="L139" s="2507"/>
      <c r="M139" s="2507"/>
      <c r="N139" s="2651"/>
    </row>
    <row r="140" spans="1:14" s="1" customFormat="1" ht="30" hidden="1" customHeight="1" x14ac:dyDescent="0.2">
      <c r="A140" s="2664">
        <v>6</v>
      </c>
      <c r="B140" s="3518" t="s">
        <v>146</v>
      </c>
      <c r="C140" s="57" t="s">
        <v>21</v>
      </c>
      <c r="D140" s="831"/>
      <c r="E140" s="214"/>
      <c r="F140" s="831"/>
      <c r="G140" s="831">
        <f>SUM(D140:F140)</f>
        <v>0</v>
      </c>
      <c r="H140" s="214">
        <f t="shared" si="15"/>
        <v>0</v>
      </c>
      <c r="I140" s="2650"/>
      <c r="J140" s="2507"/>
      <c r="K140" s="2507"/>
      <c r="L140" s="2507"/>
      <c r="M140" s="2507"/>
      <c r="N140" s="2651"/>
    </row>
    <row r="141" spans="1:14" s="1" customFormat="1" ht="30" hidden="1" customHeight="1" x14ac:dyDescent="0.2">
      <c r="A141" s="2664"/>
      <c r="B141" s="3518"/>
      <c r="C141" s="57" t="s">
        <v>22</v>
      </c>
      <c r="D141" s="216" t="e">
        <f>D140/$G$124*100</f>
        <v>#DIV/0!</v>
      </c>
      <c r="E141" s="216" t="e">
        <f>E140/$G$124*100</f>
        <v>#DIV/0!</v>
      </c>
      <c r="F141" s="216" t="e">
        <f>F140/$G$124*100</f>
        <v>#DIV/0!</v>
      </c>
      <c r="G141" s="214"/>
      <c r="H141" s="214">
        <f t="shared" si="15"/>
        <v>0</v>
      </c>
      <c r="I141" s="2650"/>
      <c r="J141" s="2507"/>
      <c r="K141" s="2507"/>
      <c r="L141" s="2507"/>
      <c r="M141" s="2507"/>
      <c r="N141" s="2651"/>
    </row>
    <row r="142" spans="1:14" s="1" customFormat="1" ht="30" hidden="1" customHeight="1" x14ac:dyDescent="0.2">
      <c r="A142" s="2664">
        <v>7</v>
      </c>
      <c r="B142" s="3518" t="s">
        <v>541</v>
      </c>
      <c r="C142" s="57" t="s">
        <v>21</v>
      </c>
      <c r="D142" s="831"/>
      <c r="E142" s="214"/>
      <c r="F142" s="831"/>
      <c r="G142" s="831">
        <f>SUM(D142:F142)</f>
        <v>0</v>
      </c>
      <c r="H142" s="214">
        <f t="shared" si="15"/>
        <v>0</v>
      </c>
      <c r="I142" s="2650"/>
      <c r="J142" s="2507"/>
      <c r="K142" s="2507"/>
      <c r="L142" s="2507"/>
      <c r="M142" s="2507"/>
      <c r="N142" s="2651"/>
    </row>
    <row r="143" spans="1:14" s="1" customFormat="1" ht="30" hidden="1" customHeight="1" x14ac:dyDescent="0.2">
      <c r="A143" s="2664"/>
      <c r="B143" s="3518"/>
      <c r="C143" s="57" t="s">
        <v>22</v>
      </c>
      <c r="D143" s="216" t="e">
        <f>D142/$G$110*100</f>
        <v>#DIV/0!</v>
      </c>
      <c r="E143" s="216" t="e">
        <f>E142/$G$110*100</f>
        <v>#DIV/0!</v>
      </c>
      <c r="F143" s="216" t="e">
        <f>F142/$G$110*100</f>
        <v>#DIV/0!</v>
      </c>
      <c r="G143" s="214" t="e">
        <f>SUM(D143:F143)</f>
        <v>#DIV/0!</v>
      </c>
      <c r="H143" s="214" t="e">
        <f t="shared" si="15"/>
        <v>#DIV/0!</v>
      </c>
      <c r="I143" s="2650"/>
      <c r="J143" s="2507"/>
      <c r="K143" s="2507"/>
      <c r="L143" s="2507"/>
      <c r="M143" s="2507"/>
      <c r="N143" s="2651"/>
    </row>
    <row r="144" spans="1:14" s="1" customFormat="1" ht="30" hidden="1" customHeight="1" x14ac:dyDescent="0.2">
      <c r="A144" s="3518" t="s">
        <v>1087</v>
      </c>
      <c r="B144" s="3518"/>
      <c r="C144" s="971" t="s">
        <v>21</v>
      </c>
      <c r="D144" s="972">
        <f>SUMIFS(D130:D143,$C$130:$C$143,"m2")</f>
        <v>0</v>
      </c>
      <c r="E144" s="972">
        <f>SUMIFS(E130:E143,$C$130:$C$143,"m2")</f>
        <v>0</v>
      </c>
      <c r="F144" s="972">
        <f>SUMIFS(F130:F143,$C$130:$C$143,"m2")</f>
        <v>0</v>
      </c>
      <c r="G144" s="972">
        <f>SUM(D144:F144)</f>
        <v>0</v>
      </c>
      <c r="H144" s="1095"/>
      <c r="I144" s="2650"/>
      <c r="J144" s="2507"/>
      <c r="K144" s="2507"/>
      <c r="L144" s="2507"/>
      <c r="M144" s="2507"/>
      <c r="N144" s="2651"/>
    </row>
    <row r="145" spans="1:14" s="1" customFormat="1" ht="30" hidden="1" customHeight="1" x14ac:dyDescent="0.2">
      <c r="A145" s="3518"/>
      <c r="B145" s="3518"/>
      <c r="C145" s="971" t="s">
        <v>22</v>
      </c>
      <c r="D145" s="973" t="e">
        <f>D144/$G$144*100</f>
        <v>#DIV/0!</v>
      </c>
      <c r="E145" s="973" t="e">
        <f>E144/$G$144*100</f>
        <v>#DIV/0!</v>
      </c>
      <c r="F145" s="973" t="e">
        <f>F144/$G$144*100</f>
        <v>#DIV/0!</v>
      </c>
      <c r="G145" s="974"/>
      <c r="H145" s="1095"/>
      <c r="I145" s="2652"/>
      <c r="J145" s="2596"/>
      <c r="K145" s="2596"/>
      <c r="L145" s="2596"/>
      <c r="M145" s="2596"/>
      <c r="N145" s="2653"/>
    </row>
    <row r="146" spans="1:14" s="1" customFormat="1" ht="26" hidden="1" customHeight="1" x14ac:dyDescent="0.2">
      <c r="A146" s="2664">
        <v>1</v>
      </c>
      <c r="B146" s="3520" t="s">
        <v>109</v>
      </c>
      <c r="C146" s="57" t="s">
        <v>21</v>
      </c>
      <c r="D146" s="834"/>
      <c r="E146" s="738"/>
      <c r="F146" s="834"/>
      <c r="G146" s="831">
        <f>SUM(D146:F146)</f>
        <v>0</v>
      </c>
      <c r="H146" s="214">
        <f t="shared" ref="H146:H159" si="16">(G146/$G$112*100)</f>
        <v>0</v>
      </c>
      <c r="I146" s="2599" t="s">
        <v>773</v>
      </c>
      <c r="J146" s="2599"/>
      <c r="K146" s="2599"/>
      <c r="L146" s="2599"/>
      <c r="M146" s="2599"/>
      <c r="N146" s="2599"/>
    </row>
    <row r="147" spans="1:14" s="1" customFormat="1" ht="26" hidden="1" customHeight="1" x14ac:dyDescent="0.2">
      <c r="A147" s="2664"/>
      <c r="B147" s="3520"/>
      <c r="C147" s="57" t="s">
        <v>22</v>
      </c>
      <c r="D147" s="739" t="e">
        <f>D146/$G$146*100</f>
        <v>#DIV/0!</v>
      </c>
      <c r="E147" s="739"/>
      <c r="F147" s="739" t="e">
        <f>F146/$G$146*100</f>
        <v>#DIV/0!</v>
      </c>
      <c r="G147" s="216"/>
      <c r="H147" s="214">
        <f t="shared" si="16"/>
        <v>0</v>
      </c>
      <c r="I147" s="2599"/>
      <c r="J147" s="2599"/>
      <c r="K147" s="2599"/>
      <c r="L147" s="2599"/>
      <c r="M147" s="2599"/>
      <c r="N147" s="2599"/>
    </row>
    <row r="148" spans="1:14" s="1" customFormat="1" ht="26" hidden="1" customHeight="1" x14ac:dyDescent="0.2">
      <c r="A148" s="2664">
        <v>2</v>
      </c>
      <c r="B148" s="3518" t="s">
        <v>117</v>
      </c>
      <c r="C148" s="57" t="s">
        <v>21</v>
      </c>
      <c r="D148" s="831"/>
      <c r="E148" s="214"/>
      <c r="F148" s="831"/>
      <c r="G148" s="831">
        <f>SUM(D148:F148)</f>
        <v>0</v>
      </c>
      <c r="H148" s="214">
        <f t="shared" si="16"/>
        <v>0</v>
      </c>
      <c r="I148" s="2599"/>
      <c r="J148" s="2599"/>
      <c r="K148" s="2599"/>
      <c r="L148" s="2599"/>
      <c r="M148" s="2599"/>
      <c r="N148" s="2599"/>
    </row>
    <row r="149" spans="1:14" s="1" customFormat="1" ht="1" hidden="1" customHeight="1" x14ac:dyDescent="0.2">
      <c r="A149" s="2664"/>
      <c r="B149" s="3518"/>
      <c r="C149" s="57" t="s">
        <v>22</v>
      </c>
      <c r="D149" s="216" t="e">
        <f>D148/$G$148*100</f>
        <v>#DIV/0!</v>
      </c>
      <c r="E149" s="216" t="e">
        <f>E148/$G$148*100</f>
        <v>#DIV/0!</v>
      </c>
      <c r="F149" s="216" t="e">
        <f>F148/$G$148*100</f>
        <v>#DIV/0!</v>
      </c>
      <c r="G149" s="216"/>
      <c r="H149" s="214">
        <f t="shared" si="16"/>
        <v>0</v>
      </c>
      <c r="I149" s="2599"/>
      <c r="J149" s="2599"/>
      <c r="K149" s="2599"/>
      <c r="L149" s="2599"/>
      <c r="M149" s="2599"/>
      <c r="N149" s="2599"/>
    </row>
    <row r="150" spans="1:14" s="1" customFormat="1" ht="26" hidden="1" customHeight="1" x14ac:dyDescent="0.2">
      <c r="A150" s="2664">
        <v>1</v>
      </c>
      <c r="B150" s="3518" t="s">
        <v>125</v>
      </c>
      <c r="C150" s="57" t="s">
        <v>21</v>
      </c>
      <c r="D150" s="831"/>
      <c r="E150" s="214"/>
      <c r="F150" s="831"/>
      <c r="G150" s="831">
        <f>SUM(D150:F150)</f>
        <v>0</v>
      </c>
      <c r="H150" s="214" t="e">
        <f>(G150/$G$150*100)</f>
        <v>#DIV/0!</v>
      </c>
      <c r="I150" s="2599"/>
      <c r="J150" s="2599"/>
      <c r="K150" s="2599"/>
      <c r="L150" s="2599"/>
      <c r="M150" s="2599"/>
      <c r="N150" s="2599"/>
    </row>
    <row r="151" spans="1:14" s="1" customFormat="1" ht="26" hidden="1" customHeight="1" x14ac:dyDescent="0.2">
      <c r="A151" s="2664"/>
      <c r="B151" s="3518"/>
      <c r="C151" s="57" t="s">
        <v>22</v>
      </c>
      <c r="D151" s="216" t="e">
        <f>D150/$G$150*100</f>
        <v>#DIV/0!</v>
      </c>
      <c r="E151" s="216" t="e">
        <f>E150/$G$150*100</f>
        <v>#DIV/0!</v>
      </c>
      <c r="F151" s="216" t="e">
        <f>F150/$G$150*100</f>
        <v>#DIV/0!</v>
      </c>
      <c r="G151" s="216"/>
      <c r="H151" s="214" t="e">
        <f>(G151/$G$150*100)</f>
        <v>#DIV/0!</v>
      </c>
      <c r="I151" s="2599"/>
      <c r="J151" s="2599"/>
      <c r="K151" s="2599"/>
      <c r="L151" s="2599"/>
      <c r="M151" s="2599"/>
      <c r="N151" s="2599"/>
    </row>
    <row r="152" spans="1:14" s="1" customFormat="1" ht="26" hidden="1" customHeight="1" x14ac:dyDescent="0.2">
      <c r="A152" s="2664">
        <v>4</v>
      </c>
      <c r="B152" s="3519" t="s">
        <v>129</v>
      </c>
      <c r="C152" s="57" t="s">
        <v>21</v>
      </c>
      <c r="D152" s="831"/>
      <c r="E152" s="214"/>
      <c r="F152" s="831"/>
      <c r="G152" s="831">
        <f>SUM(D152:F152)</f>
        <v>0</v>
      </c>
      <c r="H152" s="214">
        <f t="shared" si="16"/>
        <v>0</v>
      </c>
      <c r="I152" s="2599"/>
      <c r="J152" s="2599"/>
      <c r="K152" s="2599"/>
      <c r="L152" s="2599"/>
      <c r="M152" s="2599"/>
      <c r="N152" s="2599"/>
    </row>
    <row r="153" spans="1:14" s="1" customFormat="1" ht="26" hidden="1" customHeight="1" x14ac:dyDescent="0.2">
      <c r="A153" s="2664"/>
      <c r="B153" s="3519"/>
      <c r="C153" s="57" t="s">
        <v>22</v>
      </c>
      <c r="D153" s="216" t="e">
        <f>D152/$G$152*100</f>
        <v>#DIV/0!</v>
      </c>
      <c r="E153" s="216" t="e">
        <f>E152/$G$152*100</f>
        <v>#DIV/0!</v>
      </c>
      <c r="F153" s="216" t="e">
        <f>F152/$G$152*100</f>
        <v>#DIV/0!</v>
      </c>
      <c r="G153" s="216"/>
      <c r="H153" s="214">
        <f t="shared" si="16"/>
        <v>0</v>
      </c>
      <c r="I153" s="2599"/>
      <c r="J153" s="2599"/>
      <c r="K153" s="2599"/>
      <c r="L153" s="2599"/>
      <c r="M153" s="2599"/>
      <c r="N153" s="2599"/>
    </row>
    <row r="154" spans="1:14" s="1" customFormat="1" ht="26" hidden="1" customHeight="1" x14ac:dyDescent="0.2">
      <c r="A154" s="2664">
        <v>5</v>
      </c>
      <c r="B154" s="3519" t="s">
        <v>129</v>
      </c>
      <c r="C154" s="57" t="s">
        <v>21</v>
      </c>
      <c r="D154" s="831"/>
      <c r="E154" s="214"/>
      <c r="F154" s="831"/>
      <c r="G154" s="831">
        <f>SUM(D154:F154)</f>
        <v>0</v>
      </c>
      <c r="H154" s="214">
        <f t="shared" si="16"/>
        <v>0</v>
      </c>
      <c r="I154" s="2599"/>
      <c r="J154" s="2599"/>
      <c r="K154" s="2599"/>
      <c r="L154" s="2599"/>
      <c r="M154" s="2599"/>
      <c r="N154" s="2599"/>
    </row>
    <row r="155" spans="1:14" s="1" customFormat="1" ht="26" hidden="1" customHeight="1" x14ac:dyDescent="0.2">
      <c r="A155" s="2664"/>
      <c r="B155" s="3519"/>
      <c r="C155" s="57" t="s">
        <v>22</v>
      </c>
      <c r="D155" s="216" t="e">
        <f>D154/$G$154*100</f>
        <v>#DIV/0!</v>
      </c>
      <c r="E155" s="216" t="e">
        <f>E154/$G$154*100</f>
        <v>#DIV/0!</v>
      </c>
      <c r="F155" s="216" t="e">
        <f>F154/$G$154*100</f>
        <v>#DIV/0!</v>
      </c>
      <c r="G155" s="216"/>
      <c r="H155" s="214">
        <f t="shared" si="16"/>
        <v>0</v>
      </c>
      <c r="I155" s="2599"/>
      <c r="J155" s="2599"/>
      <c r="K155" s="2599"/>
      <c r="L155" s="2599"/>
      <c r="M155" s="2599"/>
      <c r="N155" s="2599"/>
    </row>
    <row r="156" spans="1:14" s="1" customFormat="1" ht="26" hidden="1" customHeight="1" x14ac:dyDescent="0.2">
      <c r="A156" s="2664">
        <v>6</v>
      </c>
      <c r="B156" s="3518" t="s">
        <v>146</v>
      </c>
      <c r="C156" s="57" t="s">
        <v>21</v>
      </c>
      <c r="D156" s="831"/>
      <c r="E156" s="214"/>
      <c r="F156" s="831"/>
      <c r="G156" s="831">
        <f>SUM(D156:F156)</f>
        <v>0</v>
      </c>
      <c r="H156" s="214">
        <f t="shared" si="16"/>
        <v>0</v>
      </c>
      <c r="I156" s="2599"/>
      <c r="J156" s="2599"/>
      <c r="K156" s="2599"/>
      <c r="L156" s="2599"/>
      <c r="M156" s="2599"/>
      <c r="N156" s="2599"/>
    </row>
    <row r="157" spans="1:14" s="1" customFormat="1" ht="26" hidden="1" customHeight="1" x14ac:dyDescent="0.2">
      <c r="A157" s="2664"/>
      <c r="B157" s="3518"/>
      <c r="C157" s="57" t="s">
        <v>22</v>
      </c>
      <c r="D157" s="216" t="e">
        <f>D156/$G$156*100</f>
        <v>#DIV/0!</v>
      </c>
      <c r="E157" s="216" t="e">
        <f>E156/$G$156*100</f>
        <v>#DIV/0!</v>
      </c>
      <c r="F157" s="216" t="e">
        <f>F156/$G$156*100</f>
        <v>#DIV/0!</v>
      </c>
      <c r="G157" s="214"/>
      <c r="H157" s="214">
        <f t="shared" si="16"/>
        <v>0</v>
      </c>
      <c r="I157" s="2599"/>
      <c r="J157" s="2599"/>
      <c r="K157" s="2599"/>
      <c r="L157" s="2599"/>
      <c r="M157" s="2599"/>
      <c r="N157" s="2599"/>
    </row>
    <row r="158" spans="1:14" s="1" customFormat="1" ht="26" hidden="1" customHeight="1" x14ac:dyDescent="0.2">
      <c r="A158" s="2664">
        <v>7</v>
      </c>
      <c r="B158" s="3518" t="s">
        <v>541</v>
      </c>
      <c r="C158" s="57" t="s">
        <v>21</v>
      </c>
      <c r="D158" s="831"/>
      <c r="E158" s="214"/>
      <c r="F158" s="831"/>
      <c r="G158" s="831">
        <f>SUM(D158:F158)</f>
        <v>0</v>
      </c>
      <c r="H158" s="214">
        <f t="shared" si="16"/>
        <v>0</v>
      </c>
      <c r="I158" s="2599"/>
      <c r="J158" s="2599"/>
      <c r="K158" s="2599"/>
      <c r="L158" s="2599"/>
      <c r="M158" s="2599"/>
      <c r="N158" s="2599"/>
    </row>
    <row r="159" spans="1:14" s="1" customFormat="1" ht="26" hidden="1" customHeight="1" x14ac:dyDescent="0.2">
      <c r="A159" s="2664"/>
      <c r="B159" s="3518"/>
      <c r="C159" s="57" t="s">
        <v>22</v>
      </c>
      <c r="D159" s="216" t="e">
        <f>D158/$G$158*100</f>
        <v>#DIV/0!</v>
      </c>
      <c r="E159" s="216" t="e">
        <f>E158/$G$158*100</f>
        <v>#DIV/0!</v>
      </c>
      <c r="F159" s="216" t="e">
        <f>F158/$G$158*100</f>
        <v>#DIV/0!</v>
      </c>
      <c r="G159" s="214" t="e">
        <f>SUM(D159:F159)</f>
        <v>#DIV/0!</v>
      </c>
      <c r="H159" s="214" t="e">
        <f t="shared" si="16"/>
        <v>#DIV/0!</v>
      </c>
      <c r="I159" s="2599"/>
      <c r="J159" s="2599"/>
      <c r="K159" s="2599"/>
      <c r="L159" s="2599"/>
      <c r="M159" s="2599"/>
      <c r="N159" s="2599"/>
    </row>
    <row r="160" spans="1:14" s="1" customFormat="1" ht="31" hidden="1" customHeight="1" x14ac:dyDescent="0.2">
      <c r="A160" s="3518" t="s">
        <v>1088</v>
      </c>
      <c r="B160" s="3518"/>
      <c r="C160" s="971" t="s">
        <v>21</v>
      </c>
      <c r="D160" s="972">
        <f>SUMIFS(D146:D159,$C$146:$C$159,"m2")</f>
        <v>0</v>
      </c>
      <c r="E160" s="972">
        <f>SUMIFS(E146:E159,$C$146:$C$159,"m2")</f>
        <v>0</v>
      </c>
      <c r="F160" s="972">
        <f>SUMIFS(F146:F159,$C$146:$C$159,"m2")</f>
        <v>0</v>
      </c>
      <c r="G160" s="972">
        <f>SUM(D160:F160)</f>
        <v>0</v>
      </c>
      <c r="H160" s="1095"/>
      <c r="I160" s="2599"/>
      <c r="J160" s="2599"/>
      <c r="K160" s="2599"/>
      <c r="L160" s="2599"/>
      <c r="M160" s="2599"/>
      <c r="N160" s="2599"/>
    </row>
    <row r="161" spans="1:14" s="1" customFormat="1" ht="31" hidden="1" customHeight="1" x14ac:dyDescent="0.2">
      <c r="A161" s="3518"/>
      <c r="B161" s="3518"/>
      <c r="C161" s="971" t="s">
        <v>22</v>
      </c>
      <c r="D161" s="1894" t="e">
        <f>D160/$G$160*100</f>
        <v>#DIV/0!</v>
      </c>
      <c r="E161" s="1894" t="e">
        <f>E160/$G$160*100</f>
        <v>#DIV/0!</v>
      </c>
      <c r="F161" s="1894" t="e">
        <f>F160/$G$160*100</f>
        <v>#DIV/0!</v>
      </c>
      <c r="G161" s="974"/>
      <c r="H161" s="1095"/>
      <c r="I161" s="2599"/>
      <c r="J161" s="2599"/>
      <c r="K161" s="2599"/>
      <c r="L161" s="2599"/>
      <c r="M161" s="2599"/>
      <c r="N161" s="2599"/>
    </row>
    <row r="162" spans="1:14" s="1" customFormat="1" ht="29" customHeight="1" x14ac:dyDescent="0.2">
      <c r="A162" s="2664">
        <v>1</v>
      </c>
      <c r="B162" s="3520" t="s">
        <v>109</v>
      </c>
      <c r="C162" s="57" t="s">
        <v>21</v>
      </c>
      <c r="D162" s="834">
        <v>171176</v>
      </c>
      <c r="E162" s="738">
        <v>640</v>
      </c>
      <c r="F162" s="834">
        <v>9860.7999999999993</v>
      </c>
      <c r="G162" s="831">
        <f>SUM(D162:F162)</f>
        <v>181676.79999999999</v>
      </c>
      <c r="H162" s="214">
        <f>(G162/$G$178*100)</f>
        <v>59.511468017329115</v>
      </c>
      <c r="I162" s="2599" t="s">
        <v>774</v>
      </c>
      <c r="J162" s="2599"/>
      <c r="K162" s="2599"/>
      <c r="L162" s="2599"/>
      <c r="M162" s="2599"/>
      <c r="N162" s="2599"/>
    </row>
    <row r="163" spans="1:14" s="1" customFormat="1" ht="29" customHeight="1" x14ac:dyDescent="0.2">
      <c r="A163" s="2664"/>
      <c r="B163" s="3520"/>
      <c r="C163" s="57" t="s">
        <v>22</v>
      </c>
      <c r="D163" s="739">
        <f>D162/$G$162*100</f>
        <v>94.220065522950662</v>
      </c>
      <c r="E163" s="739"/>
      <c r="F163" s="739">
        <f>F162/$G$162*100</f>
        <v>5.4276605488427805</v>
      </c>
      <c r="G163" s="216"/>
      <c r="H163" s="214">
        <f t="shared" ref="H163:H179" si="17">(G163/$G$178*100)</f>
        <v>0</v>
      </c>
      <c r="I163" s="2599"/>
      <c r="J163" s="2599"/>
      <c r="K163" s="2599"/>
      <c r="L163" s="2599"/>
      <c r="M163" s="2599"/>
      <c r="N163" s="2599"/>
    </row>
    <row r="164" spans="1:14" s="1" customFormat="1" ht="29" customHeight="1" x14ac:dyDescent="0.2">
      <c r="A164" s="2664">
        <v>2</v>
      </c>
      <c r="B164" s="3518" t="s">
        <v>541</v>
      </c>
      <c r="C164" s="57" t="s">
        <v>21</v>
      </c>
      <c r="D164" s="831">
        <v>27195.200000000001</v>
      </c>
      <c r="E164" s="214">
        <v>0</v>
      </c>
      <c r="F164" s="831">
        <v>2530.2399999999998</v>
      </c>
      <c r="G164" s="831">
        <f>SUM(D164:F164)</f>
        <v>29725.440000000002</v>
      </c>
      <c r="H164" s="214">
        <f t="shared" si="17"/>
        <v>9.7370967116386673</v>
      </c>
      <c r="I164" s="2599"/>
      <c r="J164" s="2599"/>
      <c r="K164" s="2599"/>
      <c r="L164" s="2599"/>
      <c r="M164" s="2599"/>
      <c r="N164" s="2599"/>
    </row>
    <row r="165" spans="1:14" s="1" customFormat="1" ht="29" customHeight="1" x14ac:dyDescent="0.2">
      <c r="A165" s="2664"/>
      <c r="B165" s="3518"/>
      <c r="C165" s="57" t="s">
        <v>22</v>
      </c>
      <c r="D165" s="216">
        <f>D164/$G$164*100</f>
        <v>91.487964517934799</v>
      </c>
      <c r="E165" s="216">
        <f>E164/$G$164*100</f>
        <v>0</v>
      </c>
      <c r="F165" s="216">
        <f>F164/$G$164*100</f>
        <v>8.5120354820651922</v>
      </c>
      <c r="G165" s="216"/>
      <c r="H165" s="214">
        <f t="shared" si="17"/>
        <v>0</v>
      </c>
      <c r="I165" s="2599"/>
      <c r="J165" s="2599"/>
      <c r="K165" s="2599"/>
      <c r="L165" s="2599"/>
      <c r="M165" s="2599"/>
      <c r="N165" s="2599"/>
    </row>
    <row r="166" spans="1:14" s="1" customFormat="1" ht="29" customHeight="1" x14ac:dyDescent="0.2">
      <c r="A166" s="2664">
        <v>3</v>
      </c>
      <c r="B166" s="3518" t="s">
        <v>129</v>
      </c>
      <c r="C166" s="57" t="s">
        <v>21</v>
      </c>
      <c r="D166" s="831">
        <v>23228.799999999999</v>
      </c>
      <c r="E166" s="214">
        <v>0</v>
      </c>
      <c r="F166" s="831">
        <v>1273.5999999999999</v>
      </c>
      <c r="G166" s="831">
        <f>SUM(D166:F166)</f>
        <v>24502.399999999998</v>
      </c>
      <c r="H166" s="214">
        <f t="shared" si="17"/>
        <v>8.026197037529311</v>
      </c>
      <c r="I166" s="2599"/>
      <c r="J166" s="2599"/>
      <c r="K166" s="2599"/>
      <c r="L166" s="2599"/>
      <c r="M166" s="2599"/>
      <c r="N166" s="2599"/>
    </row>
    <row r="167" spans="1:14" s="1" customFormat="1" ht="29" customHeight="1" x14ac:dyDescent="0.2">
      <c r="A167" s="2664"/>
      <c r="B167" s="3518"/>
      <c r="C167" s="57" t="s">
        <v>22</v>
      </c>
      <c r="D167" s="216">
        <f>D166/$G$166*100</f>
        <v>94.80214183100432</v>
      </c>
      <c r="E167" s="216">
        <f>E166/$G$166*100</f>
        <v>0</v>
      </c>
      <c r="F167" s="216">
        <f>F166/$G$166*100</f>
        <v>5.1978581689956904</v>
      </c>
      <c r="G167" s="216"/>
      <c r="H167" s="214">
        <f t="shared" si="17"/>
        <v>0</v>
      </c>
      <c r="I167" s="2599"/>
      <c r="J167" s="2599"/>
      <c r="K167" s="2599"/>
      <c r="L167" s="2599"/>
      <c r="M167" s="2599"/>
      <c r="N167" s="2599"/>
    </row>
    <row r="168" spans="1:14" s="1" customFormat="1" ht="29" customHeight="1" x14ac:dyDescent="0.2">
      <c r="A168" s="2664">
        <v>4</v>
      </c>
      <c r="B168" s="3519" t="s">
        <v>112</v>
      </c>
      <c r="C168" s="57" t="s">
        <v>21</v>
      </c>
      <c r="D168" s="831">
        <v>11992</v>
      </c>
      <c r="E168" s="214">
        <v>0</v>
      </c>
      <c r="F168" s="831">
        <v>278.39999999999998</v>
      </c>
      <c r="G168" s="831">
        <f>SUM(D168:F168)</f>
        <v>12270.4</v>
      </c>
      <c r="H168" s="214">
        <f t="shared" si="17"/>
        <v>4.0193878203481965</v>
      </c>
      <c r="I168" s="2599"/>
      <c r="J168" s="2599"/>
      <c r="K168" s="2599"/>
      <c r="L168" s="2599"/>
      <c r="M168" s="2599"/>
      <c r="N168" s="2599"/>
    </row>
    <row r="169" spans="1:14" s="1" customFormat="1" ht="29" customHeight="1" x14ac:dyDescent="0.2">
      <c r="A169" s="2664"/>
      <c r="B169" s="3519"/>
      <c r="C169" s="57" t="s">
        <v>22</v>
      </c>
      <c r="D169" s="216">
        <f>D168/$G$168*100</f>
        <v>97.731125309688366</v>
      </c>
      <c r="E169" s="216">
        <f>E168/$G$168*100</f>
        <v>0</v>
      </c>
      <c r="F169" s="216">
        <f>F168/$G$168*100</f>
        <v>2.2688746903116441</v>
      </c>
      <c r="G169" s="216"/>
      <c r="H169" s="214">
        <f t="shared" si="17"/>
        <v>0</v>
      </c>
      <c r="I169" s="2599"/>
      <c r="J169" s="2599"/>
      <c r="K169" s="2599"/>
      <c r="L169" s="2599"/>
      <c r="M169" s="2599"/>
      <c r="N169" s="2599"/>
    </row>
    <row r="170" spans="1:14" s="1" customFormat="1" ht="29" customHeight="1" x14ac:dyDescent="0.2">
      <c r="A170" s="2664">
        <v>5</v>
      </c>
      <c r="B170" s="3519" t="s">
        <v>125</v>
      </c>
      <c r="C170" s="57" t="s">
        <v>21</v>
      </c>
      <c r="D170" s="831">
        <v>19646.400000000001</v>
      </c>
      <c r="E170" s="214">
        <v>0</v>
      </c>
      <c r="F170" s="831">
        <v>900.8</v>
      </c>
      <c r="G170" s="831">
        <f>SUM(D170:F170)</f>
        <v>20547.2</v>
      </c>
      <c r="H170" s="214">
        <f t="shared" si="17"/>
        <v>6.7306009113197991</v>
      </c>
      <c r="I170" s="2599"/>
      <c r="J170" s="2599"/>
      <c r="K170" s="2599"/>
      <c r="L170" s="2599"/>
      <c r="M170" s="2599"/>
      <c r="N170" s="2599"/>
    </row>
    <row r="171" spans="1:14" s="1" customFormat="1" ht="29" customHeight="1" x14ac:dyDescent="0.2">
      <c r="A171" s="2664"/>
      <c r="B171" s="3519"/>
      <c r="C171" s="57" t="s">
        <v>22</v>
      </c>
      <c r="D171" s="216">
        <f>D170/$G$170*100</f>
        <v>95.61594767170223</v>
      </c>
      <c r="E171" s="216">
        <f>E170/$G$170*100</f>
        <v>0</v>
      </c>
      <c r="F171" s="216">
        <f>F170/$G$170*100</f>
        <v>4.3840523282977726</v>
      </c>
      <c r="G171" s="216"/>
      <c r="H171" s="214">
        <f t="shared" si="17"/>
        <v>0</v>
      </c>
      <c r="I171" s="2599"/>
      <c r="J171" s="2599"/>
      <c r="K171" s="2599"/>
      <c r="L171" s="2599"/>
      <c r="M171" s="2599"/>
      <c r="N171" s="2599"/>
    </row>
    <row r="172" spans="1:14" s="1" customFormat="1" ht="29" customHeight="1" x14ac:dyDescent="0.2">
      <c r="A172" s="2664">
        <v>6</v>
      </c>
      <c r="B172" s="3518" t="s">
        <v>146</v>
      </c>
      <c r="C172" s="57" t="s">
        <v>21</v>
      </c>
      <c r="D172" s="831">
        <v>19440</v>
      </c>
      <c r="E172" s="214">
        <v>0</v>
      </c>
      <c r="F172" s="831">
        <v>845.12</v>
      </c>
      <c r="G172" s="831">
        <f>SUM(D172:F172)</f>
        <v>20285.12</v>
      </c>
      <c r="H172" s="214">
        <f t="shared" si="17"/>
        <v>6.6447519447044607</v>
      </c>
      <c r="I172" s="2599"/>
      <c r="J172" s="2599"/>
      <c r="K172" s="2599"/>
      <c r="L172" s="2599"/>
      <c r="M172" s="2599"/>
      <c r="N172" s="2599"/>
    </row>
    <row r="173" spans="1:14" s="1" customFormat="1" ht="29" customHeight="1" x14ac:dyDescent="0.2">
      <c r="A173" s="2664"/>
      <c r="B173" s="3518"/>
      <c r="C173" s="57" t="s">
        <v>22</v>
      </c>
      <c r="D173" s="216">
        <f>D172/$G$172*100</f>
        <v>95.833793440709258</v>
      </c>
      <c r="E173" s="216">
        <f>E172/$G$172*100</f>
        <v>0</v>
      </c>
      <c r="F173" s="216">
        <f>F172/$G$172*100</f>
        <v>4.1662065592907513</v>
      </c>
      <c r="G173" s="214"/>
      <c r="H173" s="214">
        <f t="shared" si="17"/>
        <v>0</v>
      </c>
      <c r="I173" s="2599"/>
      <c r="J173" s="2599"/>
      <c r="K173" s="2599"/>
      <c r="L173" s="2599"/>
      <c r="M173" s="2599"/>
      <c r="N173" s="2599"/>
    </row>
    <row r="174" spans="1:14" s="1" customFormat="1" ht="29" customHeight="1" x14ac:dyDescent="0.2">
      <c r="A174" s="2664">
        <v>7</v>
      </c>
      <c r="B174" s="3519" t="s">
        <v>637</v>
      </c>
      <c r="C174" s="57" t="s">
        <v>21</v>
      </c>
      <c r="D174" s="831">
        <v>7324.8</v>
      </c>
      <c r="E174" s="214">
        <v>0</v>
      </c>
      <c r="F174" s="831">
        <v>334.72</v>
      </c>
      <c r="G174" s="831">
        <f>SUM(D174:F174)</f>
        <v>7659.52</v>
      </c>
      <c r="H174" s="214">
        <f t="shared" si="17"/>
        <v>2.5090120450607496</v>
      </c>
      <c r="I174" s="2599"/>
      <c r="J174" s="2599"/>
      <c r="K174" s="2599"/>
      <c r="L174" s="2599"/>
      <c r="M174" s="2599"/>
      <c r="N174" s="2599"/>
    </row>
    <row r="175" spans="1:14" s="1" customFormat="1" ht="29" customHeight="1" x14ac:dyDescent="0.2">
      <c r="A175" s="2664"/>
      <c r="B175" s="3519"/>
      <c r="C175" s="57" t="s">
        <v>22</v>
      </c>
      <c r="D175" s="216">
        <f>D174/$G$174*100</f>
        <v>95.630013368983953</v>
      </c>
      <c r="E175" s="216">
        <f>E174/$G$174*100</f>
        <v>0</v>
      </c>
      <c r="F175" s="216">
        <f>F174/$G$174*100</f>
        <v>4.3699866310160429</v>
      </c>
      <c r="G175" s="214"/>
      <c r="H175" s="214">
        <f t="shared" si="17"/>
        <v>0</v>
      </c>
      <c r="I175" s="2599"/>
      <c r="J175" s="2599"/>
      <c r="K175" s="2599"/>
      <c r="L175" s="2599"/>
      <c r="M175" s="2599"/>
      <c r="N175" s="2599"/>
    </row>
    <row r="176" spans="1:14" s="1" customFormat="1" ht="29" customHeight="1" x14ac:dyDescent="0.2">
      <c r="A176" s="2664">
        <v>8</v>
      </c>
      <c r="B176" s="3518" t="s">
        <v>117</v>
      </c>
      <c r="C176" s="57" t="s">
        <v>21</v>
      </c>
      <c r="D176" s="831">
        <v>7976</v>
      </c>
      <c r="E176" s="214">
        <v>0</v>
      </c>
      <c r="F176" s="831">
        <v>637.44000000000005</v>
      </c>
      <c r="G176" s="831">
        <f>SUM(D176:F176)</f>
        <v>8613.44</v>
      </c>
      <c r="H176" s="214">
        <f t="shared" si="17"/>
        <v>2.8214855120696938</v>
      </c>
      <c r="I176" s="2599"/>
      <c r="J176" s="2599"/>
      <c r="K176" s="2599"/>
      <c r="L176" s="2599"/>
      <c r="M176" s="2599"/>
      <c r="N176" s="2599"/>
    </row>
    <row r="177" spans="1:16" s="1" customFormat="1" ht="29" customHeight="1" x14ac:dyDescent="0.2">
      <c r="A177" s="2664"/>
      <c r="B177" s="3518"/>
      <c r="C177" s="57" t="s">
        <v>22</v>
      </c>
      <c r="D177" s="216">
        <f>D176/$G$176*100</f>
        <v>92.599472452353524</v>
      </c>
      <c r="E177" s="216">
        <f>E176/$G$176*100</f>
        <v>0</v>
      </c>
      <c r="F177" s="216">
        <f>F176/$G$176*100</f>
        <v>7.4005275476464698</v>
      </c>
      <c r="G177" s="214"/>
      <c r="H177" s="214">
        <f t="shared" si="17"/>
        <v>0</v>
      </c>
      <c r="I177" s="2599"/>
      <c r="J177" s="2599"/>
      <c r="K177" s="2599"/>
      <c r="L177" s="2599"/>
      <c r="M177" s="2599"/>
      <c r="N177" s="2599"/>
    </row>
    <row r="178" spans="1:16" s="1" customFormat="1" ht="29" customHeight="1" x14ac:dyDescent="0.2">
      <c r="A178" s="3518" t="s">
        <v>1089</v>
      </c>
      <c r="B178" s="3518"/>
      <c r="C178" s="971" t="s">
        <v>21</v>
      </c>
      <c r="D178" s="972">
        <f>SUMIFS(D162:D177,$C$162:$C$177,"m2")</f>
        <v>287979.2</v>
      </c>
      <c r="E178" s="972">
        <f>SUMIFS(E162:E177,$C$162:$C$177,"m2")</f>
        <v>640</v>
      </c>
      <c r="F178" s="972">
        <f>SUMIFS(F162:F177,$C$162:$C$177,"m2")</f>
        <v>16661.12</v>
      </c>
      <c r="G178" s="972">
        <f>SUM(D178:F178)</f>
        <v>305280.32</v>
      </c>
      <c r="H178" s="214">
        <f t="shared" si="17"/>
        <v>100</v>
      </c>
      <c r="I178" s="2599"/>
      <c r="J178" s="2599"/>
      <c r="K178" s="2599"/>
      <c r="L178" s="2599"/>
      <c r="M178" s="2599"/>
      <c r="N178" s="2599"/>
    </row>
    <row r="179" spans="1:16" s="1" customFormat="1" ht="29" customHeight="1" x14ac:dyDescent="0.2">
      <c r="A179" s="3518"/>
      <c r="B179" s="3518"/>
      <c r="C179" s="971" t="s">
        <v>22</v>
      </c>
      <c r="D179" s="973">
        <f>D178/$G$178*100</f>
        <v>94.332710343070929</v>
      </c>
      <c r="E179" s="973">
        <f>E178/$G$178*100</f>
        <v>0.2096433861180439</v>
      </c>
      <c r="F179" s="973">
        <f>F178/$G$178*100</f>
        <v>5.4576462708110363</v>
      </c>
      <c r="G179" s="974"/>
      <c r="H179" s="214">
        <f t="shared" si="17"/>
        <v>0</v>
      </c>
      <c r="I179" s="2599"/>
      <c r="J179" s="2599"/>
      <c r="K179" s="2599"/>
      <c r="L179" s="2599"/>
      <c r="M179" s="2599"/>
      <c r="N179" s="2599"/>
    </row>
    <row r="180" spans="1:16" s="1" customFormat="1" ht="37" customHeight="1" x14ac:dyDescent="0.2">
      <c r="A180" s="221" t="s">
        <v>39</v>
      </c>
      <c r="B180" s="2551" t="s">
        <v>134</v>
      </c>
      <c r="C180" s="2551"/>
      <c r="D180" s="222" t="s">
        <v>6</v>
      </c>
      <c r="E180" s="222" t="s">
        <v>135</v>
      </c>
      <c r="F180" s="222" t="s">
        <v>43</v>
      </c>
      <c r="G180" s="2384" t="s">
        <v>10</v>
      </c>
      <c r="H180" s="391" t="s">
        <v>314</v>
      </c>
      <c r="I180" s="2605" t="s">
        <v>47</v>
      </c>
      <c r="J180" s="2605"/>
      <c r="K180" s="2605"/>
      <c r="L180" s="2605"/>
      <c r="M180" s="2605"/>
      <c r="N180" s="2605"/>
    </row>
    <row r="181" spans="1:16" s="1" customFormat="1" ht="37" customHeight="1" x14ac:dyDescent="0.2">
      <c r="A181" s="3433">
        <v>1</v>
      </c>
      <c r="B181" s="2599" t="s">
        <v>323</v>
      </c>
      <c r="C181" s="2599"/>
      <c r="D181" s="2600" t="s">
        <v>327</v>
      </c>
      <c r="E181" s="224" t="s">
        <v>583</v>
      </c>
      <c r="F181" s="830">
        <f>G112</f>
        <v>88614</v>
      </c>
      <c r="G181" s="224">
        <f>F181/$J$16</f>
        <v>6.2226747656332293</v>
      </c>
      <c r="H181" s="214">
        <f>F181/$F$186*100</f>
        <v>20.444124813857506</v>
      </c>
      <c r="I181" s="2600"/>
      <c r="J181" s="2600"/>
      <c r="K181" s="2600"/>
      <c r="L181" s="2600"/>
      <c r="M181" s="2600"/>
      <c r="N181" s="2600"/>
    </row>
    <row r="182" spans="1:16" s="1" customFormat="1" ht="37" customHeight="1" x14ac:dyDescent="0.2">
      <c r="A182" s="3433"/>
      <c r="B182" s="2599"/>
      <c r="C182" s="2599"/>
      <c r="D182" s="2600"/>
      <c r="E182" s="224" t="s">
        <v>727</v>
      </c>
      <c r="F182" s="830">
        <f>G128</f>
        <v>39550.5</v>
      </c>
      <c r="G182" s="224">
        <f>F182/$J$16</f>
        <v>2.7773252343667707</v>
      </c>
      <c r="H182" s="214">
        <f>F182/$F$186*100</f>
        <v>9.1246908891424745</v>
      </c>
      <c r="I182" s="2600"/>
      <c r="J182" s="2600"/>
      <c r="K182" s="2600"/>
      <c r="L182" s="2600"/>
      <c r="M182" s="2600"/>
      <c r="N182" s="2600"/>
    </row>
    <row r="183" spans="1:16" s="1" customFormat="1" ht="37" hidden="1" customHeight="1" x14ac:dyDescent="0.2">
      <c r="A183" s="3433">
        <v>1</v>
      </c>
      <c r="B183" s="2599" t="s">
        <v>323</v>
      </c>
      <c r="C183" s="2599"/>
      <c r="D183" s="2600" t="s">
        <v>328</v>
      </c>
      <c r="E183" s="224" t="s">
        <v>727</v>
      </c>
      <c r="F183" s="830">
        <f>G144</f>
        <v>0</v>
      </c>
      <c r="G183" s="224">
        <f>F183/$J$16</f>
        <v>0</v>
      </c>
      <c r="H183" s="214">
        <f>F183/$F$186*100</f>
        <v>0</v>
      </c>
      <c r="I183" s="2600"/>
      <c r="J183" s="2600"/>
      <c r="K183" s="2600"/>
      <c r="L183" s="2600"/>
      <c r="M183" s="2600"/>
      <c r="N183" s="2600"/>
    </row>
    <row r="184" spans="1:16" s="1" customFormat="1" ht="37" hidden="1" customHeight="1" x14ac:dyDescent="0.2">
      <c r="A184" s="3433"/>
      <c r="B184" s="2599"/>
      <c r="C184" s="2599"/>
      <c r="D184" s="2600"/>
      <c r="E184" s="224" t="s">
        <v>728</v>
      </c>
      <c r="F184" s="830">
        <f>G160</f>
        <v>0</v>
      </c>
      <c r="G184" s="224">
        <f>F184/$J$16</f>
        <v>0</v>
      </c>
      <c r="H184" s="214">
        <f>F184/$F$186*100</f>
        <v>0</v>
      </c>
      <c r="I184" s="2600"/>
      <c r="J184" s="2600"/>
      <c r="K184" s="2600"/>
      <c r="L184" s="2600"/>
      <c r="M184" s="2600"/>
      <c r="N184" s="2600"/>
    </row>
    <row r="185" spans="1:16" s="1" customFormat="1" ht="37" customHeight="1" x14ac:dyDescent="0.2">
      <c r="A185" s="223">
        <v>2</v>
      </c>
      <c r="B185" s="2599" t="s">
        <v>324</v>
      </c>
      <c r="C185" s="2599"/>
      <c r="D185" s="224" t="s">
        <v>325</v>
      </c>
      <c r="E185" s="224" t="s">
        <v>140</v>
      </c>
      <c r="F185" s="830">
        <f>G178</f>
        <v>305280.32</v>
      </c>
      <c r="G185" s="224">
        <f>F185/$J$22</f>
        <v>20.5</v>
      </c>
      <c r="H185" s="214">
        <f>F185/$F$186*100</f>
        <v>70.431184297000016</v>
      </c>
      <c r="I185" s="2600"/>
      <c r="J185" s="2600"/>
      <c r="K185" s="2600"/>
      <c r="L185" s="2600"/>
      <c r="M185" s="2600"/>
      <c r="N185" s="2600"/>
    </row>
    <row r="186" spans="1:16" s="1" customFormat="1" ht="37" customHeight="1" x14ac:dyDescent="0.2">
      <c r="A186" s="3377" t="s">
        <v>1346</v>
      </c>
      <c r="B186" s="3377"/>
      <c r="C186" s="3377"/>
      <c r="D186" s="225" t="s">
        <v>142</v>
      </c>
      <c r="E186" s="225" t="s">
        <v>142</v>
      </c>
      <c r="F186" s="860">
        <f>SUM(F181:F185)</f>
        <v>433444.82</v>
      </c>
      <c r="G186" s="226">
        <f>SUM(G181:G185)</f>
        <v>29.5</v>
      </c>
      <c r="H186" s="227">
        <f>SUM(H181:H185)</f>
        <v>100</v>
      </c>
      <c r="I186" s="2603"/>
      <c r="J186" s="2603"/>
      <c r="K186" s="2603"/>
      <c r="L186" s="2603"/>
      <c r="M186" s="2603"/>
      <c r="N186" s="2603"/>
    </row>
    <row r="187" spans="1:16" s="1" customFormat="1" ht="28" customHeight="1" x14ac:dyDescent="0.2">
      <c r="A187" s="3162" t="s">
        <v>1259</v>
      </c>
      <c r="B187" s="3162"/>
      <c r="C187" s="3162"/>
      <c r="D187" s="3162"/>
      <c r="E187" s="3162"/>
      <c r="F187" s="3162"/>
      <c r="G187" s="3162"/>
      <c r="H187" s="3162"/>
      <c r="I187" s="3162"/>
      <c r="J187" s="3162"/>
      <c r="K187" s="3162"/>
      <c r="L187" s="3162"/>
      <c r="M187" s="3162"/>
      <c r="N187" s="3162"/>
    </row>
    <row r="188" spans="1:16" s="1" customFormat="1" ht="27" customHeight="1" x14ac:dyDescent="0.2">
      <c r="A188" s="3162" t="s">
        <v>147</v>
      </c>
      <c r="B188" s="3162"/>
      <c r="C188" s="3162"/>
      <c r="D188" s="3162"/>
      <c r="E188" s="3162"/>
      <c r="F188" s="3162"/>
      <c r="G188" s="3162"/>
      <c r="H188" s="3162"/>
      <c r="I188" s="3162"/>
      <c r="J188" s="3162"/>
      <c r="K188" s="3162"/>
      <c r="L188" s="3162"/>
      <c r="M188" s="3162"/>
      <c r="N188" s="3162"/>
    </row>
    <row r="189" spans="1:16" s="1" customFormat="1" ht="41" customHeight="1" x14ac:dyDescent="0.15">
      <c r="A189" s="1783" t="s">
        <v>39</v>
      </c>
      <c r="B189" s="1947" t="s">
        <v>148</v>
      </c>
      <c r="C189" s="1946"/>
      <c r="D189" s="808" t="s">
        <v>17</v>
      </c>
      <c r="E189" s="1785" t="s">
        <v>149</v>
      </c>
      <c r="F189" s="1785" t="s">
        <v>150</v>
      </c>
      <c r="G189" s="1786" t="s">
        <v>151</v>
      </c>
      <c r="H189" s="1787" t="s">
        <v>152</v>
      </c>
      <c r="I189" s="1788" t="s">
        <v>153</v>
      </c>
      <c r="J189" s="3517" t="s">
        <v>47</v>
      </c>
      <c r="K189" s="3517"/>
      <c r="L189" s="3517"/>
      <c r="M189" s="3517"/>
      <c r="N189" s="3517"/>
    </row>
    <row r="190" spans="1:16" s="1" customFormat="1" ht="29" customHeight="1" x14ac:dyDescent="0.15">
      <c r="A190" s="12">
        <v>1</v>
      </c>
      <c r="B190" s="1661" t="s">
        <v>163</v>
      </c>
      <c r="C190" s="1944"/>
      <c r="D190" s="51" t="s">
        <v>164</v>
      </c>
      <c r="E190" s="1071">
        <v>18.760000000000002</v>
      </c>
      <c r="F190" s="2353">
        <f>G190/M190</f>
        <v>18.73936026694625</v>
      </c>
      <c r="G190" s="342">
        <v>8656604</v>
      </c>
      <c r="H190" s="269">
        <f>-(F190-E190)*M190</f>
        <v>9534.4768000000495</v>
      </c>
      <c r="I190" s="1790">
        <v>0</v>
      </c>
      <c r="J190" s="2752" t="s">
        <v>165</v>
      </c>
      <c r="K190" s="2752"/>
      <c r="L190" s="2752"/>
      <c r="M190" s="2768">
        <f>F90</f>
        <v>461947.67999999993</v>
      </c>
      <c r="N190" s="2768"/>
    </row>
    <row r="191" spans="1:16" s="1" customFormat="1" ht="29" customHeight="1" x14ac:dyDescent="0.2">
      <c r="A191" s="12">
        <v>2</v>
      </c>
      <c r="B191" s="3358" t="s">
        <v>1176</v>
      </c>
      <c r="C191" s="3359"/>
      <c r="D191" s="51" t="s">
        <v>164</v>
      </c>
      <c r="E191" s="1072">
        <v>0.48599999999999999</v>
      </c>
      <c r="F191" s="1791">
        <f>G191/M190</f>
        <v>0.46890375117805555</v>
      </c>
      <c r="G191" s="260">
        <v>216609</v>
      </c>
      <c r="H191" s="531">
        <f>-(F191-E191)*M192</f>
        <v>7897.5724799999653</v>
      </c>
      <c r="I191" s="261">
        <v>0</v>
      </c>
      <c r="J191" s="2748" t="s">
        <v>167</v>
      </c>
      <c r="K191" s="2748"/>
      <c r="L191" s="2748"/>
      <c r="M191" s="3432">
        <f>F88</f>
        <v>0</v>
      </c>
      <c r="N191" s="3433"/>
    </row>
    <row r="192" spans="1:16" s="1" customFormat="1" ht="26" hidden="1" customHeight="1" x14ac:dyDescent="0.15">
      <c r="A192" s="12">
        <v>3</v>
      </c>
      <c r="B192" s="1661" t="s">
        <v>1189</v>
      </c>
      <c r="C192" s="1944"/>
      <c r="D192" s="51" t="s">
        <v>169</v>
      </c>
      <c r="E192" s="1072">
        <v>0.38300000000000001</v>
      </c>
      <c r="F192" s="1791"/>
      <c r="G192" s="260">
        <v>0</v>
      </c>
      <c r="H192" s="1792"/>
      <c r="I192" s="261">
        <v>0</v>
      </c>
      <c r="J192" s="2748" t="s">
        <v>170</v>
      </c>
      <c r="K192" s="2748"/>
      <c r="L192" s="2748"/>
      <c r="M192" s="3432">
        <f>F87</f>
        <v>461947.67999999993</v>
      </c>
      <c r="N192" s="3433"/>
      <c r="O192" s="1793"/>
      <c r="P192" s="479"/>
    </row>
    <row r="193" spans="1:14" s="1" customFormat="1" ht="26" hidden="1" customHeight="1" x14ac:dyDescent="0.15">
      <c r="A193" s="12">
        <v>4</v>
      </c>
      <c r="B193" s="1661" t="s">
        <v>1183</v>
      </c>
      <c r="C193" s="1944"/>
      <c r="D193" s="51" t="s">
        <v>164</v>
      </c>
      <c r="E193" s="1072">
        <v>0.53800000000000003</v>
      </c>
      <c r="F193" s="1791"/>
      <c r="G193" s="260">
        <v>0</v>
      </c>
      <c r="H193" s="64"/>
      <c r="I193" s="261"/>
      <c r="J193" s="2748" t="s">
        <v>172</v>
      </c>
      <c r="K193" s="2748"/>
      <c r="L193" s="2748"/>
      <c r="M193" s="3432">
        <f>F89</f>
        <v>0</v>
      </c>
      <c r="N193" s="3433"/>
    </row>
    <row r="194" spans="1:14" s="1" customFormat="1" ht="26" customHeight="1" x14ac:dyDescent="0.2">
      <c r="A194" s="12">
        <v>3</v>
      </c>
      <c r="B194" s="3358" t="s">
        <v>1177</v>
      </c>
      <c r="C194" s="3359"/>
      <c r="D194" s="51" t="s">
        <v>164</v>
      </c>
      <c r="E194" s="1072">
        <v>0.57199999999999995</v>
      </c>
      <c r="F194" s="1019">
        <f>G194/M190</f>
        <v>0.42960709316691453</v>
      </c>
      <c r="G194" s="260">
        <v>198456</v>
      </c>
      <c r="H194" s="531">
        <f>-(F194-E194)*M192</f>
        <v>65778.072959999947</v>
      </c>
      <c r="I194" s="56">
        <f>--(F194-E194)*L191</f>
        <v>0</v>
      </c>
      <c r="J194" s="2748" t="s">
        <v>174</v>
      </c>
      <c r="K194" s="2748"/>
      <c r="L194" s="2748"/>
      <c r="M194" s="2894">
        <f>M190+L10</f>
        <v>463569.11999999994</v>
      </c>
      <c r="N194" s="2894"/>
    </row>
    <row r="195" spans="1:14" s="1" customFormat="1" ht="26" hidden="1" customHeight="1" x14ac:dyDescent="0.15">
      <c r="A195" s="12">
        <v>6</v>
      </c>
      <c r="B195" s="1661" t="s">
        <v>1184</v>
      </c>
      <c r="C195" s="1944"/>
      <c r="D195" s="51" t="s">
        <v>164</v>
      </c>
      <c r="E195" s="1072">
        <v>0.624</v>
      </c>
      <c r="F195" s="1019"/>
      <c r="G195" s="260"/>
      <c r="H195" s="531">
        <f>-(F195-E195)*M191</f>
        <v>0</v>
      </c>
      <c r="I195" s="260"/>
      <c r="J195" s="2664"/>
      <c r="K195" s="2664"/>
      <c r="L195" s="2664"/>
      <c r="M195" s="2664"/>
      <c r="N195" s="2664"/>
    </row>
    <row r="196" spans="1:14" s="1" customFormat="1" ht="26" hidden="1" customHeight="1" x14ac:dyDescent="0.15">
      <c r="A196" s="12">
        <v>7</v>
      </c>
      <c r="B196" s="1661" t="s">
        <v>1190</v>
      </c>
      <c r="C196" s="1944"/>
      <c r="D196" s="51" t="s">
        <v>164</v>
      </c>
      <c r="E196" s="1072">
        <v>0.434</v>
      </c>
      <c r="F196" s="1166" t="s">
        <v>142</v>
      </c>
      <c r="G196" s="260">
        <v>0</v>
      </c>
      <c r="H196" s="1121"/>
      <c r="I196" s="260"/>
      <c r="J196" s="2664"/>
      <c r="K196" s="2664"/>
      <c r="L196" s="2664"/>
      <c r="M196" s="2664"/>
      <c r="N196" s="2664"/>
    </row>
    <row r="197" spans="1:14" s="1" customFormat="1" ht="29" customHeight="1" x14ac:dyDescent="0.2">
      <c r="A197" s="12">
        <v>4</v>
      </c>
      <c r="B197" s="3358" t="s">
        <v>176</v>
      </c>
      <c r="C197" s="3359"/>
      <c r="D197" s="51" t="s">
        <v>169</v>
      </c>
      <c r="E197" s="259">
        <v>0.69699999999999995</v>
      </c>
      <c r="F197" s="1019">
        <f>G197/M190</f>
        <v>0.69689060891051569</v>
      </c>
      <c r="G197" s="260">
        <v>321927</v>
      </c>
      <c r="H197" s="531"/>
      <c r="I197" s="1122">
        <v>0</v>
      </c>
      <c r="J197" s="2664"/>
      <c r="K197" s="2664"/>
      <c r="L197" s="2664"/>
      <c r="M197" s="2664"/>
      <c r="N197" s="2664"/>
    </row>
    <row r="198" spans="1:14" s="1" customFormat="1" ht="29" customHeight="1" x14ac:dyDescent="0.2">
      <c r="A198" s="12">
        <v>5</v>
      </c>
      <c r="B198" s="3358" t="s">
        <v>177</v>
      </c>
      <c r="C198" s="3359"/>
      <c r="D198" s="51" t="s">
        <v>164</v>
      </c>
      <c r="E198" s="262">
        <v>3.7100000000000001E-2</v>
      </c>
      <c r="F198" s="1018">
        <f>G198/M190</f>
        <v>3.706047403463527E-2</v>
      </c>
      <c r="G198" s="260">
        <v>17120</v>
      </c>
      <c r="H198" s="531">
        <f>-(F198-E198)*M190</f>
        <v>18.258927999997923</v>
      </c>
      <c r="I198" s="64">
        <v>0</v>
      </c>
      <c r="J198" s="2861"/>
      <c r="K198" s="2861"/>
      <c r="L198" s="2861"/>
      <c r="M198" s="2861"/>
      <c r="N198" s="2861"/>
    </row>
    <row r="199" spans="1:14" s="1" customFormat="1" ht="29" customHeight="1" x14ac:dyDescent="0.2">
      <c r="A199" s="12">
        <v>6</v>
      </c>
      <c r="B199" s="3358" t="s">
        <v>178</v>
      </c>
      <c r="C199" s="3359"/>
      <c r="D199" s="51" t="s">
        <v>164</v>
      </c>
      <c r="E199" s="262">
        <v>8.2000000000000007E-3</v>
      </c>
      <c r="F199" s="1018">
        <f>G199/M190</f>
        <v>8.2260397974073616E-3</v>
      </c>
      <c r="G199" s="260">
        <v>3800</v>
      </c>
      <c r="H199" s="2352"/>
      <c r="I199" s="1023"/>
      <c r="J199" s="2861"/>
      <c r="K199" s="2861"/>
      <c r="L199" s="2861"/>
      <c r="M199" s="2861"/>
      <c r="N199" s="2861"/>
    </row>
    <row r="200" spans="1:14" s="1" customFormat="1" ht="29" customHeight="1" x14ac:dyDescent="0.2">
      <c r="A200" s="12">
        <v>7</v>
      </c>
      <c r="B200" s="3392" t="s">
        <v>179</v>
      </c>
      <c r="C200" s="3392"/>
      <c r="D200" s="51" t="s">
        <v>164</v>
      </c>
      <c r="E200" s="262">
        <v>4.6100000000000002E-2</v>
      </c>
      <c r="F200" s="1018">
        <f>G200/M190</f>
        <v>3.4419482310204488E-2</v>
      </c>
      <c r="G200" s="260">
        <v>15900</v>
      </c>
      <c r="H200" s="531">
        <f>-(F200-E200)*M190</f>
        <v>5395.7880479999967</v>
      </c>
      <c r="I200" s="531"/>
      <c r="J200" s="2861"/>
      <c r="K200" s="2861"/>
      <c r="L200" s="2861"/>
      <c r="M200" s="2861"/>
      <c r="N200" s="2861"/>
    </row>
    <row r="201" spans="1:14" s="1" customFormat="1" ht="29" customHeight="1" x14ac:dyDescent="0.15">
      <c r="A201" s="12">
        <v>8</v>
      </c>
      <c r="B201" s="1661" t="s">
        <v>180</v>
      </c>
      <c r="C201" s="1944"/>
      <c r="D201" s="51" t="s">
        <v>164</v>
      </c>
      <c r="E201" s="262">
        <v>3.0000000000000001E-3</v>
      </c>
      <c r="F201" s="1018">
        <f>G201/M190</f>
        <v>3.6800704356822404E-3</v>
      </c>
      <c r="G201" s="260">
        <v>1700</v>
      </c>
      <c r="H201" s="531"/>
      <c r="I201" s="64">
        <f>--(F201-E201)*M190</f>
        <v>314.15696000000008</v>
      </c>
      <c r="J201" s="2861"/>
      <c r="K201" s="2861"/>
      <c r="L201" s="2861"/>
      <c r="M201" s="2861"/>
      <c r="N201" s="2861"/>
    </row>
    <row r="202" spans="1:14" s="1" customFormat="1" ht="26" hidden="1" customHeight="1" x14ac:dyDescent="0.15">
      <c r="A202" s="12">
        <v>13</v>
      </c>
      <c r="B202" s="1661" t="s">
        <v>181</v>
      </c>
      <c r="C202" s="1944"/>
      <c r="D202" s="51" t="s">
        <v>164</v>
      </c>
      <c r="E202" s="258">
        <v>3.0899999999999999E-3</v>
      </c>
      <c r="F202" s="1019"/>
      <c r="G202" s="260">
        <f>AA202</f>
        <v>0</v>
      </c>
      <c r="H202" s="1020" t="s">
        <v>142</v>
      </c>
      <c r="I202" s="64">
        <f>--(F202-E202)*L199</f>
        <v>0</v>
      </c>
      <c r="J202" s="2664"/>
      <c r="K202" s="2664"/>
      <c r="L202" s="2664"/>
      <c r="M202" s="2664"/>
      <c r="N202" s="2664"/>
    </row>
    <row r="203" spans="1:14" s="1" customFormat="1" ht="26" customHeight="1" x14ac:dyDescent="0.2">
      <c r="A203" s="2664">
        <v>9</v>
      </c>
      <c r="B203" s="3392" t="s">
        <v>182</v>
      </c>
      <c r="C203" s="3392"/>
      <c r="D203" s="1021" t="s">
        <v>164</v>
      </c>
      <c r="E203" s="2396"/>
      <c r="F203" s="1019">
        <f>G203/M190</f>
        <v>1.6012145791055821</v>
      </c>
      <c r="G203" s="260">
        <v>739677.36</v>
      </c>
      <c r="H203" s="531"/>
      <c r="I203" s="1023"/>
      <c r="J203" s="2599" t="s">
        <v>1349</v>
      </c>
      <c r="K203" s="2599"/>
      <c r="L203" s="2599"/>
      <c r="M203" s="2599"/>
      <c r="N203" s="2599"/>
    </row>
    <row r="204" spans="1:14" s="1" customFormat="1" ht="26" customHeight="1" x14ac:dyDescent="0.2">
      <c r="A204" s="2664"/>
      <c r="B204" s="3392" t="s">
        <v>1347</v>
      </c>
      <c r="C204" s="3392"/>
      <c r="D204" s="1021" t="s">
        <v>164</v>
      </c>
      <c r="E204" s="2396"/>
      <c r="F204" s="1019">
        <f>G204/M190</f>
        <v>6.4557094431126921E-2</v>
      </c>
      <c r="G204" s="260">
        <v>29822</v>
      </c>
      <c r="H204" s="531"/>
      <c r="I204" s="1023"/>
      <c r="J204" s="2599"/>
      <c r="K204" s="2599"/>
      <c r="L204" s="2599"/>
      <c r="M204" s="2599"/>
      <c r="N204" s="2599"/>
    </row>
    <row r="205" spans="1:14" s="1" customFormat="1" ht="26" customHeight="1" x14ac:dyDescent="0.2">
      <c r="A205" s="12">
        <v>10</v>
      </c>
      <c r="B205" s="3358" t="s">
        <v>183</v>
      </c>
      <c r="C205" s="3359"/>
      <c r="D205" s="51" t="s">
        <v>164</v>
      </c>
      <c r="E205" s="258">
        <v>6.4099999999999999E-3</v>
      </c>
      <c r="F205" s="933">
        <f>G205/M190</f>
        <v>6.1911773212065925E-3</v>
      </c>
      <c r="G205" s="260">
        <v>2860</v>
      </c>
      <c r="H205" s="531">
        <f>-(F205-E205)*M190</f>
        <v>101.08462879999972</v>
      </c>
      <c r="I205" s="1023"/>
      <c r="J205" s="2861"/>
      <c r="K205" s="2861"/>
      <c r="L205" s="2861"/>
      <c r="M205" s="2861"/>
      <c r="N205" s="2861"/>
    </row>
    <row r="206" spans="1:14" s="1" customFormat="1" ht="26" customHeight="1" x14ac:dyDescent="0.2">
      <c r="A206" s="12">
        <v>11</v>
      </c>
      <c r="B206" s="3358" t="s">
        <v>184</v>
      </c>
      <c r="C206" s="3359"/>
      <c r="D206" s="51" t="s">
        <v>169</v>
      </c>
      <c r="E206" s="258">
        <v>4.7239999999999997E-2</v>
      </c>
      <c r="F206" s="933">
        <f>G206/M190</f>
        <v>4.3727895765165448E-2</v>
      </c>
      <c r="G206" s="260">
        <v>20200</v>
      </c>
      <c r="H206" s="531">
        <f>-(F206-E206)*M190</f>
        <v>1622.4084031999951</v>
      </c>
      <c r="I206" s="1023"/>
      <c r="J206" s="2664"/>
      <c r="K206" s="2664"/>
      <c r="L206" s="2664"/>
      <c r="M206" s="2664"/>
      <c r="N206" s="2664"/>
    </row>
    <row r="207" spans="1:14" s="1" customFormat="1" ht="31" customHeight="1" x14ac:dyDescent="0.2">
      <c r="A207" s="12">
        <v>12</v>
      </c>
      <c r="B207" s="3358" t="s">
        <v>185</v>
      </c>
      <c r="C207" s="3359"/>
      <c r="D207" s="51" t="s">
        <v>169</v>
      </c>
      <c r="E207" s="258"/>
      <c r="F207" s="1024"/>
      <c r="G207" s="260">
        <v>5705</v>
      </c>
      <c r="H207" s="1025"/>
      <c r="I207" s="64"/>
      <c r="J207" s="2861" t="s">
        <v>1268</v>
      </c>
      <c r="K207" s="2861"/>
      <c r="L207" s="2861"/>
      <c r="M207" s="2861"/>
      <c r="N207" s="2861"/>
    </row>
    <row r="208" spans="1:14" s="1" customFormat="1" ht="32" customHeight="1" x14ac:dyDescent="0.2">
      <c r="A208" s="12">
        <v>13</v>
      </c>
      <c r="B208" s="3559" t="s">
        <v>188</v>
      </c>
      <c r="C208" s="3560"/>
      <c r="D208" s="51" t="s">
        <v>164</v>
      </c>
      <c r="E208" s="258">
        <v>5.1999999999999998E-3</v>
      </c>
      <c r="F208" s="933">
        <f>G208/M190</f>
        <v>3.7017179088333126E-3</v>
      </c>
      <c r="G208" s="260">
        <v>1710</v>
      </c>
      <c r="H208" s="531">
        <f>-(F208-E208)*M190</f>
        <v>692.12793599999952</v>
      </c>
      <c r="I208" s="64">
        <f>--(F208-E208)*L206</f>
        <v>0</v>
      </c>
      <c r="J208" s="2664"/>
      <c r="K208" s="2664"/>
      <c r="L208" s="2664"/>
      <c r="M208" s="2664"/>
      <c r="N208" s="2664"/>
    </row>
    <row r="209" spans="1:15" s="1" customFormat="1" ht="26" customHeight="1" x14ac:dyDescent="0.2">
      <c r="A209" s="3061" t="s">
        <v>354</v>
      </c>
      <c r="B209" s="3061"/>
      <c r="C209" s="3061"/>
      <c r="D209" s="3061"/>
      <c r="E209" s="3061"/>
      <c r="F209" s="3061"/>
      <c r="G209" s="3061"/>
      <c r="H209" s="3061"/>
      <c r="I209" s="3061"/>
      <c r="J209" s="3061"/>
      <c r="K209" s="3061"/>
      <c r="L209" s="3061"/>
      <c r="M209" s="3061"/>
      <c r="N209" s="3061"/>
    </row>
    <row r="210" spans="1:15" s="1" customFormat="1" ht="39" customHeight="1" x14ac:dyDescent="0.15">
      <c r="A210" s="990" t="s">
        <v>39</v>
      </c>
      <c r="B210" s="3031" t="s">
        <v>191</v>
      </c>
      <c r="C210" s="2915"/>
      <c r="D210" s="990" t="s">
        <v>17</v>
      </c>
      <c r="E210" s="990" t="s">
        <v>192</v>
      </c>
      <c r="F210" s="990" t="s">
        <v>193</v>
      </c>
      <c r="G210" s="990" t="s">
        <v>151</v>
      </c>
      <c r="H210" s="1007" t="s">
        <v>152</v>
      </c>
      <c r="I210" s="1036" t="s">
        <v>153</v>
      </c>
      <c r="J210" s="3031" t="s">
        <v>47</v>
      </c>
      <c r="K210" s="3031"/>
      <c r="L210" s="3031"/>
      <c r="M210" s="3031"/>
      <c r="N210" s="3031"/>
    </row>
    <row r="211" spans="1:15" s="1" customFormat="1" ht="32" customHeight="1" x14ac:dyDescent="0.15">
      <c r="A211" s="264">
        <v>1</v>
      </c>
      <c r="B211" s="3564" t="s">
        <v>163</v>
      </c>
      <c r="C211" s="3565"/>
      <c r="D211" s="633" t="s">
        <v>49</v>
      </c>
      <c r="E211" s="1101">
        <v>21.26</v>
      </c>
      <c r="F211" s="261">
        <f>G211/$L$211</f>
        <v>19.865807458383561</v>
      </c>
      <c r="G211" s="269">
        <v>2546091.2799999998</v>
      </c>
      <c r="H211" s="531">
        <f>-(F211-E211)*$L$211</f>
        <v>178685.99000000034</v>
      </c>
      <c r="I211" s="445"/>
      <c r="J211" s="3437" t="s">
        <v>165</v>
      </c>
      <c r="K211" s="3437"/>
      <c r="L211" s="3438">
        <f>F181+F182</f>
        <v>128164.5</v>
      </c>
      <c r="M211" s="3438"/>
      <c r="N211" s="3438"/>
      <c r="O211" s="526"/>
    </row>
    <row r="212" spans="1:15" s="1" customFormat="1" ht="32" customHeight="1" x14ac:dyDescent="0.15">
      <c r="A212" s="264">
        <v>2</v>
      </c>
      <c r="B212" s="2880" t="s">
        <v>1193</v>
      </c>
      <c r="C212" s="2915"/>
      <c r="D212" s="633" t="s">
        <v>49</v>
      </c>
      <c r="E212" s="1098">
        <v>0.28000000000000003</v>
      </c>
      <c r="F212" s="268">
        <f>G212/$L$212</f>
        <v>0.27803868463222514</v>
      </c>
      <c r="G212" s="269">
        <v>24638.12</v>
      </c>
      <c r="H212" s="531">
        <f>-(F212-E212)*$L$212</f>
        <v>173.80000000000368</v>
      </c>
      <c r="I212" s="445"/>
      <c r="J212" s="2655" t="s">
        <v>734</v>
      </c>
      <c r="K212" s="2655"/>
      <c r="L212" s="3440">
        <f>F181</f>
        <v>88614</v>
      </c>
      <c r="M212" s="2664"/>
      <c r="N212" s="2664"/>
    </row>
    <row r="213" spans="1:15" s="1" customFormat="1" ht="32" customHeight="1" x14ac:dyDescent="0.15">
      <c r="A213" s="264">
        <v>3</v>
      </c>
      <c r="B213" s="2880" t="s">
        <v>1180</v>
      </c>
      <c r="C213" s="2915"/>
      <c r="D213" s="633" t="s">
        <v>49</v>
      </c>
      <c r="E213" s="1098">
        <v>0.39</v>
      </c>
      <c r="F213" s="268">
        <f>G213/$L$213</f>
        <v>0.45536718878395976</v>
      </c>
      <c r="G213" s="269">
        <v>18010</v>
      </c>
      <c r="H213" s="531"/>
      <c r="I213" s="445">
        <f>--(F213-E213)*L213</f>
        <v>2585.3050000000003</v>
      </c>
      <c r="J213" s="3431" t="s">
        <v>735</v>
      </c>
      <c r="K213" s="3431"/>
      <c r="L213" s="3432">
        <f>F182</f>
        <v>39550.5</v>
      </c>
      <c r="M213" s="3433"/>
      <c r="N213" s="3433"/>
    </row>
    <row r="214" spans="1:15" s="1" customFormat="1" ht="32" customHeight="1" x14ac:dyDescent="0.2">
      <c r="A214" s="264">
        <v>4</v>
      </c>
      <c r="B214" s="3412" t="s">
        <v>1192</v>
      </c>
      <c r="C214" s="3412"/>
      <c r="D214" s="633" t="s">
        <v>49</v>
      </c>
      <c r="E214" s="1098">
        <v>9.2999999999999999E-2</v>
      </c>
      <c r="F214" s="268">
        <f>G214/L212</f>
        <v>9.767677793576636E-2</v>
      </c>
      <c r="G214" s="269">
        <v>8655.5300000000007</v>
      </c>
      <c r="H214" s="531"/>
      <c r="I214" s="531">
        <f>(F214-E214)*L212</f>
        <v>414.42800000000022</v>
      </c>
      <c r="J214" s="3441"/>
      <c r="K214" s="3441"/>
      <c r="L214" s="3438"/>
      <c r="M214" s="3438"/>
      <c r="N214" s="3438"/>
    </row>
    <row r="215" spans="1:15" s="1" customFormat="1" ht="32" customHeight="1" x14ac:dyDescent="0.2">
      <c r="A215" s="264">
        <v>5</v>
      </c>
      <c r="B215" s="3412" t="s">
        <v>1182</v>
      </c>
      <c r="C215" s="3412"/>
      <c r="D215" s="633" t="s">
        <v>49</v>
      </c>
      <c r="E215" s="1098">
        <v>0.39</v>
      </c>
      <c r="F215" s="268">
        <f>G215/L213</f>
        <v>0.56816727980682924</v>
      </c>
      <c r="G215" s="269">
        <v>22471.3</v>
      </c>
      <c r="H215" s="531"/>
      <c r="I215" s="445">
        <f>(F215-E215)*L213</f>
        <v>7046.6049999999996</v>
      </c>
      <c r="J215" s="2664"/>
      <c r="K215" s="2664"/>
      <c r="L215" s="2664"/>
      <c r="M215" s="2664"/>
      <c r="N215" s="2664"/>
    </row>
    <row r="216" spans="1:15" s="1" customFormat="1" ht="28" customHeight="1" x14ac:dyDescent="0.2">
      <c r="A216" s="264">
        <v>6</v>
      </c>
      <c r="B216" s="3412" t="s">
        <v>1194</v>
      </c>
      <c r="C216" s="3412"/>
      <c r="D216" s="633" t="s">
        <v>49</v>
      </c>
      <c r="E216" s="1099">
        <v>0.11700000000000001</v>
      </c>
      <c r="F216" s="268">
        <f>G216/$L$212</f>
        <v>0.11199133319791454</v>
      </c>
      <c r="G216" s="269">
        <v>9924</v>
      </c>
      <c r="H216" s="531">
        <f>-(F216-E216)*$L$212</f>
        <v>443.83800000000116</v>
      </c>
      <c r="I216" s="531"/>
      <c r="J216" s="3433"/>
      <c r="K216" s="3433"/>
      <c r="L216" s="3433"/>
      <c r="M216" s="3433"/>
      <c r="N216" s="3433"/>
    </row>
    <row r="217" spans="1:15" s="1" customFormat="1" ht="28" customHeight="1" x14ac:dyDescent="0.2">
      <c r="A217" s="264">
        <v>7</v>
      </c>
      <c r="B217" s="3412" t="s">
        <v>176</v>
      </c>
      <c r="C217" s="3412"/>
      <c r="D217" s="633" t="s">
        <v>195</v>
      </c>
      <c r="E217" s="1100">
        <v>0.66900000000000004</v>
      </c>
      <c r="F217" s="270">
        <f t="shared" ref="F217:F225" si="18">G217/$L$211</f>
        <v>0.66892158124909784</v>
      </c>
      <c r="G217" s="269">
        <v>85732</v>
      </c>
      <c r="H217" s="531">
        <f t="shared" ref="H217:H219" si="19">-(F217-E217)*$L$211</f>
        <v>10.050500000004794</v>
      </c>
      <c r="I217" s="445"/>
      <c r="J217" s="2861"/>
      <c r="K217" s="2861"/>
      <c r="L217" s="2861"/>
      <c r="M217" s="2861"/>
      <c r="N217" s="2861"/>
    </row>
    <row r="218" spans="1:15" s="1" customFormat="1" ht="28" customHeight="1" x14ac:dyDescent="0.2">
      <c r="A218" s="264">
        <v>8</v>
      </c>
      <c r="B218" s="3420" t="s">
        <v>177</v>
      </c>
      <c r="C218" s="3421"/>
      <c r="D218" s="633" t="s">
        <v>49</v>
      </c>
      <c r="E218" s="1098">
        <v>0.02</v>
      </c>
      <c r="F218" s="268">
        <f t="shared" si="18"/>
        <v>1.6525636974357175E-2</v>
      </c>
      <c r="G218" s="269">
        <v>2118</v>
      </c>
      <c r="H218" s="531">
        <f>-(F218-E218)*$L$211</f>
        <v>445.28999999999996</v>
      </c>
      <c r="I218" s="445"/>
      <c r="J218" s="2861"/>
      <c r="K218" s="2861"/>
      <c r="L218" s="2861"/>
      <c r="M218" s="2861"/>
      <c r="N218" s="2861"/>
    </row>
    <row r="219" spans="1:15" s="1" customFormat="1" ht="28" customHeight="1" x14ac:dyDescent="0.2">
      <c r="A219" s="264">
        <v>9</v>
      </c>
      <c r="B219" s="3412" t="s">
        <v>178</v>
      </c>
      <c r="C219" s="3412"/>
      <c r="D219" s="633" t="s">
        <v>49</v>
      </c>
      <c r="E219" s="1100">
        <v>1.9599999999999999E-2</v>
      </c>
      <c r="F219" s="270">
        <f t="shared" si="18"/>
        <v>7.0222253432112632E-3</v>
      </c>
      <c r="G219" s="269">
        <v>900</v>
      </c>
      <c r="H219" s="531">
        <f t="shared" si="19"/>
        <v>1612.0242000000001</v>
      </c>
      <c r="I219" s="445"/>
      <c r="J219" s="3439"/>
      <c r="K219" s="3439"/>
      <c r="L219" s="3439"/>
      <c r="M219" s="3439"/>
      <c r="N219" s="3439"/>
    </row>
    <row r="220" spans="1:15" s="1" customFormat="1" ht="28" customHeight="1" x14ac:dyDescent="0.2">
      <c r="A220" s="3477">
        <v>10</v>
      </c>
      <c r="B220" s="3412" t="s">
        <v>197</v>
      </c>
      <c r="C220" s="3412"/>
      <c r="D220" s="633" t="s">
        <v>49</v>
      </c>
      <c r="E220" s="2397"/>
      <c r="F220" s="261">
        <f>G220/L211</f>
        <v>1.5814809093001572</v>
      </c>
      <c r="G220" s="269">
        <v>202689.71</v>
      </c>
      <c r="H220" s="531"/>
      <c r="I220" s="445"/>
      <c r="J220" s="2599" t="s">
        <v>1348</v>
      </c>
      <c r="K220" s="2599"/>
      <c r="L220" s="2599"/>
      <c r="M220" s="2599"/>
      <c r="N220" s="2599"/>
    </row>
    <row r="221" spans="1:15" s="1" customFormat="1" ht="28" customHeight="1" x14ac:dyDescent="0.2">
      <c r="A221" s="3477"/>
      <c r="B221" s="3412" t="s">
        <v>1347</v>
      </c>
      <c r="C221" s="3412"/>
      <c r="D221" s="633" t="s">
        <v>49</v>
      </c>
      <c r="E221" s="2397"/>
      <c r="F221" s="261">
        <f>G221/L211</f>
        <v>0.52654908340453088</v>
      </c>
      <c r="G221" s="269">
        <v>67484.899999999994</v>
      </c>
      <c r="H221" s="531"/>
      <c r="I221" s="445"/>
      <c r="J221" s="2599"/>
      <c r="K221" s="2599"/>
      <c r="L221" s="2599"/>
      <c r="M221" s="2599"/>
      <c r="N221" s="2599"/>
    </row>
    <row r="222" spans="1:15" s="1" customFormat="1" ht="28" customHeight="1" x14ac:dyDescent="0.2">
      <c r="A222" s="264">
        <v>11</v>
      </c>
      <c r="B222" s="3420" t="s">
        <v>198</v>
      </c>
      <c r="C222" s="3421"/>
      <c r="D222" s="633" t="s">
        <v>49</v>
      </c>
      <c r="E222" s="1100">
        <v>7.6E-3</v>
      </c>
      <c r="F222" s="270">
        <f t="shared" si="18"/>
        <v>7.6464231514967096E-3</v>
      </c>
      <c r="G222" s="269">
        <v>980</v>
      </c>
      <c r="H222" s="531"/>
      <c r="I222" s="445"/>
      <c r="J222" s="3433"/>
      <c r="K222" s="3433"/>
      <c r="L222" s="3433"/>
      <c r="M222" s="3433"/>
      <c r="N222" s="3433"/>
    </row>
    <row r="223" spans="1:15" s="1" customFormat="1" ht="28" customHeight="1" x14ac:dyDescent="0.2">
      <c r="A223" s="264">
        <v>12</v>
      </c>
      <c r="B223" s="3420" t="s">
        <v>185</v>
      </c>
      <c r="C223" s="3421"/>
      <c r="D223" s="633" t="s">
        <v>195</v>
      </c>
      <c r="E223" s="1100"/>
      <c r="F223" s="270">
        <f t="shared" si="18"/>
        <v>1.2327906713637551E-2</v>
      </c>
      <c r="G223" s="269">
        <v>1580</v>
      </c>
      <c r="H223" s="531"/>
      <c r="I223" s="445"/>
      <c r="J223" s="3436" t="s">
        <v>1269</v>
      </c>
      <c r="K223" s="3436"/>
      <c r="L223" s="3436"/>
      <c r="M223" s="3436"/>
      <c r="N223" s="3436"/>
    </row>
    <row r="224" spans="1:15" s="1" customFormat="1" ht="28" customHeight="1" x14ac:dyDescent="0.2">
      <c r="A224" s="264">
        <v>13</v>
      </c>
      <c r="B224" s="3420" t="s">
        <v>179</v>
      </c>
      <c r="C224" s="3421"/>
      <c r="D224" s="633" t="s">
        <v>49</v>
      </c>
      <c r="E224" s="1103">
        <v>2.7E-2</v>
      </c>
      <c r="F224" s="268">
        <f t="shared" si="18"/>
        <v>3.1600014044450689E-2</v>
      </c>
      <c r="G224" s="269">
        <v>4050</v>
      </c>
      <c r="H224" s="531"/>
      <c r="I224" s="445">
        <f>(F224-E224)*L211</f>
        <v>589.55850000000032</v>
      </c>
      <c r="J224" s="2861"/>
      <c r="K224" s="2861"/>
      <c r="L224" s="2861"/>
      <c r="M224" s="2861"/>
      <c r="N224" s="2861"/>
    </row>
    <row r="225" spans="1:14" s="1" customFormat="1" ht="28" customHeight="1" x14ac:dyDescent="0.2">
      <c r="A225" s="264">
        <v>14</v>
      </c>
      <c r="B225" s="3420" t="s">
        <v>206</v>
      </c>
      <c r="C225" s="3421"/>
      <c r="D225" s="633" t="s">
        <v>49</v>
      </c>
      <c r="E225" s="1103">
        <v>2.0999999999999999E-3</v>
      </c>
      <c r="F225" s="268">
        <f t="shared" si="18"/>
        <v>2.3407417810704214E-3</v>
      </c>
      <c r="G225" s="269">
        <v>300</v>
      </c>
      <c r="H225" s="531"/>
      <c r="I225" s="445">
        <f>(F225-E225)*L211</f>
        <v>30.854550000000035</v>
      </c>
      <c r="J225" s="2861"/>
      <c r="K225" s="2861"/>
      <c r="L225" s="2861"/>
      <c r="M225" s="2861"/>
      <c r="N225" s="2861"/>
    </row>
    <row r="226" spans="1:14" s="1" customFormat="1" ht="26" hidden="1" customHeight="1" x14ac:dyDescent="0.2">
      <c r="A226" s="3061" t="s">
        <v>1094</v>
      </c>
      <c r="B226" s="3061"/>
      <c r="C226" s="3061"/>
      <c r="D226" s="3061"/>
      <c r="E226" s="3061"/>
      <c r="F226" s="3061"/>
      <c r="G226" s="3061"/>
      <c r="H226" s="3061"/>
      <c r="I226" s="3061"/>
      <c r="J226" s="3061"/>
      <c r="K226" s="3061"/>
      <c r="L226" s="3061"/>
      <c r="M226" s="3061"/>
      <c r="N226" s="3061"/>
    </row>
    <row r="227" spans="1:14" s="1" customFormat="1" ht="33" hidden="1" customHeight="1" x14ac:dyDescent="0.15">
      <c r="A227" s="1786" t="s">
        <v>39</v>
      </c>
      <c r="B227" s="3515" t="s">
        <v>191</v>
      </c>
      <c r="C227" s="3516"/>
      <c r="D227" s="1786" t="s">
        <v>17</v>
      </c>
      <c r="E227" s="1786" t="s">
        <v>192</v>
      </c>
      <c r="F227" s="1786" t="s">
        <v>193</v>
      </c>
      <c r="G227" s="1786" t="s">
        <v>151</v>
      </c>
      <c r="H227" s="1787" t="s">
        <v>152</v>
      </c>
      <c r="I227" s="1788" t="s">
        <v>153</v>
      </c>
      <c r="J227" s="3515" t="s">
        <v>47</v>
      </c>
      <c r="K227" s="3515"/>
      <c r="L227" s="3515"/>
      <c r="M227" s="3515"/>
      <c r="N227" s="3515"/>
    </row>
    <row r="228" spans="1:14" s="1" customFormat="1" ht="28" hidden="1" customHeight="1" x14ac:dyDescent="0.2">
      <c r="A228" s="264">
        <v>1</v>
      </c>
      <c r="B228" s="3412" t="s">
        <v>163</v>
      </c>
      <c r="C228" s="3412"/>
      <c r="D228" s="223" t="s">
        <v>49</v>
      </c>
      <c r="E228" s="1102">
        <v>21.65</v>
      </c>
      <c r="F228" s="261" t="e">
        <f>G228/$L$228</f>
        <v>#DIV/0!</v>
      </c>
      <c r="G228" s="269">
        <v>125518.8</v>
      </c>
      <c r="H228" s="531"/>
      <c r="I228" s="531" t="e">
        <f>(F228-E228)*$L$228</f>
        <v>#DIV/0!</v>
      </c>
      <c r="J228" s="3437" t="s">
        <v>165</v>
      </c>
      <c r="K228" s="3437"/>
      <c r="L228" s="3438">
        <f>F183+F184</f>
        <v>0</v>
      </c>
      <c r="M228" s="3438"/>
      <c r="N228" s="3438"/>
    </row>
    <row r="229" spans="1:14" s="1" customFormat="1" ht="28" hidden="1" customHeight="1" x14ac:dyDescent="0.2">
      <c r="A229" s="264">
        <v>2</v>
      </c>
      <c r="B229" s="3412" t="s">
        <v>1063</v>
      </c>
      <c r="C229" s="3412"/>
      <c r="D229" s="223" t="s">
        <v>49</v>
      </c>
      <c r="E229" s="1096">
        <v>0.436</v>
      </c>
      <c r="F229" s="268"/>
      <c r="G229" s="269"/>
      <c r="H229" s="531"/>
      <c r="I229" s="531"/>
      <c r="J229" s="2748" t="s">
        <v>741</v>
      </c>
      <c r="K229" s="2748"/>
      <c r="L229" s="3438">
        <f>F184</f>
        <v>0</v>
      </c>
      <c r="M229" s="3438"/>
      <c r="N229" s="3438"/>
    </row>
    <row r="230" spans="1:14" s="1" customFormat="1" ht="28" hidden="1" customHeight="1" x14ac:dyDescent="0.2">
      <c r="A230" s="264">
        <v>3</v>
      </c>
      <c r="B230" s="3412" t="s">
        <v>1068</v>
      </c>
      <c r="C230" s="3412"/>
      <c r="D230" s="223" t="s">
        <v>49</v>
      </c>
      <c r="E230" s="1096">
        <v>0.31900000000000001</v>
      </c>
      <c r="F230" s="268" t="e">
        <f>G230/$L$229</f>
        <v>#DIV/0!</v>
      </c>
      <c r="G230" s="269">
        <v>1811</v>
      </c>
      <c r="H230" s="531"/>
      <c r="I230" s="531" t="e">
        <f>(F230-E230)*$L$228</f>
        <v>#DIV/0!</v>
      </c>
      <c r="J230" s="3431" t="s">
        <v>735</v>
      </c>
      <c r="K230" s="3431"/>
      <c r="L230" s="3072">
        <f>F183</f>
        <v>0</v>
      </c>
      <c r="M230" s="3179"/>
      <c r="N230" s="3180"/>
    </row>
    <row r="231" spans="1:14" s="1" customFormat="1" ht="28" hidden="1" customHeight="1" x14ac:dyDescent="0.2">
      <c r="A231" s="264">
        <v>4</v>
      </c>
      <c r="B231" s="3412" t="s">
        <v>1065</v>
      </c>
      <c r="C231" s="3412"/>
      <c r="D231" s="223" t="s">
        <v>49</v>
      </c>
      <c r="E231" s="1096">
        <v>0.38900000000000001</v>
      </c>
      <c r="F231" s="268"/>
      <c r="G231" s="269"/>
      <c r="H231" s="531"/>
      <c r="I231" s="531"/>
      <c r="J231" s="3441" t="s">
        <v>362</v>
      </c>
      <c r="K231" s="3441"/>
      <c r="L231" s="3467">
        <f>L228+L16</f>
        <v>480</v>
      </c>
      <c r="M231" s="3179"/>
      <c r="N231" s="3180"/>
    </row>
    <row r="232" spans="1:14" s="1" customFormat="1" ht="28" hidden="1" customHeight="1" x14ac:dyDescent="0.15">
      <c r="A232" s="1034">
        <v>5</v>
      </c>
      <c r="B232" s="3412" t="s">
        <v>1067</v>
      </c>
      <c r="C232" s="3412"/>
      <c r="D232" s="223" t="s">
        <v>49</v>
      </c>
      <c r="E232" s="1096">
        <v>0.31900000000000001</v>
      </c>
      <c r="F232" s="1104" t="e">
        <f>G232/$L$229</f>
        <v>#DIV/0!</v>
      </c>
      <c r="G232" s="1041">
        <v>2701.9</v>
      </c>
      <c r="H232" s="531"/>
      <c r="I232" s="531" t="e">
        <f t="shared" ref="I232:I239" si="20">(F232-E232)*$L$228</f>
        <v>#DIV/0!</v>
      </c>
      <c r="J232" s="3395"/>
      <c r="K232" s="3396"/>
      <c r="L232" s="3396"/>
      <c r="M232" s="3396"/>
      <c r="N232" s="3397"/>
    </row>
    <row r="233" spans="1:14" s="1" customFormat="1" ht="28" hidden="1" customHeight="1" x14ac:dyDescent="0.2">
      <c r="A233" s="1006">
        <v>6</v>
      </c>
      <c r="B233" s="3413" t="s">
        <v>176</v>
      </c>
      <c r="C233" s="3413"/>
      <c r="D233" s="1108" t="s">
        <v>195</v>
      </c>
      <c r="E233" s="1123">
        <v>0.55700000000000005</v>
      </c>
      <c r="F233" s="287" t="e">
        <f t="shared" ref="F233:F239" si="21">G233/$L$228</f>
        <v>#DIV/0!</v>
      </c>
      <c r="G233" s="1038">
        <v>2500</v>
      </c>
      <c r="H233" s="531"/>
      <c r="I233" s="531" t="e">
        <f t="shared" si="20"/>
        <v>#DIV/0!</v>
      </c>
      <c r="J233" s="3442"/>
      <c r="K233" s="3442"/>
      <c r="L233" s="3442"/>
      <c r="M233" s="3442"/>
      <c r="N233" s="3442"/>
    </row>
    <row r="234" spans="1:14" s="1" customFormat="1" ht="28" hidden="1" customHeight="1" x14ac:dyDescent="0.2">
      <c r="A234" s="264">
        <v>7</v>
      </c>
      <c r="B234" s="3412" t="s">
        <v>177</v>
      </c>
      <c r="C234" s="3412"/>
      <c r="D234" s="223" t="s">
        <v>49</v>
      </c>
      <c r="E234" s="1096">
        <v>2.1999999999999999E-2</v>
      </c>
      <c r="F234" s="268" t="e">
        <f t="shared" si="21"/>
        <v>#DIV/0!</v>
      </c>
      <c r="G234" s="269">
        <v>98</v>
      </c>
      <c r="H234" s="531"/>
      <c r="I234" s="531" t="e">
        <f t="shared" si="20"/>
        <v>#DIV/0!</v>
      </c>
      <c r="J234" s="3439"/>
      <c r="K234" s="3439"/>
      <c r="L234" s="3439"/>
      <c r="M234" s="3439"/>
      <c r="N234" s="3439"/>
    </row>
    <row r="235" spans="1:14" s="1" customFormat="1" ht="28" hidden="1" customHeight="1" x14ac:dyDescent="0.2">
      <c r="A235" s="264">
        <v>8</v>
      </c>
      <c r="B235" s="3412" t="s">
        <v>178</v>
      </c>
      <c r="C235" s="3412"/>
      <c r="D235" s="223" t="s">
        <v>49</v>
      </c>
      <c r="E235" s="1097">
        <v>1.09E-2</v>
      </c>
      <c r="F235" s="270">
        <f>G235/$L$231</f>
        <v>9.375E-2</v>
      </c>
      <c r="G235" s="269">
        <v>45</v>
      </c>
      <c r="H235" s="531">
        <f>-(F235-E235)*$L$228</f>
        <v>0</v>
      </c>
      <c r="I235" s="531"/>
      <c r="J235" s="2664"/>
      <c r="K235" s="2664"/>
      <c r="L235" s="2664"/>
      <c r="M235" s="2664"/>
      <c r="N235" s="2664"/>
    </row>
    <row r="236" spans="1:14" s="1" customFormat="1" ht="28" hidden="1" customHeight="1" x14ac:dyDescent="0.2">
      <c r="A236" s="264">
        <v>9</v>
      </c>
      <c r="B236" s="3412" t="s">
        <v>197</v>
      </c>
      <c r="C236" s="3412"/>
      <c r="D236" s="223" t="s">
        <v>49</v>
      </c>
      <c r="E236" s="1102">
        <v>1.84</v>
      </c>
      <c r="F236" s="261" t="e">
        <f t="shared" si="21"/>
        <v>#DIV/0!</v>
      </c>
      <c r="G236" s="269">
        <v>11156.9</v>
      </c>
      <c r="H236" s="531"/>
      <c r="I236" s="531" t="e">
        <f t="shared" si="20"/>
        <v>#DIV/0!</v>
      </c>
      <c r="J236" s="3439"/>
      <c r="K236" s="3439"/>
      <c r="L236" s="3439"/>
      <c r="M236" s="3439"/>
      <c r="N236" s="3439"/>
    </row>
    <row r="237" spans="1:14" s="1" customFormat="1" ht="28" hidden="1" customHeight="1" x14ac:dyDescent="0.15">
      <c r="A237" s="264">
        <v>10</v>
      </c>
      <c r="B237" s="3412" t="s">
        <v>198</v>
      </c>
      <c r="C237" s="3412"/>
      <c r="D237" s="223" t="s">
        <v>49</v>
      </c>
      <c r="E237" s="1097">
        <v>5.3E-3</v>
      </c>
      <c r="F237" s="270" t="e">
        <f t="shared" si="21"/>
        <v>#DIV/0!</v>
      </c>
      <c r="G237" s="269">
        <v>20</v>
      </c>
      <c r="H237" s="531" t="e">
        <f>-(F237-E237)*$L$228</f>
        <v>#DIV/0!</v>
      </c>
      <c r="I237" s="531"/>
      <c r="J237" s="3448"/>
      <c r="K237" s="3448"/>
      <c r="L237" s="3448"/>
      <c r="M237" s="3448"/>
      <c r="N237" s="3448"/>
    </row>
    <row r="238" spans="1:14" s="1" customFormat="1" ht="28" hidden="1" customHeight="1" x14ac:dyDescent="0.2">
      <c r="A238" s="264">
        <v>11</v>
      </c>
      <c r="B238" s="3412" t="s">
        <v>185</v>
      </c>
      <c r="C238" s="3412"/>
      <c r="D238" s="223" t="s">
        <v>195</v>
      </c>
      <c r="E238" s="1097"/>
      <c r="F238" s="270"/>
      <c r="G238" s="269">
        <v>75</v>
      </c>
      <c r="H238" s="531">
        <f>-(F238-E238)*$L$228</f>
        <v>0</v>
      </c>
      <c r="I238" s="531">
        <f t="shared" si="20"/>
        <v>0</v>
      </c>
      <c r="J238" s="3436" t="s">
        <v>1095</v>
      </c>
      <c r="K238" s="3436"/>
      <c r="L238" s="3436"/>
      <c r="M238" s="3436"/>
      <c r="N238" s="3436"/>
    </row>
    <row r="239" spans="1:14" s="1" customFormat="1" ht="28" hidden="1" customHeight="1" x14ac:dyDescent="0.2">
      <c r="A239" s="264">
        <v>12</v>
      </c>
      <c r="B239" s="3412" t="s">
        <v>179</v>
      </c>
      <c r="C239" s="3412"/>
      <c r="D239" s="223" t="s">
        <v>49</v>
      </c>
      <c r="E239" s="1096">
        <v>2.7E-2</v>
      </c>
      <c r="F239" s="270" t="e">
        <f t="shared" si="21"/>
        <v>#DIV/0!</v>
      </c>
      <c r="G239" s="269">
        <v>3150</v>
      </c>
      <c r="H239" s="531"/>
      <c r="I239" s="531" t="e">
        <f t="shared" si="20"/>
        <v>#DIV/0!</v>
      </c>
      <c r="J239" s="3439"/>
      <c r="K239" s="3439"/>
      <c r="L239" s="3439"/>
      <c r="M239" s="3439"/>
      <c r="N239" s="3439"/>
    </row>
    <row r="240" spans="1:14" s="1" customFormat="1" ht="26" customHeight="1" x14ac:dyDescent="0.2">
      <c r="A240" s="3061" t="s">
        <v>1096</v>
      </c>
      <c r="B240" s="3061"/>
      <c r="C240" s="3061"/>
      <c r="D240" s="3061"/>
      <c r="E240" s="3061"/>
      <c r="F240" s="3061"/>
      <c r="G240" s="3061"/>
      <c r="H240" s="3061"/>
      <c r="I240" s="3061"/>
      <c r="J240" s="3061"/>
      <c r="K240" s="3061"/>
      <c r="L240" s="3061"/>
      <c r="M240" s="3061"/>
      <c r="N240" s="3061"/>
    </row>
    <row r="241" spans="1:14" s="1" customFormat="1" ht="37" customHeight="1" x14ac:dyDescent="0.15">
      <c r="A241" s="1786" t="s">
        <v>39</v>
      </c>
      <c r="B241" s="3515" t="s">
        <v>191</v>
      </c>
      <c r="C241" s="3516"/>
      <c r="D241" s="1786" t="s">
        <v>17</v>
      </c>
      <c r="E241" s="1786" t="s">
        <v>192</v>
      </c>
      <c r="F241" s="1786" t="s">
        <v>193</v>
      </c>
      <c r="G241" s="1786" t="s">
        <v>151</v>
      </c>
      <c r="H241" s="1787" t="s">
        <v>152</v>
      </c>
      <c r="I241" s="1788" t="s">
        <v>153</v>
      </c>
      <c r="J241" s="3515" t="s">
        <v>47</v>
      </c>
      <c r="K241" s="3515"/>
      <c r="L241" s="3515"/>
      <c r="M241" s="3515"/>
      <c r="N241" s="3515"/>
    </row>
    <row r="242" spans="1:14" s="1" customFormat="1" ht="28" customHeight="1" x14ac:dyDescent="0.2">
      <c r="A242" s="264">
        <v>1</v>
      </c>
      <c r="B242" s="3412" t="s">
        <v>163</v>
      </c>
      <c r="C242" s="3412"/>
      <c r="D242" s="223" t="s">
        <v>49</v>
      </c>
      <c r="E242" s="1102">
        <v>21.01</v>
      </c>
      <c r="F242" s="1194">
        <f>G242/$L$242</f>
        <v>20.81259479811866</v>
      </c>
      <c r="G242" s="269">
        <v>6353675.5999999996</v>
      </c>
      <c r="H242" s="531">
        <f t="shared" ref="H242:H254" si="22">-(F242-E242)*$L$242</f>
        <v>60263.923200000594</v>
      </c>
      <c r="I242" s="445"/>
      <c r="J242" s="3437" t="s">
        <v>165</v>
      </c>
      <c r="K242" s="3437"/>
      <c r="L242" s="3438">
        <f>F185</f>
        <v>305280.32</v>
      </c>
      <c r="M242" s="3438"/>
      <c r="N242" s="3438"/>
    </row>
    <row r="243" spans="1:14" s="1" customFormat="1" ht="28" customHeight="1" x14ac:dyDescent="0.2">
      <c r="A243" s="264">
        <v>2</v>
      </c>
      <c r="B243" s="3412" t="s">
        <v>1183</v>
      </c>
      <c r="C243" s="3412"/>
      <c r="D243" s="223" t="s">
        <v>49</v>
      </c>
      <c r="E243" s="1096">
        <v>0.50700000000000001</v>
      </c>
      <c r="F243" s="281">
        <f>G243/$L$242</f>
        <v>0.45486390999590148</v>
      </c>
      <c r="G243" s="269">
        <v>138861</v>
      </c>
      <c r="H243" s="531">
        <f t="shared" si="22"/>
        <v>15916.122239999999</v>
      </c>
      <c r="I243" s="445"/>
      <c r="J243" s="3441" t="s">
        <v>362</v>
      </c>
      <c r="K243" s="3441"/>
      <c r="L243" s="3438">
        <f>L242+L22</f>
        <v>306889.92</v>
      </c>
      <c r="M243" s="3438"/>
      <c r="N243" s="3438"/>
    </row>
    <row r="244" spans="1:14" s="1" customFormat="1" ht="28" customHeight="1" x14ac:dyDescent="0.2">
      <c r="A244" s="264">
        <v>3</v>
      </c>
      <c r="B244" s="3412" t="s">
        <v>1184</v>
      </c>
      <c r="C244" s="3412"/>
      <c r="D244" s="223" t="s">
        <v>49</v>
      </c>
      <c r="E244" s="1096">
        <v>0.59</v>
      </c>
      <c r="F244" s="281">
        <f t="shared" ref="F244:F256" si="23">G244/$L$242</f>
        <v>0.54048128618313818</v>
      </c>
      <c r="G244" s="269">
        <v>164998.29999999999</v>
      </c>
      <c r="H244" s="531">
        <f t="shared" si="22"/>
        <v>15117.08879999999</v>
      </c>
      <c r="I244" s="445"/>
      <c r="J244" s="3433"/>
      <c r="K244" s="3433"/>
      <c r="L244" s="3433"/>
      <c r="M244" s="3433"/>
      <c r="N244" s="3433"/>
    </row>
    <row r="245" spans="1:14" s="1" customFormat="1" ht="28" customHeight="1" x14ac:dyDescent="0.2">
      <c r="A245" s="3477">
        <v>4</v>
      </c>
      <c r="B245" s="3412" t="s">
        <v>808</v>
      </c>
      <c r="C245" s="3412"/>
      <c r="D245" s="223" t="s">
        <v>195</v>
      </c>
      <c r="E245" s="1096">
        <v>0.627</v>
      </c>
      <c r="F245" s="281">
        <f>G245/302780.32</f>
        <v>0.62603144088096607</v>
      </c>
      <c r="G245" s="269">
        <v>189550</v>
      </c>
      <c r="H245" s="531">
        <f>-(F245-E245)*302780.32</f>
        <v>293.26064000001122</v>
      </c>
      <c r="I245" s="445"/>
      <c r="J245" s="3514"/>
      <c r="K245" s="3514"/>
      <c r="L245" s="3514"/>
      <c r="M245" s="3514"/>
      <c r="N245" s="3514"/>
    </row>
    <row r="246" spans="1:14" s="1" customFormat="1" ht="28" customHeight="1" x14ac:dyDescent="0.2">
      <c r="A246" s="3477"/>
      <c r="B246" s="3412" t="s">
        <v>810</v>
      </c>
      <c r="C246" s="3412"/>
      <c r="D246" s="223" t="s">
        <v>195</v>
      </c>
      <c r="E246" s="1096">
        <v>0.78400000000000003</v>
      </c>
      <c r="F246" s="281">
        <f>G246/2500</f>
        <v>0.65400000000000003</v>
      </c>
      <c r="G246" s="269">
        <v>1635</v>
      </c>
      <c r="H246" s="531">
        <f>-(F246-E246)*2500</f>
        <v>325</v>
      </c>
      <c r="I246" s="445"/>
      <c r="J246" s="3514"/>
      <c r="K246" s="3514"/>
      <c r="L246" s="3514"/>
      <c r="M246" s="3514"/>
      <c r="N246" s="3514"/>
    </row>
    <row r="247" spans="1:14" s="1" customFormat="1" ht="28" customHeight="1" x14ac:dyDescent="0.15">
      <c r="A247" s="3477">
        <v>5</v>
      </c>
      <c r="B247" s="3412" t="s">
        <v>809</v>
      </c>
      <c r="C247" s="3412"/>
      <c r="D247" s="223" t="s">
        <v>49</v>
      </c>
      <c r="E247" s="1096">
        <v>2.5000000000000001E-2</v>
      </c>
      <c r="F247" s="281">
        <f>G247/302780.32</f>
        <v>2.4952084072042725E-2</v>
      </c>
      <c r="G247" s="269">
        <v>7555</v>
      </c>
      <c r="H247" s="531">
        <f t="shared" si="22"/>
        <v>14.627789819894183</v>
      </c>
      <c r="I247" s="445"/>
      <c r="J247" s="3448"/>
      <c r="K247" s="3448"/>
      <c r="L247" s="3448"/>
      <c r="M247" s="3448"/>
      <c r="N247" s="3448"/>
    </row>
    <row r="248" spans="1:14" s="1" customFormat="1" ht="28" customHeight="1" x14ac:dyDescent="0.15">
      <c r="A248" s="3477"/>
      <c r="B248" s="3412" t="s">
        <v>811</v>
      </c>
      <c r="C248" s="3412"/>
      <c r="D248" s="223" t="s">
        <v>49</v>
      </c>
      <c r="E248" s="1096">
        <v>2.8000000000000001E-2</v>
      </c>
      <c r="F248" s="281">
        <f>G248/2500</f>
        <v>2.8000000000000001E-2</v>
      </c>
      <c r="G248" s="269">
        <v>70</v>
      </c>
      <c r="H248" s="531">
        <f t="shared" si="22"/>
        <v>0</v>
      </c>
      <c r="I248" s="445">
        <f>(F248-E248)*$L$242</f>
        <v>0</v>
      </c>
      <c r="J248" s="3448"/>
      <c r="K248" s="3448"/>
      <c r="L248" s="3448"/>
      <c r="M248" s="3448"/>
      <c r="N248" s="3448"/>
    </row>
    <row r="249" spans="1:14" s="1" customFormat="1" ht="28" customHeight="1" x14ac:dyDescent="0.2">
      <c r="A249" s="264">
        <v>6</v>
      </c>
      <c r="B249" s="3412" t="s">
        <v>178</v>
      </c>
      <c r="C249" s="3412"/>
      <c r="D249" s="223" t="s">
        <v>49</v>
      </c>
      <c r="E249" s="1097">
        <v>1.0699999999999999E-2</v>
      </c>
      <c r="F249" s="1794">
        <f t="shared" si="23"/>
        <v>1.0613196422225973E-2</v>
      </c>
      <c r="G249" s="269">
        <v>3240</v>
      </c>
      <c r="H249" s="531">
        <f t="shared" si="22"/>
        <v>26.499423999999674</v>
      </c>
      <c r="I249" s="445"/>
      <c r="J249" s="3439"/>
      <c r="K249" s="3439"/>
      <c r="L249" s="3439"/>
      <c r="M249" s="3439"/>
      <c r="N249" s="3439"/>
    </row>
    <row r="250" spans="1:14" s="1" customFormat="1" ht="28" customHeight="1" x14ac:dyDescent="0.2">
      <c r="A250" s="3477">
        <v>7</v>
      </c>
      <c r="B250" s="3412" t="s">
        <v>197</v>
      </c>
      <c r="C250" s="3412"/>
      <c r="D250" s="223" t="s">
        <v>49</v>
      </c>
      <c r="E250" s="2395"/>
      <c r="F250" s="281">
        <f>G250/L242</f>
        <v>1.818249338837171</v>
      </c>
      <c r="G250" s="2398">
        <v>555075.74</v>
      </c>
      <c r="H250" s="531"/>
      <c r="I250" s="445"/>
      <c r="J250" s="2599" t="s">
        <v>1349</v>
      </c>
      <c r="K250" s="2599"/>
      <c r="L250" s="2599"/>
      <c r="M250" s="2599"/>
      <c r="N250" s="2599"/>
    </row>
    <row r="251" spans="1:14" s="1" customFormat="1" ht="28" customHeight="1" x14ac:dyDescent="0.2">
      <c r="A251" s="3477"/>
      <c r="B251" s="3412" t="s">
        <v>1347</v>
      </c>
      <c r="C251" s="3412"/>
      <c r="D251" s="223" t="s">
        <v>49</v>
      </c>
      <c r="E251" s="2395"/>
      <c r="F251" s="281">
        <f>G251/L243</f>
        <v>7.3005525890195419E-2</v>
      </c>
      <c r="G251" s="2398">
        <v>22404.66</v>
      </c>
      <c r="H251" s="531"/>
      <c r="I251" s="445"/>
      <c r="J251" s="2599"/>
      <c r="K251" s="2599"/>
      <c r="L251" s="2599"/>
      <c r="M251" s="2599"/>
      <c r="N251" s="2599"/>
    </row>
    <row r="252" spans="1:14" s="1" customFormat="1" ht="28" customHeight="1" x14ac:dyDescent="0.2">
      <c r="A252" s="264">
        <v>8</v>
      </c>
      <c r="B252" s="3412" t="s">
        <v>198</v>
      </c>
      <c r="C252" s="3412"/>
      <c r="D252" s="223" t="s">
        <v>49</v>
      </c>
      <c r="E252" s="1097">
        <v>8.0999999999999996E-3</v>
      </c>
      <c r="F252" s="1794">
        <f t="shared" si="23"/>
        <v>8.1236812120742009E-3</v>
      </c>
      <c r="G252" s="269">
        <v>2480</v>
      </c>
      <c r="H252" s="531"/>
      <c r="I252" s="445"/>
      <c r="J252" s="3513"/>
      <c r="K252" s="3513"/>
      <c r="L252" s="3513"/>
      <c r="M252" s="3513"/>
      <c r="N252" s="3513"/>
    </row>
    <row r="253" spans="1:14" s="1" customFormat="1" ht="28" customHeight="1" x14ac:dyDescent="0.2">
      <c r="A253" s="264">
        <v>9</v>
      </c>
      <c r="B253" s="3412" t="s">
        <v>199</v>
      </c>
      <c r="C253" s="3412"/>
      <c r="D253" s="223" t="s">
        <v>195</v>
      </c>
      <c r="E253" s="1096">
        <v>6.3E-2</v>
      </c>
      <c r="F253" s="281">
        <f t="shared" si="23"/>
        <v>6.2139609916551451E-2</v>
      </c>
      <c r="G253" s="269">
        <v>18970</v>
      </c>
      <c r="H253" s="531">
        <f t="shared" si="22"/>
        <v>262.66015999999979</v>
      </c>
      <c r="I253" s="445"/>
      <c r="J253" s="3439"/>
      <c r="K253" s="3439"/>
      <c r="L253" s="3439"/>
      <c r="M253" s="3439"/>
      <c r="N253" s="3439"/>
    </row>
    <row r="254" spans="1:14" s="1" customFormat="1" ht="28" customHeight="1" x14ac:dyDescent="0.2">
      <c r="A254" s="264">
        <v>10</v>
      </c>
      <c r="B254" s="3412" t="s">
        <v>185</v>
      </c>
      <c r="C254" s="3412"/>
      <c r="D254" s="223" t="s">
        <v>195</v>
      </c>
      <c r="E254" s="1097"/>
      <c r="F254" s="281"/>
      <c r="G254" s="269">
        <v>4800</v>
      </c>
      <c r="H254" s="531">
        <f t="shared" si="22"/>
        <v>0</v>
      </c>
      <c r="I254" s="445">
        <f>(F254-E254)*$L$242</f>
        <v>0</v>
      </c>
      <c r="J254" s="3436" t="s">
        <v>1270</v>
      </c>
      <c r="K254" s="3436"/>
      <c r="L254" s="3436"/>
      <c r="M254" s="3436"/>
      <c r="N254" s="3436"/>
    </row>
    <row r="255" spans="1:14" s="1" customFormat="1" ht="28" customHeight="1" x14ac:dyDescent="0.2">
      <c r="A255" s="264">
        <v>11</v>
      </c>
      <c r="B255" s="3412" t="s">
        <v>179</v>
      </c>
      <c r="C255" s="3412"/>
      <c r="D255" s="223" t="s">
        <v>49</v>
      </c>
      <c r="E255" s="1096">
        <v>2.5999999999999999E-2</v>
      </c>
      <c r="F255" s="281">
        <f t="shared" si="23"/>
        <v>6.2237880253794278E-3</v>
      </c>
      <c r="G255" s="269">
        <v>1900</v>
      </c>
      <c r="H255" s="531">
        <f>-(F255-E255)*L242</f>
        <v>6037.2883199999997</v>
      </c>
      <c r="I255" s="445"/>
      <c r="J255" s="3439"/>
      <c r="K255" s="3439"/>
      <c r="L255" s="3439"/>
      <c r="M255" s="3439"/>
      <c r="N255" s="3439"/>
    </row>
    <row r="256" spans="1:14" s="1" customFormat="1" ht="28" customHeight="1" x14ac:dyDescent="0.2">
      <c r="A256" s="264">
        <v>12</v>
      </c>
      <c r="B256" s="3412" t="s">
        <v>206</v>
      </c>
      <c r="C256" s="3412"/>
      <c r="D256" s="223" t="s">
        <v>49</v>
      </c>
      <c r="E256" s="1097">
        <v>2.8999999999999998E-3</v>
      </c>
      <c r="F256" s="281">
        <f t="shared" si="23"/>
        <v>3.2756779080944359E-3</v>
      </c>
      <c r="G256" s="269">
        <v>1000</v>
      </c>
      <c r="H256" s="531"/>
      <c r="I256" s="445">
        <f>(F256-E256)*L242</f>
        <v>114.68707200000003</v>
      </c>
      <c r="J256" s="3439"/>
      <c r="K256" s="3439"/>
      <c r="L256" s="3439"/>
      <c r="M256" s="3439"/>
      <c r="N256" s="3439"/>
    </row>
    <row r="257" spans="1:16" s="1" customFormat="1" ht="29" customHeight="1" x14ac:dyDescent="0.2">
      <c r="A257" s="42" t="s">
        <v>1264</v>
      </c>
      <c r="H257" s="78"/>
      <c r="I257" s="447"/>
      <c r="J257" s="71"/>
      <c r="K257" s="71"/>
      <c r="N257" s="209"/>
    </row>
    <row r="258" spans="1:16" s="1" customFormat="1" ht="30" customHeight="1" x14ac:dyDescent="0.2">
      <c r="A258" s="42" t="s">
        <v>1265</v>
      </c>
      <c r="H258" s="78"/>
      <c r="I258" s="447"/>
      <c r="J258" s="71"/>
      <c r="K258" s="71"/>
      <c r="N258" s="209"/>
    </row>
    <row r="259" spans="1:16" s="1" customFormat="1" ht="41" customHeight="1" x14ac:dyDescent="0.2">
      <c r="A259" s="3511" t="s">
        <v>39</v>
      </c>
      <c r="B259" s="3511" t="s">
        <v>40</v>
      </c>
      <c r="C259" s="3511" t="s">
        <v>41</v>
      </c>
      <c r="D259" s="3511"/>
      <c r="E259" s="3511"/>
      <c r="F259" s="1795" t="s">
        <v>42</v>
      </c>
      <c r="G259" s="1795" t="s">
        <v>43</v>
      </c>
      <c r="H259" s="1796" t="s">
        <v>44</v>
      </c>
      <c r="I259" s="3511" t="s">
        <v>535</v>
      </c>
      <c r="J259" s="3511"/>
      <c r="K259" s="1797" t="s">
        <v>45</v>
      </c>
      <c r="L259" s="1795" t="s">
        <v>46</v>
      </c>
      <c r="M259" s="3512" t="s">
        <v>531</v>
      </c>
      <c r="N259" s="3512" t="s">
        <v>47</v>
      </c>
    </row>
    <row r="260" spans="1:16" s="2" customFormat="1" ht="39" customHeight="1" x14ac:dyDescent="0.2">
      <c r="A260" s="3511"/>
      <c r="B260" s="3511"/>
      <c r="C260" s="1797" t="s">
        <v>48</v>
      </c>
      <c r="D260" s="1797" t="s">
        <v>527</v>
      </c>
      <c r="E260" s="1797" t="s">
        <v>528</v>
      </c>
      <c r="F260" s="1795" t="s">
        <v>164</v>
      </c>
      <c r="G260" s="1795" t="s">
        <v>530</v>
      </c>
      <c r="H260" s="1796" t="s">
        <v>529</v>
      </c>
      <c r="I260" s="1795" t="s">
        <v>164</v>
      </c>
      <c r="J260" s="1797" t="s">
        <v>532</v>
      </c>
      <c r="K260" s="1796" t="s">
        <v>529</v>
      </c>
      <c r="L260" s="1795" t="s">
        <v>164</v>
      </c>
      <c r="M260" s="3512"/>
      <c r="N260" s="3512"/>
    </row>
    <row r="261" spans="1:16" ht="80" customHeight="1" x14ac:dyDescent="0.2">
      <c r="A261" s="51">
        <v>1</v>
      </c>
      <c r="B261" s="894" t="s">
        <v>1105</v>
      </c>
      <c r="C261" s="2355">
        <v>7505</v>
      </c>
      <c r="D261" s="2356">
        <v>13.18</v>
      </c>
      <c r="E261" s="2356">
        <v>3.17</v>
      </c>
      <c r="F261" s="2357">
        <v>366813</v>
      </c>
      <c r="G261" s="2359">
        <v>136528.94</v>
      </c>
      <c r="H261" s="70">
        <f>F261/G261</f>
        <v>2.6867051044269443</v>
      </c>
      <c r="I261" s="2359">
        <v>52609</v>
      </c>
      <c r="J261" s="870">
        <f>I261/(I261+F261)*100</f>
        <v>12.543214232920544</v>
      </c>
      <c r="K261" s="722">
        <f>(F261+I261)/G261</f>
        <v>3.0720373277636228</v>
      </c>
      <c r="L261" s="2359">
        <v>0</v>
      </c>
      <c r="M261" s="70">
        <f>(F261+I261+L261)/G261</f>
        <v>3.0720373277636228</v>
      </c>
      <c r="N261" s="894" t="s">
        <v>1274</v>
      </c>
      <c r="P261" s="395"/>
    </row>
    <row r="262" spans="1:16" ht="81" customHeight="1" x14ac:dyDescent="0.2">
      <c r="A262" s="51">
        <v>2</v>
      </c>
      <c r="B262" s="894" t="s">
        <v>1271</v>
      </c>
      <c r="C262" s="2355">
        <v>7566</v>
      </c>
      <c r="D262" s="2356">
        <v>14.59</v>
      </c>
      <c r="E262" s="2356">
        <v>0.49</v>
      </c>
      <c r="F262" s="2357">
        <v>471540</v>
      </c>
      <c r="G262" s="2359">
        <v>162714.05666666667</v>
      </c>
      <c r="H262" s="70">
        <f>F262/G262</f>
        <v>2.8979672049231064</v>
      </c>
      <c r="I262" s="2359">
        <v>52573</v>
      </c>
      <c r="J262" s="870">
        <f>I262/(I262+F262)*100</f>
        <v>10.030852125400438</v>
      </c>
      <c r="K262" s="722">
        <f>(F262+I262)/G262</f>
        <v>3.2210677475375666</v>
      </c>
      <c r="L262" s="2358">
        <v>0</v>
      </c>
      <c r="M262" s="70">
        <f>(F262+I262+L262)/G262</f>
        <v>3.2210677475375666</v>
      </c>
      <c r="N262" s="894" t="s">
        <v>1275</v>
      </c>
    </row>
    <row r="263" spans="1:16" ht="87" customHeight="1" x14ac:dyDescent="0.2">
      <c r="A263" s="51">
        <v>3</v>
      </c>
      <c r="B263" s="894" t="s">
        <v>1272</v>
      </c>
      <c r="C263" s="2355">
        <v>7434</v>
      </c>
      <c r="D263" s="2356">
        <v>13.76</v>
      </c>
      <c r="E263" s="2356">
        <v>6.8</v>
      </c>
      <c r="F263" s="2357">
        <v>180337</v>
      </c>
      <c r="G263" s="2359">
        <v>62236.016666666663</v>
      </c>
      <c r="H263" s="70">
        <f>F263/G263</f>
        <v>2.8976308198816283</v>
      </c>
      <c r="I263" s="2359">
        <v>18432</v>
      </c>
      <c r="J263" s="870">
        <f>I263/(I263+F263)*100</f>
        <v>9.2730757814347307</v>
      </c>
      <c r="K263" s="722">
        <f>(F263+I263)/G263</f>
        <v>3.1937937330500747</v>
      </c>
      <c r="L263" s="2359">
        <v>6782</v>
      </c>
      <c r="M263" s="70">
        <f>(F263+I263+L263)/G263</f>
        <v>3.3027660028584735</v>
      </c>
      <c r="N263" s="894" t="s">
        <v>1276</v>
      </c>
    </row>
    <row r="264" spans="1:16" ht="87" customHeight="1" x14ac:dyDescent="0.2">
      <c r="A264" s="51">
        <v>4</v>
      </c>
      <c r="B264" s="894" t="s">
        <v>1273</v>
      </c>
      <c r="C264" s="2355">
        <v>7341</v>
      </c>
      <c r="D264" s="2356">
        <v>17.36</v>
      </c>
      <c r="E264" s="2356">
        <v>4.28</v>
      </c>
      <c r="F264" s="2357">
        <v>291205</v>
      </c>
      <c r="G264" s="2359">
        <v>100468.66666666666</v>
      </c>
      <c r="H264" s="70">
        <f>F264/G264</f>
        <v>2.8984658566850032</v>
      </c>
      <c r="I264" s="2359">
        <v>34136</v>
      </c>
      <c r="J264" s="870">
        <f>I264/(I264+F264)*100</f>
        <v>10.492375691966275</v>
      </c>
      <c r="K264" s="722">
        <f>(F264+I264)/G264</f>
        <v>3.2382334790946432</v>
      </c>
      <c r="L264" s="2358"/>
      <c r="M264" s="70">
        <f>(F264+I264+L264)/G264</f>
        <v>3.2382334790946432</v>
      </c>
      <c r="N264" s="894" t="s">
        <v>1277</v>
      </c>
    </row>
    <row r="265" spans="1:16" s="1" customFormat="1" ht="38" customHeight="1" x14ac:dyDescent="0.2">
      <c r="A265" s="3335" t="s">
        <v>896</v>
      </c>
      <c r="B265" s="3335"/>
      <c r="C265" s="3335"/>
      <c r="D265" s="3335"/>
      <c r="E265" s="3335"/>
      <c r="F265" s="58">
        <f>SUM(F261:F264)</f>
        <v>1309895</v>
      </c>
      <c r="G265" s="65">
        <f>SUM(G261:G264)</f>
        <v>461947.68000000005</v>
      </c>
      <c r="H265" s="59">
        <f>F265/G265</f>
        <v>2.8355916843223454</v>
      </c>
      <c r="I265" s="726">
        <f>SUM(I261:I264)</f>
        <v>157750</v>
      </c>
      <c r="J265" s="360">
        <f>I265/(I265+F265)*100</f>
        <v>10.748512072061022</v>
      </c>
      <c r="K265" s="360">
        <f>(F265+I265)/G265</f>
        <v>3.1770805732805063</v>
      </c>
      <c r="L265" s="65">
        <f>SUM(L261:L264)</f>
        <v>6782</v>
      </c>
      <c r="M265" s="59">
        <f>(F265+I265+L265)/G265</f>
        <v>3.1917618895715631</v>
      </c>
      <c r="N265" s="264"/>
    </row>
    <row r="266" spans="1:16" s="1" customFormat="1" ht="32" customHeight="1" x14ac:dyDescent="0.2">
      <c r="A266" s="42" t="s">
        <v>685</v>
      </c>
      <c r="H266" s="78"/>
      <c r="I266" s="447"/>
      <c r="J266" s="71"/>
      <c r="K266" s="71"/>
      <c r="N266" s="209"/>
    </row>
    <row r="267" spans="1:16" ht="41" customHeight="1" x14ac:dyDescent="0.2">
      <c r="A267" s="3511" t="s">
        <v>39</v>
      </c>
      <c r="B267" s="3511" t="s">
        <v>40</v>
      </c>
      <c r="C267" s="3511" t="s">
        <v>41</v>
      </c>
      <c r="D267" s="3511"/>
      <c r="E267" s="3511"/>
      <c r="F267" s="1795" t="s">
        <v>42</v>
      </c>
      <c r="G267" s="1795" t="s">
        <v>43</v>
      </c>
      <c r="H267" s="1796" t="s">
        <v>44</v>
      </c>
      <c r="I267" s="3511" t="s">
        <v>535</v>
      </c>
      <c r="J267" s="3511"/>
      <c r="K267" s="1797" t="s">
        <v>45</v>
      </c>
      <c r="L267" s="1795" t="s">
        <v>46</v>
      </c>
      <c r="M267" s="3512" t="s">
        <v>531</v>
      </c>
      <c r="N267" s="3512" t="s">
        <v>47</v>
      </c>
    </row>
    <row r="268" spans="1:16" ht="41" customHeight="1" x14ac:dyDescent="0.2">
      <c r="A268" s="3511"/>
      <c r="B268" s="3511"/>
      <c r="C268" s="1797" t="s">
        <v>48</v>
      </c>
      <c r="D268" s="1797" t="s">
        <v>527</v>
      </c>
      <c r="E268" s="1797" t="s">
        <v>528</v>
      </c>
      <c r="F268" s="1795" t="s">
        <v>164</v>
      </c>
      <c r="G268" s="1795" t="s">
        <v>530</v>
      </c>
      <c r="H268" s="1796" t="s">
        <v>529</v>
      </c>
      <c r="I268" s="1795" t="s">
        <v>164</v>
      </c>
      <c r="J268" s="1797" t="s">
        <v>532</v>
      </c>
      <c r="K268" s="1796" t="s">
        <v>529</v>
      </c>
      <c r="L268" s="1795" t="s">
        <v>164</v>
      </c>
      <c r="M268" s="3512"/>
      <c r="N268" s="3512"/>
    </row>
    <row r="269" spans="1:16" ht="63" customHeight="1" x14ac:dyDescent="0.2">
      <c r="A269" s="51">
        <v>1</v>
      </c>
      <c r="B269" s="2363" t="s">
        <v>1105</v>
      </c>
      <c r="C269" s="2355">
        <v>7505</v>
      </c>
      <c r="D269" s="2356">
        <v>13.18</v>
      </c>
      <c r="E269" s="2356">
        <v>3.17</v>
      </c>
      <c r="F269" s="2360">
        <v>229380</v>
      </c>
      <c r="G269" s="2360">
        <v>117680.17</v>
      </c>
      <c r="H269" s="70">
        <f>F269/G269</f>
        <v>1.9491814126373204</v>
      </c>
      <c r="I269" s="872">
        <v>32898</v>
      </c>
      <c r="J269" s="870">
        <f>I269/(I269+F269)*100</f>
        <v>12.543179374556768</v>
      </c>
      <c r="K269" s="722">
        <f>(F269+I269)/G269</f>
        <v>2.2287357334714932</v>
      </c>
      <c r="L269" s="1801">
        <v>0</v>
      </c>
      <c r="M269" s="70">
        <f>(F269+I269+L269)/G269</f>
        <v>2.2287357334714932</v>
      </c>
      <c r="N269" s="894" t="s">
        <v>1274</v>
      </c>
    </row>
    <row r="270" spans="1:16" ht="80" customHeight="1" x14ac:dyDescent="0.2">
      <c r="A270" s="51">
        <v>2</v>
      </c>
      <c r="B270" s="894" t="s">
        <v>1271</v>
      </c>
      <c r="C270" s="2355">
        <v>7566</v>
      </c>
      <c r="D270" s="2356">
        <v>14.59</v>
      </c>
      <c r="E270" s="2356">
        <v>0.49</v>
      </c>
      <c r="F270" s="2360">
        <v>12966</v>
      </c>
      <c r="G270" s="2361">
        <v>5242.16</v>
      </c>
      <c r="H270" s="70">
        <f>F270/G270</f>
        <v>2.4734079081905169</v>
      </c>
      <c r="I270" s="872">
        <v>1446</v>
      </c>
      <c r="J270" s="870">
        <f>I270/(I270+F270)*100</f>
        <v>10.033305578684431</v>
      </c>
      <c r="K270" s="722">
        <f>(F270+I270)/G270</f>
        <v>2.7492484014223146</v>
      </c>
      <c r="L270" s="1801"/>
      <c r="M270" s="70">
        <f>(F270+I270+L270)/G270</f>
        <v>2.7492484014223146</v>
      </c>
      <c r="N270" s="894" t="s">
        <v>1275</v>
      </c>
    </row>
    <row r="271" spans="1:16" ht="92" customHeight="1" x14ac:dyDescent="0.2">
      <c r="A271" s="51">
        <v>3</v>
      </c>
      <c r="B271" s="894" t="s">
        <v>1272</v>
      </c>
      <c r="C271" s="2355">
        <v>7434</v>
      </c>
      <c r="D271" s="2356">
        <v>13.76</v>
      </c>
      <c r="E271" s="2356">
        <v>6.8</v>
      </c>
      <c r="F271" s="2360">
        <v>12966</v>
      </c>
      <c r="G271" s="2361">
        <v>5242.17</v>
      </c>
      <c r="H271" s="70">
        <f>F271/G271</f>
        <v>2.4734031899003655</v>
      </c>
      <c r="I271" s="2362">
        <v>1325</v>
      </c>
      <c r="J271" s="870">
        <f>I271/(I271+F271)*100</f>
        <v>9.2715695192778664</v>
      </c>
      <c r="K271" s="722">
        <f>(F271+I271)/G271</f>
        <v>2.72616111266899</v>
      </c>
      <c r="L271" s="872">
        <v>488</v>
      </c>
      <c r="M271" s="70">
        <f>(F271+I271+L271)/G271</f>
        <v>2.8192523325264154</v>
      </c>
      <c r="N271" s="894" t="s">
        <v>1276</v>
      </c>
    </row>
    <row r="272" spans="1:16" ht="72" hidden="1" customHeight="1" x14ac:dyDescent="0.2">
      <c r="A272" s="51"/>
      <c r="B272" s="894"/>
      <c r="C272" s="1799"/>
      <c r="D272" s="1191"/>
      <c r="E272" s="1191"/>
      <c r="F272" s="61"/>
      <c r="G272" s="1802"/>
      <c r="H272" s="70" t="e">
        <f>F272/G272</f>
        <v>#DIV/0!</v>
      </c>
      <c r="I272" s="872"/>
      <c r="J272" s="870" t="e">
        <f>I272/(I272+F272)*100</f>
        <v>#DIV/0!</v>
      </c>
      <c r="K272" s="722" t="e">
        <f>(F272+I272)/G272</f>
        <v>#DIV/0!</v>
      </c>
      <c r="L272" s="1803"/>
      <c r="M272" s="70" t="e">
        <f>(F272+I272+L272)/G272</f>
        <v>#DIV/0!</v>
      </c>
      <c r="N272" s="1798"/>
    </row>
    <row r="273" spans="1:14" ht="36" customHeight="1" x14ac:dyDescent="0.2">
      <c r="A273" s="3336" t="s">
        <v>1107</v>
      </c>
      <c r="B273" s="3336"/>
      <c r="C273" s="3336"/>
      <c r="D273" s="3336"/>
      <c r="E273" s="3336"/>
      <c r="F273" s="888">
        <f>SUM(F269:F272)</f>
        <v>255312</v>
      </c>
      <c r="G273" s="888">
        <f>SUM(G269:G272)</f>
        <v>128164.5</v>
      </c>
      <c r="H273" s="59">
        <f>F273/G273</f>
        <v>1.9920648853621712</v>
      </c>
      <c r="I273" s="726">
        <f>SUM(I269:I272)</f>
        <v>35669</v>
      </c>
      <c r="J273" s="360">
        <f>I273/(I273+F273)*100</f>
        <v>12.258188678985913</v>
      </c>
      <c r="K273" s="360">
        <f>(F273+I273)/G273</f>
        <v>2.270371280658841</v>
      </c>
      <c r="L273" s="60">
        <f>SUM(L269:L272)</f>
        <v>488</v>
      </c>
      <c r="M273" s="59">
        <f>(F273+I273+L273)/G273</f>
        <v>2.274178887289382</v>
      </c>
      <c r="N273" s="893"/>
    </row>
    <row r="274" spans="1:14" s="1" customFormat="1" ht="34" customHeight="1" x14ac:dyDescent="0.2">
      <c r="A274" s="42" t="s">
        <v>1278</v>
      </c>
      <c r="H274" s="78"/>
      <c r="I274" s="447"/>
      <c r="J274" s="71"/>
      <c r="K274" s="71"/>
      <c r="N274" s="209"/>
    </row>
    <row r="275" spans="1:14" s="1" customFormat="1" ht="41" customHeight="1" x14ac:dyDescent="0.2">
      <c r="A275" s="3511" t="s">
        <v>39</v>
      </c>
      <c r="B275" s="3511" t="s">
        <v>40</v>
      </c>
      <c r="C275" s="3511" t="s">
        <v>41</v>
      </c>
      <c r="D275" s="3511"/>
      <c r="E275" s="3511"/>
      <c r="F275" s="1795" t="s">
        <v>42</v>
      </c>
      <c r="G275" s="1795" t="s">
        <v>43</v>
      </c>
      <c r="H275" s="1796" t="s">
        <v>44</v>
      </c>
      <c r="I275" s="3511" t="s">
        <v>535</v>
      </c>
      <c r="J275" s="3511"/>
      <c r="K275" s="1797" t="s">
        <v>45</v>
      </c>
      <c r="L275" s="1795" t="s">
        <v>46</v>
      </c>
      <c r="M275" s="3512" t="s">
        <v>531</v>
      </c>
      <c r="N275" s="3512" t="s">
        <v>47</v>
      </c>
    </row>
    <row r="276" spans="1:14" s="1" customFormat="1" ht="41" customHeight="1" x14ac:dyDescent="0.2">
      <c r="A276" s="3511"/>
      <c r="B276" s="3511"/>
      <c r="C276" s="1797" t="s">
        <v>48</v>
      </c>
      <c r="D276" s="1797" t="s">
        <v>527</v>
      </c>
      <c r="E276" s="1797" t="s">
        <v>528</v>
      </c>
      <c r="F276" s="1795" t="s">
        <v>164</v>
      </c>
      <c r="G276" s="1795" t="s">
        <v>530</v>
      </c>
      <c r="H276" s="1796" t="s">
        <v>529</v>
      </c>
      <c r="I276" s="1795" t="s">
        <v>164</v>
      </c>
      <c r="J276" s="1797" t="s">
        <v>532</v>
      </c>
      <c r="K276" s="1796" t="s">
        <v>529</v>
      </c>
      <c r="L276" s="1795" t="s">
        <v>164</v>
      </c>
      <c r="M276" s="3512"/>
      <c r="N276" s="3512"/>
    </row>
    <row r="277" spans="1:14" s="1" customFormat="1" ht="79" customHeight="1" x14ac:dyDescent="0.2">
      <c r="A277" s="51">
        <v>1</v>
      </c>
      <c r="B277" s="894" t="s">
        <v>1271</v>
      </c>
      <c r="C277" s="2355">
        <v>7566</v>
      </c>
      <c r="D277" s="2356">
        <v>14.59</v>
      </c>
      <c r="E277" s="2356">
        <v>0.49</v>
      </c>
      <c r="F277" s="2357">
        <v>462282</v>
      </c>
      <c r="G277" s="2360">
        <v>152640.16</v>
      </c>
      <c r="H277" s="70">
        <f>F277/G277</f>
        <v>3.0285738694194242</v>
      </c>
      <c r="I277" s="872">
        <v>51541</v>
      </c>
      <c r="J277" s="870">
        <f>I277/(I277+F277)*100</f>
        <v>10.030886122263892</v>
      </c>
      <c r="K277" s="722">
        <f>(F277+I277)/G277</f>
        <v>3.3662372995416145</v>
      </c>
      <c r="L277" s="1801">
        <v>0</v>
      </c>
      <c r="M277" s="70">
        <f>(F277+I277+L277)/G277</f>
        <v>3.3662372995416145</v>
      </c>
      <c r="N277" s="894" t="s">
        <v>1275</v>
      </c>
    </row>
    <row r="278" spans="1:14" s="1" customFormat="1" ht="79" customHeight="1" x14ac:dyDescent="0.2">
      <c r="A278" s="51">
        <v>2</v>
      </c>
      <c r="B278" s="894" t="s">
        <v>1272</v>
      </c>
      <c r="C278" s="2355">
        <v>7434</v>
      </c>
      <c r="D278" s="2375">
        <v>13.76</v>
      </c>
      <c r="E278" s="2356">
        <v>6.8</v>
      </c>
      <c r="F278" s="2360">
        <v>168092</v>
      </c>
      <c r="G278" s="2360">
        <v>54258.8</v>
      </c>
      <c r="H278" s="70">
        <f>F278/G278</f>
        <v>3.0979675186329221</v>
      </c>
      <c r="I278" s="872">
        <v>17181</v>
      </c>
      <c r="J278" s="870">
        <f>I278/(I278+F278)*100</f>
        <v>9.273342580948114</v>
      </c>
      <c r="K278" s="722">
        <f>(F278+I278)/G278</f>
        <v>3.4146166151850021</v>
      </c>
      <c r="L278" s="1801">
        <v>6567</v>
      </c>
      <c r="M278" s="70">
        <f>(F278+I278+L278)/G278</f>
        <v>3.5356476737414022</v>
      </c>
      <c r="N278" s="2363" t="s">
        <v>1276</v>
      </c>
    </row>
    <row r="279" spans="1:14" ht="79" customHeight="1" x14ac:dyDescent="0.2">
      <c r="A279" s="51">
        <v>3</v>
      </c>
      <c r="B279" s="894" t="s">
        <v>1273</v>
      </c>
      <c r="C279" s="2355">
        <v>7341</v>
      </c>
      <c r="D279" s="2356">
        <v>17.36</v>
      </c>
      <c r="E279" s="2356">
        <v>4.28</v>
      </c>
      <c r="F279" s="2360">
        <v>294190</v>
      </c>
      <c r="G279" s="2360">
        <v>98381.36</v>
      </c>
      <c r="H279" s="70">
        <f>F279/G279</f>
        <v>2.9903022279830243</v>
      </c>
      <c r="I279" s="872">
        <v>34486</v>
      </c>
      <c r="J279" s="870">
        <f>I279/(I279+F279)*100</f>
        <v>10.492399810147379</v>
      </c>
      <c r="K279" s="722">
        <f>(F279+I279)/G279</f>
        <v>3.3408361096045023</v>
      </c>
      <c r="L279" s="872">
        <v>0</v>
      </c>
      <c r="M279" s="70">
        <f>(F279+I279+L279)/G279</f>
        <v>3.3408361096045023</v>
      </c>
      <c r="N279" s="894" t="s">
        <v>1276</v>
      </c>
    </row>
    <row r="280" spans="1:14" s="1" customFormat="1" ht="50" hidden="1" customHeight="1" x14ac:dyDescent="0.2">
      <c r="A280" s="51"/>
      <c r="B280" s="894"/>
      <c r="C280" s="1799"/>
      <c r="D280" s="1191"/>
      <c r="E280" s="1191"/>
      <c r="F280" s="61"/>
      <c r="G280" s="1807"/>
      <c r="H280" s="70"/>
      <c r="I280" s="872"/>
      <c r="J280" s="870"/>
      <c r="K280" s="722"/>
      <c r="L280" s="1803"/>
      <c r="M280" s="70"/>
      <c r="N280" s="1798"/>
    </row>
    <row r="281" spans="1:14" s="1" customFormat="1" ht="32" customHeight="1" x14ac:dyDescent="0.2">
      <c r="A281" s="3336" t="s">
        <v>1107</v>
      </c>
      <c r="B281" s="3336"/>
      <c r="C281" s="3336"/>
      <c r="D281" s="3336"/>
      <c r="E281" s="3336"/>
      <c r="F281" s="888">
        <f>SUM(F277:F280)</f>
        <v>924564</v>
      </c>
      <c r="G281" s="888">
        <f>SUM(G277:G280)</f>
        <v>305280.32</v>
      </c>
      <c r="H281" s="59">
        <f>F281/G281</f>
        <v>3.0285738694194242</v>
      </c>
      <c r="I281" s="859">
        <f>SUM(I277:I279)</f>
        <v>103208</v>
      </c>
      <c r="J281" s="360">
        <f>I281/(I281+F281)*100</f>
        <v>10.041915911311069</v>
      </c>
      <c r="K281" s="360">
        <f>(F281+I281)/G281</f>
        <v>3.3666500349580346</v>
      </c>
      <c r="L281" s="60">
        <f>SUM(L277:L279)</f>
        <v>6567</v>
      </c>
      <c r="M281" s="59">
        <f>(F281+I281+L281)/G281</f>
        <v>3.3881614117804908</v>
      </c>
      <c r="N281" s="893"/>
    </row>
    <row r="282" spans="1:14" s="1" customFormat="1" ht="27" hidden="1" customHeight="1" x14ac:dyDescent="0.2">
      <c r="A282" s="42" t="s">
        <v>688</v>
      </c>
      <c r="H282" s="78"/>
      <c r="I282" s="447"/>
      <c r="J282" s="71"/>
      <c r="K282" s="71"/>
      <c r="N282" s="209"/>
    </row>
    <row r="283" spans="1:14" s="1" customFormat="1" ht="38" hidden="1" customHeight="1" x14ac:dyDescent="0.2">
      <c r="A283" s="3301" t="s">
        <v>39</v>
      </c>
      <c r="B283" s="3301" t="s">
        <v>40</v>
      </c>
      <c r="C283" s="3301" t="s">
        <v>41</v>
      </c>
      <c r="D283" s="3301"/>
      <c r="E283" s="3301"/>
      <c r="F283" s="50" t="s">
        <v>42</v>
      </c>
      <c r="G283" s="50" t="s">
        <v>43</v>
      </c>
      <c r="H283" s="537" t="s">
        <v>44</v>
      </c>
      <c r="I283" s="3301" t="s">
        <v>535</v>
      </c>
      <c r="J283" s="3301"/>
      <c r="K283" s="69" t="s">
        <v>45</v>
      </c>
      <c r="L283" s="50" t="s">
        <v>46</v>
      </c>
      <c r="M283" s="3419" t="s">
        <v>531</v>
      </c>
      <c r="N283" s="3419" t="s">
        <v>47</v>
      </c>
    </row>
    <row r="284" spans="1:14" s="1" customFormat="1" ht="32" hidden="1" customHeight="1" x14ac:dyDescent="0.2">
      <c r="A284" s="3301"/>
      <c r="B284" s="3301"/>
      <c r="C284" s="50" t="s">
        <v>48</v>
      </c>
      <c r="D284" s="69" t="s">
        <v>527</v>
      </c>
      <c r="E284" s="69" t="s">
        <v>528</v>
      </c>
      <c r="F284" s="50" t="s">
        <v>164</v>
      </c>
      <c r="G284" s="50" t="s">
        <v>530</v>
      </c>
      <c r="H284" s="537" t="s">
        <v>529</v>
      </c>
      <c r="I284" s="50" t="s">
        <v>164</v>
      </c>
      <c r="J284" s="69" t="s">
        <v>532</v>
      </c>
      <c r="K284" s="537" t="s">
        <v>529</v>
      </c>
      <c r="L284" s="50" t="s">
        <v>164</v>
      </c>
      <c r="M284" s="3419"/>
      <c r="N284" s="3419"/>
    </row>
    <row r="285" spans="1:14" s="1" customFormat="1" ht="32" hidden="1" customHeight="1" x14ac:dyDescent="0.2">
      <c r="A285" s="50"/>
      <c r="B285" s="50"/>
      <c r="C285" s="50"/>
      <c r="D285" s="69"/>
      <c r="E285" s="69"/>
      <c r="F285" s="50"/>
      <c r="G285" s="50"/>
      <c r="H285" s="537"/>
      <c r="I285" s="50"/>
      <c r="J285" s="69"/>
      <c r="K285" s="537"/>
      <c r="L285" s="50"/>
      <c r="M285" s="69"/>
      <c r="N285" s="69"/>
    </row>
    <row r="286" spans="1:14" s="1" customFormat="1" ht="32" hidden="1" customHeight="1" x14ac:dyDescent="0.2">
      <c r="A286" s="50"/>
      <c r="B286" s="50"/>
      <c r="C286" s="50"/>
      <c r="D286" s="69"/>
      <c r="E286" s="69"/>
      <c r="F286" s="50"/>
      <c r="G286" s="50"/>
      <c r="H286" s="537"/>
      <c r="I286" s="50"/>
      <c r="J286" s="69"/>
      <c r="K286" s="537"/>
      <c r="L286" s="50"/>
      <c r="M286" s="69"/>
      <c r="N286" s="69"/>
    </row>
    <row r="287" spans="1:14" ht="62" hidden="1" customHeight="1" x14ac:dyDescent="0.2">
      <c r="A287" s="51">
        <v>1</v>
      </c>
      <c r="B287" s="894"/>
      <c r="C287" s="53"/>
      <c r="D287" s="54"/>
      <c r="E287" s="54"/>
      <c r="F287" s="55"/>
      <c r="G287" s="1130"/>
      <c r="H287" s="70" t="e">
        <f>F287/G287</f>
        <v>#DIV/0!</v>
      </c>
      <c r="I287" s="66"/>
      <c r="J287" s="870" t="e">
        <f>I287/(I287+F287)*100</f>
        <v>#DIV/0!</v>
      </c>
      <c r="K287" s="722" t="e">
        <f>(F287+I287)/G287</f>
        <v>#DIV/0!</v>
      </c>
      <c r="L287" s="66"/>
      <c r="M287" s="70" t="e">
        <f>(F287+I287+L287)/G287</f>
        <v>#DIV/0!</v>
      </c>
      <c r="N287" s="893"/>
    </row>
    <row r="288" spans="1:14" ht="54" hidden="1" customHeight="1" x14ac:dyDescent="0.2">
      <c r="A288" s="51">
        <v>2</v>
      </c>
      <c r="B288" s="894"/>
      <c r="C288" s="53"/>
      <c r="D288" s="54"/>
      <c r="E288" s="54"/>
      <c r="F288" s="55"/>
      <c r="G288" s="66"/>
      <c r="H288" s="70" t="e">
        <f>F288/G288</f>
        <v>#DIV/0!</v>
      </c>
      <c r="I288" s="66"/>
      <c r="J288" s="870" t="e">
        <f>I288/(I288+F288)*100</f>
        <v>#DIV/0!</v>
      </c>
      <c r="K288" s="722" t="e">
        <f>(F288+I288)/G288</f>
        <v>#DIV/0!</v>
      </c>
      <c r="L288" s="1065">
        <v>0</v>
      </c>
      <c r="M288" s="70" t="e">
        <f>(F288+I288+L288)/G288</f>
        <v>#DIV/0!</v>
      </c>
      <c r="N288" s="893"/>
    </row>
    <row r="289" spans="1:15" s="1" customFormat="1" ht="27" hidden="1" customHeight="1" x14ac:dyDescent="0.2">
      <c r="A289" s="3336" t="s">
        <v>54</v>
      </c>
      <c r="B289" s="3336"/>
      <c r="C289" s="3336"/>
      <c r="D289" s="3336"/>
      <c r="E289" s="3336"/>
      <c r="F289" s="888">
        <f>F287+F288</f>
        <v>0</v>
      </c>
      <c r="G289" s="888">
        <f>G287+G288</f>
        <v>0</v>
      </c>
      <c r="H289" s="59" t="e">
        <f>F289/G289</f>
        <v>#DIV/0!</v>
      </c>
      <c r="I289" s="859">
        <f>I287+I288</f>
        <v>0</v>
      </c>
      <c r="J289" s="360" t="e">
        <f>I289/(I289+F289)*100</f>
        <v>#DIV/0!</v>
      </c>
      <c r="K289" s="360" t="e">
        <f>(F289+I289)/G289</f>
        <v>#DIV/0!</v>
      </c>
      <c r="L289" s="60">
        <f>L287+L288</f>
        <v>0</v>
      </c>
      <c r="M289" s="59" t="e">
        <f>(F289+I289+L289)/G289</f>
        <v>#DIV/0!</v>
      </c>
      <c r="N289" s="893"/>
    </row>
    <row r="290" spans="1:15" s="1" customFormat="1" ht="27" customHeight="1" x14ac:dyDescent="0.2">
      <c r="A290" s="3398" t="s">
        <v>1279</v>
      </c>
      <c r="B290" s="3398"/>
      <c r="C290" s="3398"/>
      <c r="D290" s="3398"/>
      <c r="E290" s="3398"/>
      <c r="F290" s="3398"/>
      <c r="G290" s="3398"/>
      <c r="H290" s="3398"/>
      <c r="I290" s="3398"/>
      <c r="J290" s="3398"/>
      <c r="K290" s="3398"/>
      <c r="L290" s="3398"/>
      <c r="M290" s="3398"/>
      <c r="N290" s="3398"/>
    </row>
    <row r="291" spans="1:15" s="1" customFormat="1" ht="35" customHeight="1" x14ac:dyDescent="0.2">
      <c r="A291" s="3511" t="s">
        <v>39</v>
      </c>
      <c r="B291" s="3511" t="s">
        <v>40</v>
      </c>
      <c r="C291" s="3511" t="s">
        <v>41</v>
      </c>
      <c r="D291" s="3511"/>
      <c r="E291" s="3511"/>
      <c r="F291" s="1795" t="s">
        <v>42</v>
      </c>
      <c r="G291" s="1795" t="s">
        <v>43</v>
      </c>
      <c r="H291" s="1796" t="s">
        <v>44</v>
      </c>
      <c r="I291" s="3511" t="s">
        <v>535</v>
      </c>
      <c r="J291" s="3511"/>
      <c r="K291" s="1797" t="s">
        <v>45</v>
      </c>
      <c r="L291" s="1795" t="s">
        <v>46</v>
      </c>
      <c r="M291" s="3512" t="s">
        <v>531</v>
      </c>
      <c r="N291" s="3512" t="s">
        <v>47</v>
      </c>
    </row>
    <row r="292" spans="1:15" s="1" customFormat="1" ht="32" customHeight="1" x14ac:dyDescent="0.2">
      <c r="A292" s="3511"/>
      <c r="B292" s="3511"/>
      <c r="C292" s="1797" t="s">
        <v>48</v>
      </c>
      <c r="D292" s="1797" t="s">
        <v>527</v>
      </c>
      <c r="E292" s="1797" t="s">
        <v>528</v>
      </c>
      <c r="F292" s="1795" t="s">
        <v>164</v>
      </c>
      <c r="G292" s="1795" t="s">
        <v>530</v>
      </c>
      <c r="H292" s="1796" t="s">
        <v>529</v>
      </c>
      <c r="I292" s="1795" t="s">
        <v>164</v>
      </c>
      <c r="J292" s="1797" t="s">
        <v>532</v>
      </c>
      <c r="K292" s="1796" t="s">
        <v>529</v>
      </c>
      <c r="L292" s="1795" t="s">
        <v>164</v>
      </c>
      <c r="M292" s="3512"/>
      <c r="N292" s="3512"/>
    </row>
    <row r="293" spans="1:15" ht="72" customHeight="1" x14ac:dyDescent="0.2">
      <c r="A293" s="51">
        <v>1</v>
      </c>
      <c r="B293" s="2364" t="s">
        <v>1105</v>
      </c>
      <c r="C293" s="2365">
        <v>7.5049999999999999</v>
      </c>
      <c r="D293" s="2354">
        <v>13.18</v>
      </c>
      <c r="E293" s="2354">
        <v>3.17</v>
      </c>
      <c r="F293" s="1800">
        <f>F269</f>
        <v>229380</v>
      </c>
      <c r="G293" s="1800">
        <f>G269</f>
        <v>117680.17</v>
      </c>
      <c r="H293" s="70">
        <f>F293/G293</f>
        <v>1.9491814126373204</v>
      </c>
      <c r="I293" s="1800">
        <f>I269</f>
        <v>32898</v>
      </c>
      <c r="J293" s="870">
        <f>I293/(I293+F293)*100</f>
        <v>12.543179374556768</v>
      </c>
      <c r="K293" s="722">
        <f>(F293+I293)/G293</f>
        <v>2.2287357334714932</v>
      </c>
      <c r="L293" s="1800">
        <f>L269</f>
        <v>0</v>
      </c>
      <c r="M293" s="70">
        <f>(F293+I293+L293)/G293</f>
        <v>2.2287357334714932</v>
      </c>
      <c r="N293" s="894" t="s">
        <v>1274</v>
      </c>
    </row>
    <row r="294" spans="1:15" ht="79" customHeight="1" x14ac:dyDescent="0.2">
      <c r="A294" s="51">
        <v>2</v>
      </c>
      <c r="B294" s="2363" t="s">
        <v>1271</v>
      </c>
      <c r="C294" s="2355">
        <v>7566</v>
      </c>
      <c r="D294" s="2356">
        <v>14.59</v>
      </c>
      <c r="E294" s="2356">
        <v>0.49</v>
      </c>
      <c r="F294" s="1802">
        <f>F270+F277</f>
        <v>475248</v>
      </c>
      <c r="G294" s="1802">
        <f>G270+G277</f>
        <v>157882.32</v>
      </c>
      <c r="H294" s="70">
        <f>F294/G294</f>
        <v>3.0101407174660215</v>
      </c>
      <c r="I294" s="1802">
        <f>I270+I277</f>
        <v>52987</v>
      </c>
      <c r="J294" s="870">
        <f>I294/(I294+F294)*100</f>
        <v>10.030952133046844</v>
      </c>
      <c r="K294" s="722">
        <f>(F294+I294)/G294</f>
        <v>3.3457514432268285</v>
      </c>
      <c r="L294" s="1802">
        <f>L270+L277</f>
        <v>0</v>
      </c>
      <c r="M294" s="70">
        <f>(F294+I294+L294)/G294</f>
        <v>3.3457514432268285</v>
      </c>
      <c r="N294" s="894" t="s">
        <v>1275</v>
      </c>
    </row>
    <row r="295" spans="1:15" s="1" customFormat="1" ht="79" customHeight="1" x14ac:dyDescent="0.2">
      <c r="A295" s="51">
        <v>3</v>
      </c>
      <c r="B295" s="2363" t="s">
        <v>1272</v>
      </c>
      <c r="C295" s="2355">
        <v>7434</v>
      </c>
      <c r="D295" s="2356">
        <v>13.76</v>
      </c>
      <c r="E295" s="2356">
        <v>6.8</v>
      </c>
      <c r="F295" s="1802">
        <f>F271+F278</f>
        <v>181058</v>
      </c>
      <c r="G295" s="1802">
        <f>G271+G278</f>
        <v>59500.97</v>
      </c>
      <c r="H295" s="70">
        <f>F295/G295</f>
        <v>3.0429419890129523</v>
      </c>
      <c r="I295" s="1802">
        <f>I271+I278</f>
        <v>18506</v>
      </c>
      <c r="J295" s="870">
        <f>I295/(I295+F295)*100</f>
        <v>9.2732156100298653</v>
      </c>
      <c r="K295" s="722">
        <f>(F295+I295)/G295</f>
        <v>3.3539621286846248</v>
      </c>
      <c r="L295" s="1802">
        <f>L271+L278</f>
        <v>7055</v>
      </c>
      <c r="M295" s="70">
        <f>(F295+I295+L295)/G295</f>
        <v>3.4725316242743607</v>
      </c>
      <c r="N295" s="894" t="s">
        <v>1276</v>
      </c>
      <c r="O295" s="4"/>
    </row>
    <row r="296" spans="1:15" s="1" customFormat="1" ht="79" customHeight="1" x14ac:dyDescent="0.2">
      <c r="A296" s="51">
        <v>4</v>
      </c>
      <c r="B296" s="2363" t="s">
        <v>1273</v>
      </c>
      <c r="C296" s="2355">
        <v>7341</v>
      </c>
      <c r="D296" s="2356">
        <v>17.36</v>
      </c>
      <c r="E296" s="2356">
        <v>4.28</v>
      </c>
      <c r="F296" s="1802">
        <f>F279</f>
        <v>294190</v>
      </c>
      <c r="G296" s="1802">
        <f>G279</f>
        <v>98381.36</v>
      </c>
      <c r="H296" s="70">
        <f>F296/G296</f>
        <v>2.9903022279830243</v>
      </c>
      <c r="I296" s="1802">
        <f>I279</f>
        <v>34486</v>
      </c>
      <c r="J296" s="870">
        <f>I296/(I296+F296)*100</f>
        <v>10.492399810147379</v>
      </c>
      <c r="K296" s="722">
        <f>(F296+I296)/G296</f>
        <v>3.3408361096045023</v>
      </c>
      <c r="L296" s="1802">
        <f>L279</f>
        <v>0</v>
      </c>
      <c r="M296" s="70">
        <f>(F296+I296+L296)/G296</f>
        <v>3.3408361096045023</v>
      </c>
      <c r="N296" s="894" t="s">
        <v>1277</v>
      </c>
      <c r="O296" s="4"/>
    </row>
    <row r="297" spans="1:15" s="1" customFormat="1" ht="36" customHeight="1" x14ac:dyDescent="0.2">
      <c r="A297" s="3336" t="s">
        <v>1107</v>
      </c>
      <c r="B297" s="3336"/>
      <c r="C297" s="3336"/>
      <c r="D297" s="3336"/>
      <c r="E297" s="3336"/>
      <c r="F297" s="58">
        <f>SUM(F293:F296)</f>
        <v>1179876</v>
      </c>
      <c r="G297" s="58">
        <f>SUM(G293:G296)</f>
        <v>433444.81999999995</v>
      </c>
      <c r="H297" s="59">
        <f>F297/G297</f>
        <v>2.7220904381784981</v>
      </c>
      <c r="I297" s="58">
        <f>SUM(I293:I296)</f>
        <v>138877</v>
      </c>
      <c r="J297" s="360">
        <f>I297/(I297+F297)*100</f>
        <v>10.530933389345844</v>
      </c>
      <c r="K297" s="360">
        <f>(F297+I297)/G297</f>
        <v>3.0424933905081626</v>
      </c>
      <c r="L297" s="58">
        <f>SUM(L293:L296)</f>
        <v>7055</v>
      </c>
      <c r="M297" s="59">
        <f>(F297+I297+L297)/G297</f>
        <v>3.0587699721500887</v>
      </c>
      <c r="N297" s="2376"/>
    </row>
    <row r="298" spans="1:15" s="1" customFormat="1" ht="23" customHeight="1" x14ac:dyDescent="0.2">
      <c r="A298" s="67"/>
      <c r="B298" s="67"/>
      <c r="C298" s="67"/>
      <c r="D298" s="67"/>
      <c r="E298" s="67"/>
      <c r="F298" s="1125"/>
      <c r="G298" s="1126"/>
      <c r="H298" s="1127"/>
      <c r="I298" s="1128"/>
      <c r="J298" s="1129"/>
      <c r="K298" s="1129"/>
      <c r="L298" s="1126"/>
      <c r="M298" s="1127"/>
      <c r="N298" s="272"/>
    </row>
    <row r="299" spans="1:15" s="1" customFormat="1" ht="28" customHeight="1" x14ac:dyDescent="0.2">
      <c r="A299" s="42" t="s">
        <v>1263</v>
      </c>
      <c r="H299" s="78"/>
      <c r="I299" s="447"/>
      <c r="J299" s="71"/>
      <c r="K299" s="71"/>
      <c r="N299" s="209"/>
    </row>
    <row r="300" spans="1:15" s="1" customFormat="1" ht="34" customHeight="1" x14ac:dyDescent="0.2">
      <c r="A300" s="3510" t="s">
        <v>39</v>
      </c>
      <c r="B300" s="3510" t="s">
        <v>40</v>
      </c>
      <c r="C300" s="3510" t="s">
        <v>41</v>
      </c>
      <c r="D300" s="3510"/>
      <c r="E300" s="3510"/>
      <c r="F300" s="1810" t="s">
        <v>42</v>
      </c>
      <c r="G300" s="1810" t="s">
        <v>43</v>
      </c>
      <c r="H300" s="1811" t="s">
        <v>533</v>
      </c>
      <c r="I300" s="3510" t="s">
        <v>535</v>
      </c>
      <c r="J300" s="3510"/>
      <c r="K300" s="1812" t="s">
        <v>45</v>
      </c>
      <c r="L300" s="1810" t="s">
        <v>46</v>
      </c>
      <c r="M300" s="3507" t="s">
        <v>531</v>
      </c>
      <c r="N300" s="3507" t="s">
        <v>47</v>
      </c>
    </row>
    <row r="301" spans="1:15" s="1" customFormat="1" ht="35" customHeight="1" x14ac:dyDescent="0.2">
      <c r="A301" s="3510"/>
      <c r="B301" s="3510"/>
      <c r="C301" s="1812" t="s">
        <v>48</v>
      </c>
      <c r="D301" s="1812" t="s">
        <v>527</v>
      </c>
      <c r="E301" s="1812" t="s">
        <v>528</v>
      </c>
      <c r="F301" s="1810" t="s">
        <v>164</v>
      </c>
      <c r="G301" s="1810" t="s">
        <v>530</v>
      </c>
      <c r="H301" s="1811" t="s">
        <v>534</v>
      </c>
      <c r="I301" s="1810" t="s">
        <v>164</v>
      </c>
      <c r="J301" s="1812" t="s">
        <v>532</v>
      </c>
      <c r="K301" s="1811" t="s">
        <v>534</v>
      </c>
      <c r="L301" s="1810" t="s">
        <v>164</v>
      </c>
      <c r="M301" s="3507"/>
      <c r="N301" s="3507"/>
    </row>
    <row r="302" spans="1:15" ht="67" customHeight="1" x14ac:dyDescent="0.2">
      <c r="A302" s="51">
        <v>1</v>
      </c>
      <c r="B302" s="2364" t="s">
        <v>1105</v>
      </c>
      <c r="C302" s="2365">
        <v>7.5049999999999999</v>
      </c>
      <c r="D302" s="2354">
        <v>13.18</v>
      </c>
      <c r="E302" s="2354">
        <v>3.17</v>
      </c>
      <c r="F302" s="61">
        <f t="shared" ref="F302:G305" si="24">F261+F293</f>
        <v>596193</v>
      </c>
      <c r="G302" s="61">
        <f t="shared" si="24"/>
        <v>254209.11</v>
      </c>
      <c r="H302" s="70">
        <f t="shared" ref="H302:H306" si="25">F302/G302</f>
        <v>2.3452857373994189</v>
      </c>
      <c r="I302" s="61">
        <f>I261+I293</f>
        <v>85507</v>
      </c>
      <c r="J302" s="870">
        <f t="shared" ref="J302:J306" si="26">I302/(I302+F302)*100</f>
        <v>12.543200821475722</v>
      </c>
      <c r="K302" s="722">
        <f t="shared" ref="K302:K306" si="27">(F302+I302)/G302</f>
        <v>2.6816505513905464</v>
      </c>
      <c r="L302" s="61">
        <f>L261+L293</f>
        <v>0</v>
      </c>
      <c r="M302" s="70">
        <f t="shared" ref="M302:M306" si="28">(F302+I302+L302)/G302</f>
        <v>2.6816505513905464</v>
      </c>
      <c r="N302" s="894" t="s">
        <v>1274</v>
      </c>
    </row>
    <row r="303" spans="1:15" ht="78" customHeight="1" x14ac:dyDescent="0.2">
      <c r="A303" s="51">
        <v>2</v>
      </c>
      <c r="B303" s="2363" t="s">
        <v>1271</v>
      </c>
      <c r="C303" s="2355">
        <v>7566</v>
      </c>
      <c r="D303" s="2356">
        <v>14.59</v>
      </c>
      <c r="E303" s="2356">
        <v>0.49</v>
      </c>
      <c r="F303" s="61">
        <f t="shared" si="24"/>
        <v>946788</v>
      </c>
      <c r="G303" s="61">
        <f t="shared" si="24"/>
        <v>320596.37666666671</v>
      </c>
      <c r="H303" s="70">
        <f t="shared" si="25"/>
        <v>2.9532086726744349</v>
      </c>
      <c r="I303" s="61">
        <f>I262+I294</f>
        <v>105560</v>
      </c>
      <c r="J303" s="870">
        <f t="shared" si="26"/>
        <v>10.030902325086378</v>
      </c>
      <c r="K303" s="722">
        <f t="shared" si="27"/>
        <v>3.2824700358175183</v>
      </c>
      <c r="L303" s="61">
        <f>L262+L294</f>
        <v>0</v>
      </c>
      <c r="M303" s="70">
        <f t="shared" si="28"/>
        <v>3.2824700358175183</v>
      </c>
      <c r="N303" s="894" t="s">
        <v>1275</v>
      </c>
    </row>
    <row r="304" spans="1:15" ht="80" customHeight="1" x14ac:dyDescent="0.2">
      <c r="A304" s="51">
        <v>3</v>
      </c>
      <c r="B304" s="2363" t="s">
        <v>1272</v>
      </c>
      <c r="C304" s="2355">
        <v>7434</v>
      </c>
      <c r="D304" s="2356">
        <v>13.76</v>
      </c>
      <c r="E304" s="2356">
        <v>6.8</v>
      </c>
      <c r="F304" s="61">
        <f t="shared" si="24"/>
        <v>361395</v>
      </c>
      <c r="G304" s="61">
        <f t="shared" si="24"/>
        <v>121736.98666666666</v>
      </c>
      <c r="H304" s="70">
        <f t="shared" si="25"/>
        <v>2.9686540622986781</v>
      </c>
      <c r="I304" s="61">
        <f>I263+I295</f>
        <v>36938</v>
      </c>
      <c r="J304" s="870">
        <f t="shared" si="26"/>
        <v>9.2731458352684815</v>
      </c>
      <c r="K304" s="722">
        <f t="shared" si="27"/>
        <v>3.2720786911761905</v>
      </c>
      <c r="L304" s="61">
        <f>L263+L295</f>
        <v>13837</v>
      </c>
      <c r="M304" s="70">
        <f t="shared" si="28"/>
        <v>3.385741764157352</v>
      </c>
      <c r="N304" s="894" t="s">
        <v>1276</v>
      </c>
    </row>
    <row r="305" spans="1:18" ht="76" customHeight="1" x14ac:dyDescent="0.2">
      <c r="A305" s="51">
        <v>4</v>
      </c>
      <c r="B305" s="2363" t="s">
        <v>1273</v>
      </c>
      <c r="C305" s="2355">
        <v>7341</v>
      </c>
      <c r="D305" s="2356">
        <v>17.36</v>
      </c>
      <c r="E305" s="2356">
        <v>4.28</v>
      </c>
      <c r="F305" s="61">
        <f t="shared" si="24"/>
        <v>585395</v>
      </c>
      <c r="G305" s="61">
        <f t="shared" si="24"/>
        <v>198850.02666666667</v>
      </c>
      <c r="H305" s="70">
        <f t="shared" si="25"/>
        <v>2.9439020442340733</v>
      </c>
      <c r="I305" s="61">
        <f>I264+I296</f>
        <v>68622</v>
      </c>
      <c r="J305" s="870">
        <f t="shared" si="26"/>
        <v>10.492387812549216</v>
      </c>
      <c r="K305" s="722">
        <f t="shared" si="27"/>
        <v>3.2889962901354401</v>
      </c>
      <c r="L305" s="61">
        <f>L264+L296</f>
        <v>0</v>
      </c>
      <c r="M305" s="70">
        <f t="shared" si="28"/>
        <v>3.2889962901354401</v>
      </c>
      <c r="N305" s="894" t="s">
        <v>1277</v>
      </c>
    </row>
    <row r="306" spans="1:18" ht="31" customHeight="1" x14ac:dyDescent="0.2">
      <c r="A306" s="3579" t="s">
        <v>1107</v>
      </c>
      <c r="B306" s="3579"/>
      <c r="C306" s="3579"/>
      <c r="D306" s="3579"/>
      <c r="E306" s="3579"/>
      <c r="F306" s="1141">
        <f>SUM(F302:F305)</f>
        <v>2489771</v>
      </c>
      <c r="G306" s="1141">
        <f>SUM(G302:G305)</f>
        <v>895392.5</v>
      </c>
      <c r="H306" s="1142">
        <f t="shared" si="25"/>
        <v>2.7806475930946486</v>
      </c>
      <c r="I306" s="1169">
        <f>SUM(I302:I305)</f>
        <v>296627</v>
      </c>
      <c r="J306" s="1143">
        <f t="shared" si="26"/>
        <v>10.645535921286191</v>
      </c>
      <c r="K306" s="1143">
        <f t="shared" si="27"/>
        <v>3.1119291260536581</v>
      </c>
      <c r="L306" s="1144">
        <f>SUM(L302:L305)</f>
        <v>13837</v>
      </c>
      <c r="M306" s="1142">
        <f t="shared" si="28"/>
        <v>3.127382684130144</v>
      </c>
      <c r="N306" s="1140"/>
    </row>
    <row r="307" spans="1:18" s="1" customFormat="1" ht="29" customHeight="1" x14ac:dyDescent="0.2">
      <c r="A307" s="2366" t="s">
        <v>515</v>
      </c>
      <c r="B307" s="2367"/>
      <c r="C307" s="2367"/>
      <c r="D307" s="2367"/>
      <c r="E307" s="2367"/>
      <c r="F307" s="2367"/>
      <c r="G307" s="2367"/>
      <c r="H307" s="2367"/>
      <c r="I307" s="2368"/>
      <c r="J307" s="2368"/>
      <c r="K307" s="2369"/>
      <c r="L307" s="2369"/>
      <c r="M307" s="2369"/>
      <c r="N307" s="2369"/>
      <c r="O307" s="2369"/>
      <c r="P307" s="2369"/>
      <c r="Q307" s="2369"/>
      <c r="R307" s="2369"/>
    </row>
    <row r="308" spans="1:18" s="1" customFormat="1" ht="56" customHeight="1" x14ac:dyDescent="0.2">
      <c r="A308" s="3578" t="s">
        <v>1280</v>
      </c>
      <c r="B308" s="3578"/>
      <c r="C308" s="3578"/>
      <c r="D308" s="3578"/>
      <c r="E308" s="3578"/>
      <c r="F308" s="3578"/>
      <c r="G308" s="3578"/>
      <c r="H308" s="3578"/>
      <c r="I308" s="3578"/>
      <c r="J308" s="3578"/>
      <c r="K308" s="3578"/>
      <c r="L308" s="3578"/>
      <c r="M308" s="3578"/>
      <c r="N308" s="3578"/>
      <c r="O308" s="2370"/>
      <c r="P308" s="2370"/>
      <c r="Q308" s="2370"/>
      <c r="R308" s="2370"/>
    </row>
    <row r="309" spans="1:18" s="1" customFormat="1" ht="45" customHeight="1" x14ac:dyDescent="0.2">
      <c r="A309" s="3578" t="s">
        <v>1281</v>
      </c>
      <c r="B309" s="3578"/>
      <c r="C309" s="3578"/>
      <c r="D309" s="3578"/>
      <c r="E309" s="3578"/>
      <c r="F309" s="3578"/>
      <c r="G309" s="3578"/>
      <c r="H309" s="3578"/>
      <c r="I309" s="3578"/>
      <c r="J309" s="3578"/>
      <c r="K309" s="3578"/>
      <c r="L309" s="3578"/>
      <c r="M309" s="3578"/>
      <c r="N309" s="3578"/>
      <c r="O309" s="2370"/>
      <c r="P309" s="2370"/>
      <c r="Q309" s="2370"/>
      <c r="R309" s="2370"/>
    </row>
    <row r="310" spans="1:18" s="1" customFormat="1" ht="69" customHeight="1" x14ac:dyDescent="0.2">
      <c r="A310" s="3578" t="s">
        <v>1282</v>
      </c>
      <c r="B310" s="3578"/>
      <c r="C310" s="3578"/>
      <c r="D310" s="3578"/>
      <c r="E310" s="3578"/>
      <c r="F310" s="3578"/>
      <c r="G310" s="3578"/>
      <c r="H310" s="3578"/>
      <c r="I310" s="3578"/>
      <c r="J310" s="3578"/>
      <c r="K310" s="3578"/>
      <c r="L310" s="3578"/>
      <c r="M310" s="3578"/>
      <c r="N310" s="3578"/>
      <c r="O310" s="2370"/>
      <c r="P310" s="2370"/>
      <c r="Q310" s="2370"/>
      <c r="R310" s="2370"/>
    </row>
    <row r="311" spans="1:18" s="1" customFormat="1" ht="65" customHeight="1" x14ac:dyDescent="0.2">
      <c r="A311" s="3578" t="s">
        <v>1283</v>
      </c>
      <c r="B311" s="3578"/>
      <c r="C311" s="3578"/>
      <c r="D311" s="3578"/>
      <c r="E311" s="3578"/>
      <c r="F311" s="3578"/>
      <c r="G311" s="3578"/>
      <c r="H311" s="3578"/>
      <c r="I311" s="3578"/>
      <c r="J311" s="3578"/>
      <c r="K311" s="3578"/>
      <c r="L311" s="3578"/>
      <c r="M311" s="3578"/>
      <c r="N311" s="3578"/>
      <c r="O311" s="2370"/>
      <c r="P311" s="2370"/>
      <c r="Q311" s="2370"/>
      <c r="R311" s="2370"/>
    </row>
    <row r="312" spans="1:18" s="1" customFormat="1" ht="56" customHeight="1" x14ac:dyDescent="0.2">
      <c r="A312" s="3197" t="s">
        <v>1284</v>
      </c>
      <c r="B312" s="3197"/>
      <c r="C312" s="3197"/>
      <c r="D312" s="3197"/>
      <c r="E312" s="3197"/>
      <c r="F312" s="3197"/>
      <c r="G312" s="3197"/>
      <c r="H312" s="3197"/>
      <c r="I312" s="3197"/>
      <c r="J312" s="3197"/>
      <c r="K312" s="3197"/>
      <c r="L312" s="3197"/>
      <c r="M312" s="3197"/>
      <c r="N312" s="3197"/>
      <c r="O312" s="1000"/>
      <c r="P312" s="1000"/>
      <c r="Q312" s="1000"/>
      <c r="R312" s="1150"/>
    </row>
    <row r="313" spans="1:18" s="1" customFormat="1" ht="32" customHeight="1" x14ac:dyDescent="0.2">
      <c r="A313" s="3435" t="s">
        <v>1285</v>
      </c>
      <c r="B313" s="3435"/>
      <c r="C313" s="3435"/>
      <c r="D313" s="3435"/>
      <c r="E313" s="3435"/>
      <c r="F313" s="3435"/>
      <c r="G313" s="3435"/>
      <c r="H313" s="3435"/>
      <c r="I313" s="3435"/>
      <c r="J313" s="3435"/>
      <c r="K313" s="3435"/>
      <c r="L313" s="3435"/>
      <c r="M313" s="3435"/>
      <c r="N313" s="3435"/>
      <c r="O313" s="999"/>
      <c r="P313" s="999"/>
      <c r="Q313" s="999"/>
      <c r="R313" s="994"/>
    </row>
    <row r="314" spans="1:18" s="1" customFormat="1" ht="32" customHeight="1" x14ac:dyDescent="0.2">
      <c r="A314" s="3186" t="s">
        <v>1286</v>
      </c>
      <c r="B314" s="3186"/>
      <c r="C314" s="3186"/>
      <c r="D314" s="3186"/>
      <c r="E314" s="3186"/>
      <c r="F314" s="3186"/>
      <c r="G314" s="3186"/>
      <c r="H314" s="3186"/>
      <c r="I314" s="3186"/>
      <c r="J314" s="3186"/>
      <c r="K314" s="3186"/>
      <c r="L314" s="3186"/>
      <c r="M314" s="3186"/>
      <c r="N314" s="3186"/>
      <c r="O314" s="998"/>
      <c r="P314" s="998"/>
      <c r="Q314" s="998"/>
      <c r="R314" s="995"/>
    </row>
    <row r="315" spans="1:18" s="1" customFormat="1" ht="28" customHeight="1" x14ac:dyDescent="0.2">
      <c r="A315" s="3186" t="s">
        <v>1287</v>
      </c>
      <c r="B315" s="3186"/>
      <c r="C315" s="3186"/>
      <c r="D315" s="3186"/>
      <c r="E315" s="3186"/>
      <c r="F315" s="3186"/>
      <c r="G315" s="3186"/>
      <c r="H315" s="3186"/>
      <c r="I315" s="3186"/>
      <c r="J315" s="3186"/>
      <c r="K315" s="3186"/>
      <c r="L315" s="3186"/>
      <c r="M315" s="3186"/>
      <c r="N315" s="3186"/>
      <c r="O315" s="998"/>
      <c r="P315" s="998"/>
      <c r="Q315" s="998"/>
      <c r="R315" s="995"/>
    </row>
    <row r="316" spans="1:18" s="1" customFormat="1" ht="48" customHeight="1" x14ac:dyDescent="0.2">
      <c r="A316" s="3503" t="s">
        <v>1288</v>
      </c>
      <c r="B316" s="3503"/>
      <c r="C316" s="3503"/>
      <c r="D316" s="3503"/>
      <c r="E316" s="3503"/>
      <c r="F316" s="3503"/>
      <c r="G316" s="3503"/>
      <c r="H316" s="3503"/>
      <c r="I316" s="3503"/>
      <c r="J316" s="3503"/>
      <c r="K316" s="3503"/>
      <c r="L316" s="3503"/>
      <c r="M316" s="3503"/>
      <c r="N316" s="3503"/>
      <c r="O316" s="998"/>
      <c r="P316" s="998"/>
      <c r="Q316" s="998"/>
      <c r="R316" s="995"/>
    </row>
    <row r="317" spans="1:18" s="1" customFormat="1" ht="52" customHeight="1" x14ac:dyDescent="0.2">
      <c r="A317" s="3503" t="s">
        <v>1313</v>
      </c>
      <c r="B317" s="3503"/>
      <c r="C317" s="3503"/>
      <c r="D317" s="3503"/>
      <c r="E317" s="3503"/>
      <c r="F317" s="3503"/>
      <c r="G317" s="3503"/>
      <c r="H317" s="3503"/>
      <c r="I317" s="3503"/>
      <c r="J317" s="3503"/>
      <c r="K317" s="3503"/>
      <c r="L317" s="3503"/>
      <c r="M317" s="3503"/>
      <c r="N317" s="3503"/>
      <c r="O317" s="998"/>
      <c r="P317" s="998"/>
      <c r="Q317" s="998"/>
      <c r="R317" s="995"/>
    </row>
    <row r="318" spans="1:18" s="476" customFormat="1" ht="28" customHeight="1" x14ac:dyDescent="0.2">
      <c r="A318" s="3435" t="s">
        <v>1289</v>
      </c>
      <c r="B318" s="3435"/>
      <c r="C318" s="3435"/>
      <c r="D318" s="3435"/>
      <c r="E318" s="3435"/>
      <c r="F318" s="3435"/>
      <c r="G318" s="3435"/>
      <c r="H318" s="3435"/>
      <c r="I318" s="3435"/>
      <c r="J318" s="3435"/>
      <c r="K318" s="3435"/>
      <c r="L318" s="3435"/>
      <c r="M318" s="3435"/>
      <c r="N318" s="3435"/>
      <c r="O318" s="999"/>
      <c r="P318" s="999"/>
      <c r="Q318" s="999"/>
      <c r="R318" s="995"/>
    </row>
    <row r="319" spans="1:18" s="1" customFormat="1" ht="26" customHeight="1" x14ac:dyDescent="0.2">
      <c r="A319" s="2475" t="s">
        <v>1262</v>
      </c>
      <c r="B319" s="2475"/>
      <c r="C319" s="2475"/>
      <c r="D319" s="2475"/>
      <c r="E319" s="2475"/>
      <c r="F319" s="2475"/>
      <c r="G319" s="2475"/>
      <c r="H319" s="2475"/>
      <c r="I319" s="2475"/>
      <c r="J319" s="2475"/>
      <c r="K319" s="2475"/>
      <c r="L319" s="2475"/>
      <c r="M319" s="2475"/>
      <c r="N319" s="2475"/>
      <c r="O319" s="75"/>
    </row>
    <row r="320" spans="1:18" s="1" customFormat="1" ht="26" customHeight="1" x14ac:dyDescent="0.2">
      <c r="A320" s="3571" t="s">
        <v>1327</v>
      </c>
      <c r="B320" s="3571"/>
      <c r="C320" s="3571"/>
      <c r="D320" s="3571"/>
      <c r="E320" s="3571"/>
      <c r="F320" s="3571"/>
      <c r="G320" s="3571"/>
      <c r="H320" s="3571"/>
      <c r="I320" s="3571"/>
      <c r="J320" s="3571"/>
      <c r="K320" s="3571"/>
      <c r="L320" s="3571"/>
      <c r="M320" s="3571"/>
      <c r="N320" s="3571"/>
      <c r="O320" s="75"/>
    </row>
    <row r="321" spans="1:16" s="1" customFormat="1" ht="44" customHeight="1" x14ac:dyDescent="0.2">
      <c r="A321" s="3371" t="s">
        <v>39</v>
      </c>
      <c r="B321" s="3371" t="s">
        <v>467</v>
      </c>
      <c r="C321" s="3371" t="s">
        <v>262</v>
      </c>
      <c r="D321" s="3371"/>
      <c r="E321" s="3504" t="s">
        <v>1314</v>
      </c>
      <c r="F321" s="3504"/>
      <c r="G321" s="3505" t="s">
        <v>263</v>
      </c>
      <c r="H321" s="3505"/>
      <c r="I321" s="3566" t="s">
        <v>1315</v>
      </c>
      <c r="J321" s="3566"/>
      <c r="K321" s="3501" t="s">
        <v>1342</v>
      </c>
      <c r="L321" s="3501"/>
      <c r="M321" s="3577" t="s">
        <v>564</v>
      </c>
      <c r="N321" s="3577"/>
      <c r="O321" s="3196"/>
      <c r="P321" s="3196"/>
    </row>
    <row r="322" spans="1:16" s="1" customFormat="1" ht="32" customHeight="1" x14ac:dyDescent="0.2">
      <c r="A322" s="3371"/>
      <c r="B322" s="3371"/>
      <c r="C322" s="808" t="s">
        <v>5</v>
      </c>
      <c r="D322" s="808" t="s">
        <v>25</v>
      </c>
      <c r="E322" s="808" t="s">
        <v>5</v>
      </c>
      <c r="F322" s="808" t="s">
        <v>25</v>
      </c>
      <c r="G322" s="808" t="s">
        <v>5</v>
      </c>
      <c r="H322" s="808" t="s">
        <v>25</v>
      </c>
      <c r="I322" s="808" t="s">
        <v>5</v>
      </c>
      <c r="J322" s="808" t="s">
        <v>25</v>
      </c>
      <c r="K322" s="808" t="s">
        <v>5</v>
      </c>
      <c r="L322" s="808" t="s">
        <v>25</v>
      </c>
      <c r="M322" s="808" t="s">
        <v>5</v>
      </c>
      <c r="N322" s="808" t="s">
        <v>25</v>
      </c>
      <c r="O322" s="75"/>
    </row>
    <row r="323" spans="1:16" s="1" customFormat="1" ht="26" customHeight="1" x14ac:dyDescent="0.2">
      <c r="A323" s="51">
        <v>1</v>
      </c>
      <c r="B323" s="51" t="s">
        <v>469</v>
      </c>
      <c r="C323" s="1815">
        <v>2</v>
      </c>
      <c r="D323" s="805">
        <v>1</v>
      </c>
      <c r="E323" s="1816">
        <v>2</v>
      </c>
      <c r="F323" s="805">
        <v>1</v>
      </c>
      <c r="G323" s="806"/>
      <c r="H323" s="806"/>
      <c r="I323" s="806"/>
      <c r="J323" s="805"/>
      <c r="K323" s="805">
        <f>E323+G323-I323</f>
        <v>2</v>
      </c>
      <c r="L323" s="805">
        <f>F323+H323-J323</f>
        <v>1</v>
      </c>
      <c r="M323" s="1817">
        <f t="shared" ref="M323:N330" si="29">C323-K323</f>
        <v>0</v>
      </c>
      <c r="N323" s="1817">
        <f t="shared" si="29"/>
        <v>0</v>
      </c>
      <c r="O323" s="75"/>
    </row>
    <row r="324" spans="1:16" s="1" customFormat="1" ht="26" customHeight="1" x14ac:dyDescent="0.2">
      <c r="A324" s="51">
        <v>2</v>
      </c>
      <c r="B324" s="51" t="s">
        <v>1125</v>
      </c>
      <c r="C324" s="1815">
        <v>4</v>
      </c>
      <c r="D324" s="805">
        <v>5</v>
      </c>
      <c r="E324" s="1816">
        <v>4</v>
      </c>
      <c r="F324" s="805">
        <v>5</v>
      </c>
      <c r="G324" s="806"/>
      <c r="H324" s="806"/>
      <c r="I324" s="806"/>
      <c r="J324" s="805"/>
      <c r="K324" s="805">
        <f t="shared" ref="K324:K329" si="30">E324+G324-I324</f>
        <v>4</v>
      </c>
      <c r="L324" s="805">
        <f t="shared" ref="L324:L329" si="31">F324+H324-J324</f>
        <v>5</v>
      </c>
      <c r="M324" s="1817">
        <f t="shared" si="29"/>
        <v>0</v>
      </c>
      <c r="N324" s="1817">
        <f t="shared" si="29"/>
        <v>0</v>
      </c>
      <c r="O324" s="953"/>
    </row>
    <row r="325" spans="1:16" s="1" customFormat="1" ht="26" customHeight="1" x14ac:dyDescent="0.2">
      <c r="A325" s="51">
        <v>3</v>
      </c>
      <c r="B325" s="51" t="s">
        <v>471</v>
      </c>
      <c r="C325" s="1815">
        <v>25</v>
      </c>
      <c r="D325" s="805">
        <v>25</v>
      </c>
      <c r="E325" s="1816">
        <v>23</v>
      </c>
      <c r="F325" s="805">
        <v>25</v>
      </c>
      <c r="G325" s="806"/>
      <c r="H325" s="806"/>
      <c r="I325" s="806">
        <v>1</v>
      </c>
      <c r="J325" s="805"/>
      <c r="K325" s="805">
        <f t="shared" si="30"/>
        <v>22</v>
      </c>
      <c r="L325" s="805">
        <f t="shared" si="31"/>
        <v>25</v>
      </c>
      <c r="M325" s="1817">
        <f t="shared" si="29"/>
        <v>3</v>
      </c>
      <c r="N325" s="1817">
        <f t="shared" si="29"/>
        <v>0</v>
      </c>
      <c r="O325" s="953"/>
      <c r="P325" s="2385"/>
    </row>
    <row r="326" spans="1:16" s="1" customFormat="1" ht="26" customHeight="1" x14ac:dyDescent="0.2">
      <c r="A326" s="51">
        <v>4</v>
      </c>
      <c r="B326" s="51" t="s">
        <v>472</v>
      </c>
      <c r="C326" s="1815">
        <v>27</v>
      </c>
      <c r="D326" s="805">
        <v>27</v>
      </c>
      <c r="E326" s="1816">
        <v>26</v>
      </c>
      <c r="F326" s="805">
        <v>27</v>
      </c>
      <c r="G326" s="806"/>
      <c r="H326" s="806">
        <v>1</v>
      </c>
      <c r="I326" s="806">
        <v>1</v>
      </c>
      <c r="J326" s="805">
        <v>1</v>
      </c>
      <c r="K326" s="805">
        <f t="shared" si="30"/>
        <v>25</v>
      </c>
      <c r="L326" s="805">
        <f t="shared" si="31"/>
        <v>27</v>
      </c>
      <c r="M326" s="1817">
        <f t="shared" si="29"/>
        <v>2</v>
      </c>
      <c r="N326" s="1817">
        <f t="shared" si="29"/>
        <v>0</v>
      </c>
      <c r="O326" s="953"/>
    </row>
    <row r="327" spans="1:16" s="1" customFormat="1" ht="26" customHeight="1" x14ac:dyDescent="0.2">
      <c r="A327" s="51">
        <v>5</v>
      </c>
      <c r="B327" s="51" t="s">
        <v>473</v>
      </c>
      <c r="C327" s="1815">
        <f>14*3+1</f>
        <v>43</v>
      </c>
      <c r="D327" s="805">
        <v>43</v>
      </c>
      <c r="E327" s="1816">
        <v>45</v>
      </c>
      <c r="F327" s="805">
        <v>43</v>
      </c>
      <c r="G327" s="806"/>
      <c r="H327" s="806">
        <v>4</v>
      </c>
      <c r="I327" s="806">
        <v>4</v>
      </c>
      <c r="J327" s="805">
        <v>4</v>
      </c>
      <c r="K327" s="805">
        <f t="shared" si="30"/>
        <v>41</v>
      </c>
      <c r="L327" s="805">
        <f t="shared" si="31"/>
        <v>43</v>
      </c>
      <c r="M327" s="1817">
        <f t="shared" si="29"/>
        <v>2</v>
      </c>
      <c r="N327" s="1817">
        <f t="shared" si="29"/>
        <v>0</v>
      </c>
      <c r="O327" s="953"/>
    </row>
    <row r="328" spans="1:16" s="1" customFormat="1" ht="26" customHeight="1" x14ac:dyDescent="0.2">
      <c r="A328" s="51">
        <v>6</v>
      </c>
      <c r="B328" s="51" t="s">
        <v>474</v>
      </c>
      <c r="C328" s="1815">
        <v>6</v>
      </c>
      <c r="D328" s="805">
        <v>6</v>
      </c>
      <c r="E328" s="1816">
        <v>6</v>
      </c>
      <c r="F328" s="805">
        <v>6</v>
      </c>
      <c r="G328" s="806"/>
      <c r="H328" s="806"/>
      <c r="I328" s="806"/>
      <c r="J328" s="805"/>
      <c r="K328" s="805">
        <f t="shared" si="30"/>
        <v>6</v>
      </c>
      <c r="L328" s="805">
        <f t="shared" si="31"/>
        <v>6</v>
      </c>
      <c r="M328" s="1817">
        <f t="shared" si="29"/>
        <v>0</v>
      </c>
      <c r="N328" s="1817">
        <f t="shared" si="29"/>
        <v>0</v>
      </c>
      <c r="O328" s="953"/>
    </row>
    <row r="329" spans="1:16" s="1" customFormat="1" ht="26" customHeight="1" x14ac:dyDescent="0.2">
      <c r="A329" s="51">
        <v>7</v>
      </c>
      <c r="B329" s="51" t="s">
        <v>475</v>
      </c>
      <c r="C329" s="1815">
        <v>1</v>
      </c>
      <c r="D329" s="805">
        <v>1</v>
      </c>
      <c r="E329" s="1816">
        <v>1</v>
      </c>
      <c r="F329" s="805">
        <v>1</v>
      </c>
      <c r="G329" s="806"/>
      <c r="H329" s="806"/>
      <c r="I329" s="806"/>
      <c r="J329" s="805"/>
      <c r="K329" s="805">
        <f t="shared" si="30"/>
        <v>1</v>
      </c>
      <c r="L329" s="805">
        <f t="shared" si="31"/>
        <v>1</v>
      </c>
      <c r="M329" s="1817">
        <f t="shared" si="29"/>
        <v>0</v>
      </c>
      <c r="N329" s="1817">
        <f t="shared" si="29"/>
        <v>0</v>
      </c>
      <c r="P329" s="953"/>
    </row>
    <row r="330" spans="1:16" s="1" customFormat="1" ht="26" customHeight="1" x14ac:dyDescent="0.2">
      <c r="A330" s="3017" t="s">
        <v>476</v>
      </c>
      <c r="B330" s="3017"/>
      <c r="C330" s="1060">
        <f t="shared" ref="C330:L330" si="32">SUM(C323:C329)</f>
        <v>108</v>
      </c>
      <c r="D330" s="1060">
        <f t="shared" si="32"/>
        <v>108</v>
      </c>
      <c r="E330" s="1060">
        <f t="shared" si="32"/>
        <v>107</v>
      </c>
      <c r="F330" s="1060">
        <f t="shared" si="32"/>
        <v>108</v>
      </c>
      <c r="G330" s="1060">
        <f t="shared" si="32"/>
        <v>0</v>
      </c>
      <c r="H330" s="1060">
        <f t="shared" si="32"/>
        <v>5</v>
      </c>
      <c r="I330" s="1060">
        <f t="shared" si="32"/>
        <v>6</v>
      </c>
      <c r="J330" s="1060">
        <f t="shared" si="32"/>
        <v>5</v>
      </c>
      <c r="K330" s="1060">
        <f t="shared" si="32"/>
        <v>101</v>
      </c>
      <c r="L330" s="1060">
        <f t="shared" si="32"/>
        <v>108</v>
      </c>
      <c r="M330" s="1060">
        <f t="shared" si="29"/>
        <v>7</v>
      </c>
      <c r="N330" s="1060">
        <f t="shared" si="29"/>
        <v>0</v>
      </c>
      <c r="O330" s="953"/>
    </row>
    <row r="331" spans="1:16" s="1" customFormat="1" ht="26" customHeight="1" x14ac:dyDescent="0.2">
      <c r="A331" s="3162" t="s">
        <v>1337</v>
      </c>
      <c r="B331" s="3162"/>
      <c r="C331" s="3162"/>
      <c r="D331" s="3162"/>
      <c r="E331" s="3162"/>
      <c r="F331" s="3162"/>
      <c r="G331" s="3162"/>
      <c r="H331" s="3162"/>
      <c r="I331" s="3162"/>
      <c r="J331" s="3162"/>
      <c r="K331" s="3162"/>
      <c r="L331" s="3162"/>
      <c r="M331" s="3162"/>
      <c r="N331" s="3162"/>
      <c r="O331" s="953"/>
    </row>
    <row r="332" spans="1:16" s="1" customFormat="1" ht="53" customHeight="1" x14ac:dyDescent="0.2">
      <c r="A332" s="2386" t="s">
        <v>39</v>
      </c>
      <c r="B332" s="3567" t="s">
        <v>467</v>
      </c>
      <c r="C332" s="3567"/>
      <c r="D332" s="2391" t="s">
        <v>262</v>
      </c>
      <c r="E332" s="2387" t="s">
        <v>1340</v>
      </c>
      <c r="F332" s="2388" t="s">
        <v>263</v>
      </c>
      <c r="G332" s="2388" t="s">
        <v>1328</v>
      </c>
      <c r="H332" s="2388" t="s">
        <v>1329</v>
      </c>
      <c r="I332" s="2387" t="s">
        <v>264</v>
      </c>
      <c r="J332" s="2399" t="s">
        <v>1336</v>
      </c>
      <c r="K332" s="2387" t="s">
        <v>1330</v>
      </c>
      <c r="L332" s="3567" t="s">
        <v>47</v>
      </c>
      <c r="M332" s="3567"/>
      <c r="N332" s="3567"/>
      <c r="O332" s="953"/>
    </row>
    <row r="333" spans="1:16" s="1" customFormat="1" ht="37" customHeight="1" x14ac:dyDescent="0.2">
      <c r="A333" s="2389">
        <v>1</v>
      </c>
      <c r="B333" s="3568" t="s">
        <v>469</v>
      </c>
      <c r="C333" s="3568"/>
      <c r="D333" s="2390">
        <v>4</v>
      </c>
      <c r="E333" s="2390">
        <v>5</v>
      </c>
      <c r="F333" s="2390"/>
      <c r="G333" s="2390"/>
      <c r="H333" s="2390"/>
      <c r="I333" s="2394"/>
      <c r="J333" s="2394">
        <f>+E333+F333+G333-H333-I333</f>
        <v>5</v>
      </c>
      <c r="K333" s="2394">
        <f>+D333-J333</f>
        <v>-1</v>
      </c>
      <c r="L333" s="3569" t="s">
        <v>1331</v>
      </c>
      <c r="M333" s="3570"/>
      <c r="N333" s="3570"/>
      <c r="O333" s="953"/>
    </row>
    <row r="334" spans="1:16" s="1" customFormat="1" ht="37" customHeight="1" x14ac:dyDescent="0.2">
      <c r="A334" s="2389">
        <v>2</v>
      </c>
      <c r="B334" s="3568" t="s">
        <v>1332</v>
      </c>
      <c r="C334" s="3568"/>
      <c r="D334" s="2390">
        <v>18</v>
      </c>
      <c r="E334" s="2390">
        <v>16</v>
      </c>
      <c r="F334" s="2390">
        <v>1</v>
      </c>
      <c r="G334" s="2390"/>
      <c r="H334" s="2390">
        <v>1</v>
      </c>
      <c r="I334" s="2394"/>
      <c r="J334" s="2394">
        <v>16</v>
      </c>
      <c r="K334" s="2394">
        <f t="shared" ref="K334:K339" si="33">+D334-J334</f>
        <v>2</v>
      </c>
      <c r="L334" s="3555" t="s">
        <v>1350</v>
      </c>
      <c r="M334" s="3555"/>
      <c r="N334" s="3555"/>
      <c r="O334" s="953"/>
    </row>
    <row r="335" spans="1:16" s="1" customFormat="1" ht="37" customHeight="1" x14ac:dyDescent="0.2">
      <c r="A335" s="2389">
        <v>3</v>
      </c>
      <c r="B335" s="3568" t="s">
        <v>1333</v>
      </c>
      <c r="C335" s="3568"/>
      <c r="D335" s="2390">
        <v>17</v>
      </c>
      <c r="E335" s="2390">
        <v>16</v>
      </c>
      <c r="F335" s="2390">
        <v>1</v>
      </c>
      <c r="G335" s="2390"/>
      <c r="H335" s="2390"/>
      <c r="I335" s="2394">
        <v>2</v>
      </c>
      <c r="J335" s="2394">
        <f>+E335+F335+G335-H335-I335</f>
        <v>15</v>
      </c>
      <c r="K335" s="2394">
        <f t="shared" si="33"/>
        <v>2</v>
      </c>
      <c r="L335" s="3555"/>
      <c r="M335" s="3555"/>
      <c r="N335" s="3555"/>
      <c r="O335" s="953"/>
    </row>
    <row r="336" spans="1:16" s="1" customFormat="1" ht="37" customHeight="1" x14ac:dyDescent="0.2">
      <c r="A336" s="2389">
        <v>4</v>
      </c>
      <c r="B336" s="3568" t="s">
        <v>1334</v>
      </c>
      <c r="C336" s="3568"/>
      <c r="D336" s="2390">
        <v>17</v>
      </c>
      <c r="E336" s="2390">
        <v>16</v>
      </c>
      <c r="F336" s="2390"/>
      <c r="G336" s="2390"/>
      <c r="H336" s="2390">
        <v>1</v>
      </c>
      <c r="I336" s="2394"/>
      <c r="J336" s="2394">
        <f>+E336+F336+G336-H336-I336</f>
        <v>15</v>
      </c>
      <c r="K336" s="2394">
        <f t="shared" si="33"/>
        <v>2</v>
      </c>
      <c r="L336" s="3555"/>
      <c r="M336" s="3555"/>
      <c r="N336" s="3555"/>
      <c r="O336" s="953"/>
    </row>
    <row r="337" spans="1:15" s="1" customFormat="1" ht="37" customHeight="1" x14ac:dyDescent="0.2">
      <c r="A337" s="2389">
        <v>5</v>
      </c>
      <c r="B337" s="3568" t="s">
        <v>1335</v>
      </c>
      <c r="C337" s="3568"/>
      <c r="D337" s="2390">
        <v>7</v>
      </c>
      <c r="E337" s="2390">
        <v>6</v>
      </c>
      <c r="F337" s="2390"/>
      <c r="G337" s="2390"/>
      <c r="H337" s="2390"/>
      <c r="I337" s="2394"/>
      <c r="J337" s="2394">
        <f>+E337+F337+G337-H337-I337</f>
        <v>6</v>
      </c>
      <c r="K337" s="2394">
        <f t="shared" si="33"/>
        <v>1</v>
      </c>
      <c r="L337" s="3556"/>
      <c r="M337" s="3557"/>
      <c r="N337" s="3558"/>
      <c r="O337" s="953"/>
    </row>
    <row r="338" spans="1:15" s="1" customFormat="1" ht="37" customHeight="1" x14ac:dyDescent="0.2">
      <c r="A338" s="2389">
        <v>6</v>
      </c>
      <c r="B338" s="3568" t="s">
        <v>1341</v>
      </c>
      <c r="C338" s="3568"/>
      <c r="D338" s="2390">
        <v>2</v>
      </c>
      <c r="E338" s="2390">
        <v>1</v>
      </c>
      <c r="F338" s="2390"/>
      <c r="G338" s="2390"/>
      <c r="H338" s="2390"/>
      <c r="I338" s="2394"/>
      <c r="J338" s="2394">
        <v>1</v>
      </c>
      <c r="K338" s="2394">
        <f t="shared" si="33"/>
        <v>1</v>
      </c>
      <c r="L338" s="3556"/>
      <c r="M338" s="3557"/>
      <c r="N338" s="3558"/>
      <c r="O338" s="953"/>
    </row>
    <row r="339" spans="1:15" s="1" customFormat="1" ht="37" customHeight="1" x14ac:dyDescent="0.2">
      <c r="A339" s="2389">
        <v>7</v>
      </c>
      <c r="B339" s="3568" t="s">
        <v>475</v>
      </c>
      <c r="C339" s="3568"/>
      <c r="D339" s="2390">
        <v>1</v>
      </c>
      <c r="E339" s="2390">
        <v>1</v>
      </c>
      <c r="F339" s="2390"/>
      <c r="G339" s="2390"/>
      <c r="H339" s="2390"/>
      <c r="I339" s="2394"/>
      <c r="J339" s="2394">
        <f t="shared" ref="J339" si="34">+E339+F339+G339-H339-I339</f>
        <v>1</v>
      </c>
      <c r="K339" s="2394">
        <f t="shared" si="33"/>
        <v>0</v>
      </c>
      <c r="L339" s="3556"/>
      <c r="M339" s="3557"/>
      <c r="N339" s="3558"/>
      <c r="O339" s="953"/>
    </row>
    <row r="340" spans="1:15" s="1" customFormat="1" ht="37" customHeight="1" x14ac:dyDescent="0.2">
      <c r="A340" s="3567" t="s">
        <v>132</v>
      </c>
      <c r="B340" s="3567"/>
      <c r="C340" s="3567"/>
      <c r="D340" s="2391">
        <f t="shared" ref="D340:J340" si="35">+SUM(D333:D339)</f>
        <v>66</v>
      </c>
      <c r="E340" s="2392">
        <f t="shared" si="35"/>
        <v>61</v>
      </c>
      <c r="F340" s="2392">
        <f t="shared" si="35"/>
        <v>2</v>
      </c>
      <c r="G340" s="2392">
        <f t="shared" si="35"/>
        <v>0</v>
      </c>
      <c r="H340" s="2392">
        <f t="shared" si="35"/>
        <v>2</v>
      </c>
      <c r="I340" s="2392">
        <f t="shared" si="35"/>
        <v>2</v>
      </c>
      <c r="J340" s="2393">
        <f t="shared" si="35"/>
        <v>59</v>
      </c>
      <c r="K340" s="2393">
        <f>SUM(K333:K339)</f>
        <v>7</v>
      </c>
      <c r="L340" s="3556"/>
      <c r="M340" s="3557"/>
      <c r="N340" s="3558"/>
      <c r="O340" s="953"/>
    </row>
    <row r="341" spans="1:15" s="1" customFormat="1" ht="23" customHeight="1" x14ac:dyDescent="0.2">
      <c r="A341" s="3199" t="s">
        <v>1260</v>
      </c>
      <c r="B341" s="3199"/>
      <c r="C341" s="3199"/>
      <c r="D341" s="3199"/>
      <c r="E341" s="3199"/>
      <c r="F341" s="3199"/>
      <c r="G341" s="3199"/>
      <c r="H341" s="3199"/>
      <c r="I341" s="3199"/>
      <c r="J341" s="3199"/>
      <c r="K341" s="3199"/>
      <c r="L341" s="3199"/>
      <c r="M341" s="3199"/>
      <c r="N341" s="3199"/>
      <c r="O341" s="953"/>
    </row>
    <row r="342" spans="1:15" s="1" customFormat="1" ht="23" customHeight="1" x14ac:dyDescent="0.2">
      <c r="A342" s="2909" t="s">
        <v>1352</v>
      </c>
      <c r="B342" s="2909"/>
      <c r="C342" s="2909"/>
      <c r="D342" s="2909"/>
      <c r="E342" s="2909"/>
      <c r="F342" s="2909"/>
      <c r="G342" s="2909"/>
      <c r="H342" s="2909"/>
      <c r="I342" s="2909"/>
      <c r="J342" s="2909"/>
      <c r="K342" s="2909"/>
      <c r="L342" s="2909"/>
      <c r="M342" s="2909"/>
      <c r="N342" s="2909"/>
      <c r="O342" s="953"/>
    </row>
    <row r="343" spans="1:15" s="1" customFormat="1" ht="45" customHeight="1" x14ac:dyDescent="0.2">
      <c r="A343" s="2663" t="s">
        <v>1351</v>
      </c>
      <c r="B343" s="2663"/>
      <c r="C343" s="2663"/>
      <c r="D343" s="2663"/>
      <c r="E343" s="2663"/>
      <c r="F343" s="2663"/>
      <c r="G343" s="2663"/>
      <c r="H343" s="2663"/>
      <c r="I343" s="2663"/>
      <c r="J343" s="2663"/>
      <c r="K343" s="2663"/>
      <c r="L343" s="2663"/>
      <c r="M343" s="2663"/>
      <c r="N343" s="2663"/>
      <c r="O343" s="953"/>
    </row>
    <row r="344" spans="1:15" s="1" customFormat="1" ht="36" customHeight="1" x14ac:dyDescent="0.2">
      <c r="A344" s="3572" t="s">
        <v>1316</v>
      </c>
      <c r="B344" s="3572"/>
      <c r="C344" s="3572"/>
      <c r="D344" s="3572"/>
      <c r="E344" s="3572"/>
      <c r="F344" s="3572"/>
      <c r="G344" s="3572"/>
      <c r="H344" s="3572"/>
      <c r="I344" s="3572"/>
      <c r="J344" s="3572"/>
      <c r="K344" s="3572"/>
      <c r="L344" s="3572"/>
      <c r="M344" s="3572"/>
      <c r="N344" s="3572"/>
      <c r="O344" s="953"/>
    </row>
    <row r="345" spans="1:15" s="1" customFormat="1" ht="40" customHeight="1" x14ac:dyDescent="0.2">
      <c r="A345" s="2663" t="s">
        <v>1317</v>
      </c>
      <c r="B345" s="2725"/>
      <c r="C345" s="2725"/>
      <c r="D345" s="2725"/>
      <c r="E345" s="2725"/>
      <c r="F345" s="2725"/>
      <c r="G345" s="2725"/>
      <c r="H345" s="2725"/>
      <c r="I345" s="2725"/>
      <c r="J345" s="2725"/>
      <c r="K345" s="2725"/>
      <c r="L345" s="2725"/>
      <c r="M345" s="2725"/>
      <c r="N345" s="2725"/>
      <c r="O345" s="953"/>
    </row>
    <row r="346" spans="1:15" s="1" customFormat="1" ht="39" customHeight="1" x14ac:dyDescent="0.2">
      <c r="A346" s="3572" t="s">
        <v>1318</v>
      </c>
      <c r="B346" s="3574"/>
      <c r="C346" s="3574"/>
      <c r="D346" s="3574"/>
      <c r="E346" s="3574"/>
      <c r="F346" s="3574"/>
      <c r="G346" s="3574"/>
      <c r="H346" s="3574"/>
      <c r="I346" s="3574"/>
      <c r="J346" s="3574"/>
      <c r="K346" s="3574"/>
      <c r="L346" s="3574"/>
      <c r="M346" s="3574"/>
      <c r="N346" s="3574"/>
      <c r="O346" s="953"/>
    </row>
    <row r="347" spans="1:15" s="1" customFormat="1" ht="24" customHeight="1" x14ac:dyDescent="0.2">
      <c r="A347" s="2475" t="s">
        <v>414</v>
      </c>
      <c r="B347" s="2475"/>
      <c r="C347" s="2475"/>
      <c r="D347" s="2475"/>
      <c r="E347" s="2475"/>
      <c r="F347" s="2475"/>
      <c r="G347" s="2475"/>
      <c r="H347" s="2475"/>
      <c r="I347" s="2475"/>
      <c r="J347" s="2475"/>
      <c r="K347" s="2475"/>
      <c r="L347" s="2475"/>
      <c r="M347" s="2475"/>
      <c r="N347" s="2475"/>
      <c r="O347" s="953"/>
    </row>
    <row r="348" spans="1:15" s="1" customFormat="1" ht="37" customHeight="1" x14ac:dyDescent="0.2">
      <c r="A348" s="2663" t="s">
        <v>1322</v>
      </c>
      <c r="B348" s="2663"/>
      <c r="C348" s="2663"/>
      <c r="D348" s="2663"/>
      <c r="E348" s="2663"/>
      <c r="F348" s="2663"/>
      <c r="G348" s="2663"/>
      <c r="H348" s="2663"/>
      <c r="I348" s="2663"/>
      <c r="J348" s="2663"/>
      <c r="K348" s="2663"/>
      <c r="L348" s="2663"/>
      <c r="M348" s="2663"/>
      <c r="N348" s="2663"/>
      <c r="O348" s="953"/>
    </row>
    <row r="349" spans="1:15" s="1" customFormat="1" ht="24" customHeight="1" x14ac:dyDescent="0.2">
      <c r="A349" s="3573" t="s">
        <v>1319</v>
      </c>
      <c r="B349" s="3573"/>
      <c r="C349" s="3573"/>
      <c r="D349" s="3573"/>
      <c r="E349" s="3573"/>
      <c r="F349" s="3573"/>
      <c r="G349" s="3573"/>
      <c r="H349" s="3573"/>
      <c r="I349" s="3573"/>
      <c r="J349" s="3573"/>
      <c r="K349" s="3573"/>
      <c r="L349" s="3573"/>
      <c r="M349" s="3573"/>
      <c r="N349" s="3573"/>
      <c r="O349" s="953"/>
    </row>
    <row r="350" spans="1:15" s="1" customFormat="1" ht="46" customHeight="1" x14ac:dyDescent="0.2">
      <c r="A350" s="2663" t="s">
        <v>1320</v>
      </c>
      <c r="B350" s="3198"/>
      <c r="C350" s="3198"/>
      <c r="D350" s="3198"/>
      <c r="E350" s="3198"/>
      <c r="F350" s="3198"/>
      <c r="G350" s="3198"/>
      <c r="H350" s="3198"/>
      <c r="I350" s="3198"/>
      <c r="J350" s="3198"/>
      <c r="K350" s="3198"/>
      <c r="L350" s="3198"/>
      <c r="M350" s="3198"/>
      <c r="N350" s="3198"/>
      <c r="O350" s="953"/>
    </row>
    <row r="351" spans="1:15" s="1" customFormat="1" ht="24" customHeight="1" x14ac:dyDescent="0.2">
      <c r="A351" s="2663" t="s">
        <v>831</v>
      </c>
      <c r="B351" s="2663"/>
      <c r="C351" s="2663"/>
      <c r="D351" s="2663"/>
      <c r="E351" s="2663"/>
      <c r="F351" s="2663"/>
      <c r="G351" s="2663"/>
      <c r="H351" s="2663"/>
      <c r="I351" s="2663"/>
      <c r="J351" s="2663"/>
      <c r="K351" s="2663"/>
      <c r="L351" s="2663"/>
      <c r="M351" s="2663"/>
      <c r="N351" s="2663"/>
      <c r="O351" s="953"/>
    </row>
    <row r="352" spans="1:15" s="1" customFormat="1" ht="24" customHeight="1" x14ac:dyDescent="0.2">
      <c r="A352" s="2475" t="s">
        <v>60</v>
      </c>
      <c r="B352" s="2475"/>
      <c r="C352" s="2475"/>
      <c r="D352" s="2475"/>
      <c r="E352" s="2475"/>
      <c r="F352" s="2475"/>
      <c r="G352" s="2475"/>
      <c r="H352" s="2475"/>
      <c r="I352" s="2475"/>
      <c r="J352" s="2475"/>
      <c r="K352" s="2475"/>
      <c r="L352" s="2475"/>
      <c r="M352" s="2475"/>
      <c r="N352" s="2475"/>
      <c r="O352" s="953"/>
    </row>
    <row r="353" spans="1:15" s="1" customFormat="1" ht="24" customHeight="1" x14ac:dyDescent="0.2">
      <c r="A353" s="2829" t="s">
        <v>551</v>
      </c>
      <c r="B353" s="2829"/>
      <c r="C353" s="2829"/>
      <c r="D353" s="2829"/>
      <c r="E353" s="2829"/>
      <c r="F353" s="2829"/>
      <c r="G353" s="2829"/>
      <c r="H353" s="2829"/>
      <c r="I353" s="2829"/>
      <c r="J353" s="2829"/>
      <c r="K353" s="2829"/>
      <c r="L353" s="2829"/>
      <c r="M353" s="2829"/>
      <c r="N353" s="2829"/>
      <c r="O353" s="953"/>
    </row>
    <row r="354" spans="1:15" s="1" customFormat="1" ht="24" customHeight="1" x14ac:dyDescent="0.2">
      <c r="A354" s="2829" t="s">
        <v>1343</v>
      </c>
      <c r="B354" s="2829"/>
      <c r="C354" s="2829"/>
      <c r="D354" s="2829"/>
      <c r="E354" s="2829"/>
      <c r="F354" s="2829"/>
      <c r="G354" s="2829"/>
      <c r="H354" s="2829"/>
      <c r="I354" s="2829"/>
      <c r="J354" s="2829"/>
      <c r="K354" s="2829"/>
      <c r="L354" s="2829"/>
      <c r="M354" s="2829"/>
      <c r="N354" s="2829"/>
      <c r="O354" s="953"/>
    </row>
    <row r="355" spans="1:15" s="1" customFormat="1" ht="41" customHeight="1" x14ac:dyDescent="0.2">
      <c r="A355" s="2663" t="s">
        <v>1323</v>
      </c>
      <c r="B355" s="2663"/>
      <c r="C355" s="2663"/>
      <c r="D355" s="2663"/>
      <c r="E355" s="2663"/>
      <c r="F355" s="2663"/>
      <c r="G355" s="2663"/>
      <c r="H355" s="2663"/>
      <c r="I355" s="2663"/>
      <c r="J355" s="2663"/>
      <c r="K355" s="2663"/>
      <c r="L355" s="2663"/>
      <c r="M355" s="2663"/>
      <c r="N355" s="2663"/>
      <c r="O355" s="953"/>
    </row>
    <row r="356" spans="1:15" s="1" customFormat="1" ht="26" customHeight="1" x14ac:dyDescent="0.2">
      <c r="A356" s="2663" t="s">
        <v>1321</v>
      </c>
      <c r="B356" s="2663"/>
      <c r="C356" s="2663"/>
      <c r="D356" s="2663"/>
      <c r="E356" s="2663"/>
      <c r="F356" s="2663"/>
      <c r="G356" s="2663"/>
      <c r="H356" s="2663"/>
      <c r="I356" s="2663"/>
      <c r="J356" s="2663"/>
      <c r="K356" s="2663"/>
      <c r="L356" s="2663"/>
      <c r="M356" s="2663"/>
      <c r="N356" s="2663"/>
      <c r="O356" s="953"/>
    </row>
    <row r="357" spans="1:15" s="1" customFormat="1" ht="45" customHeight="1" x14ac:dyDescent="0.2">
      <c r="A357" s="2663" t="s">
        <v>1135</v>
      </c>
      <c r="B357" s="2725"/>
      <c r="C357" s="2725"/>
      <c r="D357" s="2725"/>
      <c r="E357" s="2725"/>
      <c r="F357" s="2725"/>
      <c r="G357" s="2725"/>
      <c r="H357" s="2725"/>
      <c r="I357" s="2725"/>
      <c r="J357" s="2725"/>
      <c r="K357" s="2725"/>
      <c r="L357" s="2725"/>
      <c r="M357" s="2725"/>
      <c r="N357" s="2725"/>
      <c r="O357" s="953"/>
    </row>
    <row r="358" spans="1:15" s="1" customFormat="1" ht="23" customHeight="1" x14ac:dyDescent="0.2">
      <c r="A358" s="2475" t="s">
        <v>1338</v>
      </c>
      <c r="B358" s="2475"/>
      <c r="C358" s="2475"/>
      <c r="D358" s="2475"/>
      <c r="E358" s="2475"/>
      <c r="F358" s="2475"/>
      <c r="G358" s="2475"/>
      <c r="H358" s="2475"/>
      <c r="I358" s="2475"/>
      <c r="J358" s="2475"/>
      <c r="K358" s="2475"/>
      <c r="L358" s="2475"/>
      <c r="M358" s="2475"/>
      <c r="N358" s="2475"/>
      <c r="O358" s="953"/>
    </row>
    <row r="359" spans="1:15" s="1" customFormat="1" ht="24" customHeight="1" x14ac:dyDescent="0.2">
      <c r="A359" s="79" t="s">
        <v>65</v>
      </c>
      <c r="B359" s="84"/>
      <c r="C359" s="84"/>
      <c r="D359" s="84"/>
      <c r="E359" s="84"/>
      <c r="F359" s="84"/>
      <c r="G359" s="84"/>
      <c r="H359" s="394"/>
      <c r="I359" s="451"/>
      <c r="J359" s="355"/>
      <c r="K359" s="355"/>
      <c r="L359" s="84"/>
      <c r="M359" s="84"/>
      <c r="N359" s="350"/>
      <c r="O359" s="953"/>
    </row>
    <row r="360" spans="1:15" s="1" customFormat="1" ht="61" customHeight="1" x14ac:dyDescent="0.2">
      <c r="A360" s="2663" t="s">
        <v>1307</v>
      </c>
      <c r="B360" s="2663"/>
      <c r="C360" s="2663"/>
      <c r="D360" s="2663"/>
      <c r="E360" s="2663"/>
      <c r="F360" s="2663"/>
      <c r="G360" s="2663"/>
      <c r="H360" s="2663"/>
      <c r="I360" s="2663"/>
      <c r="J360" s="2663"/>
      <c r="K360" s="2663"/>
      <c r="L360" s="2663"/>
      <c r="M360" s="2663"/>
      <c r="N360" s="2663"/>
      <c r="O360" s="953"/>
    </row>
    <row r="361" spans="1:15" s="1" customFormat="1" ht="41" customHeight="1" x14ac:dyDescent="0.2">
      <c r="A361" s="2663" t="s">
        <v>1306</v>
      </c>
      <c r="B361" s="2663"/>
      <c r="C361" s="2663"/>
      <c r="D361" s="2663"/>
      <c r="E361" s="2663"/>
      <c r="F361" s="2663"/>
      <c r="G361" s="2663"/>
      <c r="H361" s="2663"/>
      <c r="I361" s="2663"/>
      <c r="J361" s="2663"/>
      <c r="K361" s="2663"/>
      <c r="L361" s="2663"/>
      <c r="M361" s="2663"/>
      <c r="N361" s="2663"/>
      <c r="O361" s="953"/>
    </row>
    <row r="362" spans="1:15" s="1" customFormat="1" ht="43" customHeight="1" x14ac:dyDescent="0.2">
      <c r="A362" s="2663" t="s">
        <v>1308</v>
      </c>
      <c r="B362" s="2663"/>
      <c r="C362" s="2663"/>
      <c r="D362" s="2663"/>
      <c r="E362" s="2663"/>
      <c r="F362" s="2663"/>
      <c r="G362" s="2663"/>
      <c r="H362" s="2663"/>
      <c r="I362" s="2663"/>
      <c r="J362" s="2663"/>
      <c r="K362" s="2663"/>
      <c r="L362" s="2663"/>
      <c r="M362" s="2663"/>
      <c r="N362" s="2663"/>
      <c r="O362" s="953"/>
    </row>
    <row r="363" spans="1:15" s="1" customFormat="1" ht="38" customHeight="1" x14ac:dyDescent="0.2">
      <c r="A363" s="2663" t="s">
        <v>1309</v>
      </c>
      <c r="B363" s="2663"/>
      <c r="C363" s="2663"/>
      <c r="D363" s="2663"/>
      <c r="E363" s="2663"/>
      <c r="F363" s="2663"/>
      <c r="G363" s="2663"/>
      <c r="H363" s="2663"/>
      <c r="I363" s="2663"/>
      <c r="J363" s="2663"/>
      <c r="K363" s="2663"/>
      <c r="L363" s="2663"/>
      <c r="M363" s="2663"/>
      <c r="N363" s="2663"/>
      <c r="O363" s="953"/>
    </row>
    <row r="364" spans="1:15" s="1" customFormat="1" ht="27" customHeight="1" x14ac:dyDescent="0.2">
      <c r="A364" s="2663" t="s">
        <v>1310</v>
      </c>
      <c r="B364" s="2663"/>
      <c r="C364" s="2663"/>
      <c r="D364" s="2663"/>
      <c r="E364" s="2663"/>
      <c r="F364" s="2663"/>
      <c r="G364" s="2663"/>
      <c r="H364" s="2663"/>
      <c r="I364" s="2663"/>
      <c r="J364" s="2663"/>
      <c r="K364" s="2663"/>
      <c r="L364" s="2663"/>
      <c r="M364" s="2663"/>
      <c r="N364" s="2663"/>
      <c r="O364" s="953"/>
    </row>
    <row r="365" spans="1:15" s="1" customFormat="1" ht="21" customHeight="1" x14ac:dyDescent="0.2">
      <c r="A365" s="79" t="s">
        <v>1138</v>
      </c>
      <c r="B365" s="84"/>
      <c r="C365" s="84"/>
      <c r="D365" s="84"/>
      <c r="E365" s="84"/>
      <c r="F365" s="84"/>
      <c r="G365" s="84"/>
      <c r="H365" s="394"/>
      <c r="I365" s="451"/>
      <c r="J365" s="355"/>
      <c r="K365" s="355"/>
      <c r="L365" s="84"/>
      <c r="M365" s="84"/>
      <c r="N365" s="350"/>
      <c r="O365" s="953"/>
    </row>
    <row r="366" spans="1:15" s="1" customFormat="1" ht="19" customHeight="1" x14ac:dyDescent="0.2">
      <c r="A366" s="2829" t="s">
        <v>1305</v>
      </c>
      <c r="B366" s="2829"/>
      <c r="C366" s="2829"/>
      <c r="D366" s="2829"/>
      <c r="E366" s="2829"/>
      <c r="F366" s="2829"/>
      <c r="G366" s="2829"/>
      <c r="H366" s="2829"/>
      <c r="I366" s="2829"/>
      <c r="J366" s="2829"/>
      <c r="K366" s="2829"/>
      <c r="L366" s="2829"/>
      <c r="M366" s="2829"/>
      <c r="N366" s="2829"/>
      <c r="O366" s="953"/>
    </row>
    <row r="367" spans="1:15" s="1" customFormat="1" ht="41" customHeight="1" x14ac:dyDescent="0.2">
      <c r="A367" s="2663" t="s">
        <v>1339</v>
      </c>
      <c r="B367" s="2663"/>
      <c r="C367" s="2663"/>
      <c r="D367" s="2663"/>
      <c r="E367" s="2663"/>
      <c r="F367" s="2663"/>
      <c r="G367" s="2663"/>
      <c r="H367" s="2663"/>
      <c r="I367" s="2663"/>
      <c r="J367" s="2663"/>
      <c r="K367" s="2663"/>
      <c r="L367" s="2663"/>
      <c r="M367" s="2663"/>
      <c r="N367" s="2663"/>
      <c r="O367" s="953"/>
    </row>
    <row r="368" spans="1:15" s="1" customFormat="1" ht="26" customHeight="1" x14ac:dyDescent="0.2">
      <c r="A368" s="42" t="s">
        <v>1261</v>
      </c>
      <c r="B368" s="42"/>
      <c r="E368" s="43"/>
      <c r="F368" s="43"/>
      <c r="H368" s="78"/>
      <c r="I368" s="447"/>
      <c r="J368" s="71"/>
      <c r="K368" s="71"/>
      <c r="N368" s="209"/>
      <c r="O368" s="75"/>
    </row>
    <row r="369" spans="1:15" s="1" customFormat="1" ht="44" customHeight="1" x14ac:dyDescent="0.2">
      <c r="A369" s="2665" t="s">
        <v>34</v>
      </c>
      <c r="B369" s="3174" t="s">
        <v>6</v>
      </c>
      <c r="C369" s="3174"/>
      <c r="D369" s="2602" t="s">
        <v>7</v>
      </c>
      <c r="E369" s="3174" t="s">
        <v>8</v>
      </c>
      <c r="F369" s="3174"/>
      <c r="G369" s="3174"/>
      <c r="H369" s="3039" t="s">
        <v>9</v>
      </c>
      <c r="I369" s="2602" t="s">
        <v>10</v>
      </c>
      <c r="J369" s="8" t="s">
        <v>35</v>
      </c>
      <c r="K369" s="8" t="s">
        <v>12</v>
      </c>
      <c r="L369" s="7" t="s">
        <v>13</v>
      </c>
      <c r="M369" s="7" t="s">
        <v>14</v>
      </c>
      <c r="N369" s="8" t="s">
        <v>15</v>
      </c>
      <c r="O369" s="75"/>
    </row>
    <row r="370" spans="1:15" s="1" customFormat="1" ht="36" customHeight="1" x14ac:dyDescent="0.2">
      <c r="A370" s="2665"/>
      <c r="B370" s="8" t="s">
        <v>6</v>
      </c>
      <c r="C370" s="7" t="s">
        <v>17</v>
      </c>
      <c r="D370" s="2602"/>
      <c r="E370" s="9" t="s">
        <v>18</v>
      </c>
      <c r="F370" s="9" t="s">
        <v>19</v>
      </c>
      <c r="G370" s="7" t="s">
        <v>20</v>
      </c>
      <c r="H370" s="3039"/>
      <c r="I370" s="2602"/>
      <c r="J370" s="8" t="s">
        <v>21</v>
      </c>
      <c r="K370" s="8" t="s">
        <v>22</v>
      </c>
      <c r="L370" s="3174" t="s">
        <v>22</v>
      </c>
      <c r="M370" s="3174"/>
      <c r="N370" s="8" t="s">
        <v>23</v>
      </c>
      <c r="O370" s="75"/>
    </row>
    <row r="371" spans="1:15" s="1" customFormat="1" ht="36" customHeight="1" x14ac:dyDescent="0.2">
      <c r="A371" s="3031" t="s">
        <v>1247</v>
      </c>
      <c r="B371" s="2551" t="s">
        <v>412</v>
      </c>
      <c r="C371" s="12" t="s">
        <v>21</v>
      </c>
      <c r="D371" s="14">
        <f>I371*J371*100/K372</f>
        <v>487459.18367346941</v>
      </c>
      <c r="E371" s="14">
        <f>E372*H371/100</f>
        <v>425161.9</v>
      </c>
      <c r="F371" s="14">
        <f>F372*H371/100</f>
        <v>28662.6</v>
      </c>
      <c r="G371" s="14">
        <f>G372*H371/100</f>
        <v>23885.5</v>
      </c>
      <c r="H371" s="853">
        <f>I371*J371</f>
        <v>477710</v>
      </c>
      <c r="I371" s="434">
        <v>31</v>
      </c>
      <c r="J371" s="357">
        <v>15410</v>
      </c>
      <c r="K371" s="348"/>
      <c r="L371" s="28"/>
      <c r="M371" s="28"/>
      <c r="N371" s="348"/>
      <c r="O371" s="75"/>
    </row>
    <row r="372" spans="1:15" s="1" customFormat="1" ht="36" customHeight="1" x14ac:dyDescent="0.2">
      <c r="A372" s="3031"/>
      <c r="B372" s="2551"/>
      <c r="C372" s="12" t="s">
        <v>22</v>
      </c>
      <c r="D372" s="13"/>
      <c r="E372" s="16">
        <v>89</v>
      </c>
      <c r="F372" s="16">
        <v>6</v>
      </c>
      <c r="G372" s="16">
        <v>5</v>
      </c>
      <c r="H372" s="396">
        <f>SUM(E372:G372)</f>
        <v>100</v>
      </c>
      <c r="I372" s="435"/>
      <c r="J372" s="362"/>
      <c r="K372" s="365">
        <v>98</v>
      </c>
      <c r="L372" s="2933">
        <v>2</v>
      </c>
      <c r="M372" s="2933"/>
      <c r="N372" s="348">
        <v>40</v>
      </c>
      <c r="O372" s="75"/>
    </row>
    <row r="373" spans="1:15" s="1" customFormat="1" ht="28" hidden="1" customHeight="1" x14ac:dyDescent="0.2">
      <c r="A373" s="3031" t="s">
        <v>594</v>
      </c>
      <c r="B373" s="2551" t="s">
        <v>412</v>
      </c>
      <c r="C373" s="12" t="s">
        <v>21</v>
      </c>
      <c r="D373" s="14">
        <f>I373*J373*100/K374</f>
        <v>0</v>
      </c>
      <c r="E373" s="14">
        <f>E374*H373/100</f>
        <v>0</v>
      </c>
      <c r="F373" s="14">
        <f>F374*H373/100</f>
        <v>0</v>
      </c>
      <c r="G373" s="14">
        <f>G374*H373/100</f>
        <v>0</v>
      </c>
      <c r="H373" s="853">
        <f>J373*I373</f>
        <v>0</v>
      </c>
      <c r="I373" s="434"/>
      <c r="J373" s="357"/>
      <c r="K373" s="348"/>
      <c r="L373" s="28"/>
      <c r="M373" s="28"/>
      <c r="N373" s="348"/>
      <c r="O373" s="75"/>
    </row>
    <row r="374" spans="1:15" s="1" customFormat="1" ht="28" hidden="1" customHeight="1" x14ac:dyDescent="0.2">
      <c r="A374" s="3031"/>
      <c r="B374" s="2551"/>
      <c r="C374" s="12" t="s">
        <v>22</v>
      </c>
      <c r="D374" s="13"/>
      <c r="E374" s="16"/>
      <c r="F374" s="16"/>
      <c r="G374" s="16"/>
      <c r="H374" s="396">
        <v>100</v>
      </c>
      <c r="I374" s="435"/>
      <c r="J374" s="362"/>
      <c r="K374" s="365">
        <v>98</v>
      </c>
      <c r="L374" s="2933">
        <v>2</v>
      </c>
      <c r="M374" s="2933"/>
      <c r="N374" s="348">
        <v>40</v>
      </c>
      <c r="O374" s="75"/>
    </row>
    <row r="375" spans="1:15" s="1" customFormat="1" ht="30" hidden="1" customHeight="1" x14ac:dyDescent="0.2">
      <c r="A375" s="3032" t="s">
        <v>1143</v>
      </c>
      <c r="B375" s="3032"/>
      <c r="C375" s="31" t="s">
        <v>21</v>
      </c>
      <c r="D375" s="842">
        <f>D371+D373</f>
        <v>487459.18367346941</v>
      </c>
      <c r="E375" s="842">
        <f t="shared" ref="E375:I375" si="36">E371+E373</f>
        <v>425161.9</v>
      </c>
      <c r="F375" s="842">
        <f t="shared" si="36"/>
        <v>28662.6</v>
      </c>
      <c r="G375" s="842">
        <f t="shared" si="36"/>
        <v>23885.5</v>
      </c>
      <c r="H375" s="842">
        <f t="shared" si="36"/>
        <v>477710</v>
      </c>
      <c r="I375" s="34">
        <f t="shared" si="36"/>
        <v>31</v>
      </c>
      <c r="J375" s="842">
        <f>H375/I375</f>
        <v>15410</v>
      </c>
      <c r="K375" s="368"/>
      <c r="L375" s="826"/>
      <c r="M375" s="826"/>
      <c r="N375" s="367"/>
      <c r="O375" s="75"/>
    </row>
    <row r="376" spans="1:15" s="1" customFormat="1" ht="30" hidden="1" customHeight="1" x14ac:dyDescent="0.2">
      <c r="A376" s="3032"/>
      <c r="B376" s="3032"/>
      <c r="C376" s="31" t="s">
        <v>22</v>
      </c>
      <c r="D376" s="32"/>
      <c r="E376" s="975">
        <f>+E375/H375*100</f>
        <v>89</v>
      </c>
      <c r="F376" s="975">
        <f>+F375/H375*100</f>
        <v>6</v>
      </c>
      <c r="G376" s="975">
        <f>+G375/H375*100</f>
        <v>5</v>
      </c>
      <c r="H376" s="397">
        <v>100</v>
      </c>
      <c r="I376" s="436"/>
      <c r="J376" s="358"/>
      <c r="K376" s="976">
        <f>+H375/D375*100</f>
        <v>98</v>
      </c>
      <c r="L376" s="3033">
        <f>100-K376</f>
        <v>2</v>
      </c>
      <c r="M376" s="3033"/>
      <c r="N376" s="367"/>
      <c r="O376" s="75"/>
    </row>
    <row r="377" spans="1:15" s="1" customFormat="1" ht="41" customHeight="1" x14ac:dyDescent="0.2">
      <c r="A377" s="3031" t="s">
        <v>25</v>
      </c>
      <c r="B377" s="2551" t="s">
        <v>492</v>
      </c>
      <c r="C377" s="12" t="s">
        <v>21</v>
      </c>
      <c r="D377" s="14">
        <f>I377*J377*100/K378</f>
        <v>214502.39999999997</v>
      </c>
      <c r="E377" s="14">
        <f>E378*H377/100</f>
        <v>187088.99327999994</v>
      </c>
      <c r="F377" s="14">
        <f>F378*H377/100</f>
        <v>16816.988159999997</v>
      </c>
      <c r="G377" s="14">
        <f>G378*H377/100</f>
        <v>6306.3705599999985</v>
      </c>
      <c r="H377" s="853">
        <f>I377*J377</f>
        <v>210212.35199999996</v>
      </c>
      <c r="I377" s="434">
        <v>14</v>
      </c>
      <c r="J377" s="357">
        <f>'[3]Tháng 10'!$J$26</f>
        <v>15015.167999999998</v>
      </c>
      <c r="K377" s="348"/>
      <c r="L377" s="28"/>
      <c r="M377" s="28"/>
      <c r="N377" s="348"/>
      <c r="O377" s="75"/>
    </row>
    <row r="378" spans="1:15" s="1" customFormat="1" ht="41" customHeight="1" x14ac:dyDescent="0.2">
      <c r="A378" s="3031"/>
      <c r="B378" s="2551"/>
      <c r="C378" s="12" t="s">
        <v>22</v>
      </c>
      <c r="D378" s="13"/>
      <c r="E378" s="16">
        <v>89</v>
      </c>
      <c r="F378" s="16">
        <v>8</v>
      </c>
      <c r="G378" s="16">
        <v>3</v>
      </c>
      <c r="H378" s="396">
        <f>SUM(E378:G378)</f>
        <v>100</v>
      </c>
      <c r="I378" s="435"/>
      <c r="J378" s="362"/>
      <c r="K378" s="365">
        <v>98</v>
      </c>
      <c r="L378" s="2933">
        <v>2</v>
      </c>
      <c r="M378" s="2933"/>
      <c r="N378" s="348">
        <v>40</v>
      </c>
      <c r="O378" s="75"/>
    </row>
    <row r="379" spans="1:15" s="1" customFormat="1" ht="41" customHeight="1" x14ac:dyDescent="0.2">
      <c r="A379" s="3031"/>
      <c r="B379" s="2551" t="s">
        <v>819</v>
      </c>
      <c r="C379" s="12" t="s">
        <v>21</v>
      </c>
      <c r="D379" s="14">
        <f>I379*J379*100/K380</f>
        <v>225120</v>
      </c>
      <c r="E379" s="14">
        <f>E380*H379/100</f>
        <v>207380.54400000002</v>
      </c>
      <c r="F379" s="14">
        <f>F380*H379/100</f>
        <v>6618.5280000000002</v>
      </c>
      <c r="G379" s="14">
        <f>G380*H379/100</f>
        <v>6618.5280000000002</v>
      </c>
      <c r="H379" s="853">
        <f>I379*J379</f>
        <v>220617.60000000001</v>
      </c>
      <c r="I379" s="434">
        <v>16</v>
      </c>
      <c r="J379" s="357">
        <f>'[3]Tháng 10'!$J$28</f>
        <v>13788.6</v>
      </c>
      <c r="K379" s="348"/>
      <c r="L379" s="28"/>
      <c r="M379" s="28"/>
      <c r="N379" s="348"/>
      <c r="O379" s="75"/>
    </row>
    <row r="380" spans="1:15" s="1" customFormat="1" ht="41" customHeight="1" x14ac:dyDescent="0.2">
      <c r="A380" s="3031"/>
      <c r="B380" s="2551"/>
      <c r="C380" s="12" t="s">
        <v>22</v>
      </c>
      <c r="D380" s="13"/>
      <c r="E380" s="16">
        <v>94</v>
      </c>
      <c r="F380" s="16">
        <v>3</v>
      </c>
      <c r="G380" s="16">
        <v>3</v>
      </c>
      <c r="H380" s="396">
        <f>SUM(E380:G380)</f>
        <v>100</v>
      </c>
      <c r="I380" s="435"/>
      <c r="J380" s="362"/>
      <c r="K380" s="365">
        <v>98</v>
      </c>
      <c r="L380" s="2933">
        <v>2</v>
      </c>
      <c r="M380" s="2933"/>
      <c r="N380" s="348">
        <v>100</v>
      </c>
      <c r="O380" s="75"/>
    </row>
    <row r="381" spans="1:15" s="1" customFormat="1" ht="26" hidden="1" customHeight="1" x14ac:dyDescent="0.2">
      <c r="A381" s="729"/>
      <c r="B381" s="2551" t="s">
        <v>492</v>
      </c>
      <c r="C381" s="12" t="s">
        <v>21</v>
      </c>
      <c r="D381" s="14">
        <f>I381*J381*100/K382</f>
        <v>0</v>
      </c>
      <c r="E381" s="14">
        <f>E382*H381/100</f>
        <v>0</v>
      </c>
      <c r="F381" s="14">
        <f>F382*H381/100</f>
        <v>0</v>
      </c>
      <c r="G381" s="14">
        <f>G382*H381/100</f>
        <v>0</v>
      </c>
      <c r="H381" s="853">
        <f>J381*I381</f>
        <v>0</v>
      </c>
      <c r="I381" s="434"/>
      <c r="J381" s="357"/>
      <c r="K381" s="348"/>
      <c r="L381" s="28"/>
      <c r="M381" s="28"/>
      <c r="N381" s="348"/>
      <c r="O381" s="75"/>
    </row>
    <row r="382" spans="1:15" s="1" customFormat="1" ht="27" hidden="1" customHeight="1" x14ac:dyDescent="0.2">
      <c r="A382" s="729"/>
      <c r="B382" s="2551"/>
      <c r="C382" s="12" t="s">
        <v>22</v>
      </c>
      <c r="D382" s="13"/>
      <c r="E382" s="16"/>
      <c r="F382" s="16"/>
      <c r="G382" s="16"/>
      <c r="H382" s="396">
        <f>SUM(E382:G382)</f>
        <v>0</v>
      </c>
      <c r="I382" s="435"/>
      <c r="J382" s="362"/>
      <c r="K382" s="365">
        <v>98</v>
      </c>
      <c r="L382" s="2933">
        <v>2</v>
      </c>
      <c r="M382" s="2933"/>
      <c r="N382" s="348">
        <v>40</v>
      </c>
      <c r="O382" s="75"/>
    </row>
    <row r="383" spans="1:15" s="1" customFormat="1" ht="43" customHeight="1" x14ac:dyDescent="0.2">
      <c r="A383" s="3032" t="s">
        <v>1147</v>
      </c>
      <c r="B383" s="3032"/>
      <c r="C383" s="31" t="s">
        <v>21</v>
      </c>
      <c r="D383" s="842">
        <f>D377+D379+D381</f>
        <v>439622.39999999997</v>
      </c>
      <c r="E383" s="842">
        <f t="shared" ref="E383:I383" si="37">E377+E379+E381</f>
        <v>394469.53727999993</v>
      </c>
      <c r="F383" s="842">
        <f t="shared" si="37"/>
        <v>23435.516159999999</v>
      </c>
      <c r="G383" s="842">
        <f t="shared" si="37"/>
        <v>12924.898559999998</v>
      </c>
      <c r="H383" s="842">
        <f t="shared" si="37"/>
        <v>430829.95199999993</v>
      </c>
      <c r="I383" s="34">
        <f t="shared" si="37"/>
        <v>30</v>
      </c>
      <c r="J383" s="842">
        <f>H383/I383</f>
        <v>14360.998399999999</v>
      </c>
      <c r="K383" s="368"/>
      <c r="L383" s="826"/>
      <c r="M383" s="826"/>
      <c r="N383" s="367"/>
      <c r="O383" s="75"/>
    </row>
    <row r="384" spans="1:15" s="1" customFormat="1" ht="43" customHeight="1" x14ac:dyDescent="0.2">
      <c r="A384" s="3032"/>
      <c r="B384" s="3032"/>
      <c r="C384" s="31" t="s">
        <v>22</v>
      </c>
      <c r="D384" s="32"/>
      <c r="E384" s="975">
        <f>+E383/H383*100</f>
        <v>91.560379088963614</v>
      </c>
      <c r="F384" s="975">
        <f>+F383/H383*100</f>
        <v>5.4396209110363811</v>
      </c>
      <c r="G384" s="975">
        <f>+G383/H383*100</f>
        <v>3</v>
      </c>
      <c r="H384" s="397">
        <v>100</v>
      </c>
      <c r="I384" s="436"/>
      <c r="J384" s="358"/>
      <c r="K384" s="976">
        <f>+H383/D383*100</f>
        <v>97.999999999999986</v>
      </c>
      <c r="L384" s="3033">
        <f>100-K384</f>
        <v>2.0000000000000142</v>
      </c>
      <c r="M384" s="3033"/>
      <c r="N384" s="367"/>
      <c r="O384" s="75"/>
    </row>
    <row r="385" spans="1:15" s="1" customFormat="1" ht="43" customHeight="1" x14ac:dyDescent="0.2">
      <c r="A385" s="3034" t="s">
        <v>1148</v>
      </c>
      <c r="B385" s="3034"/>
      <c r="C385" s="977" t="s">
        <v>21</v>
      </c>
      <c r="D385" s="978">
        <f>D383+D375</f>
        <v>927081.58367346937</v>
      </c>
      <c r="E385" s="978">
        <f t="shared" ref="E385:I385" si="38">E383+E375</f>
        <v>819631.43727999995</v>
      </c>
      <c r="F385" s="978">
        <f t="shared" si="38"/>
        <v>52098.116159999998</v>
      </c>
      <c r="G385" s="978">
        <f t="shared" si="38"/>
        <v>36810.398560000001</v>
      </c>
      <c r="H385" s="978">
        <f t="shared" si="38"/>
        <v>908539.95199999993</v>
      </c>
      <c r="I385" s="979">
        <f t="shared" si="38"/>
        <v>61</v>
      </c>
      <c r="J385" s="978">
        <f>H385/I385</f>
        <v>14894.09757377049</v>
      </c>
      <c r="K385" s="980"/>
      <c r="L385" s="981"/>
      <c r="M385" s="981"/>
      <c r="N385" s="982"/>
      <c r="O385" s="75"/>
    </row>
    <row r="386" spans="1:15" s="1" customFormat="1" ht="43" customHeight="1" x14ac:dyDescent="0.2">
      <c r="A386" s="3034"/>
      <c r="B386" s="3034"/>
      <c r="C386" s="977" t="s">
        <v>22</v>
      </c>
      <c r="D386" s="983"/>
      <c r="E386" s="984">
        <f>+E385/H385*100</f>
        <v>90.214132628479064</v>
      </c>
      <c r="F386" s="984">
        <f>+F385/H385*100</f>
        <v>5.7342680468057177</v>
      </c>
      <c r="G386" s="984">
        <f>+G385/H385*100</f>
        <v>4.0515993247152222</v>
      </c>
      <c r="H386" s="985">
        <v>100</v>
      </c>
      <c r="I386" s="986"/>
      <c r="J386" s="987"/>
      <c r="K386" s="988">
        <f>+H385/D385*100</f>
        <v>98</v>
      </c>
      <c r="L386" s="3035">
        <f>100-K386</f>
        <v>2</v>
      </c>
      <c r="M386" s="3035"/>
      <c r="N386" s="982"/>
      <c r="O386" s="75"/>
    </row>
    <row r="387" spans="1:15" s="340" customFormat="1" ht="26" customHeight="1" x14ac:dyDescent="0.15">
      <c r="A387" s="2475" t="s">
        <v>1266</v>
      </c>
      <c r="B387" s="2475"/>
      <c r="C387" s="2475"/>
      <c r="D387" s="2475"/>
      <c r="E387" s="2475"/>
      <c r="F387" s="2475"/>
      <c r="G387" s="2475"/>
      <c r="H387" s="2475"/>
      <c r="I387" s="2475"/>
      <c r="J387" s="2475"/>
      <c r="K387" s="2475"/>
      <c r="L387" s="2475"/>
      <c r="M387" s="2475"/>
      <c r="N387" s="2475"/>
    </row>
    <row r="388" spans="1:15" s="340" customFormat="1" ht="49" customHeight="1" x14ac:dyDescent="0.15">
      <c r="A388" s="2665" t="s">
        <v>34</v>
      </c>
      <c r="B388" s="3174" t="s">
        <v>6</v>
      </c>
      <c r="C388" s="3174"/>
      <c r="D388" s="2602" t="s">
        <v>7</v>
      </c>
      <c r="E388" s="3174" t="s">
        <v>8</v>
      </c>
      <c r="F388" s="3174"/>
      <c r="G388" s="3174"/>
      <c r="H388" s="3039" t="s">
        <v>9</v>
      </c>
      <c r="I388" s="2602" t="s">
        <v>10</v>
      </c>
      <c r="J388" s="8" t="s">
        <v>35</v>
      </c>
      <c r="K388" s="8" t="s">
        <v>12</v>
      </c>
      <c r="L388" s="7" t="s">
        <v>13</v>
      </c>
      <c r="M388" s="7" t="s">
        <v>14</v>
      </c>
      <c r="N388" s="8" t="s">
        <v>15</v>
      </c>
    </row>
    <row r="389" spans="1:15" s="340" customFormat="1" ht="34" customHeight="1" x14ac:dyDescent="0.15">
      <c r="A389" s="2665"/>
      <c r="B389" s="8" t="s">
        <v>6</v>
      </c>
      <c r="C389" s="7" t="s">
        <v>17</v>
      </c>
      <c r="D389" s="2602"/>
      <c r="E389" s="9" t="s">
        <v>18</v>
      </c>
      <c r="F389" s="9" t="s">
        <v>19</v>
      </c>
      <c r="G389" s="7" t="s">
        <v>20</v>
      </c>
      <c r="H389" s="3039"/>
      <c r="I389" s="2602"/>
      <c r="J389" s="8" t="s">
        <v>21</v>
      </c>
      <c r="K389" s="8" t="s">
        <v>22</v>
      </c>
      <c r="L389" s="3174" t="s">
        <v>22</v>
      </c>
      <c r="M389" s="3174"/>
      <c r="N389" s="8" t="s">
        <v>23</v>
      </c>
    </row>
    <row r="390" spans="1:15" s="340" customFormat="1" ht="37" customHeight="1" x14ac:dyDescent="0.15">
      <c r="A390" s="3031" t="s">
        <v>1247</v>
      </c>
      <c r="B390" s="2551" t="s">
        <v>412</v>
      </c>
      <c r="C390" s="12" t="s">
        <v>21</v>
      </c>
      <c r="D390" s="14">
        <f>I390*J390*100/K391</f>
        <v>496195.72301425663</v>
      </c>
      <c r="E390" s="14">
        <f>E391*H390/100</f>
        <v>443410.42200000002</v>
      </c>
      <c r="F390" s="14">
        <f>F391*H390/100</f>
        <v>19490.567999999999</v>
      </c>
      <c r="G390" s="14">
        <f>G391*H390/100</f>
        <v>24363.21</v>
      </c>
      <c r="H390" s="853">
        <f>I390*J390</f>
        <v>487264.2</v>
      </c>
      <c r="I390" s="434">
        <v>31</v>
      </c>
      <c r="J390" s="357">
        <f>'[3]Tháng 10'!$J$42</f>
        <v>15718.2</v>
      </c>
      <c r="K390" s="348"/>
      <c r="L390" s="28"/>
      <c r="M390" s="28"/>
      <c r="N390" s="348"/>
    </row>
    <row r="391" spans="1:15" s="340" customFormat="1" ht="37" customHeight="1" x14ac:dyDescent="0.15">
      <c r="A391" s="3031"/>
      <c r="B391" s="2551"/>
      <c r="C391" s="12" t="s">
        <v>22</v>
      </c>
      <c r="D391" s="13"/>
      <c r="E391" s="16">
        <v>91</v>
      </c>
      <c r="F391" s="16">
        <v>4</v>
      </c>
      <c r="G391" s="16">
        <v>5</v>
      </c>
      <c r="H391" s="396">
        <v>100</v>
      </c>
      <c r="I391" s="435"/>
      <c r="J391" s="362"/>
      <c r="K391" s="365">
        <v>98.2</v>
      </c>
      <c r="L391" s="2933">
        <f>100-K391</f>
        <v>1.7999999999999972</v>
      </c>
      <c r="M391" s="2933"/>
      <c r="N391" s="348">
        <v>25</v>
      </c>
    </row>
    <row r="392" spans="1:15" s="340" customFormat="1" ht="33" hidden="1" customHeight="1" x14ac:dyDescent="0.15">
      <c r="A392" s="3031" t="s">
        <v>594</v>
      </c>
      <c r="B392" s="2551" t="s">
        <v>412</v>
      </c>
      <c r="C392" s="12" t="s">
        <v>21</v>
      </c>
      <c r="D392" s="14">
        <f>I392*J392*100/K393</f>
        <v>0</v>
      </c>
      <c r="E392" s="14">
        <f>E393*H392/100</f>
        <v>0</v>
      </c>
      <c r="F392" s="14">
        <f>F393*H392/100</f>
        <v>0</v>
      </c>
      <c r="G392" s="14">
        <f>G393*H392/100</f>
        <v>0</v>
      </c>
      <c r="H392" s="853">
        <f>J392*I392</f>
        <v>0</v>
      </c>
      <c r="I392" s="434"/>
      <c r="J392" s="357"/>
      <c r="K392" s="348"/>
      <c r="L392" s="28"/>
      <c r="M392" s="28"/>
      <c r="N392" s="348">
        <v>25</v>
      </c>
    </row>
    <row r="393" spans="1:15" s="340" customFormat="1" ht="33" hidden="1" customHeight="1" x14ac:dyDescent="0.15">
      <c r="A393" s="3031"/>
      <c r="B393" s="2551"/>
      <c r="C393" s="12" t="s">
        <v>22</v>
      </c>
      <c r="D393" s="13"/>
      <c r="E393" s="16"/>
      <c r="F393" s="16"/>
      <c r="G393" s="16"/>
      <c r="H393" s="396">
        <v>100</v>
      </c>
      <c r="I393" s="435"/>
      <c r="J393" s="362"/>
      <c r="K393" s="365">
        <v>98</v>
      </c>
      <c r="L393" s="2933">
        <v>2</v>
      </c>
      <c r="M393" s="2933"/>
      <c r="N393" s="348"/>
    </row>
    <row r="394" spans="1:15" s="340" customFormat="1" ht="39" hidden="1" customHeight="1" x14ac:dyDescent="0.15">
      <c r="A394" s="3032" t="s">
        <v>1151</v>
      </c>
      <c r="B394" s="3032"/>
      <c r="C394" s="31" t="s">
        <v>21</v>
      </c>
      <c r="D394" s="842">
        <f>D390+D392</f>
        <v>496195.72301425663</v>
      </c>
      <c r="E394" s="842">
        <f t="shared" ref="E394:I394" si="39">E390+E392</f>
        <v>443410.42200000002</v>
      </c>
      <c r="F394" s="842">
        <f t="shared" si="39"/>
        <v>19490.567999999999</v>
      </c>
      <c r="G394" s="842">
        <f t="shared" si="39"/>
        <v>24363.21</v>
      </c>
      <c r="H394" s="842">
        <f t="shared" si="39"/>
        <v>487264.2</v>
      </c>
      <c r="I394" s="34">
        <f t="shared" si="39"/>
        <v>31</v>
      </c>
      <c r="J394" s="842">
        <f>H394/I394</f>
        <v>15718.2</v>
      </c>
      <c r="K394" s="368"/>
      <c r="L394" s="826"/>
      <c r="M394" s="826"/>
      <c r="N394" s="367">
        <v>25</v>
      </c>
    </row>
    <row r="395" spans="1:15" s="340" customFormat="1" ht="39" hidden="1" customHeight="1" x14ac:dyDescent="0.15">
      <c r="A395" s="3032"/>
      <c r="B395" s="3032"/>
      <c r="C395" s="31" t="s">
        <v>22</v>
      </c>
      <c r="D395" s="32"/>
      <c r="E395" s="33">
        <f>+E394/H394*100</f>
        <v>91</v>
      </c>
      <c r="F395" s="33">
        <f>+F394/H394*100</f>
        <v>4</v>
      </c>
      <c r="G395" s="33">
        <f>+G394/H394*100</f>
        <v>5</v>
      </c>
      <c r="H395" s="397">
        <v>100</v>
      </c>
      <c r="I395" s="436"/>
      <c r="J395" s="358"/>
      <c r="K395" s="976">
        <f>+H394/D394*100</f>
        <v>98.2</v>
      </c>
      <c r="L395" s="3033">
        <f>100-K395</f>
        <v>1.7999999999999972</v>
      </c>
      <c r="M395" s="3033"/>
      <c r="N395" s="367"/>
    </row>
    <row r="396" spans="1:15" s="340" customFormat="1" ht="37" customHeight="1" x14ac:dyDescent="0.15">
      <c r="A396" s="3031" t="s">
        <v>25</v>
      </c>
      <c r="B396" s="2551" t="s">
        <v>492</v>
      </c>
      <c r="C396" s="12" t="s">
        <v>21</v>
      </c>
      <c r="D396" s="14">
        <f>I396*J396*100/K397</f>
        <v>218346.84219959262</v>
      </c>
      <c r="E396" s="14">
        <f>E397*H396/100</f>
        <v>195119.10512639995</v>
      </c>
      <c r="F396" s="14">
        <f>F397*H396/100</f>
        <v>12864.995942399997</v>
      </c>
      <c r="G396" s="14">
        <f>G397*H396/100</f>
        <v>6432.4979711999986</v>
      </c>
      <c r="H396" s="853">
        <f>I396*J396</f>
        <v>214416.59903999997</v>
      </c>
      <c r="I396" s="434">
        <v>14</v>
      </c>
      <c r="J396" s="357">
        <f>'[3]Tháng 10'!$J$48</f>
        <v>15315.471359999998</v>
      </c>
      <c r="K396" s="348"/>
      <c r="L396" s="28"/>
      <c r="M396" s="28"/>
      <c r="N396" s="348"/>
    </row>
    <row r="397" spans="1:15" s="340" customFormat="1" ht="37" customHeight="1" x14ac:dyDescent="0.15">
      <c r="A397" s="3031"/>
      <c r="B397" s="2551"/>
      <c r="C397" s="12" t="s">
        <v>22</v>
      </c>
      <c r="D397" s="13"/>
      <c r="E397" s="16">
        <v>91</v>
      </c>
      <c r="F397" s="16">
        <v>6</v>
      </c>
      <c r="G397" s="16">
        <v>3</v>
      </c>
      <c r="H397" s="396">
        <f>SUM(E397:G397)</f>
        <v>100</v>
      </c>
      <c r="I397" s="435"/>
      <c r="J397" s="362"/>
      <c r="K397" s="365">
        <v>98.2</v>
      </c>
      <c r="L397" s="2933">
        <f>100-K397</f>
        <v>1.7999999999999972</v>
      </c>
      <c r="M397" s="2933"/>
      <c r="N397" s="348">
        <v>25</v>
      </c>
    </row>
    <row r="398" spans="1:15" s="340" customFormat="1" ht="37" customHeight="1" x14ac:dyDescent="0.15">
      <c r="A398" s="3031"/>
      <c r="B398" s="2551" t="s">
        <v>819</v>
      </c>
      <c r="C398" s="12" t="s">
        <v>21</v>
      </c>
      <c r="D398" s="14">
        <f>I398*J398*100/K399</f>
        <v>229154.73727087578</v>
      </c>
      <c r="E398" s="14">
        <f>E399*H398/100</f>
        <v>216028.75392000002</v>
      </c>
      <c r="F398" s="14">
        <f>F399*H398/100</f>
        <v>4500.5990400000001</v>
      </c>
      <c r="G398" s="14">
        <f>G399*H398/100</f>
        <v>4500.5990400000001</v>
      </c>
      <c r="H398" s="853">
        <f>I398*J398</f>
        <v>225029.95200000002</v>
      </c>
      <c r="I398" s="434">
        <v>16</v>
      </c>
      <c r="J398" s="357">
        <f>'[3]Tháng 10'!$J$50</f>
        <v>14064.372000000001</v>
      </c>
      <c r="K398" s="348"/>
      <c r="L398" s="28"/>
      <c r="M398" s="28"/>
      <c r="N398" s="348"/>
    </row>
    <row r="399" spans="1:15" s="340" customFormat="1" ht="37" customHeight="1" x14ac:dyDescent="0.15">
      <c r="A399" s="3031"/>
      <c r="B399" s="2551"/>
      <c r="C399" s="12" t="s">
        <v>22</v>
      </c>
      <c r="D399" s="13"/>
      <c r="E399" s="16">
        <v>96</v>
      </c>
      <c r="F399" s="16">
        <v>2</v>
      </c>
      <c r="G399" s="16">
        <v>2</v>
      </c>
      <c r="H399" s="396">
        <f>SUM(E399:G399)</f>
        <v>100</v>
      </c>
      <c r="I399" s="435"/>
      <c r="J399" s="362"/>
      <c r="K399" s="365">
        <v>98.2</v>
      </c>
      <c r="L399" s="2933">
        <f>100-K399</f>
        <v>1.7999999999999972</v>
      </c>
      <c r="M399" s="2933"/>
      <c r="N399" s="348">
        <v>80</v>
      </c>
    </row>
    <row r="400" spans="1:15" s="340" customFormat="1" ht="25" hidden="1" customHeight="1" x14ac:dyDescent="0.15">
      <c r="A400" s="729"/>
      <c r="B400" s="2551" t="s">
        <v>492</v>
      </c>
      <c r="C400" s="12" t="s">
        <v>21</v>
      </c>
      <c r="D400" s="14">
        <f>I400*J400*100/K401</f>
        <v>0</v>
      </c>
      <c r="E400" s="14">
        <f>E401*H400/100</f>
        <v>0</v>
      </c>
      <c r="F400" s="14">
        <f>F401*H400/100</f>
        <v>0</v>
      </c>
      <c r="G400" s="14">
        <f>G401*H400/100</f>
        <v>0</v>
      </c>
      <c r="H400" s="853">
        <f>J400*I400</f>
        <v>0</v>
      </c>
      <c r="I400" s="434"/>
      <c r="J400" s="357">
        <f>J378+J378*2%</f>
        <v>0</v>
      </c>
      <c r="K400" s="348"/>
      <c r="L400" s="28"/>
      <c r="M400" s="28"/>
      <c r="N400" s="348"/>
    </row>
    <row r="401" spans="1:14" s="340" customFormat="1" ht="26" hidden="1" customHeight="1" x14ac:dyDescent="0.15">
      <c r="A401" s="2046"/>
      <c r="B401" s="2566"/>
      <c r="C401" s="30" t="s">
        <v>22</v>
      </c>
      <c r="D401" s="2047"/>
      <c r="E401" s="2048">
        <v>91</v>
      </c>
      <c r="F401" s="2048">
        <v>6</v>
      </c>
      <c r="G401" s="2048">
        <v>3</v>
      </c>
      <c r="H401" s="2049">
        <v>100</v>
      </c>
      <c r="I401" s="2050"/>
      <c r="J401" s="2051"/>
      <c r="K401" s="2052">
        <v>98</v>
      </c>
      <c r="L401" s="3187">
        <v>2</v>
      </c>
      <c r="M401" s="3187"/>
      <c r="N401" s="2053"/>
    </row>
    <row r="402" spans="1:14" s="340" customFormat="1" ht="44" customHeight="1" x14ac:dyDescent="0.15">
      <c r="A402" s="3470" t="s">
        <v>1249</v>
      </c>
      <c r="B402" s="3470"/>
      <c r="C402" s="31" t="s">
        <v>21</v>
      </c>
      <c r="D402" s="842">
        <f>D396+D398+D400</f>
        <v>447501.57947046839</v>
      </c>
      <c r="E402" s="842">
        <f t="shared" ref="E402:I402" si="40">E396+E398+E400</f>
        <v>411147.85904639994</v>
      </c>
      <c r="F402" s="842">
        <f t="shared" si="40"/>
        <v>17365.594982399998</v>
      </c>
      <c r="G402" s="842">
        <f t="shared" si="40"/>
        <v>10933.0970112</v>
      </c>
      <c r="H402" s="842">
        <f t="shared" si="40"/>
        <v>439446.55103999999</v>
      </c>
      <c r="I402" s="34">
        <f t="shared" si="40"/>
        <v>30</v>
      </c>
      <c r="J402" s="842">
        <f>H402/I402</f>
        <v>14648.218368</v>
      </c>
      <c r="K402" s="368"/>
      <c r="L402" s="826"/>
      <c r="M402" s="826"/>
      <c r="N402" s="367"/>
    </row>
    <row r="403" spans="1:14" s="340" customFormat="1" ht="44" customHeight="1" x14ac:dyDescent="0.15">
      <c r="A403" s="3470"/>
      <c r="B403" s="3470"/>
      <c r="C403" s="31" t="s">
        <v>22</v>
      </c>
      <c r="D403" s="32"/>
      <c r="E403" s="975">
        <f>+E402/H402*100</f>
        <v>93.560379088963614</v>
      </c>
      <c r="F403" s="975">
        <f>+F402/H402*100</f>
        <v>3.9516967288291038</v>
      </c>
      <c r="G403" s="975">
        <f>+G402/H402*100</f>
        <v>2.487924182207276</v>
      </c>
      <c r="H403" s="397">
        <v>100</v>
      </c>
      <c r="I403" s="436"/>
      <c r="J403" s="358"/>
      <c r="K403" s="976">
        <f>+H402/D402*100</f>
        <v>98.2</v>
      </c>
      <c r="L403" s="3033">
        <f>100-K403</f>
        <v>1.7999999999999972</v>
      </c>
      <c r="M403" s="3033"/>
      <c r="N403" s="367"/>
    </row>
    <row r="404" spans="1:14" s="340" customFormat="1" ht="44" customHeight="1" x14ac:dyDescent="0.15">
      <c r="A404" s="3472" t="s">
        <v>1250</v>
      </c>
      <c r="B404" s="3472"/>
      <c r="C404" s="989" t="s">
        <v>21</v>
      </c>
      <c r="D404" s="978">
        <f>D402+D394</f>
        <v>943697.30248472502</v>
      </c>
      <c r="E404" s="978">
        <f t="shared" ref="E404:I404" si="41">E402+E394</f>
        <v>854558.28104639996</v>
      </c>
      <c r="F404" s="978">
        <f t="shared" si="41"/>
        <v>36856.162982399997</v>
      </c>
      <c r="G404" s="978">
        <f t="shared" si="41"/>
        <v>35296.307011199999</v>
      </c>
      <c r="H404" s="978">
        <f t="shared" si="41"/>
        <v>926710.75104</v>
      </c>
      <c r="I404" s="979">
        <f t="shared" si="41"/>
        <v>61</v>
      </c>
      <c r="J404" s="978">
        <f>H404/I404</f>
        <v>15191.979525245903</v>
      </c>
      <c r="K404" s="980"/>
      <c r="L404" s="981"/>
      <c r="M404" s="981"/>
      <c r="N404" s="982"/>
    </row>
    <row r="405" spans="1:14" s="340" customFormat="1" ht="44" customHeight="1" x14ac:dyDescent="0.15">
      <c r="A405" s="3472"/>
      <c r="B405" s="3472"/>
      <c r="C405" s="977" t="s">
        <v>22</v>
      </c>
      <c r="D405" s="983"/>
      <c r="E405" s="984">
        <f>+E404/H404*100</f>
        <v>92.214132628479064</v>
      </c>
      <c r="F405" s="984">
        <f>+F404/H404*100</f>
        <v>3.9770945725015294</v>
      </c>
      <c r="G405" s="984">
        <f>+G404/H404*100</f>
        <v>3.8087727990194096</v>
      </c>
      <c r="H405" s="985">
        <v>100</v>
      </c>
      <c r="I405" s="986"/>
      <c r="J405" s="987"/>
      <c r="K405" s="988">
        <f>+H404/D404*100</f>
        <v>98.2</v>
      </c>
      <c r="L405" s="3035">
        <f>100-K405</f>
        <v>1.7999999999999972</v>
      </c>
      <c r="M405" s="3035"/>
      <c r="N405" s="982"/>
    </row>
    <row r="406" spans="1:14" s="340" customFormat="1" ht="22" customHeight="1" x14ac:dyDescent="0.15">
      <c r="A406" s="2909" t="s">
        <v>597</v>
      </c>
      <c r="B406" s="2909"/>
      <c r="C406" s="2909"/>
      <c r="D406" s="2909"/>
      <c r="E406" s="2909"/>
      <c r="F406" s="2909"/>
      <c r="G406" s="2909"/>
      <c r="H406" s="2909"/>
      <c r="I406" s="2909"/>
      <c r="J406" s="2909"/>
      <c r="K406" s="2909"/>
      <c r="L406" s="2909"/>
      <c r="M406" s="2909"/>
      <c r="N406" s="2909"/>
    </row>
    <row r="407" spans="1:14" s="340" customFormat="1" ht="23" customHeight="1" x14ac:dyDescent="0.15">
      <c r="A407" s="3198" t="s">
        <v>1291</v>
      </c>
      <c r="B407" s="3198"/>
      <c r="C407" s="3198"/>
      <c r="D407" s="3198"/>
      <c r="E407" s="3198"/>
      <c r="F407" s="3198"/>
      <c r="G407" s="3198"/>
      <c r="H407" s="3198"/>
      <c r="I407" s="3198"/>
      <c r="J407" s="3198"/>
      <c r="K407" s="3198"/>
      <c r="L407" s="3198"/>
      <c r="M407" s="3198"/>
      <c r="N407" s="3198"/>
    </row>
    <row r="408" spans="1:14" s="340" customFormat="1" ht="46" customHeight="1" x14ac:dyDescent="0.15">
      <c r="A408" s="3198" t="s">
        <v>1292</v>
      </c>
      <c r="B408" s="3198"/>
      <c r="C408" s="3198"/>
      <c r="D408" s="3198"/>
      <c r="E408" s="3198"/>
      <c r="F408" s="3198"/>
      <c r="G408" s="3198"/>
      <c r="H408" s="3198"/>
      <c r="I408" s="3198"/>
      <c r="J408" s="3198"/>
      <c r="K408" s="3198"/>
      <c r="L408" s="3198"/>
      <c r="M408" s="3198"/>
      <c r="N408" s="3198"/>
    </row>
    <row r="409" spans="1:14" s="340" customFormat="1" ht="24" customHeight="1" x14ac:dyDescent="0.15">
      <c r="A409" s="3463" t="s">
        <v>1293</v>
      </c>
      <c r="B409" s="3463"/>
      <c r="C409" s="3463"/>
      <c r="D409" s="3463"/>
      <c r="E409" s="3463"/>
      <c r="F409" s="3463"/>
      <c r="G409" s="3463"/>
      <c r="H409" s="3463"/>
      <c r="I409" s="3463"/>
      <c r="J409" s="3463"/>
      <c r="K409" s="3463"/>
      <c r="L409" s="3463"/>
      <c r="M409" s="3463"/>
      <c r="N409" s="3463"/>
    </row>
    <row r="410" spans="1:14" s="340" customFormat="1" ht="64" customHeight="1" x14ac:dyDescent="0.15">
      <c r="A410" s="3575" t="s">
        <v>1294</v>
      </c>
      <c r="B410" s="3576"/>
      <c r="C410" s="3576"/>
      <c r="D410" s="3576"/>
      <c r="E410" s="3576"/>
      <c r="F410" s="3576"/>
      <c r="G410" s="3576"/>
      <c r="H410" s="3576"/>
      <c r="I410" s="3576"/>
      <c r="J410" s="3576"/>
      <c r="K410" s="3576"/>
      <c r="L410" s="3576"/>
      <c r="M410" s="3576"/>
      <c r="N410" s="3576"/>
    </row>
    <row r="411" spans="1:14" s="340" customFormat="1" ht="40" customHeight="1" x14ac:dyDescent="0.15">
      <c r="A411" s="2663" t="s">
        <v>1295</v>
      </c>
      <c r="B411" s="2725"/>
      <c r="C411" s="2725"/>
      <c r="D411" s="2725"/>
      <c r="E411" s="2725"/>
      <c r="F411" s="2725"/>
      <c r="G411" s="2725"/>
      <c r="H411" s="2725"/>
      <c r="I411" s="2725"/>
      <c r="J411" s="2725"/>
      <c r="K411" s="2725"/>
      <c r="L411" s="2725"/>
      <c r="M411" s="2725"/>
      <c r="N411" s="2725"/>
    </row>
    <row r="412" spans="1:14" s="340" customFormat="1" ht="24" customHeight="1" x14ac:dyDescent="0.15">
      <c r="A412" s="2663" t="s">
        <v>1296</v>
      </c>
      <c r="B412" s="2663"/>
      <c r="C412" s="2663"/>
      <c r="D412" s="2663"/>
      <c r="E412" s="2663"/>
      <c r="F412" s="2663"/>
      <c r="G412" s="2663"/>
      <c r="H412" s="2663"/>
      <c r="I412" s="2663"/>
      <c r="J412" s="2663"/>
      <c r="K412" s="2663"/>
      <c r="L412" s="2663"/>
      <c r="M412" s="2663"/>
      <c r="N412" s="2663"/>
    </row>
    <row r="413" spans="1:14" s="340" customFormat="1" ht="62" customHeight="1" x14ac:dyDescent="0.15">
      <c r="A413" s="2663" t="s">
        <v>1297</v>
      </c>
      <c r="B413" s="2663"/>
      <c r="C413" s="2663"/>
      <c r="D413" s="2663"/>
      <c r="E413" s="2663"/>
      <c r="F413" s="2663"/>
      <c r="G413" s="2663"/>
      <c r="H413" s="2663"/>
      <c r="I413" s="2663"/>
      <c r="J413" s="2663"/>
      <c r="K413" s="2663"/>
      <c r="L413" s="2663"/>
      <c r="M413" s="2663"/>
      <c r="N413" s="2663"/>
    </row>
    <row r="414" spans="1:14" s="340" customFormat="1" ht="43" customHeight="1" x14ac:dyDescent="0.15">
      <c r="A414" s="2663" t="s">
        <v>1298</v>
      </c>
      <c r="B414" s="2663"/>
      <c r="C414" s="2663"/>
      <c r="D414" s="2663"/>
      <c r="E414" s="2663"/>
      <c r="F414" s="2663"/>
      <c r="G414" s="2663"/>
      <c r="H414" s="2663"/>
      <c r="I414" s="2663"/>
      <c r="J414" s="2663"/>
      <c r="K414" s="2663"/>
      <c r="L414" s="2663"/>
      <c r="M414" s="2663"/>
      <c r="N414" s="2663"/>
    </row>
    <row r="415" spans="1:14" s="340" customFormat="1" ht="60" customHeight="1" x14ac:dyDescent="0.15">
      <c r="A415" s="2663" t="s">
        <v>1311</v>
      </c>
      <c r="B415" s="2663"/>
      <c r="C415" s="2663"/>
      <c r="D415" s="2663"/>
      <c r="E415" s="2663"/>
      <c r="F415" s="2663"/>
      <c r="G415" s="2663"/>
      <c r="H415" s="2663"/>
      <c r="I415" s="2663"/>
      <c r="J415" s="2663"/>
      <c r="K415" s="2663"/>
      <c r="L415" s="2663"/>
      <c r="M415" s="2663"/>
      <c r="N415" s="2663"/>
    </row>
    <row r="416" spans="1:14" s="340" customFormat="1" ht="39" customHeight="1" x14ac:dyDescent="0.15">
      <c r="A416" s="2663" t="s">
        <v>1312</v>
      </c>
      <c r="B416" s="2663"/>
      <c r="C416" s="2663"/>
      <c r="D416" s="2663"/>
      <c r="E416" s="2663"/>
      <c r="F416" s="2663"/>
      <c r="G416" s="2663"/>
      <c r="H416" s="2663"/>
      <c r="I416" s="2663"/>
      <c r="J416" s="2663"/>
      <c r="K416" s="2663"/>
      <c r="L416" s="2663"/>
      <c r="M416" s="2663"/>
      <c r="N416" s="2663"/>
    </row>
    <row r="417" spans="1:14" s="340" customFormat="1" ht="80" customHeight="1" x14ac:dyDescent="0.15">
      <c r="A417" s="2663" t="s">
        <v>1324</v>
      </c>
      <c r="B417" s="2725"/>
      <c r="C417" s="2725"/>
      <c r="D417" s="2725"/>
      <c r="E417" s="2725"/>
      <c r="F417" s="2725"/>
      <c r="G417" s="2725"/>
      <c r="H417" s="2725"/>
      <c r="I417" s="2725"/>
      <c r="J417" s="2725"/>
      <c r="K417" s="2725"/>
      <c r="L417" s="2725"/>
      <c r="M417" s="2725"/>
      <c r="N417" s="2725"/>
    </row>
    <row r="418" spans="1:14" s="340" customFormat="1" ht="46" customHeight="1" x14ac:dyDescent="0.15">
      <c r="A418" s="2663" t="s">
        <v>1165</v>
      </c>
      <c r="B418" s="2663"/>
      <c r="C418" s="2663"/>
      <c r="D418" s="2663"/>
      <c r="E418" s="2663"/>
      <c r="F418" s="2663"/>
      <c r="G418" s="2663"/>
      <c r="H418" s="2663"/>
      <c r="I418" s="2663"/>
      <c r="J418" s="2663"/>
      <c r="K418" s="2663"/>
      <c r="L418" s="2663"/>
      <c r="M418" s="2663"/>
      <c r="N418" s="2663"/>
    </row>
    <row r="419" spans="1:14" s="84" customFormat="1" ht="22.5" customHeight="1" x14ac:dyDescent="0.2">
      <c r="A419" s="88" t="s">
        <v>494</v>
      </c>
      <c r="H419" s="394"/>
      <c r="I419" s="451"/>
      <c r="J419" s="355"/>
      <c r="K419" s="355"/>
      <c r="N419" s="350"/>
    </row>
    <row r="420" spans="1:14" s="1" customFormat="1" ht="16" x14ac:dyDescent="0.2">
      <c r="C420" s="42"/>
      <c r="E420" s="43"/>
      <c r="F420" s="43"/>
      <c r="H420" s="78"/>
      <c r="I420" s="447"/>
      <c r="J420" s="2682" t="s">
        <v>1267</v>
      </c>
      <c r="K420" s="2682"/>
      <c r="L420" s="2682"/>
      <c r="M420" s="2682"/>
      <c r="N420" s="2682"/>
    </row>
    <row r="421" spans="1:14" s="84" customFormat="1" ht="24" customHeight="1" x14ac:dyDescent="0.2">
      <c r="C421" s="1031"/>
      <c r="D421" s="2683" t="s">
        <v>1326</v>
      </c>
      <c r="E421" s="2683"/>
      <c r="F421" s="2683"/>
      <c r="G421" s="339"/>
      <c r="H421" s="339"/>
      <c r="I421" s="339"/>
      <c r="J421" s="2683" t="s">
        <v>1325</v>
      </c>
      <c r="K421" s="2683"/>
      <c r="L421" s="2683"/>
      <c r="M421" s="2683"/>
      <c r="N421" s="2683"/>
    </row>
    <row r="422" spans="1:14" ht="16" x14ac:dyDescent="0.2">
      <c r="B422" s="1"/>
      <c r="C422" s="1031"/>
    </row>
    <row r="423" spans="1:14" x14ac:dyDescent="0.2">
      <c r="C423" s="1031"/>
    </row>
    <row r="424" spans="1:14" x14ac:dyDescent="0.2">
      <c r="C424" s="1031"/>
    </row>
    <row r="425" spans="1:14" x14ac:dyDescent="0.2">
      <c r="C425" s="1031"/>
    </row>
    <row r="431" spans="1:14" x14ac:dyDescent="0.15">
      <c r="A431" s="1029" t="s">
        <v>655</v>
      </c>
      <c r="B431" s="1030"/>
    </row>
    <row r="432" spans="1:14" x14ac:dyDescent="0.15">
      <c r="A432" s="94" t="s">
        <v>1299</v>
      </c>
      <c r="B432" s="1030"/>
    </row>
    <row r="433" spans="1:2" x14ac:dyDescent="0.2">
      <c r="A433" s="94" t="s">
        <v>1300</v>
      </c>
      <c r="B433" s="2351"/>
    </row>
    <row r="434" spans="1:2" x14ac:dyDescent="0.15">
      <c r="A434" s="94" t="s">
        <v>891</v>
      </c>
      <c r="B434" s="1030"/>
    </row>
    <row r="435" spans="1:2" x14ac:dyDescent="0.2">
      <c r="A435" s="2351" t="s">
        <v>838</v>
      </c>
      <c r="B435" s="92"/>
    </row>
    <row r="436" spans="1:2" x14ac:dyDescent="0.2">
      <c r="A436" s="1029" t="s">
        <v>659</v>
      </c>
    </row>
    <row r="437" spans="1:2" x14ac:dyDescent="0.15">
      <c r="A437" s="2377" t="s">
        <v>1301</v>
      </c>
    </row>
  </sheetData>
  <mergeCells count="537">
    <mergeCell ref="B336:C336"/>
    <mergeCell ref="A358:N358"/>
    <mergeCell ref="B338:C338"/>
    <mergeCell ref="A354:N354"/>
    <mergeCell ref="I94:N97"/>
    <mergeCell ref="I98:N105"/>
    <mergeCell ref="I114:N129"/>
    <mergeCell ref="I162:N177"/>
    <mergeCell ref="A352:N352"/>
    <mergeCell ref="A355:N355"/>
    <mergeCell ref="A357:N357"/>
    <mergeCell ref="K321:L321"/>
    <mergeCell ref="M321:N321"/>
    <mergeCell ref="A311:N311"/>
    <mergeCell ref="A312:N312"/>
    <mergeCell ref="A313:N313"/>
    <mergeCell ref="A314:N314"/>
    <mergeCell ref="A315:N315"/>
    <mergeCell ref="A316:N316"/>
    <mergeCell ref="N300:N301"/>
    <mergeCell ref="A306:E306"/>
    <mergeCell ref="A308:N308"/>
    <mergeCell ref="A309:N309"/>
    <mergeCell ref="A310:N310"/>
    <mergeCell ref="A361:N361"/>
    <mergeCell ref="A353:N353"/>
    <mergeCell ref="A356:N356"/>
    <mergeCell ref="A363:N363"/>
    <mergeCell ref="A364:N364"/>
    <mergeCell ref="A415:N415"/>
    <mergeCell ref="J420:N420"/>
    <mergeCell ref="D421:F421"/>
    <mergeCell ref="J421:N421"/>
    <mergeCell ref="A390:A391"/>
    <mergeCell ref="B390:B391"/>
    <mergeCell ref="L391:M391"/>
    <mergeCell ref="A392:A393"/>
    <mergeCell ref="B392:B393"/>
    <mergeCell ref="L393:M393"/>
    <mergeCell ref="A396:A399"/>
    <mergeCell ref="A387:N387"/>
    <mergeCell ref="A388:A389"/>
    <mergeCell ref="B388:C388"/>
    <mergeCell ref="D388:D389"/>
    <mergeCell ref="E388:G388"/>
    <mergeCell ref="H388:H389"/>
    <mergeCell ref="I388:I389"/>
    <mergeCell ref="B400:B401"/>
    <mergeCell ref="L401:M401"/>
    <mergeCell ref="A402:B403"/>
    <mergeCell ref="L403:M403"/>
    <mergeCell ref="A404:B405"/>
    <mergeCell ref="L405:M405"/>
    <mergeCell ref="A394:B395"/>
    <mergeCell ref="L395:M395"/>
    <mergeCell ref="B396:B397"/>
    <mergeCell ref="L397:M397"/>
    <mergeCell ref="B398:B399"/>
    <mergeCell ref="L399:M399"/>
    <mergeCell ref="A412:N412"/>
    <mergeCell ref="A413:N413"/>
    <mergeCell ref="A414:N414"/>
    <mergeCell ref="A416:N416"/>
    <mergeCell ref="A418:N418"/>
    <mergeCell ref="A406:N406"/>
    <mergeCell ref="A407:N407"/>
    <mergeCell ref="A408:N408"/>
    <mergeCell ref="A409:N409"/>
    <mergeCell ref="A410:N410"/>
    <mergeCell ref="A411:N411"/>
    <mergeCell ref="A417:N417"/>
    <mergeCell ref="L389:M389"/>
    <mergeCell ref="B381:B382"/>
    <mergeCell ref="L382:M382"/>
    <mergeCell ref="A383:B384"/>
    <mergeCell ref="L384:M384"/>
    <mergeCell ref="A385:B386"/>
    <mergeCell ref="L386:M386"/>
    <mergeCell ref="A375:B376"/>
    <mergeCell ref="L376:M376"/>
    <mergeCell ref="B377:B378"/>
    <mergeCell ref="L378:M378"/>
    <mergeCell ref="B379:B380"/>
    <mergeCell ref="L380:M380"/>
    <mergeCell ref="A371:A372"/>
    <mergeCell ref="B371:B372"/>
    <mergeCell ref="L372:M372"/>
    <mergeCell ref="A373:A374"/>
    <mergeCell ref="B373:B374"/>
    <mergeCell ref="L374:M374"/>
    <mergeCell ref="A377:A380"/>
    <mergeCell ref="A362:N362"/>
    <mergeCell ref="A367:N367"/>
    <mergeCell ref="A369:A370"/>
    <mergeCell ref="B369:C369"/>
    <mergeCell ref="D369:D370"/>
    <mergeCell ref="E369:G369"/>
    <mergeCell ref="H369:H370"/>
    <mergeCell ref="I369:I370"/>
    <mergeCell ref="L370:M370"/>
    <mergeCell ref="A366:N366"/>
    <mergeCell ref="A360:N360"/>
    <mergeCell ref="A343:N343"/>
    <mergeCell ref="A344:N344"/>
    <mergeCell ref="A349:N349"/>
    <mergeCell ref="A347:N347"/>
    <mergeCell ref="A348:N348"/>
    <mergeCell ref="A351:N351"/>
    <mergeCell ref="A345:N345"/>
    <mergeCell ref="A346:N346"/>
    <mergeCell ref="A350:N350"/>
    <mergeCell ref="O321:P321"/>
    <mergeCell ref="A330:B330"/>
    <mergeCell ref="A341:N341"/>
    <mergeCell ref="A342:N342"/>
    <mergeCell ref="A317:N317"/>
    <mergeCell ref="A318:N318"/>
    <mergeCell ref="A319:N319"/>
    <mergeCell ref="A321:A322"/>
    <mergeCell ref="B321:B322"/>
    <mergeCell ref="C321:D321"/>
    <mergeCell ref="E321:F321"/>
    <mergeCell ref="G321:H321"/>
    <mergeCell ref="I321:J321"/>
    <mergeCell ref="B332:C332"/>
    <mergeCell ref="L332:N332"/>
    <mergeCell ref="B333:C333"/>
    <mergeCell ref="L333:N333"/>
    <mergeCell ref="B334:C334"/>
    <mergeCell ref="B335:C335"/>
    <mergeCell ref="B337:C337"/>
    <mergeCell ref="B339:C339"/>
    <mergeCell ref="A320:N320"/>
    <mergeCell ref="A331:N331"/>
    <mergeCell ref="A340:C340"/>
    <mergeCell ref="A297:E297"/>
    <mergeCell ref="A300:A301"/>
    <mergeCell ref="B300:B301"/>
    <mergeCell ref="C300:E300"/>
    <mergeCell ref="I300:J300"/>
    <mergeCell ref="M300:M301"/>
    <mergeCell ref="N283:N284"/>
    <mergeCell ref="A289:E289"/>
    <mergeCell ref="A290:N290"/>
    <mergeCell ref="A291:A292"/>
    <mergeCell ref="B291:B292"/>
    <mergeCell ref="C291:E291"/>
    <mergeCell ref="I291:J291"/>
    <mergeCell ref="M291:M292"/>
    <mergeCell ref="N291:N292"/>
    <mergeCell ref="A281:E281"/>
    <mergeCell ref="A283:A284"/>
    <mergeCell ref="B283:B284"/>
    <mergeCell ref="C283:E283"/>
    <mergeCell ref="I283:J283"/>
    <mergeCell ref="M283:M284"/>
    <mergeCell ref="N267:N268"/>
    <mergeCell ref="A273:E273"/>
    <mergeCell ref="A275:A276"/>
    <mergeCell ref="B275:B276"/>
    <mergeCell ref="C275:E275"/>
    <mergeCell ref="I275:J275"/>
    <mergeCell ref="M275:M276"/>
    <mergeCell ref="N275:N276"/>
    <mergeCell ref="A265:E265"/>
    <mergeCell ref="A267:A268"/>
    <mergeCell ref="B267:B268"/>
    <mergeCell ref="C267:E267"/>
    <mergeCell ref="I267:J267"/>
    <mergeCell ref="M267:M268"/>
    <mergeCell ref="A259:A260"/>
    <mergeCell ref="B259:B260"/>
    <mergeCell ref="C259:E259"/>
    <mergeCell ref="I259:J259"/>
    <mergeCell ref="M259:M260"/>
    <mergeCell ref="N259:N260"/>
    <mergeCell ref="B254:C254"/>
    <mergeCell ref="J254:N254"/>
    <mergeCell ref="B255:C255"/>
    <mergeCell ref="J255:N255"/>
    <mergeCell ref="B256:C256"/>
    <mergeCell ref="J256:N256"/>
    <mergeCell ref="B250:C250"/>
    <mergeCell ref="B252:C252"/>
    <mergeCell ref="J252:N252"/>
    <mergeCell ref="B253:C253"/>
    <mergeCell ref="J253:N253"/>
    <mergeCell ref="A247:A248"/>
    <mergeCell ref="B247:C247"/>
    <mergeCell ref="J247:N247"/>
    <mergeCell ref="B248:C248"/>
    <mergeCell ref="J248:N248"/>
    <mergeCell ref="B249:C249"/>
    <mergeCell ref="J249:N249"/>
    <mergeCell ref="B243:C243"/>
    <mergeCell ref="J243:K243"/>
    <mergeCell ref="L243:N243"/>
    <mergeCell ref="B244:C244"/>
    <mergeCell ref="J244:N244"/>
    <mergeCell ref="A245:A246"/>
    <mergeCell ref="B245:C245"/>
    <mergeCell ref="J245:N245"/>
    <mergeCell ref="B246:C246"/>
    <mergeCell ref="J246:N246"/>
    <mergeCell ref="A240:N240"/>
    <mergeCell ref="B241:C241"/>
    <mergeCell ref="J241:N241"/>
    <mergeCell ref="B242:C242"/>
    <mergeCell ref="J242:K242"/>
    <mergeCell ref="L242:N242"/>
    <mergeCell ref="B237:C237"/>
    <mergeCell ref="J237:N237"/>
    <mergeCell ref="B238:C238"/>
    <mergeCell ref="J238:N238"/>
    <mergeCell ref="B239:C239"/>
    <mergeCell ref="J239:N239"/>
    <mergeCell ref="B234:C234"/>
    <mergeCell ref="J234:N234"/>
    <mergeCell ref="B235:C235"/>
    <mergeCell ref="J235:N235"/>
    <mergeCell ref="B236:C236"/>
    <mergeCell ref="J236:N236"/>
    <mergeCell ref="B231:C231"/>
    <mergeCell ref="J231:K231"/>
    <mergeCell ref="L231:N231"/>
    <mergeCell ref="B232:C232"/>
    <mergeCell ref="J232:N232"/>
    <mergeCell ref="B233:C233"/>
    <mergeCell ref="J233:N233"/>
    <mergeCell ref="B229:C229"/>
    <mergeCell ref="J229:K229"/>
    <mergeCell ref="L229:N229"/>
    <mergeCell ref="B230:C230"/>
    <mergeCell ref="J230:K230"/>
    <mergeCell ref="L230:N230"/>
    <mergeCell ref="A226:N226"/>
    <mergeCell ref="B227:C227"/>
    <mergeCell ref="J227:N227"/>
    <mergeCell ref="B228:C228"/>
    <mergeCell ref="J228:K228"/>
    <mergeCell ref="L228:N228"/>
    <mergeCell ref="B222:C222"/>
    <mergeCell ref="J222:N222"/>
    <mergeCell ref="B223:C223"/>
    <mergeCell ref="J223:N223"/>
    <mergeCell ref="B225:C225"/>
    <mergeCell ref="J225:N225"/>
    <mergeCell ref="B218:C218"/>
    <mergeCell ref="J218:N218"/>
    <mergeCell ref="B219:C219"/>
    <mergeCell ref="J219:N219"/>
    <mergeCell ref="B220:C220"/>
    <mergeCell ref="B224:C224"/>
    <mergeCell ref="J224:N224"/>
    <mergeCell ref="B215:C215"/>
    <mergeCell ref="J215:N215"/>
    <mergeCell ref="B216:C216"/>
    <mergeCell ref="J216:N216"/>
    <mergeCell ref="B217:C217"/>
    <mergeCell ref="J217:N217"/>
    <mergeCell ref="B213:C213"/>
    <mergeCell ref="J213:K213"/>
    <mergeCell ref="L213:N213"/>
    <mergeCell ref="B214:C214"/>
    <mergeCell ref="J214:K214"/>
    <mergeCell ref="L214:N214"/>
    <mergeCell ref="B211:C211"/>
    <mergeCell ref="J211:K211"/>
    <mergeCell ref="L211:N211"/>
    <mergeCell ref="B212:C212"/>
    <mergeCell ref="J212:K212"/>
    <mergeCell ref="L212:N212"/>
    <mergeCell ref="J206:N206"/>
    <mergeCell ref="J207:N207"/>
    <mergeCell ref="J208:N208"/>
    <mergeCell ref="A209:N209"/>
    <mergeCell ref="B210:C210"/>
    <mergeCell ref="J210:N210"/>
    <mergeCell ref="B206:C206"/>
    <mergeCell ref="J199:N199"/>
    <mergeCell ref="J200:N200"/>
    <mergeCell ref="J201:N201"/>
    <mergeCell ref="J202:N202"/>
    <mergeCell ref="J205:N205"/>
    <mergeCell ref="J194:L194"/>
    <mergeCell ref="M194:N194"/>
    <mergeCell ref="J195:N195"/>
    <mergeCell ref="J196:N196"/>
    <mergeCell ref="J197:N197"/>
    <mergeCell ref="J198:N198"/>
    <mergeCell ref="J191:L191"/>
    <mergeCell ref="M191:N191"/>
    <mergeCell ref="J192:L192"/>
    <mergeCell ref="M192:N192"/>
    <mergeCell ref="J193:L193"/>
    <mergeCell ref="M193:N193"/>
    <mergeCell ref="A186:C186"/>
    <mergeCell ref="I186:N186"/>
    <mergeCell ref="A187:N187"/>
    <mergeCell ref="A188:N188"/>
    <mergeCell ref="J189:N189"/>
    <mergeCell ref="J190:L190"/>
    <mergeCell ref="M190:N190"/>
    <mergeCell ref="B185:C185"/>
    <mergeCell ref="I185:N185"/>
    <mergeCell ref="A178:B179"/>
    <mergeCell ref="I178:N178"/>
    <mergeCell ref="I179:N179"/>
    <mergeCell ref="B180:C180"/>
    <mergeCell ref="I180:N180"/>
    <mergeCell ref="A181:A182"/>
    <mergeCell ref="B181:C182"/>
    <mergeCell ref="D181:D182"/>
    <mergeCell ref="I181:N181"/>
    <mergeCell ref="I182:N182"/>
    <mergeCell ref="I183:N183"/>
    <mergeCell ref="I184:N184"/>
    <mergeCell ref="A172:A173"/>
    <mergeCell ref="B172:B173"/>
    <mergeCell ref="A174:A175"/>
    <mergeCell ref="B174:B175"/>
    <mergeCell ref="A176:A177"/>
    <mergeCell ref="B176:B177"/>
    <mergeCell ref="A183:A184"/>
    <mergeCell ref="B183:C184"/>
    <mergeCell ref="D183:D184"/>
    <mergeCell ref="A170:A171"/>
    <mergeCell ref="B170:B171"/>
    <mergeCell ref="A154:A155"/>
    <mergeCell ref="B154:B155"/>
    <mergeCell ref="A156:A157"/>
    <mergeCell ref="B156:B157"/>
    <mergeCell ref="A158:A159"/>
    <mergeCell ref="B158:B159"/>
    <mergeCell ref="A160:B161"/>
    <mergeCell ref="A162:A163"/>
    <mergeCell ref="B162:B163"/>
    <mergeCell ref="A164:A165"/>
    <mergeCell ref="B164:B165"/>
    <mergeCell ref="A166:A167"/>
    <mergeCell ref="B166:B167"/>
    <mergeCell ref="A168:A169"/>
    <mergeCell ref="B168:B169"/>
    <mergeCell ref="A146:A147"/>
    <mergeCell ref="B146:B147"/>
    <mergeCell ref="A148:A149"/>
    <mergeCell ref="B148:B149"/>
    <mergeCell ref="A150:A151"/>
    <mergeCell ref="B150:B151"/>
    <mergeCell ref="A152:A153"/>
    <mergeCell ref="B152:B153"/>
    <mergeCell ref="I146:N161"/>
    <mergeCell ref="I130:N145"/>
    <mergeCell ref="A132:A133"/>
    <mergeCell ref="B132:B133"/>
    <mergeCell ref="A134:A135"/>
    <mergeCell ref="B134:B135"/>
    <mergeCell ref="A136:A137"/>
    <mergeCell ref="P119:P120"/>
    <mergeCell ref="A120:A121"/>
    <mergeCell ref="B120:B121"/>
    <mergeCell ref="A122:A123"/>
    <mergeCell ref="B122:B123"/>
    <mergeCell ref="P122:P123"/>
    <mergeCell ref="B136:B137"/>
    <mergeCell ref="A138:A139"/>
    <mergeCell ref="B138:B139"/>
    <mergeCell ref="A140:A141"/>
    <mergeCell ref="B140:B141"/>
    <mergeCell ref="A142:A143"/>
    <mergeCell ref="B142:B143"/>
    <mergeCell ref="B126:B127"/>
    <mergeCell ref="A128:B129"/>
    <mergeCell ref="A130:A131"/>
    <mergeCell ref="B130:B131"/>
    <mergeCell ref="A144:B145"/>
    <mergeCell ref="A114:A115"/>
    <mergeCell ref="B114:B115"/>
    <mergeCell ref="A116:A117"/>
    <mergeCell ref="B116:B117"/>
    <mergeCell ref="A118:A119"/>
    <mergeCell ref="B118:B119"/>
    <mergeCell ref="A124:A125"/>
    <mergeCell ref="B124:B125"/>
    <mergeCell ref="A126:A127"/>
    <mergeCell ref="I108:N111"/>
    <mergeCell ref="A110:A111"/>
    <mergeCell ref="B110:B111"/>
    <mergeCell ref="A112:B113"/>
    <mergeCell ref="I112:N112"/>
    <mergeCell ref="I113:N113"/>
    <mergeCell ref="B102:B103"/>
    <mergeCell ref="A104:A105"/>
    <mergeCell ref="B104:B105"/>
    <mergeCell ref="A106:A107"/>
    <mergeCell ref="B106:B107"/>
    <mergeCell ref="A108:A109"/>
    <mergeCell ref="B108:B109"/>
    <mergeCell ref="A94:A95"/>
    <mergeCell ref="B94:B95"/>
    <mergeCell ref="A96:A97"/>
    <mergeCell ref="B96:B97"/>
    <mergeCell ref="A98:A99"/>
    <mergeCell ref="B98:B99"/>
    <mergeCell ref="A100:A101"/>
    <mergeCell ref="B100:B101"/>
    <mergeCell ref="A102:A103"/>
    <mergeCell ref="A90:C90"/>
    <mergeCell ref="I90:N90"/>
    <mergeCell ref="A92:A93"/>
    <mergeCell ref="B92:B93"/>
    <mergeCell ref="C92:C93"/>
    <mergeCell ref="D92:G92"/>
    <mergeCell ref="I92:N93"/>
    <mergeCell ref="B87:C87"/>
    <mergeCell ref="I87:N87"/>
    <mergeCell ref="B88:C88"/>
    <mergeCell ref="I88:N88"/>
    <mergeCell ref="B89:C89"/>
    <mergeCell ref="I89:N89"/>
    <mergeCell ref="A83:B84"/>
    <mergeCell ref="I83:N83"/>
    <mergeCell ref="I84:N84"/>
    <mergeCell ref="A85:N85"/>
    <mergeCell ref="B86:C86"/>
    <mergeCell ref="I86:N86"/>
    <mergeCell ref="I71:N71"/>
    <mergeCell ref="I72:N72"/>
    <mergeCell ref="A73:B74"/>
    <mergeCell ref="I73:N82"/>
    <mergeCell ref="A75:B76"/>
    <mergeCell ref="A77:B78"/>
    <mergeCell ref="A79:B80"/>
    <mergeCell ref="A53:A54"/>
    <mergeCell ref="A63:A64"/>
    <mergeCell ref="B63:B64"/>
    <mergeCell ref="I63:N68"/>
    <mergeCell ref="A65:A66"/>
    <mergeCell ref="B65:B66"/>
    <mergeCell ref="A67:A68"/>
    <mergeCell ref="B67:B68"/>
    <mergeCell ref="B53:B54"/>
    <mergeCell ref="A55:A56"/>
    <mergeCell ref="B55:B56"/>
    <mergeCell ref="A57:A58"/>
    <mergeCell ref="B57:B58"/>
    <mergeCell ref="A59:A60"/>
    <mergeCell ref="B59:B60"/>
    <mergeCell ref="I45:N60"/>
    <mergeCell ref="I62:N62"/>
    <mergeCell ref="I61:N61"/>
    <mergeCell ref="A45:A46"/>
    <mergeCell ref="B45:B46"/>
    <mergeCell ref="A47:A48"/>
    <mergeCell ref="B47:B48"/>
    <mergeCell ref="A49:A50"/>
    <mergeCell ref="B49:B50"/>
    <mergeCell ref="A20:A25"/>
    <mergeCell ref="B20:B21"/>
    <mergeCell ref="L21:M21"/>
    <mergeCell ref="B22:B23"/>
    <mergeCell ref="L23:M23"/>
    <mergeCell ref="B24:B25"/>
    <mergeCell ref="A14:A19"/>
    <mergeCell ref="B14:B15"/>
    <mergeCell ref="L24:M24"/>
    <mergeCell ref="L17:M17"/>
    <mergeCell ref="B26:B27"/>
    <mergeCell ref="L27:M27"/>
    <mergeCell ref="B28:B29"/>
    <mergeCell ref="L29:M29"/>
    <mergeCell ref="B30:B31"/>
    <mergeCell ref="L30:M30"/>
    <mergeCell ref="L15:M15"/>
    <mergeCell ref="B16:B17"/>
    <mergeCell ref="B18:B19"/>
    <mergeCell ref="L18:M18"/>
    <mergeCell ref="A1:N1"/>
    <mergeCell ref="A2:N2"/>
    <mergeCell ref="A3:N3"/>
    <mergeCell ref="A4:N4"/>
    <mergeCell ref="A5:N5"/>
    <mergeCell ref="A6:A13"/>
    <mergeCell ref="B6:C6"/>
    <mergeCell ref="D6:D7"/>
    <mergeCell ref="E6:G6"/>
    <mergeCell ref="H6:H7"/>
    <mergeCell ref="B12:B13"/>
    <mergeCell ref="L12:M12"/>
    <mergeCell ref="B205:C205"/>
    <mergeCell ref="B203:C203"/>
    <mergeCell ref="I6:I7"/>
    <mergeCell ref="L7:M7"/>
    <mergeCell ref="B8:B9"/>
    <mergeCell ref="L9:M9"/>
    <mergeCell ref="B10:B11"/>
    <mergeCell ref="L11:M11"/>
    <mergeCell ref="A38:N38"/>
    <mergeCell ref="A39:N39"/>
    <mergeCell ref="A40:N40"/>
    <mergeCell ref="A43:A44"/>
    <mergeCell ref="B43:B44"/>
    <mergeCell ref="C43:C44"/>
    <mergeCell ref="D43:G43"/>
    <mergeCell ref="I43:N44"/>
    <mergeCell ref="A32:A37"/>
    <mergeCell ref="B32:B33"/>
    <mergeCell ref="L33:M33"/>
    <mergeCell ref="B34:B35"/>
    <mergeCell ref="L35:M35"/>
    <mergeCell ref="B36:B37"/>
    <mergeCell ref="L37:M37"/>
    <mergeCell ref="A26:A31"/>
    <mergeCell ref="L334:N336"/>
    <mergeCell ref="L340:N340"/>
    <mergeCell ref="L339:N339"/>
    <mergeCell ref="L338:N338"/>
    <mergeCell ref="L337:N337"/>
    <mergeCell ref="A51:A52"/>
    <mergeCell ref="B51:B52"/>
    <mergeCell ref="B208:C208"/>
    <mergeCell ref="B251:C251"/>
    <mergeCell ref="J250:N251"/>
    <mergeCell ref="A250:A251"/>
    <mergeCell ref="B204:C204"/>
    <mergeCell ref="J203:N204"/>
    <mergeCell ref="A203:A204"/>
    <mergeCell ref="B221:C221"/>
    <mergeCell ref="A220:A221"/>
    <mergeCell ref="J220:N221"/>
    <mergeCell ref="B200:C200"/>
    <mergeCell ref="B199:C199"/>
    <mergeCell ref="B198:C198"/>
    <mergeCell ref="B197:C197"/>
    <mergeCell ref="B194:C194"/>
    <mergeCell ref="B191:C191"/>
    <mergeCell ref="B207:C207"/>
  </mergeCells>
  <pageMargins left="0.7" right="0.7" top="0.75" bottom="0.75" header="0.3" footer="0.3"/>
  <pageSetup paperSize="9" orientation="landscape" horizontalDpi="0" verticalDpi="0"/>
  <headerFooter>
    <oddHeader xml:space="preserve">&amp;C&amp;23
</oddHeader>
    <oddFooter>&amp;C&amp;"Calibri,Regular"&amp;K000000Trang: &amp;P/&amp;N</oddFooter>
  </headerFooter>
  <drawing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2A7A7-D96F-48FD-B0A4-0AD75121FE1F}">
  <sheetPr codeName="Sheet7"/>
  <dimension ref="A1:AC165"/>
  <sheetViews>
    <sheetView zoomScale="60" zoomScaleNormal="60" workbookViewId="0">
      <pane xSplit="6" ySplit="2" topLeftCell="G53" activePane="bottomRight" state="frozen"/>
      <selection pane="topRight" activeCell="G1" sqref="G1"/>
      <selection pane="bottomLeft" activeCell="A3" sqref="A3"/>
      <selection pane="bottomRight" activeCell="H70" sqref="H70"/>
    </sheetView>
  </sheetViews>
  <sheetFormatPr baseColWidth="10" defaultColWidth="8.83203125" defaultRowHeight="16" x14ac:dyDescent="0.2"/>
  <cols>
    <col min="1" max="1" width="5.5" customWidth="1"/>
    <col min="3" max="3" width="12.1640625" customWidth="1"/>
    <col min="4" max="4" width="11.6640625" customWidth="1"/>
    <col min="5" max="6" width="11.83203125" customWidth="1"/>
    <col min="7" max="7" width="18" customWidth="1"/>
    <col min="8" max="8" width="13.1640625" customWidth="1"/>
    <col min="9" max="9" width="12" customWidth="1"/>
    <col min="10" max="10" width="11.6640625" customWidth="1"/>
    <col min="11" max="11" width="14.83203125" customWidth="1"/>
    <col min="12" max="12" width="11.33203125" customWidth="1"/>
    <col min="13" max="13" width="11.6640625" customWidth="1"/>
    <col min="14" max="14" width="11" customWidth="1"/>
    <col min="15" max="15" width="10.33203125" customWidth="1"/>
    <col min="16" max="16" width="10.1640625" customWidth="1"/>
    <col min="17" max="17" width="14.1640625" customWidth="1"/>
    <col min="18" max="18" width="14.1640625" hidden="1" customWidth="1"/>
    <col min="19" max="19" width="5.5" customWidth="1"/>
    <col min="20" max="20" width="18" customWidth="1"/>
    <col min="21" max="21" width="15.83203125" bestFit="1" customWidth="1"/>
    <col min="22" max="23" width="11.83203125" customWidth="1"/>
    <col min="24" max="24" width="11.33203125" customWidth="1"/>
    <col min="25" max="25" width="10.1640625" style="1924" customWidth="1"/>
    <col min="26" max="26" width="10.1640625" customWidth="1"/>
    <col min="27" max="28" width="10" customWidth="1"/>
    <col min="29" max="29" width="16.33203125" bestFit="1" customWidth="1"/>
    <col min="30" max="30" width="12.1640625" bestFit="1" customWidth="1"/>
  </cols>
  <sheetData>
    <row r="1" spans="1:29" ht="21" x14ac:dyDescent="0.25">
      <c r="A1" s="1917" t="s">
        <v>1009</v>
      </c>
      <c r="B1" s="1621"/>
      <c r="C1" s="1621"/>
      <c r="D1" s="1621"/>
      <c r="E1" s="1621"/>
      <c r="F1" s="1621"/>
      <c r="G1" s="1621"/>
      <c r="H1" s="1621"/>
      <c r="I1" s="1621"/>
      <c r="J1" s="1621"/>
      <c r="K1" s="1621"/>
      <c r="L1" s="1621"/>
      <c r="M1" s="1621"/>
      <c r="N1" s="1621"/>
      <c r="O1" s="1621"/>
      <c r="P1" s="1621"/>
      <c r="Q1" s="1621"/>
      <c r="R1" s="2014"/>
      <c r="T1" s="1916" t="s">
        <v>1171</v>
      </c>
      <c r="U1" s="1916"/>
      <c r="V1" s="1916"/>
      <c r="W1" s="1916"/>
      <c r="X1" s="1916"/>
      <c r="Y1" s="1921"/>
      <c r="Z1" s="1916"/>
      <c r="AA1" s="1916"/>
      <c r="AB1" s="1916"/>
      <c r="AC1" s="1916"/>
    </row>
    <row r="2" spans="1:29" s="1904" customFormat="1" ht="32" customHeight="1" x14ac:dyDescent="0.2">
      <c r="A2" s="1906" t="s">
        <v>39</v>
      </c>
      <c r="B2" s="1907" t="s">
        <v>1010</v>
      </c>
      <c r="C2" s="1907" t="s">
        <v>1011</v>
      </c>
      <c r="D2" s="1907" t="s">
        <v>6</v>
      </c>
      <c r="E2" s="1907" t="s">
        <v>1012</v>
      </c>
      <c r="F2" s="1907" t="s">
        <v>1170</v>
      </c>
      <c r="G2" s="1907" t="s">
        <v>864</v>
      </c>
      <c r="H2" s="1907" t="s">
        <v>18</v>
      </c>
      <c r="I2" s="1907" t="s">
        <v>19</v>
      </c>
      <c r="J2" s="1907" t="s">
        <v>20</v>
      </c>
      <c r="K2" s="1907" t="s">
        <v>9</v>
      </c>
      <c r="L2" s="1907" t="s">
        <v>10</v>
      </c>
      <c r="M2" s="1907" t="s">
        <v>11</v>
      </c>
      <c r="N2" s="1907" t="s">
        <v>12</v>
      </c>
      <c r="O2" s="1907" t="s">
        <v>13</v>
      </c>
      <c r="P2" s="1907" t="s">
        <v>14</v>
      </c>
      <c r="Q2" s="1908" t="s">
        <v>15</v>
      </c>
      <c r="R2" s="1907" t="s">
        <v>1232</v>
      </c>
      <c r="S2" s="1907"/>
      <c r="T2" s="1918" t="s">
        <v>864</v>
      </c>
      <c r="U2" s="1919" t="s">
        <v>18</v>
      </c>
      <c r="V2" s="1919" t="s">
        <v>19</v>
      </c>
      <c r="W2" s="1919" t="s">
        <v>20</v>
      </c>
      <c r="X2" s="1919" t="s">
        <v>10</v>
      </c>
      <c r="Y2" s="1922" t="s">
        <v>11</v>
      </c>
      <c r="Z2" s="1919" t="s">
        <v>12</v>
      </c>
      <c r="AA2" s="1919" t="s">
        <v>13</v>
      </c>
      <c r="AB2" s="1919" t="s">
        <v>14</v>
      </c>
      <c r="AC2" s="1920" t="s">
        <v>15</v>
      </c>
    </row>
    <row r="3" spans="1:29" ht="44" customHeight="1" x14ac:dyDescent="0.2">
      <c r="A3" s="1996">
        <f>IF(B3="","",COUNTA($B$3:B3))</f>
        <v>1</v>
      </c>
      <c r="B3" s="1997">
        <v>1</v>
      </c>
      <c r="C3" s="1997" t="s">
        <v>5</v>
      </c>
      <c r="D3" s="1522" t="s">
        <v>115</v>
      </c>
      <c r="E3" s="1522" t="s">
        <v>883</v>
      </c>
      <c r="F3" s="1522" t="s">
        <v>21</v>
      </c>
      <c r="G3" s="1905">
        <f>IFERROR(IF(AND(Table1[[#This Row],[Loại số liệu]]="Kế hoạch",Table1[[#This Row],[Đơn vị]]="m2"),
   Table1[[#This Row],[Tổng (A1+A+B)]]*100/N4,
   IF(AND(Table1[[#This Row],[Loại số liệu]]="Thực hiện",Table1[[#This Row],[Đơn vị]]="m2"),
      T3,
      ""
   )
),0)</f>
        <v>125795.91836734694</v>
      </c>
      <c r="H3" s="1905">
        <f>IF(AND(Table1[[#This Row],[Loại số liệu]]="Kế hoạch",Table1[[#This Row],[Đơn vị]]="m2"),
    U4*Table1[[#This Row],[Tổng (A1+A+B)]]/100,
    IF(AND(Table1[[#This Row],[Loại số liệu]]="Thực hiện",Table1[[#This Row],[Đơn vị]]="%"),
        IFERROR(H2/$K2*100,""),
        U3
    )
)</f>
        <v>109719.2</v>
      </c>
      <c r="I3" s="1905">
        <f>IF(AND(Table1[[#This Row],[Loại số liệu]]="Kế hoạch",Table1[[#This Row],[Đơn vị]]="m2"),
    V4*Table1[[#This Row],[Tổng (A1+A+B)]]/100,
    IF(AND(Table1[[#This Row],[Loại số liệu]]="Thực hiện",Table1[[#This Row],[Đơn vị]]="%"),
        IFERROR(I2/$K2*100,""),
        V3
    )
)</f>
        <v>6164</v>
      </c>
      <c r="J3" s="1905">
        <f>IF(AND(Table1[[#This Row],[Loại số liệu]]="Kế hoạch",Table1[[#This Row],[Đơn vị]]="m2"),
    W4*Table1[[#This Row],[Tổng (A1+A+B)]]/100,
    IF(AND(Table1[[#This Row],[Loại số liệu]]="Thực hiện",Table1[[#This Row],[Đơn vị]]="%"),
        IFERROR(J2/$K2*100,""),
        W3
    )
)</f>
        <v>7396.8</v>
      </c>
      <c r="K3" s="1905">
        <f>IF(AND(Table1[[#This Row],[Đơn vị]]="m2",Table1[[#This Row],[Loại số liệu]]="Kế hoạch"),
   X3*Y3,
   SUM(Table1[[#This Row],[A1]:[B]])
)</f>
        <v>123280</v>
      </c>
      <c r="L3" s="1905">
        <f>IF(X3="","",X3)</f>
        <v>8</v>
      </c>
      <c r="M3" s="1622">
        <f>IFERROR(IF(AND(Table1[[#This Row],[Loại số liệu]]="Kế hoạch",Table1[[#This Row],[Đơn vị]]="m2"),
   Y3,
   IF(AND(Table1[[#This Row],[Loại số liệu]]="Thực hiện",Table1[[#This Row],[Đơn vị]]="m2"),
      K3/L3,
      ""
   )
),"")</f>
        <v>15410</v>
      </c>
      <c r="N3" s="1905" t="str">
        <f>IF(AND(Table1[[#This Row],[Loại số liệu]]="Kế hoạch",Table1[[#This Row],[Đơn vị]]="%"),
    Z3,
    IF(AND(Table1[[#This Row],[Loại số liệu]]="Thực hiện",Table1[[#This Row],[Đơn vị]]="%"),
        IFERROR(K2/T2*100,""),
        IF(AND(Table1[[#This Row],[Loại số liệu]]="Thực hiện",Table1[[#This Row],[Đơn vị]]="m2"),
            Z3,
            ""
        )
    )
)</f>
        <v/>
      </c>
      <c r="O3" s="1905" t="str">
        <f>IF(AND(Table1[[#This Row],[Loại số liệu]]="Thực hiện",Table1[[#This Row],[Đơn vị]]="m2"),
    AA3,
    IF(Table1[[#This Row],[A/ép]]="",
        "",
        100-Table1[[#This Row],[A/ép]]
    )
)</f>
        <v/>
      </c>
      <c r="P3" s="1905" t="str">
        <f>IF(AB3="","",AB3)</f>
        <v/>
      </c>
      <c r="Q3" s="1905">
        <f>IF(AC3="","",AC3)</f>
        <v>40</v>
      </c>
      <c r="R3" s="1905">
        <f>IFERROR(Table1[[#This Row],[T/g dừng 2MF]]*Table1[[#This Row],[Số ngày SX]],"")</f>
        <v>320</v>
      </c>
      <c r="S3" s="1925"/>
      <c r="T3" s="2055"/>
      <c r="U3" s="2054"/>
      <c r="V3" s="2054"/>
      <c r="W3" s="2054"/>
      <c r="X3" s="2054">
        <v>8</v>
      </c>
      <c r="Y3" s="1940">
        <v>15410</v>
      </c>
      <c r="Z3" s="2054"/>
      <c r="AA3" s="2054"/>
      <c r="AB3" s="2054"/>
      <c r="AC3" s="2056">
        <v>40</v>
      </c>
    </row>
    <row r="4" spans="1:29" ht="40" customHeight="1" x14ac:dyDescent="0.2">
      <c r="A4" s="1996">
        <f>IF(B4="","",COUNTA($B$3:B4))</f>
        <v>2</v>
      </c>
      <c r="B4" s="1997">
        <v>1</v>
      </c>
      <c r="C4" s="1997" t="s">
        <v>5</v>
      </c>
      <c r="D4" s="1522" t="s">
        <v>115</v>
      </c>
      <c r="E4" s="1522" t="s">
        <v>883</v>
      </c>
      <c r="F4" s="1623" t="s">
        <v>22</v>
      </c>
      <c r="G4" s="1905" t="str">
        <f>IFERROR(IF(AND(Table1[[#This Row],[Loại số liệu]]="Kế hoạch",Table1[[#This Row],[Đơn vị]]="m2"),
   Table1[[#This Row],[Tổng (A1+A+B)]]*100/N5,
   IF(AND(Table1[[#This Row],[Loại số liệu]]="Thực hiện",Table1[[#This Row],[Đơn vị]]="m2"),
      T4,
      ""
   )
),0)</f>
        <v/>
      </c>
      <c r="H4" s="1905">
        <f>IF(AND(Table1[[#This Row],[Loại số liệu]]="Kế hoạch",Table1[[#This Row],[Đơn vị]]="m2"),
    U5*Table1[[#This Row],[Tổng (A1+A+B)]]/100,
    IF(AND(Table1[[#This Row],[Loại số liệu]]="Thực hiện",Table1[[#This Row],[Đơn vị]]="%"),
        IFERROR(H3/$K3*100,""),
        U4
    )
)</f>
        <v>89</v>
      </c>
      <c r="I4" s="1905">
        <f>IF(AND(Table1[[#This Row],[Loại số liệu]]="Kế hoạch",Table1[[#This Row],[Đơn vị]]="m2"),
    V5*Table1[[#This Row],[Tổng (A1+A+B)]]/100,
    IF(AND(Table1[[#This Row],[Loại số liệu]]="Thực hiện",Table1[[#This Row],[Đơn vị]]="%"),
        IFERROR(I3/$K3*100,""),
        V4
    )
)</f>
        <v>5</v>
      </c>
      <c r="J4" s="1905">
        <f>IF(AND(Table1[[#This Row],[Loại số liệu]]="Kế hoạch",Table1[[#This Row],[Đơn vị]]="m2"),
    W5*Table1[[#This Row],[Tổng (A1+A+B)]]/100,
    IF(AND(Table1[[#This Row],[Loại số liệu]]="Thực hiện",Table1[[#This Row],[Đơn vị]]="%"),
        IFERROR(J3/$K3*100,""),
        W4
    )
)</f>
        <v>6</v>
      </c>
      <c r="K4" s="1905">
        <f>IF(AND(Table1[[#This Row],[Đơn vị]]="m2",Table1[[#This Row],[Loại số liệu]]="Kế hoạch"),
   X4*Y4,
   SUM(Table1[[#This Row],[A1]:[B]])
)</f>
        <v>100</v>
      </c>
      <c r="L4" s="1905" t="str">
        <f t="shared" ref="L4:L10" si="0">IF(X4="","",X4)</f>
        <v/>
      </c>
      <c r="M4" s="1622" t="str">
        <f>IFERROR(IF(AND(Table1[[#This Row],[Loại số liệu]]="Kế hoạch",Table1[[#This Row],[Đơn vị]]="m2"),
   Y4,
   IF(AND(Table1[[#This Row],[Loại số liệu]]="Thực hiện",Table1[[#This Row],[Đơn vị]]="m2"),
      K4/L4,
      ""
   )
),"")</f>
        <v/>
      </c>
      <c r="N4" s="1905">
        <f>IF(AND(Table1[[#This Row],[Loại số liệu]]="Kế hoạch",Table1[[#This Row],[Đơn vị]]="%"),
    Z4,
    IF(AND(Table1[[#This Row],[Loại số liệu]]="Thực hiện",Table1[[#This Row],[Đơn vị]]="%"),
        IFERROR(K3/T3*100,""),
        IF(AND(Table1[[#This Row],[Loại số liệu]]="Thực hiện",Table1[[#This Row],[Đơn vị]]="m2"),
            Z4,
            ""
        )
    )
)</f>
        <v>98</v>
      </c>
      <c r="O4" s="1905">
        <f>IF(AND(Table1[[#This Row],[Loại số liệu]]="Thực hiện",Table1[[#This Row],[Đơn vị]]="m2"),
    AA4,
    IF(Table1[[#This Row],[A/ép]]="",
        "",
        100-Table1[[#This Row],[A/ép]]
    )
)</f>
        <v>2</v>
      </c>
      <c r="P4" s="1905" t="str">
        <f t="shared" ref="P4:P10" si="1">IF(AB4="","",AB4)</f>
        <v/>
      </c>
      <c r="Q4" s="1905" t="str">
        <f t="shared" ref="Q4:Q10" si="2">IF(AC4="","",AC4)</f>
        <v/>
      </c>
      <c r="R4" s="1905" t="str">
        <f>IFERROR(Table1[[#This Row],[T/g dừng 2MF]]*Table1[[#This Row],[Số ngày SX]],"")</f>
        <v/>
      </c>
      <c r="S4" s="1938"/>
      <c r="T4" s="2055"/>
      <c r="U4" s="2054">
        <v>89</v>
      </c>
      <c r="V4" s="2054">
        <v>5</v>
      </c>
      <c r="W4" s="2054">
        <v>6</v>
      </c>
      <c r="X4" s="2054"/>
      <c r="Y4" s="1940"/>
      <c r="Z4" s="2054">
        <v>98</v>
      </c>
      <c r="AA4" s="2054">
        <v>2</v>
      </c>
      <c r="AB4" s="2054"/>
      <c r="AC4" s="2056"/>
    </row>
    <row r="5" spans="1:29" ht="44" customHeight="1" x14ac:dyDescent="0.2">
      <c r="A5" s="1996">
        <f>IF(B5="","",COUNTA($B$3:B5))</f>
        <v>3</v>
      </c>
      <c r="B5" s="1997">
        <v>1</v>
      </c>
      <c r="C5" s="1997" t="s">
        <v>5</v>
      </c>
      <c r="D5" s="1522" t="s">
        <v>115</v>
      </c>
      <c r="E5" s="1522" t="s">
        <v>1013</v>
      </c>
      <c r="F5" s="1522" t="s">
        <v>21</v>
      </c>
      <c r="G5" s="1905">
        <f>IFERROR(IF(AND(Table1[[#This Row],[Loại số liệu]]="Kế hoạch",Table1[[#This Row],[Đơn vị]]="m2"),
   Table1[[#This Row],[Tổng (A1+A+B)]]*100/N6,
   IF(AND(Table1[[#This Row],[Loại số liệu]]="Thực hiện",Table1[[#This Row],[Đơn vị]]="m2"),
      T5,
      ""
   )
),0)</f>
        <v>127438</v>
      </c>
      <c r="H5" s="1905">
        <f>IF(AND(Table1[[#This Row],[Loại số liệu]]="Kế hoạch",Table1[[#This Row],[Đơn vị]]="m2"),
    U6*Table1[[#This Row],[Tổng (A1+A+B)]]/100,
    IF(AND(Table1[[#This Row],[Loại số liệu]]="Thực hiện",Table1[[#This Row],[Đơn vị]]="%"),
        IFERROR(H4/$K4*100,""),
        U5
    )
)</f>
        <v>111679.2</v>
      </c>
      <c r="I5" s="1905">
        <f>IF(AND(Table1[[#This Row],[Loại số liệu]]="Kế hoạch",Table1[[#This Row],[Đơn vị]]="m2"),
    V6*Table1[[#This Row],[Tổng (A1+A+B)]]/100,
    IF(AND(Table1[[#This Row],[Loại số liệu]]="Thực hiện",Table1[[#This Row],[Đơn vị]]="%"),
        IFERROR(I4/$K4*100,""),
        V5
    )
)</f>
        <v>3332.16</v>
      </c>
      <c r="J5" s="1905">
        <f>IF(AND(Table1[[#This Row],[Loại số liệu]]="Kế hoạch",Table1[[#This Row],[Đơn vị]]="m2"),
    W6*Table1[[#This Row],[Tổng (A1+A+B)]]/100,
    IF(AND(Table1[[#This Row],[Loại số liệu]]="Thực hiện",Table1[[#This Row],[Đơn vị]]="%"),
        IFERROR(J4/$K4*100,""),
        W5
    )
)</f>
        <v>10739.52</v>
      </c>
      <c r="K5" s="1905">
        <f>IF(AND(Table1[[#This Row],[Đơn vị]]="m2",Table1[[#This Row],[Loại số liệu]]="Kế hoạch"),
   X5*Y5,
   SUM(Table1[[#This Row],[A1]:[B]])
)</f>
        <v>125750.88</v>
      </c>
      <c r="L5" s="1905">
        <f t="shared" si="0"/>
        <v>8</v>
      </c>
      <c r="M5" s="1622">
        <f>IFERROR(IF(AND(Table1[[#This Row],[Loại số liệu]]="Kế hoạch",Table1[[#This Row],[Đơn vị]]="m2"),
   Y5,
   IF(AND(Table1[[#This Row],[Loại số liệu]]="Thực hiện",Table1[[#This Row],[Đơn vị]]="m2"),
      K5/L5,
      ""
   )
),"")</f>
        <v>15718.86</v>
      </c>
      <c r="N5" s="1905">
        <f>IF(AND(Table1[[#This Row],[Loại số liệu]]="Kế hoạch",Table1[[#This Row],[Đơn vị]]="%"),
    Z5,
    IF(AND(Table1[[#This Row],[Loại số liệu]]="Thực hiện",Table1[[#This Row],[Đơn vị]]="%"),
        IFERROR(K4/T4*100,""),
        IF(AND(Table1[[#This Row],[Loại số liệu]]="Thực hiện",Table1[[#This Row],[Đơn vị]]="m2"),
            Z5,
            ""
        )
    )
)</f>
        <v>0</v>
      </c>
      <c r="O5" s="1905">
        <f>IF(AND(Table1[[#This Row],[Loại số liệu]]="Thực hiện",Table1[[#This Row],[Đơn vị]]="m2"),
    AA5,
    IF(Table1[[#This Row],[A/ép]]="",
        "",
        100-Table1[[#This Row],[A/ép]]
    )
)</f>
        <v>540</v>
      </c>
      <c r="P5" s="1905">
        <f t="shared" si="1"/>
        <v>367.2</v>
      </c>
      <c r="Q5" s="1905">
        <f t="shared" si="2"/>
        <v>45</v>
      </c>
      <c r="R5" s="1905">
        <f>IFERROR(Table1[[#This Row],[T/g dừng 2MF]]*Table1[[#This Row],[Số ngày SX]],"")</f>
        <v>360</v>
      </c>
      <c r="S5" s="1939"/>
      <c r="T5" s="2055">
        <v>127438</v>
      </c>
      <c r="U5" s="2054">
        <v>111679.2</v>
      </c>
      <c r="V5" s="2054">
        <v>3332.16</v>
      </c>
      <c r="W5" s="2054">
        <v>10739.52</v>
      </c>
      <c r="X5" s="2054">
        <v>8</v>
      </c>
      <c r="Y5" s="1940">
        <v>15718</v>
      </c>
      <c r="Z5" s="2054"/>
      <c r="AA5" s="2054">
        <v>540</v>
      </c>
      <c r="AB5" s="2054">
        <v>367.2</v>
      </c>
      <c r="AC5" s="2056">
        <v>45</v>
      </c>
    </row>
    <row r="6" spans="1:29" ht="45" customHeight="1" x14ac:dyDescent="0.2">
      <c r="A6" s="1996">
        <f>IF(B6="","",COUNTA($B$3:B6))</f>
        <v>4</v>
      </c>
      <c r="B6" s="1997">
        <v>1</v>
      </c>
      <c r="C6" s="1997" t="s">
        <v>5</v>
      </c>
      <c r="D6" s="1522" t="s">
        <v>115</v>
      </c>
      <c r="E6" s="1522" t="s">
        <v>1013</v>
      </c>
      <c r="F6" s="1623" t="s">
        <v>22</v>
      </c>
      <c r="G6" s="1905" t="str">
        <f>IFERROR(IF(AND(Table1[[#This Row],[Loại số liệu]]="Kế hoạch",Table1[[#This Row],[Đơn vị]]="m2"),
   Table1[[#This Row],[Tổng (A1+A+B)]]*100/N7,
   IF(AND(Table1[[#This Row],[Loại số liệu]]="Thực hiện",Table1[[#This Row],[Đơn vị]]="m2"),
      T6,
      ""
   )
),0)</f>
        <v/>
      </c>
      <c r="H6" s="1905">
        <f>IF(AND(Table1[[#This Row],[Loại số liệu]]="Kế hoạch",Table1[[#This Row],[Đơn vị]]="m2"),
    U7*Table1[[#This Row],[Tổng (A1+A+B)]]/100,
    IF(AND(Table1[[#This Row],[Loại số liệu]]="Thực hiện",Table1[[#This Row],[Đơn vị]]="%"),
        IFERROR(H5/$K5*100,""),
        U6
    )
)</f>
        <v>88.809875525324358</v>
      </c>
      <c r="I6" s="1905">
        <f>IF(AND(Table1[[#This Row],[Loại số liệu]]="Kế hoạch",Table1[[#This Row],[Đơn vị]]="m2"),
    V7*Table1[[#This Row],[Tổng (A1+A+B)]]/100,
    IF(AND(Table1[[#This Row],[Loại số liệu]]="Thực hiện",Table1[[#This Row],[Đơn vị]]="%"),
        IFERROR(I5/$K5*100,""),
        V6
    )
)</f>
        <v>2.6498104824395661</v>
      </c>
      <c r="J6" s="1905">
        <f>IF(AND(Table1[[#This Row],[Loại số liệu]]="Kế hoạch",Table1[[#This Row],[Đơn vị]]="m2"),
    W7*Table1[[#This Row],[Tổng (A1+A+B)]]/100,
    IF(AND(Table1[[#This Row],[Loại số liệu]]="Thực hiện",Table1[[#This Row],[Đơn vị]]="%"),
        IFERROR(J5/$K5*100,""),
        W6
    )
)</f>
        <v>8.5403139922360793</v>
      </c>
      <c r="K6" s="1905">
        <f>IF(AND(Table1[[#This Row],[Đơn vị]]="m2",Table1[[#This Row],[Loại số liệu]]="Kế hoạch"),
   X6*Y6,
   SUM(Table1[[#This Row],[A1]:[B]])
)</f>
        <v>100</v>
      </c>
      <c r="L6" s="1905" t="str">
        <f t="shared" si="0"/>
        <v/>
      </c>
      <c r="M6" s="1622" t="str">
        <f>IFERROR(IF(AND(Table1[[#This Row],[Loại số liệu]]="Kế hoạch",Table1[[#This Row],[Đơn vị]]="m2"),
   Y6,
   IF(AND(Table1[[#This Row],[Loại số liệu]]="Thực hiện",Table1[[#This Row],[Đơn vị]]="m2"),
      K6/L6,
      ""
   )
),"")</f>
        <v/>
      </c>
      <c r="N6" s="1905">
        <f>IF(AND(Table1[[#This Row],[Loại số liệu]]="Kế hoạch",Table1[[#This Row],[Đơn vị]]="%"),
    Z6,
    IF(AND(Table1[[#This Row],[Loại số liệu]]="Thực hiện",Table1[[#This Row],[Đơn vị]]="%"),
        IFERROR(K5/T5*100,""),
        IF(AND(Table1[[#This Row],[Loại số liệu]]="Thực hiện",Table1[[#This Row],[Đơn vị]]="m2"),
            Z6,
            ""
        )
    )
)</f>
        <v>98.676124860716584</v>
      </c>
      <c r="O6" s="1905">
        <f>IF(AND(Table1[[#This Row],[Loại số liệu]]="Thực hiện",Table1[[#This Row],[Đơn vị]]="m2"),
    AA6,
    IF(Table1[[#This Row],[A/ép]]="",
        "",
        100-Table1[[#This Row],[A/ép]]
    )
)</f>
        <v>1.323875139283416</v>
      </c>
      <c r="P6" s="1905" t="str">
        <f t="shared" si="1"/>
        <v/>
      </c>
      <c r="Q6" s="1905" t="str">
        <f t="shared" si="2"/>
        <v/>
      </c>
      <c r="R6" s="1905" t="str">
        <f>IFERROR(Table1[[#This Row],[T/g dừng 2MF]]*Table1[[#This Row],[Số ngày SX]],"")</f>
        <v/>
      </c>
      <c r="S6" s="1925"/>
      <c r="T6" s="2371"/>
      <c r="U6" s="2372"/>
      <c r="V6" s="2372"/>
      <c r="W6" s="2372"/>
      <c r="X6" s="2372"/>
      <c r="Y6" s="2373"/>
      <c r="Z6" s="2372"/>
      <c r="AA6" s="2372"/>
      <c r="AB6" s="2372"/>
      <c r="AC6" s="2374"/>
    </row>
    <row r="7" spans="1:29" ht="44" customHeight="1" x14ac:dyDescent="0.2">
      <c r="A7" s="1996">
        <f>IF(B7="","",COUNTA($B$3:B7))</f>
        <v>5</v>
      </c>
      <c r="B7" s="1997">
        <v>1</v>
      </c>
      <c r="C7" s="1997" t="s">
        <v>25</v>
      </c>
      <c r="D7" s="1522" t="s">
        <v>116</v>
      </c>
      <c r="E7" s="1522" t="s">
        <v>883</v>
      </c>
      <c r="F7" s="1522" t="s">
        <v>21</v>
      </c>
      <c r="G7" s="1905">
        <f>IFERROR(IF(AND(Table1[[#This Row],[Loại số liệu]]="Kế hoạch",Table1[[#This Row],[Đơn vị]]="m2"),
   Table1[[#This Row],[Tổng (A1+A+B)]]*100/N8,
   IF(AND(Table1[[#This Row],[Loại số liệu]]="Thực hiện",Table1[[#This Row],[Đơn vị]]="m2"),
      T7,
      ""
   )
),0)</f>
        <v>229821.42857142858</v>
      </c>
      <c r="H7" s="1905">
        <f>IF(AND(Table1[[#This Row],[Loại số liệu]]="Kế hoạch",Table1[[#This Row],[Đơn vị]]="m2"),
    U8*Table1[[#This Row],[Tổng (A1+A+B)]]/100,
    IF(AND(Table1[[#This Row],[Loại số liệu]]="Thực hiện",Table1[[#This Row],[Đơn vị]]="%"),
        IFERROR(H6/$K6*100,""),
        U7
    )
)</f>
        <v>202702.5</v>
      </c>
      <c r="I7" s="1905">
        <f>IF(AND(Table1[[#This Row],[Loại số liệu]]="Kế hoạch",Table1[[#This Row],[Đơn vị]]="m2"),
    V8*Table1[[#This Row],[Tổng (A1+A+B)]]/100,
    IF(AND(Table1[[#This Row],[Loại số liệu]]="Thực hiện",Table1[[#This Row],[Đơn vị]]="%"),
        IFERROR(I6/$K6*100,""),
        V7
    )
)</f>
        <v>15765.75</v>
      </c>
      <c r="J7" s="1905">
        <f>IF(AND(Table1[[#This Row],[Loại số liệu]]="Kế hoạch",Table1[[#This Row],[Đơn vị]]="m2"),
    W8*Table1[[#This Row],[Tổng (A1+A+B)]]/100,
    IF(AND(Table1[[#This Row],[Loại số liệu]]="Thực hiện",Table1[[#This Row],[Đơn vị]]="%"),
        IFERROR(J6/$K6*100,""),
        W7
    )
)</f>
        <v>6756.75</v>
      </c>
      <c r="K7" s="1905">
        <f>IF(AND(Table1[[#This Row],[Đơn vị]]="m2",Table1[[#This Row],[Loại số liệu]]="Kế hoạch"),
   X7*Y7,
   SUM(Table1[[#This Row],[A1]:[B]])
)</f>
        <v>225225</v>
      </c>
      <c r="L7" s="1905">
        <f t="shared" si="0"/>
        <v>15</v>
      </c>
      <c r="M7" s="1622">
        <f>IFERROR(IF(AND(Table1[[#This Row],[Loại số liệu]]="Kế hoạch",Table1[[#This Row],[Đơn vị]]="m2"),
   Y7,
   IF(AND(Table1[[#This Row],[Loại số liệu]]="Thực hiện",Table1[[#This Row],[Đơn vị]]="m2"),
      K7/L7,
      ""
   )
),"")</f>
        <v>15015</v>
      </c>
      <c r="N7" s="1905" t="str">
        <f>IF(AND(Table1[[#This Row],[Loại số liệu]]="Kế hoạch",Table1[[#This Row],[Đơn vị]]="%"),
    Z7,
    IF(AND(Table1[[#This Row],[Loại số liệu]]="Thực hiện",Table1[[#This Row],[Đơn vị]]="%"),
        IFERROR(K6/T6*100,""),
        IF(AND(Table1[[#This Row],[Loại số liệu]]="Thực hiện",Table1[[#This Row],[Đơn vị]]="m2"),
            Z7,
            ""
        )
    )
)</f>
        <v/>
      </c>
      <c r="O7" s="1905" t="str">
        <f>IF(AND(Table1[[#This Row],[Loại số liệu]]="Thực hiện",Table1[[#This Row],[Đơn vị]]="m2"),
    AA7,
    IF(Table1[[#This Row],[A/ép]]="",
        "",
        100-Table1[[#This Row],[A/ép]]
    )
)</f>
        <v/>
      </c>
      <c r="P7" s="1905" t="str">
        <f t="shared" si="1"/>
        <v/>
      </c>
      <c r="Q7" s="1905">
        <f t="shared" si="2"/>
        <v>40</v>
      </c>
      <c r="R7" s="1905">
        <f>IFERROR(Table1[[#This Row],[T/g dừng 2MF]]*Table1[[#This Row],[Số ngày SX]],"")</f>
        <v>600</v>
      </c>
      <c r="S7" s="1925"/>
      <c r="T7" s="2055"/>
      <c r="U7" s="2054"/>
      <c r="V7" s="2054"/>
      <c r="W7" s="2054"/>
      <c r="X7" s="2054">
        <v>15</v>
      </c>
      <c r="Y7" s="1940">
        <v>15015</v>
      </c>
      <c r="Z7" s="2054"/>
      <c r="AA7" s="2054"/>
      <c r="AB7" s="2054"/>
      <c r="AC7" s="2056">
        <v>40</v>
      </c>
    </row>
    <row r="8" spans="1:29" ht="41" customHeight="1" x14ac:dyDescent="0.2">
      <c r="A8" s="1996">
        <f>IF(B8="","",COUNTA($B$3:B8))</f>
        <v>6</v>
      </c>
      <c r="B8" s="1997">
        <v>1</v>
      </c>
      <c r="C8" s="1997" t="s">
        <v>25</v>
      </c>
      <c r="D8" s="1522" t="s">
        <v>116</v>
      </c>
      <c r="E8" s="1522" t="s">
        <v>883</v>
      </c>
      <c r="F8" s="1623" t="s">
        <v>22</v>
      </c>
      <c r="G8" s="1905" t="str">
        <f>IFERROR(IF(AND(Table1[[#This Row],[Loại số liệu]]="Kế hoạch",Table1[[#This Row],[Đơn vị]]="m2"),
   Table1[[#This Row],[Tổng (A1+A+B)]]*100/N9,
   IF(AND(Table1[[#This Row],[Loại số liệu]]="Thực hiện",Table1[[#This Row],[Đơn vị]]="m2"),
      T8,
      ""
   )
),0)</f>
        <v/>
      </c>
      <c r="H8" s="1905">
        <f>IF(AND(Table1[[#This Row],[Loại số liệu]]="Kế hoạch",Table1[[#This Row],[Đơn vị]]="m2"),
    U9*Table1[[#This Row],[Tổng (A1+A+B)]]/100,
    IF(AND(Table1[[#This Row],[Loại số liệu]]="Thực hiện",Table1[[#This Row],[Đơn vị]]="%"),
        IFERROR(H7/$K7*100,""),
        U8
    )
)</f>
        <v>90</v>
      </c>
      <c r="I8" s="1905">
        <f>IF(AND(Table1[[#This Row],[Loại số liệu]]="Kế hoạch",Table1[[#This Row],[Đơn vị]]="m2"),
    V9*Table1[[#This Row],[Tổng (A1+A+B)]]/100,
    IF(AND(Table1[[#This Row],[Loại số liệu]]="Thực hiện",Table1[[#This Row],[Đơn vị]]="%"),
        IFERROR(I7/$K7*100,""),
        V8
    )
)</f>
        <v>7</v>
      </c>
      <c r="J8" s="1905">
        <f>IF(AND(Table1[[#This Row],[Loại số liệu]]="Kế hoạch",Table1[[#This Row],[Đơn vị]]="m2"),
    W9*Table1[[#This Row],[Tổng (A1+A+B)]]/100,
    IF(AND(Table1[[#This Row],[Loại số liệu]]="Thực hiện",Table1[[#This Row],[Đơn vị]]="%"),
        IFERROR(J7/$K7*100,""),
        W8
    )
)</f>
        <v>3</v>
      </c>
      <c r="K8" s="1905">
        <f>IF(AND(Table1[[#This Row],[Đơn vị]]="m2",Table1[[#This Row],[Loại số liệu]]="Kế hoạch"),
   X8*Y8,
   SUM(Table1[[#This Row],[A1]:[B]])
)</f>
        <v>100</v>
      </c>
      <c r="L8" s="1905" t="str">
        <f t="shared" si="0"/>
        <v/>
      </c>
      <c r="M8" s="1622" t="str">
        <f>IFERROR(IF(AND(Table1[[#This Row],[Loại số liệu]]="Kế hoạch",Table1[[#This Row],[Đơn vị]]="m2"),
   Y8,
   IF(AND(Table1[[#This Row],[Loại số liệu]]="Thực hiện",Table1[[#This Row],[Đơn vị]]="m2"),
      K8/L8,
      ""
   )
),"")</f>
        <v/>
      </c>
      <c r="N8" s="1905">
        <f>IF(AND(Table1[[#This Row],[Loại số liệu]]="Kế hoạch",Table1[[#This Row],[Đơn vị]]="%"),
    Z8,
    IF(AND(Table1[[#This Row],[Loại số liệu]]="Thực hiện",Table1[[#This Row],[Đơn vị]]="%"),
        IFERROR(K7/T7*100,""),
        IF(AND(Table1[[#This Row],[Loại số liệu]]="Thực hiện",Table1[[#This Row],[Đơn vị]]="m2"),
            Z8,
            ""
        )
    )
)</f>
        <v>98</v>
      </c>
      <c r="O8" s="1905">
        <f>IF(AND(Table1[[#This Row],[Loại số liệu]]="Thực hiện",Table1[[#This Row],[Đơn vị]]="m2"),
    AA8,
    IF(Table1[[#This Row],[A/ép]]="",
        "",
        100-Table1[[#This Row],[A/ép]]
    )
)</f>
        <v>2</v>
      </c>
      <c r="P8" s="1905" t="str">
        <f t="shared" si="1"/>
        <v/>
      </c>
      <c r="Q8" s="1905" t="str">
        <f t="shared" si="2"/>
        <v/>
      </c>
      <c r="R8" s="1905" t="str">
        <f>IFERROR(Table1[[#This Row],[T/g dừng 2MF]]*Table1[[#This Row],[Số ngày SX]],"")</f>
        <v/>
      </c>
      <c r="S8" s="1925"/>
      <c r="T8" s="2055"/>
      <c r="U8" s="2054">
        <v>90</v>
      </c>
      <c r="V8" s="2054">
        <v>7</v>
      </c>
      <c r="W8" s="2054">
        <v>3</v>
      </c>
      <c r="X8" s="2054"/>
      <c r="Y8" s="1940"/>
      <c r="Z8" s="2054">
        <v>98</v>
      </c>
      <c r="AA8" s="2054">
        <v>2</v>
      </c>
      <c r="AB8" s="2054"/>
      <c r="AC8" s="2056"/>
    </row>
    <row r="9" spans="1:29" ht="44" customHeight="1" x14ac:dyDescent="0.2">
      <c r="A9" s="1996">
        <f>IF(B9="","",COUNTA($B$3:B9))</f>
        <v>7</v>
      </c>
      <c r="B9" s="1997">
        <v>1</v>
      </c>
      <c r="C9" s="1997" t="s">
        <v>25</v>
      </c>
      <c r="D9" s="1522" t="s">
        <v>116</v>
      </c>
      <c r="E9" s="1522" t="s">
        <v>1013</v>
      </c>
      <c r="F9" s="1522" t="s">
        <v>21</v>
      </c>
      <c r="G9" s="1905">
        <f>IFERROR(IF(AND(Table1[[#This Row],[Loại số liệu]]="Kế hoạch",Table1[[#This Row],[Đơn vị]]="m2"),
   Table1[[#This Row],[Tổng (A1+A+B)]]*100/N10,
   IF(AND(Table1[[#This Row],[Loại số liệu]]="Thực hiện",Table1[[#This Row],[Đơn vị]]="m2"),
      T9,
      ""
   )
),0)</f>
        <v>220975</v>
      </c>
      <c r="H9" s="1905">
        <f>IF(AND(Table1[[#This Row],[Loại số liệu]]="Kế hoạch",Table1[[#This Row],[Đơn vị]]="m2"),
    U10*Table1[[#This Row],[Tổng (A1+A+B)]]/100,
    IF(AND(Table1[[#This Row],[Loại số liệu]]="Thực hiện",Table1[[#This Row],[Đơn vị]]="%"),
        IFERROR(H8/$K8*100,""),
        U9
    )
)</f>
        <v>209372.79999999999</v>
      </c>
      <c r="I9" s="1905">
        <f>IF(AND(Table1[[#This Row],[Loại số liệu]]="Kế hoạch",Table1[[#This Row],[Đơn vị]]="m2"),
    V10*Table1[[#This Row],[Tổng (A1+A+B)]]/100,
    IF(AND(Table1[[#This Row],[Loại số liệu]]="Thực hiện",Table1[[#This Row],[Đơn vị]]="%"),
        IFERROR(I8/$K8*100,""),
        V9
    )
)</f>
        <v>0</v>
      </c>
      <c r="J9" s="1905">
        <f>IF(AND(Table1[[#This Row],[Loại số liệu]]="Kế hoạch",Table1[[#This Row],[Đơn vị]]="m2"),
    W10*Table1[[#This Row],[Tổng (A1+A+B)]]/100,
    IF(AND(Table1[[#This Row],[Loại số liệu]]="Thực hiện",Table1[[#This Row],[Đơn vị]]="%"),
        IFERROR(J8/$K8*100,""),
        W9
    )
)</f>
        <v>10566.4</v>
      </c>
      <c r="K9" s="1905">
        <f>IF(AND(Table1[[#This Row],[Đơn vị]]="m2",Table1[[#This Row],[Loại số liệu]]="Kế hoạch"),
   X9*Y9,
   SUM(Table1[[#This Row],[A1]:[B]])
)</f>
        <v>219939.19999999998</v>
      </c>
      <c r="L9" s="1905">
        <f t="shared" si="0"/>
        <v>15</v>
      </c>
      <c r="M9" s="1622">
        <f>IFERROR(IF(AND(Table1[[#This Row],[Loại số liệu]]="Kế hoạch",Table1[[#This Row],[Đơn vị]]="m2"),
   Y9,
   IF(AND(Table1[[#This Row],[Loại số liệu]]="Thực hiện",Table1[[#This Row],[Đơn vị]]="m2"),
      K9/L9,
      ""
   )
),"")</f>
        <v>14662.613333333333</v>
      </c>
      <c r="N9" s="1905">
        <f>IF(AND(Table1[[#This Row],[Loại số liệu]]="Kế hoạch",Table1[[#This Row],[Đơn vị]]="%"),
    Z9,
    IF(AND(Table1[[#This Row],[Loại số liệu]]="Thực hiện",Table1[[#This Row],[Đơn vị]]="%"),
        IFERROR(K8/T8*100,""),
        IF(AND(Table1[[#This Row],[Loại số liệu]]="Thực hiện",Table1[[#This Row],[Đơn vị]]="m2"),
            Z9,
            ""
        )
    )
)</f>
        <v>0</v>
      </c>
      <c r="O9" s="1905">
        <f>IF(AND(Table1[[#This Row],[Loại số liệu]]="Thực hiện",Table1[[#This Row],[Đơn vị]]="m2"),
    AA9,
    IF(Table1[[#This Row],[A/ép]]="",
        "",
        100-Table1[[#This Row],[A/ép]]
    )
)</f>
        <v>704</v>
      </c>
      <c r="P9" s="1905">
        <f t="shared" si="1"/>
        <v>962.6</v>
      </c>
      <c r="Q9" s="1905">
        <f t="shared" si="2"/>
        <v>46</v>
      </c>
      <c r="R9" s="1905">
        <f>IFERROR(Table1[[#This Row],[T/g dừng 2MF]]*Table1[[#This Row],[Số ngày SX]],"")</f>
        <v>690</v>
      </c>
      <c r="S9" s="1925"/>
      <c r="T9" s="2055">
        <v>220975</v>
      </c>
      <c r="U9" s="2054">
        <v>209372.79999999999</v>
      </c>
      <c r="V9" s="2054">
        <v>0</v>
      </c>
      <c r="W9" s="2054">
        <v>10566.4</v>
      </c>
      <c r="X9" s="2054">
        <v>15</v>
      </c>
      <c r="Y9" s="1940">
        <v>14663</v>
      </c>
      <c r="Z9" s="2054"/>
      <c r="AA9" s="2054">
        <v>704</v>
      </c>
      <c r="AB9" s="2054">
        <v>962.6</v>
      </c>
      <c r="AC9" s="2056">
        <v>46</v>
      </c>
    </row>
    <row r="10" spans="1:29" ht="45" customHeight="1" x14ac:dyDescent="0.2">
      <c r="A10" s="1996">
        <f>IF(B10="","",COUNTA($B$3:B10))</f>
        <v>8</v>
      </c>
      <c r="B10" s="1997">
        <v>1</v>
      </c>
      <c r="C10" s="1997" t="s">
        <v>25</v>
      </c>
      <c r="D10" s="1522" t="s">
        <v>116</v>
      </c>
      <c r="E10" s="1522" t="s">
        <v>1013</v>
      </c>
      <c r="F10" s="1623" t="s">
        <v>22</v>
      </c>
      <c r="G10" s="1905" t="str">
        <f>IFERROR(IF(AND(Table1[[#This Row],[Loại số liệu]]="Kế hoạch",Table1[[#This Row],[Đơn vị]]="m2"),
   Table1[[#This Row],[Tổng (A1+A+B)]]*100/#REF!,
   IF(AND(Table1[[#This Row],[Loại số liệu]]="Thực hiện",Table1[[#This Row],[Đơn vị]]="m2"),
      T10,
      ""
   )
),0)</f>
        <v/>
      </c>
      <c r="H10" s="1905">
        <f>IF(AND(Table1[[#This Row],[Loại số liệu]]="Kế hoạch",Table1[[#This Row],[Đơn vị]]="m2"),#REF!*
    Table1[[#This Row],[Tổng (A1+A+B)]]/100,
    IF(AND(Table1[[#This Row],[Loại số liệu]]="Thực hiện",Table1[[#This Row],[Đơn vị]]="%"),
        IFERROR(H9/$K9*100,""),
        U10
    )
)</f>
        <v>95.195763192736905</v>
      </c>
      <c r="I10" s="1905">
        <f>IF(AND(Table1[[#This Row],[Loại số liệu]]="Kế hoạch",Table1[[#This Row],[Đơn vị]]="m2"),#REF!*
    Table1[[#This Row],[Tổng (A1+A+B)]]/100,
    IF(AND(Table1[[#This Row],[Loại số liệu]]="Thực hiện",Table1[[#This Row],[Đơn vị]]="%"),
        IFERROR(I9/$K9*100,""),
        V10
    )
)</f>
        <v>0</v>
      </c>
      <c r="J10" s="1905">
        <f>IF(AND(Table1[[#This Row],[Loại số liệu]]="Kế hoạch",Table1[[#This Row],[Đơn vị]]="m2"),#REF!*
    Table1[[#This Row],[Tổng (A1+A+B)]]/100,
    IF(AND(Table1[[#This Row],[Loại số liệu]]="Thực hiện",Table1[[#This Row],[Đơn vị]]="%"),
        IFERROR(J9/$K9*100,""),
        W10
    )
)</f>
        <v>4.8042368072630985</v>
      </c>
      <c r="K10" s="1905">
        <f>IF(AND(Table1[[#This Row],[Đơn vị]]="m2",Table1[[#This Row],[Loại số liệu]]="Kế hoạch"),
   X10*Y10,
   SUM(Table1[[#This Row],[A1]:[B]])
)</f>
        <v>100</v>
      </c>
      <c r="L10" s="1905" t="str">
        <f t="shared" si="0"/>
        <v/>
      </c>
      <c r="M10" s="1622" t="str">
        <f>IFERROR(IF(AND(Table1[[#This Row],[Loại số liệu]]="Kế hoạch",Table1[[#This Row],[Đơn vị]]="m2"),
   Y10,
   IF(AND(Table1[[#This Row],[Loại số liệu]]="Thực hiện",Table1[[#This Row],[Đơn vị]]="m2"),
      K10/L10,
      ""
   )
),"")</f>
        <v/>
      </c>
      <c r="N10" s="1905">
        <f>IF(AND(Table1[[#This Row],[Loại số liệu]]="Kế hoạch",Table1[[#This Row],[Đơn vị]]="%"),
    Z10,
    IF(AND(Table1[[#This Row],[Loại số liệu]]="Thực hiện",Table1[[#This Row],[Đơn vị]]="%"),
        IFERROR(K9/T9*100,""),
        IF(AND(Table1[[#This Row],[Loại số liệu]]="Thực hiện",Table1[[#This Row],[Đơn vị]]="m2"),
            Z10,
            ""
        )
    )
)</f>
        <v>99.531259192216311</v>
      </c>
      <c r="O10" s="1905">
        <f>IF(AND(Table1[[#This Row],[Loại số liệu]]="Thực hiện",Table1[[#This Row],[Đơn vị]]="m2"),
    AA10,
    IF(Table1[[#This Row],[A/ép]]="",
        "",
        100-Table1[[#This Row],[A/ép]]
    )
)</f>
        <v>0.46874080778368921</v>
      </c>
      <c r="P10" s="1905" t="str">
        <f t="shared" si="1"/>
        <v/>
      </c>
      <c r="Q10" s="1905" t="str">
        <f t="shared" si="2"/>
        <v/>
      </c>
      <c r="R10" s="1905" t="str">
        <f>IFERROR(Table1[[#This Row],[T/g dừng 2MF]]*Table1[[#This Row],[Số ngày SX]],"")</f>
        <v/>
      </c>
      <c r="S10" s="1925"/>
      <c r="T10" s="1911"/>
      <c r="U10" s="1905"/>
      <c r="V10" s="1905"/>
      <c r="W10" s="1905"/>
      <c r="X10" s="1905"/>
      <c r="Y10" s="1622"/>
      <c r="Z10" s="1905"/>
      <c r="AA10" s="1905"/>
      <c r="AB10" s="1905"/>
      <c r="AC10" s="1909"/>
    </row>
    <row r="11" spans="1:29" ht="44" customHeight="1" x14ac:dyDescent="0.2">
      <c r="A11" s="1996">
        <f>IF(B11="","",COUNTA($B$3:B11))</f>
        <v>9</v>
      </c>
      <c r="B11" s="1997">
        <v>3</v>
      </c>
      <c r="C11" s="1997" t="s">
        <v>5</v>
      </c>
      <c r="D11" s="1522" t="s">
        <v>115</v>
      </c>
      <c r="E11" s="1522" t="s">
        <v>883</v>
      </c>
      <c r="F11" s="1522" t="s">
        <v>21</v>
      </c>
      <c r="G11" s="1905">
        <f>IFERROR(IF(AND(Table1[[#This Row],[Loại số liệu]]="Kế hoạch",Table1[[#This Row],[Đơn vị]]="m2"),
   Table1[[#This Row],[Tổng (A1+A+B)]]*100/N12,
   IF(AND(Table1[[#This Row],[Loại số liệu]]="Thực hiện",Table1[[#This Row],[Đơn vị]]="m2"),
      T11,
      ""
   )
),0)</f>
        <v>314495.91836734692</v>
      </c>
      <c r="H11" s="1905">
        <f>IF(AND(Table1[[#This Row],[Loại số liệu]]="Kế hoạch",Table1[[#This Row],[Đơn vị]]="m2"),
    U12*Table1[[#This Row],[Tổng (A1+A+B)]]/100,
    IF(AND(Table1[[#This Row],[Loại số liệu]]="Thực hiện",Table1[[#This Row],[Đơn vị]]="%"),
        IFERROR(#REF!/#REF!*100,""),
        U11
    )
)</f>
        <v>274303.34000000003</v>
      </c>
      <c r="I11" s="1905">
        <f>IF(AND(Table1[[#This Row],[Loại số liệu]]="Kế hoạch",Table1[[#This Row],[Đơn vị]]="m2"),
    V12*Table1[[#This Row],[Tổng (A1+A+B)]]/100,
    IF(AND(Table1[[#This Row],[Loại số liệu]]="Thực hiện",Table1[[#This Row],[Đơn vị]]="%"),
        IFERROR(#REF!/#REF!*100,""),
        V11
    )
)</f>
        <v>15410.3</v>
      </c>
      <c r="J11" s="1905">
        <f>IF(AND(Table1[[#This Row],[Loại số liệu]]="Kế hoạch",Table1[[#This Row],[Đơn vị]]="m2"),
    W12*Table1[[#This Row],[Tổng (A1+A+B)]]/100,
    IF(AND(Table1[[#This Row],[Loại số liệu]]="Thực hiện",Table1[[#This Row],[Đơn vị]]="%"),
        IFERROR(#REF!/#REF!*100,""),
        W11
    )
)</f>
        <v>18492.36</v>
      </c>
      <c r="K11" s="1905">
        <f>IF(AND(Table1[[#This Row],[Đơn vị]]="m2",Table1[[#This Row],[Loại số liệu]]="Kế hoạch"),
   X11*Y11,
   SUM(Table1[[#This Row],[A1]:[B]])
)</f>
        <v>308206</v>
      </c>
      <c r="L11" s="1905">
        <f t="shared" ref="L11:L19" si="3">IF(X11="","",X11)</f>
        <v>20</v>
      </c>
      <c r="M11" s="1622">
        <f>IFERROR(IF(AND(Table1[[#This Row],[Loại số liệu]]="Kế hoạch",Table1[[#This Row],[Đơn vị]]="m2"),
   Y11,
   IF(AND(Table1[[#This Row],[Loại số liệu]]="Thực hiện",Table1[[#This Row],[Đơn vị]]="m2"),
      K11/L11,
      ""
   )
),"")</f>
        <v>15410.3</v>
      </c>
      <c r="N11" s="1905" t="str">
        <f>IF(AND(Table1[[#This Row],[Loại số liệu]]="Kế hoạch",Table1[[#This Row],[Đơn vị]]="%"),
    Z11,
    IF(AND(Table1[[#This Row],[Loại số liệu]]="Thực hiện",Table1[[#This Row],[Đơn vị]]="%"),
        IFERROR(#REF!/#REF!*100,""),
        IF(AND(Table1[[#This Row],[Loại số liệu]]="Thực hiện",Table1[[#This Row],[Đơn vị]]="m2"),
            Z11,
            ""
        )
    )
)</f>
        <v/>
      </c>
      <c r="O11" s="1905" t="str">
        <f>IF(AND(Table1[[#This Row],[Loại số liệu]]="Thực hiện",Table1[[#This Row],[Đơn vị]]="m2"),
    AA11,
    IF(Table1[[#This Row],[A/ép]]="",
        "",
        100-Table1[[#This Row],[A/ép]]
    )
)</f>
        <v/>
      </c>
      <c r="P11" s="1905" t="str">
        <f t="shared" ref="P11:P19" si="4">IF(AB11="","",AB11)</f>
        <v/>
      </c>
      <c r="Q11" s="1905">
        <f t="shared" ref="Q11:Q19" si="5">IF(AC11="","",AC11)</f>
        <v>40</v>
      </c>
      <c r="R11" s="1905">
        <f>IFERROR(Table1[[#This Row],[T/g dừng 2MF]]*Table1[[#This Row],[Số ngày SX]],"")</f>
        <v>800</v>
      </c>
      <c r="S11" s="2055"/>
      <c r="T11" s="2055"/>
      <c r="U11" s="2054"/>
      <c r="V11" s="2054"/>
      <c r="W11" s="2054"/>
      <c r="X11" s="2054">
        <v>20</v>
      </c>
      <c r="Y11" s="1940">
        <v>15410.3</v>
      </c>
      <c r="Z11" s="2054"/>
      <c r="AA11" s="2054"/>
      <c r="AB11" s="2054"/>
      <c r="AC11" s="2056">
        <v>40</v>
      </c>
    </row>
    <row r="12" spans="1:29" ht="44" customHeight="1" x14ac:dyDescent="0.2">
      <c r="A12" s="1996">
        <f>IF(B12="","",COUNTA($B$3:B12))</f>
        <v>10</v>
      </c>
      <c r="B12" s="1997">
        <v>3</v>
      </c>
      <c r="C12" s="1997" t="s">
        <v>5</v>
      </c>
      <c r="D12" s="1522" t="s">
        <v>115</v>
      </c>
      <c r="E12" s="1522" t="s">
        <v>883</v>
      </c>
      <c r="F12" s="1623" t="s">
        <v>22</v>
      </c>
      <c r="G12" s="1905" t="str">
        <f>IFERROR(IF(AND(Table1[[#This Row],[Loại số liệu]]="Kế hoạch",Table1[[#This Row],[Đơn vị]]="m2"),
   Table1[[#This Row],[Tổng (A1+A+B)]]*100/N13,
   IF(AND(Table1[[#This Row],[Loại số liệu]]="Thực hiện",Table1[[#This Row],[Đơn vị]]="m2"),
      T12,
      ""
   )
),0)</f>
        <v/>
      </c>
      <c r="H12" s="1905">
        <f>IF(AND(Table1[[#This Row],[Loại số liệu]]="Kế hoạch",Table1[[#This Row],[Đơn vị]]="m2"),
    U13*Table1[[#This Row],[Tổng (A1+A+B)]]/100,
    IF(AND(Table1[[#This Row],[Loại số liệu]]="Thực hiện",Table1[[#This Row],[Đơn vị]]="%"),
        IFERROR(H11/$K11*100,""),
        U12
    )
)</f>
        <v>89</v>
      </c>
      <c r="I12" s="1905">
        <f>IF(AND(Table1[[#This Row],[Loại số liệu]]="Kế hoạch",Table1[[#This Row],[Đơn vị]]="m2"),
    V13*Table1[[#This Row],[Tổng (A1+A+B)]]/100,
    IF(AND(Table1[[#This Row],[Loại số liệu]]="Thực hiện",Table1[[#This Row],[Đơn vị]]="%"),
        IFERROR(I11/$K11*100,""),
        V12
    )
)</f>
        <v>5</v>
      </c>
      <c r="J12" s="1905">
        <f>IF(AND(Table1[[#This Row],[Loại số liệu]]="Kế hoạch",Table1[[#This Row],[Đơn vị]]="m2"),
    W13*Table1[[#This Row],[Tổng (A1+A+B)]]/100,
    IF(AND(Table1[[#This Row],[Loại số liệu]]="Thực hiện",Table1[[#This Row],[Đơn vị]]="%"),
        IFERROR(J11/$K11*100,""),
        W12
    )
)</f>
        <v>6</v>
      </c>
      <c r="K12" s="1905">
        <f>IF(AND(Table1[[#This Row],[Đơn vị]]="m2",Table1[[#This Row],[Loại số liệu]]="Kế hoạch"),
   X12*Y12,
   SUM(Table1[[#This Row],[A1]:[B]])
)</f>
        <v>100</v>
      </c>
      <c r="L12" s="1905" t="str">
        <f t="shared" si="3"/>
        <v/>
      </c>
      <c r="M12" s="1622" t="str">
        <f>IFERROR(IF(AND(Table1[[#This Row],[Loại số liệu]]="Kế hoạch",Table1[[#This Row],[Đơn vị]]="m2"),
   Y12,
   IF(AND(Table1[[#This Row],[Loại số liệu]]="Thực hiện",Table1[[#This Row],[Đơn vị]]="m2"),
      K12/L12,
      ""
   )
),"")</f>
        <v/>
      </c>
      <c r="N12" s="1905">
        <f>IF(AND(Table1[[#This Row],[Loại số liệu]]="Kế hoạch",Table1[[#This Row],[Đơn vị]]="%"),
    Z12,
    IF(AND(Table1[[#This Row],[Loại số liệu]]="Thực hiện",Table1[[#This Row],[Đơn vị]]="%"),
        IFERROR(K11/T11*100,""),
        IF(AND(Table1[[#This Row],[Loại số liệu]]="Thực hiện",Table1[[#This Row],[Đơn vị]]="m2"),
            Z12,
            ""
        )
    )
)</f>
        <v>98</v>
      </c>
      <c r="O12" s="1905">
        <f>IF(AND(Table1[[#This Row],[Loại số liệu]]="Thực hiện",Table1[[#This Row],[Đơn vị]]="m2"),
    AA12,
    IF(Table1[[#This Row],[A/ép]]="",
        "",
        100-Table1[[#This Row],[A/ép]]
    )
)</f>
        <v>2</v>
      </c>
      <c r="P12" s="1905" t="str">
        <f t="shared" si="4"/>
        <v/>
      </c>
      <c r="Q12" s="1905" t="str">
        <f t="shared" si="5"/>
        <v/>
      </c>
      <c r="R12" s="1905" t="str">
        <f>IFERROR(Table1[[#This Row],[T/g dừng 2MF]]*Table1[[#This Row],[Số ngày SX]],"")</f>
        <v/>
      </c>
      <c r="S12" s="2055"/>
      <c r="T12" s="2055"/>
      <c r="U12" s="2054">
        <v>89</v>
      </c>
      <c r="V12" s="2054">
        <v>5</v>
      </c>
      <c r="W12" s="2054">
        <v>6</v>
      </c>
      <c r="X12" s="2054"/>
      <c r="Y12" s="1940"/>
      <c r="Z12" s="2054">
        <v>98</v>
      </c>
      <c r="AA12" s="2054">
        <v>2</v>
      </c>
      <c r="AB12" s="2054"/>
      <c r="AC12" s="2056"/>
    </row>
    <row r="13" spans="1:29" ht="44" customHeight="1" x14ac:dyDescent="0.2">
      <c r="A13" s="1996">
        <f>IF(B13="","",COUNTA($B$3:B13))</f>
        <v>11</v>
      </c>
      <c r="B13" s="1997">
        <v>3</v>
      </c>
      <c r="C13" s="1997" t="s">
        <v>5</v>
      </c>
      <c r="D13" s="1522" t="s">
        <v>115</v>
      </c>
      <c r="E13" s="1522" t="s">
        <v>1013</v>
      </c>
      <c r="F13" s="1522" t="s">
        <v>21</v>
      </c>
      <c r="G13" s="1905">
        <f>IFERROR(IF(AND(Table1[[#This Row],[Loại số liệu]]="Kế hoạch",Table1[[#This Row],[Đơn vị]]="m2"),
   Table1[[#This Row],[Tổng (A1+A+B)]]*100/N14,
   IF(AND(Table1[[#This Row],[Loại số liệu]]="Thực hiện",Table1[[#This Row],[Đơn vị]]="m2"),
      T13,
      ""
   )
),0)</f>
        <v>344193</v>
      </c>
      <c r="H13" s="1905">
        <f>IF(AND(Table1[[#This Row],[Loại số liệu]]="Kế hoạch",Table1[[#This Row],[Đơn vị]]="m2"),
    U14*Table1[[#This Row],[Tổng (A1+A+B)]]/100,
    IF(AND(Table1[[#This Row],[Loại số liệu]]="Thực hiện",Table1[[#This Row],[Đơn vị]]="%"),
        IFERROR(H12/$K12*100,""),
        U13
    )
)</f>
        <v>318974.40000000002</v>
      </c>
      <c r="I13" s="1905">
        <f>IF(AND(Table1[[#This Row],[Loại số liệu]]="Kế hoạch",Table1[[#This Row],[Đơn vị]]="m2"),
    V14*Table1[[#This Row],[Tổng (A1+A+B)]]/100,
    IF(AND(Table1[[#This Row],[Loại số liệu]]="Thực hiện",Table1[[#This Row],[Đơn vị]]="%"),
        IFERROR(I12/$K12*100,""),
        V13
    )
)</f>
        <v>7528.32</v>
      </c>
      <c r="J13" s="1905">
        <f>IF(AND(Table1[[#This Row],[Loại số liệu]]="Kế hoạch",Table1[[#This Row],[Đơn vị]]="m2"),
    W14*Table1[[#This Row],[Tổng (A1+A+B)]]/100,
    IF(AND(Table1[[#This Row],[Loại số liệu]]="Thực hiện",Table1[[#This Row],[Đơn vị]]="%"),
        IFERROR(J12/$K12*100,""),
        W13
    )
)</f>
        <v>9783.36</v>
      </c>
      <c r="K13" s="1905">
        <f>IF(AND(Table1[[#This Row],[Đơn vị]]="m2",Table1[[#This Row],[Loại số liệu]]="Kế hoạch"),
   X13*Y13,
   SUM(Table1[[#This Row],[A1]:[B]])
)</f>
        <v>336286.08</v>
      </c>
      <c r="L13" s="1905">
        <f t="shared" si="3"/>
        <v>21.5</v>
      </c>
      <c r="M13" s="1622">
        <f>IFERROR(IF(AND(Table1[[#This Row],[Loại số liệu]]="Kế hoạch",Table1[[#This Row],[Đơn vị]]="m2"),
   Y13,
   IF(AND(Table1[[#This Row],[Loại số liệu]]="Thực hiện",Table1[[#This Row],[Đơn vị]]="m2"),
      K13/L13,
      ""
   )
),"")</f>
        <v>15641.213023255814</v>
      </c>
      <c r="N13" s="1905">
        <f>IF(AND(Table1[[#This Row],[Loại số liệu]]="Kế hoạch",Table1[[#This Row],[Đơn vị]]="%"),
    Z13,
    IF(AND(Table1[[#This Row],[Loại số liệu]]="Thực hiện",Table1[[#This Row],[Đơn vị]]="%"),
        IFERROR(K12/T12*100,""),
        IF(AND(Table1[[#This Row],[Loại số liệu]]="Thực hiện",Table1[[#This Row],[Đơn vị]]="m2"),
            Z13,
            ""
        )
    )
)</f>
        <v>0</v>
      </c>
      <c r="O13" s="1905">
        <f>IF(AND(Table1[[#This Row],[Loại số liệu]]="Thực hiện",Table1[[#This Row],[Đơn vị]]="m2"),
    AA13,
    IF(Table1[[#This Row],[A/ép]]="",
        "",
        100-Table1[[#This Row],[A/ép]]
    )
)</f>
        <v>1425.6</v>
      </c>
      <c r="P13" s="1905">
        <f t="shared" si="4"/>
        <v>1261.44</v>
      </c>
      <c r="Q13" s="1905">
        <f t="shared" si="5"/>
        <v>39</v>
      </c>
      <c r="R13" s="1905">
        <f>IFERROR(Table1[[#This Row],[T/g dừng 2MF]]*Table1[[#This Row],[Số ngày SX]],"")</f>
        <v>838.5</v>
      </c>
      <c r="S13" s="2418"/>
      <c r="T13" s="2055">
        <v>344193</v>
      </c>
      <c r="U13" s="2054">
        <v>318974.40000000002</v>
      </c>
      <c r="V13" s="2054">
        <v>7528.32</v>
      </c>
      <c r="W13" s="2054">
        <v>9783.36</v>
      </c>
      <c r="X13" s="2054">
        <v>21.5</v>
      </c>
      <c r="Y13" s="1940">
        <v>15641</v>
      </c>
      <c r="Z13" s="2054"/>
      <c r="AA13" s="2054">
        <v>1425.6</v>
      </c>
      <c r="AB13" s="2054">
        <v>1261.44</v>
      </c>
      <c r="AC13" s="2056">
        <v>39</v>
      </c>
    </row>
    <row r="14" spans="1:29" ht="46" customHeight="1" x14ac:dyDescent="0.2">
      <c r="A14" s="1996">
        <f>IF(B14="","",COUNTA($B$3:B14))</f>
        <v>12</v>
      </c>
      <c r="B14" s="1997">
        <v>3</v>
      </c>
      <c r="C14" s="1997" t="s">
        <v>5</v>
      </c>
      <c r="D14" s="1522" t="s">
        <v>115</v>
      </c>
      <c r="E14" s="1522" t="s">
        <v>1013</v>
      </c>
      <c r="F14" s="1623" t="s">
        <v>22</v>
      </c>
      <c r="G14" s="1905" t="str">
        <f>IFERROR(IF(AND(Table1[[#This Row],[Loại số liệu]]="Kế hoạch",Table1[[#This Row],[Đơn vị]]="m2"),
   Table1[[#This Row],[Tổng (A1+A+B)]]*100/N15,
   IF(AND(Table1[[#This Row],[Loại số liệu]]="Thực hiện",Table1[[#This Row],[Đơn vị]]="m2"),
      T14,
      ""
   )
),0)</f>
        <v/>
      </c>
      <c r="H14" s="1905">
        <f>IF(AND(Table1[[#This Row],[Loại số liệu]]="Kế hoạch",Table1[[#This Row],[Đơn vị]]="m2"),
    U15*Table1[[#This Row],[Tổng (A1+A+B)]]/100,
    IF(AND(Table1[[#This Row],[Loại số liệu]]="Thực hiện",Table1[[#This Row],[Đơn vị]]="%"),
        IFERROR(H13/$K13*100,""),
        U14
    )
)</f>
        <v>94.852097357107382</v>
      </c>
      <c r="I14" s="1905">
        <f>IF(AND(Table1[[#This Row],[Loại số liệu]]="Kế hoạch",Table1[[#This Row],[Đơn vị]]="m2"),
    V15*Table1[[#This Row],[Tổng (A1+A+B)]]/100,
    IF(AND(Table1[[#This Row],[Loại số liệu]]="Thực hiện",Table1[[#This Row],[Đơn vị]]="%"),
        IFERROR(I13/$K13*100,""),
        V14
    )
)</f>
        <v>2.2386653649178698</v>
      </c>
      <c r="J14" s="1905">
        <f>IF(AND(Table1[[#This Row],[Loại số liệu]]="Kế hoạch",Table1[[#This Row],[Đơn vị]]="m2"),
    W15*Table1[[#This Row],[Tổng (A1+A+B)]]/100,
    IF(AND(Table1[[#This Row],[Loại số liệu]]="Thực hiện",Table1[[#This Row],[Đơn vị]]="%"),
        IFERROR(J13/$K13*100,""),
        W14
    )
)</f>
        <v>2.9092372779747531</v>
      </c>
      <c r="K14" s="1905">
        <f>IF(AND(Table1[[#This Row],[Đơn vị]]="m2",Table1[[#This Row],[Loại số liệu]]="Kế hoạch"),
   X14*Y14,
   SUM(Table1[[#This Row],[A1]:[B]])
)</f>
        <v>100</v>
      </c>
      <c r="L14" s="1905" t="str">
        <f t="shared" si="3"/>
        <v/>
      </c>
      <c r="M14" s="1622" t="str">
        <f>IFERROR(IF(AND(Table1[[#This Row],[Loại số liệu]]="Kế hoạch",Table1[[#This Row],[Đơn vị]]="m2"),
   Y14,
   IF(AND(Table1[[#This Row],[Loại số liệu]]="Thực hiện",Table1[[#This Row],[Đơn vị]]="m2"),
      K14/L14,
      ""
   )
),"")</f>
        <v/>
      </c>
      <c r="N14" s="1905">
        <f>IF(AND(Table1[[#This Row],[Loại số liệu]]="Kế hoạch",Table1[[#This Row],[Đơn vị]]="%"),
    Z14,
    IF(AND(Table1[[#This Row],[Loại số liệu]]="Thực hiện",Table1[[#This Row],[Đơn vị]]="%"),
        IFERROR(K13/T13*100,""),
        IF(AND(Table1[[#This Row],[Loại số liệu]]="Thực hiện",Table1[[#This Row],[Đơn vị]]="m2"),
            Z14,
            ""
        )
    )
)</f>
        <v>97.702765599532825</v>
      </c>
      <c r="O14" s="1905">
        <f>IF(AND(Table1[[#This Row],[Loại số liệu]]="Thực hiện",Table1[[#This Row],[Đơn vị]]="m2"),
    AA14,
    IF(Table1[[#This Row],[A/ép]]="",
        "",
        100-Table1[[#This Row],[A/ép]]
    )
)</f>
        <v>2.2972344004671754</v>
      </c>
      <c r="P14" s="1905" t="str">
        <f t="shared" si="4"/>
        <v/>
      </c>
      <c r="Q14" s="1905" t="str">
        <f t="shared" si="5"/>
        <v/>
      </c>
      <c r="R14" s="1905" t="str">
        <f>IFERROR(Table1[[#This Row],[T/g dừng 2MF]]*Table1[[#This Row],[Số ngày SX]],"")</f>
        <v/>
      </c>
      <c r="S14" s="1925"/>
      <c r="T14" s="2371"/>
      <c r="U14" s="2372"/>
      <c r="V14" s="2372"/>
      <c r="W14" s="2372"/>
      <c r="X14" s="2372"/>
      <c r="Y14" s="2373"/>
      <c r="Z14" s="2372"/>
      <c r="AA14" s="2372"/>
      <c r="AB14" s="2372"/>
      <c r="AC14" s="2374"/>
    </row>
    <row r="15" spans="1:29" ht="46" customHeight="1" x14ac:dyDescent="0.2">
      <c r="A15" s="1996">
        <f>IF(B15="","",COUNTA($B$3:B15))</f>
        <v>13</v>
      </c>
      <c r="B15" s="1997">
        <v>3</v>
      </c>
      <c r="C15" s="1997" t="s">
        <v>25</v>
      </c>
      <c r="D15" s="1522" t="s">
        <v>119</v>
      </c>
      <c r="E15" s="1522" t="s">
        <v>883</v>
      </c>
      <c r="F15" s="1522" t="s">
        <v>21</v>
      </c>
      <c r="G15" s="1905">
        <f>IFERROR(IF(AND(Table1[[#This Row],[Loại số liệu]]="Kế hoạch",Table1[[#This Row],[Đơn vị]]="m2"),
   Table1[[#This Row],[Tổng (A1+A+B)]]*100/N16,
   IF(AND(Table1[[#This Row],[Loại số liệu]]="Thực hiện",Table1[[#This Row],[Đơn vị]]="m2"),
      T15,
      ""
   )
),0)</f>
        <v>379901.02040816325</v>
      </c>
      <c r="H15" s="1905">
        <f>IF(AND(Table1[[#This Row],[Loại số liệu]]="Kế hoạch",Table1[[#This Row],[Đơn vị]]="m2"),
    U16*Table1[[#This Row],[Tổng (A1+A+B)]]/100,
    IF(AND(Table1[[#This Row],[Loại số liệu]]="Thực hiện",Table1[[#This Row],[Đơn vị]]="%"),
        IFERROR(H14/$K14*100,""),
        U15
    )
)</f>
        <v>349964.82</v>
      </c>
      <c r="I15" s="1905">
        <f>IF(AND(Table1[[#This Row],[Loại số liệu]]="Kế hoạch",Table1[[#This Row],[Đơn vị]]="m2"),
    V16*Table1[[#This Row],[Tổng (A1+A+B)]]/100,
    IF(AND(Table1[[#This Row],[Loại số liệu]]="Thực hiện",Table1[[#This Row],[Đơn vị]]="%"),
        IFERROR(I14/$K14*100,""),
        V15
    )
)</f>
        <v>11169.09</v>
      </c>
      <c r="J15" s="1905">
        <f>IF(AND(Table1[[#This Row],[Loại số liệu]]="Kế hoạch",Table1[[#This Row],[Đơn vị]]="m2"),
    W16*Table1[[#This Row],[Tổng (A1+A+B)]]/100,
    IF(AND(Table1[[#This Row],[Loại số liệu]]="Thực hiện",Table1[[#This Row],[Đơn vị]]="%"),
        IFERROR(J14/$K14*100,""),
        W15
    )
)</f>
        <v>11169.09</v>
      </c>
      <c r="K15" s="1905">
        <f>IF(AND(Table1[[#This Row],[Đơn vị]]="m2",Table1[[#This Row],[Loại số liệu]]="Kế hoạch"),
   X15*Y15,
   SUM(Table1[[#This Row],[A1]:[B]])
)</f>
        <v>372303</v>
      </c>
      <c r="L15" s="1905">
        <f t="shared" si="3"/>
        <v>27</v>
      </c>
      <c r="M15" s="1622">
        <f>IFERROR(IF(AND(Table1[[#This Row],[Loại số liệu]]="Kế hoạch",Table1[[#This Row],[Đơn vị]]="m2"),
   Y15,
   IF(AND(Table1[[#This Row],[Loại số liệu]]="Thực hiện",Table1[[#This Row],[Đơn vị]]="m2"),
      K15/L15,
      ""
   )
),"")</f>
        <v>13789</v>
      </c>
      <c r="N15" s="1905" t="str">
        <f>IF(AND(Table1[[#This Row],[Loại số liệu]]="Kế hoạch",Table1[[#This Row],[Đơn vị]]="%"),
    Z15,
    IF(AND(Table1[[#This Row],[Loại số liệu]]="Thực hiện",Table1[[#This Row],[Đơn vị]]="%"),
        IFERROR(K14/T14*100,""),
        IF(AND(Table1[[#This Row],[Loại số liệu]]="Thực hiện",Table1[[#This Row],[Đơn vị]]="m2"),
            Z15,
            ""
        )
    )
)</f>
        <v/>
      </c>
      <c r="O15" s="1905" t="str">
        <f>IF(AND(Table1[[#This Row],[Loại số liệu]]="Thực hiện",Table1[[#This Row],[Đơn vị]]="m2"),
    AA15,
    IF(Table1[[#This Row],[A/ép]]="",
        "",
        100-Table1[[#This Row],[A/ép]]
    )
)</f>
        <v/>
      </c>
      <c r="P15" s="1905" t="str">
        <f t="shared" si="4"/>
        <v/>
      </c>
      <c r="Q15" s="1905">
        <f t="shared" si="5"/>
        <v>100</v>
      </c>
      <c r="R15" s="1905">
        <f>IFERROR(Table1[[#This Row],[T/g dừng 2MF]]*Table1[[#This Row],[Số ngày SX]],"")</f>
        <v>2700</v>
      </c>
      <c r="S15" s="1925"/>
      <c r="T15" s="2055"/>
      <c r="U15" s="2054"/>
      <c r="V15" s="2054"/>
      <c r="W15" s="2054"/>
      <c r="X15" s="2054">
        <v>27</v>
      </c>
      <c r="Y15" s="1940">
        <v>13789</v>
      </c>
      <c r="Z15" s="2054"/>
      <c r="AA15" s="2054"/>
      <c r="AB15" s="2054"/>
      <c r="AC15" s="2056">
        <v>100</v>
      </c>
    </row>
    <row r="16" spans="1:29" ht="44" customHeight="1" x14ac:dyDescent="0.2">
      <c r="A16" s="1996">
        <f>IF(B16="","",COUNTA($B$3:B16))</f>
        <v>14</v>
      </c>
      <c r="B16" s="1997">
        <v>3</v>
      </c>
      <c r="C16" s="1997" t="s">
        <v>25</v>
      </c>
      <c r="D16" s="1522" t="s">
        <v>119</v>
      </c>
      <c r="E16" s="1522" t="s">
        <v>883</v>
      </c>
      <c r="F16" s="1623" t="s">
        <v>22</v>
      </c>
      <c r="G16" s="1905" t="str">
        <f>IFERROR(IF(AND(Table1[[#This Row],[Loại số liệu]]="Kế hoạch",Table1[[#This Row],[Đơn vị]]="m2"),
   Table1[[#This Row],[Tổng (A1+A+B)]]*100/N17,
   IF(AND(Table1[[#This Row],[Loại số liệu]]="Thực hiện",Table1[[#This Row],[Đơn vị]]="m2"),
      T16,
      ""
   )
),0)</f>
        <v/>
      </c>
      <c r="H16" s="1905">
        <f>IF(AND(Table1[[#This Row],[Loại số liệu]]="Kế hoạch",Table1[[#This Row],[Đơn vị]]="m2"),
    U17*Table1[[#This Row],[Tổng (A1+A+B)]]/100,
    IF(AND(Table1[[#This Row],[Loại số liệu]]="Thực hiện",Table1[[#This Row],[Đơn vị]]="%"),
        IFERROR(H15/$K15*100,""),
        U16
    )
)</f>
        <v>94</v>
      </c>
      <c r="I16" s="1905">
        <f>IF(AND(Table1[[#This Row],[Loại số liệu]]="Kế hoạch",Table1[[#This Row],[Đơn vị]]="m2"),
    V17*Table1[[#This Row],[Tổng (A1+A+B)]]/100,
    IF(AND(Table1[[#This Row],[Loại số liệu]]="Thực hiện",Table1[[#This Row],[Đơn vị]]="%"),
        IFERROR(I15/$K15*100,""),
        V16
    )
)</f>
        <v>3</v>
      </c>
      <c r="J16" s="1905">
        <f>IF(AND(Table1[[#This Row],[Loại số liệu]]="Kế hoạch",Table1[[#This Row],[Đơn vị]]="m2"),
    W17*Table1[[#This Row],[Tổng (A1+A+B)]]/100,
    IF(AND(Table1[[#This Row],[Loại số liệu]]="Thực hiện",Table1[[#This Row],[Đơn vị]]="%"),
        IFERROR(J15/$K15*100,""),
        W16
    )
)</f>
        <v>3</v>
      </c>
      <c r="K16" s="1905">
        <f>IF(AND(Table1[[#This Row],[Đơn vị]]="m2",Table1[[#This Row],[Loại số liệu]]="Kế hoạch"),
   X16*Y16,
   SUM(Table1[[#This Row],[A1]:[B]])
)</f>
        <v>100</v>
      </c>
      <c r="L16" s="1905" t="str">
        <f t="shared" si="3"/>
        <v/>
      </c>
      <c r="M16" s="1622" t="str">
        <f>IFERROR(IF(AND(Table1[[#This Row],[Loại số liệu]]="Kế hoạch",Table1[[#This Row],[Đơn vị]]="m2"),
   Y16,
   IF(AND(Table1[[#This Row],[Loại số liệu]]="Thực hiện",Table1[[#This Row],[Đơn vị]]="m2"),
      K16/L16,
      ""
   )
),"")</f>
        <v/>
      </c>
      <c r="N16" s="1905">
        <f>IF(AND(Table1[[#This Row],[Loại số liệu]]="Kế hoạch",Table1[[#This Row],[Đơn vị]]="%"),
    Z16,
    IF(AND(Table1[[#This Row],[Loại số liệu]]="Thực hiện",Table1[[#This Row],[Đơn vị]]="%"),
        IFERROR(K15/T15*100,""),
        IF(AND(Table1[[#This Row],[Loại số liệu]]="Thực hiện",Table1[[#This Row],[Đơn vị]]="m2"),
            Z16,
            ""
        )
    )
)</f>
        <v>98</v>
      </c>
      <c r="O16" s="1905">
        <f>IF(AND(Table1[[#This Row],[Loại số liệu]]="Thực hiện",Table1[[#This Row],[Đơn vị]]="m2"),
    AA16,
    IF(Table1[[#This Row],[A/ép]]="",
        "",
        100-Table1[[#This Row],[A/ép]]
    )
)</f>
        <v>2</v>
      </c>
      <c r="P16" s="1905" t="str">
        <f t="shared" si="4"/>
        <v/>
      </c>
      <c r="Q16" s="1905" t="str">
        <f t="shared" si="5"/>
        <v/>
      </c>
      <c r="R16" s="1905" t="str">
        <f>IFERROR(Table1[[#This Row],[T/g dừng 2MF]]*Table1[[#This Row],[Số ngày SX]],"")</f>
        <v/>
      </c>
      <c r="S16" s="1925"/>
      <c r="T16" s="2055"/>
      <c r="U16" s="2054">
        <v>94</v>
      </c>
      <c r="V16" s="2054">
        <v>3</v>
      </c>
      <c r="W16" s="2054">
        <v>3</v>
      </c>
      <c r="X16" s="2054"/>
      <c r="Y16" s="1940"/>
      <c r="Z16" s="2054">
        <v>98</v>
      </c>
      <c r="AA16" s="2054">
        <v>2</v>
      </c>
      <c r="AB16" s="2054"/>
      <c r="AC16" s="2056"/>
    </row>
    <row r="17" spans="1:29" ht="44" customHeight="1" x14ac:dyDescent="0.2">
      <c r="A17" s="1996">
        <f>IF(B17="","",COUNTA($B$3:B17))</f>
        <v>15</v>
      </c>
      <c r="B17" s="1997">
        <v>3</v>
      </c>
      <c r="C17" s="1997" t="s">
        <v>25</v>
      </c>
      <c r="D17" s="1522" t="s">
        <v>119</v>
      </c>
      <c r="E17" s="1522" t="s">
        <v>1013</v>
      </c>
      <c r="F17" s="1522" t="s">
        <v>21</v>
      </c>
      <c r="G17" s="1905">
        <f>IFERROR(IF(AND(Table1[[#This Row],[Loại số liệu]]="Kế hoạch",Table1[[#This Row],[Đơn vị]]="m2"),
   Table1[[#This Row],[Tổng (A1+A+B)]]*100/N18,
   IF(AND(Table1[[#This Row],[Loại số liệu]]="Thực hiện",Table1[[#This Row],[Đơn vị]]="m2"),
      T17,
      ""
   )
),0)</f>
        <v>421167</v>
      </c>
      <c r="H17" s="1905">
        <f>IF(AND(Table1[[#This Row],[Loại số liệu]]="Kế hoạch",Table1[[#This Row],[Đơn vị]]="m2"),
    U18*Table1[[#This Row],[Tổng (A1+A+B)]]/100,
    IF(AND(Table1[[#This Row],[Loại số liệu]]="Thực hiện",Table1[[#This Row],[Đơn vị]]="%"),
        IFERROR(H16/$K16*100,""),
        U17
    )
)</f>
        <v>413132</v>
      </c>
      <c r="I17" s="1905">
        <f>IF(AND(Table1[[#This Row],[Loại số liệu]]="Kế hoạch",Table1[[#This Row],[Đơn vị]]="m2"),
    V18*Table1[[#This Row],[Tổng (A1+A+B)]]/100,
    IF(AND(Table1[[#This Row],[Loại số liệu]]="Thực hiện",Table1[[#This Row],[Đơn vị]]="%"),
        IFERROR(I16/$K16*100,""),
        V17
    )
)</f>
        <v>0</v>
      </c>
      <c r="J17" s="1905">
        <f>IF(AND(Table1[[#This Row],[Loại số liệu]]="Kế hoạch",Table1[[#This Row],[Đơn vị]]="m2"),
    W18*Table1[[#This Row],[Tổng (A1+A+B)]]/100,
    IF(AND(Table1[[#This Row],[Loại số liệu]]="Thực hiện",Table1[[#This Row],[Đơn vị]]="%"),
        IFERROR(J16/$K16*100,""),
        W17
    )
)</f>
        <v>2607</v>
      </c>
      <c r="K17" s="1905">
        <f>IF(AND(Table1[[#This Row],[Đơn vị]]="m2",Table1[[#This Row],[Loại số liệu]]="Kế hoạch"),
   X17*Y17,
   SUM(Table1[[#This Row],[A1]:[B]])
)</f>
        <v>415739</v>
      </c>
      <c r="L17" s="1905">
        <f t="shared" si="3"/>
        <v>28</v>
      </c>
      <c r="M17" s="1622">
        <f>IFERROR(IF(AND(Table1[[#This Row],[Loại số liệu]]="Kế hoạch",Table1[[#This Row],[Đơn vị]]="m2"),
   Y17,
   IF(AND(Table1[[#This Row],[Loại số liệu]]="Thực hiện",Table1[[#This Row],[Đơn vị]]="m2"),
      K17/L17,
      ""
   )
),"")</f>
        <v>14847.821428571429</v>
      </c>
      <c r="N17" s="1905">
        <f>IF(AND(Table1[[#This Row],[Loại số liệu]]="Kế hoạch",Table1[[#This Row],[Đơn vị]]="%"),
    Z17,
    IF(AND(Table1[[#This Row],[Loại số liệu]]="Thực hiện",Table1[[#This Row],[Đơn vị]]="%"),
        IFERROR(K16/T16*100,""),
        IF(AND(Table1[[#This Row],[Loại số liệu]]="Thực hiện",Table1[[#This Row],[Đơn vị]]="m2"),
            Z17,
            ""
        )
    )
)</f>
        <v>0</v>
      </c>
      <c r="O17" s="1905">
        <f>IF(AND(Table1[[#This Row],[Loại số liệu]]="Thực hiện",Table1[[#This Row],[Đơn vị]]="m2"),
    AA17,
    IF(Table1[[#This Row],[A/ép]]="",
        "",
        100-Table1[[#This Row],[A/ép]]
    )
)</f>
        <v>380</v>
      </c>
      <c r="P17" s="1905">
        <f t="shared" si="4"/>
        <v>377</v>
      </c>
      <c r="Q17" s="1905">
        <f t="shared" si="5"/>
        <v>80.040000000000006</v>
      </c>
      <c r="R17" s="1905">
        <f>IFERROR(Table1[[#This Row],[T/g dừng 2MF]]*Table1[[#This Row],[Số ngày SX]],"")</f>
        <v>2241.1200000000003</v>
      </c>
      <c r="S17" s="1925"/>
      <c r="T17" s="2055">
        <v>421167</v>
      </c>
      <c r="U17" s="2054">
        <v>413132</v>
      </c>
      <c r="V17" s="2054">
        <v>0</v>
      </c>
      <c r="W17" s="2054">
        <v>2607</v>
      </c>
      <c r="X17" s="2054">
        <v>28</v>
      </c>
      <c r="Y17" s="1940">
        <v>14848</v>
      </c>
      <c r="Z17" s="2054"/>
      <c r="AA17" s="2054">
        <v>380</v>
      </c>
      <c r="AB17" s="2054">
        <v>377</v>
      </c>
      <c r="AC17" s="2056">
        <v>80.040000000000006</v>
      </c>
    </row>
    <row r="18" spans="1:29" ht="43" customHeight="1" x14ac:dyDescent="0.2">
      <c r="A18" s="1996">
        <f>IF(B18="","",COUNTA($B$3:B18))</f>
        <v>16</v>
      </c>
      <c r="B18" s="1997">
        <v>3</v>
      </c>
      <c r="C18" s="1997" t="s">
        <v>25</v>
      </c>
      <c r="D18" s="1522" t="s">
        <v>119</v>
      </c>
      <c r="E18" s="1522" t="s">
        <v>1013</v>
      </c>
      <c r="F18" s="1623" t="s">
        <v>22</v>
      </c>
      <c r="G18" s="1905" t="str">
        <f>IFERROR(IF(AND(Table1[[#This Row],[Loại số liệu]]="Kế hoạch",Table1[[#This Row],[Đơn vị]]="m2"),
   Table1[[#This Row],[Tổng (A1+A+B)]]*100/#REF!,
   IF(AND(Table1[[#This Row],[Loại số liệu]]="Thực hiện",Table1[[#This Row],[Đơn vị]]="m2"),
      T18,
      ""
   )
),0)</f>
        <v/>
      </c>
      <c r="H18" s="1905">
        <f>IF(AND(Table1[[#This Row],[Loại số liệu]]="Kế hoạch",Table1[[#This Row],[Đơn vị]]="m2"),#REF!*
    Table1[[#This Row],[Tổng (A1+A+B)]]/100,
    IF(AND(Table1[[#This Row],[Loại số liệu]]="Thực hiện",Table1[[#This Row],[Đơn vị]]="%"),
        IFERROR(H17/$K17*100,""),
        U18
    )
)</f>
        <v>99.372923877721362</v>
      </c>
      <c r="I18" s="1905">
        <f>IF(AND(Table1[[#This Row],[Loại số liệu]]="Kế hoạch",Table1[[#This Row],[Đơn vị]]="m2"),#REF!*
    Table1[[#This Row],[Tổng (A1+A+B)]]/100,
    IF(AND(Table1[[#This Row],[Loại số liệu]]="Thực hiện",Table1[[#This Row],[Đơn vị]]="%"),
        IFERROR(I17/$K17*100,""),
        V18
    )
)</f>
        <v>0</v>
      </c>
      <c r="J18" s="1905">
        <f>IF(AND(Table1[[#This Row],[Loại số liệu]]="Kế hoạch",Table1[[#This Row],[Đơn vị]]="m2"),#REF!*
    Table1[[#This Row],[Tổng (A1+A+B)]]/100,
    IF(AND(Table1[[#This Row],[Loại số liệu]]="Thực hiện",Table1[[#This Row],[Đơn vị]]="%"),
        IFERROR(J17/$K17*100,""),
        W18
    )
)</f>
        <v>0.62707612227864118</v>
      </c>
      <c r="K18" s="1905">
        <f>IF(AND(Table1[[#This Row],[Đơn vị]]="m2",Table1[[#This Row],[Loại số liệu]]="Kế hoạch"),
   X18*Y18,
   SUM(Table1[[#This Row],[A1]:[B]])
)</f>
        <v>100</v>
      </c>
      <c r="L18" s="1905" t="str">
        <f t="shared" si="3"/>
        <v/>
      </c>
      <c r="M18" s="1622" t="str">
        <f>IFERROR(IF(AND(Table1[[#This Row],[Loại số liệu]]="Kế hoạch",Table1[[#This Row],[Đơn vị]]="m2"),
   Y18,
   IF(AND(Table1[[#This Row],[Loại số liệu]]="Thực hiện",Table1[[#This Row],[Đơn vị]]="m2"),
      K18/L18,
      ""
   )
),"")</f>
        <v/>
      </c>
      <c r="N18" s="1905">
        <f>IF(AND(Table1[[#This Row],[Loại số liệu]]="Kế hoạch",Table1[[#This Row],[Đơn vị]]="%"),
    Z18,
    IF(AND(Table1[[#This Row],[Loại số liệu]]="Thực hiện",Table1[[#This Row],[Đơn vị]]="%"),
        IFERROR(K17/T17*100,""),
        IF(AND(Table1[[#This Row],[Loại số liệu]]="Thực hiện",Table1[[#This Row],[Đơn vị]]="m2"),
            Z18,
            ""
        )
    )
)</f>
        <v>98.71120007028091</v>
      </c>
      <c r="O18" s="1905">
        <f>IF(AND(Table1[[#This Row],[Loại số liệu]]="Thực hiện",Table1[[#This Row],[Đơn vị]]="m2"),
    AA18,
    IF(Table1[[#This Row],[A/ép]]="",
        "",
        100-Table1[[#This Row],[A/ép]]
    )
)</f>
        <v>1.2887999297190902</v>
      </c>
      <c r="P18" s="1905" t="str">
        <f t="shared" si="4"/>
        <v/>
      </c>
      <c r="Q18" s="1905" t="str">
        <f t="shared" si="5"/>
        <v/>
      </c>
      <c r="R18" s="1905" t="str">
        <f>IFERROR(Table1[[#This Row],[T/g dừng 2MF]]*Table1[[#This Row],[Số ngày SX]],"")</f>
        <v/>
      </c>
      <c r="S18" s="1925"/>
      <c r="T18" s="1911"/>
      <c r="U18" s="1905"/>
      <c r="V18" s="1905"/>
      <c r="W18" s="1905"/>
      <c r="X18" s="1905"/>
      <c r="Y18" s="1622"/>
      <c r="Z18" s="1905"/>
      <c r="AA18" s="1905"/>
      <c r="AB18" s="1905"/>
      <c r="AC18" s="1909"/>
    </row>
    <row r="19" spans="1:29" ht="44" customHeight="1" x14ac:dyDescent="0.2">
      <c r="A19" s="1996">
        <f>IF(B19="","",COUNTA($B$3:B19))</f>
        <v>17</v>
      </c>
      <c r="B19" s="1997">
        <v>4</v>
      </c>
      <c r="C19" s="1997" t="s">
        <v>5</v>
      </c>
      <c r="D19" s="1522" t="s">
        <v>115</v>
      </c>
      <c r="E19" s="1522" t="s">
        <v>883</v>
      </c>
      <c r="F19" s="1522" t="s">
        <v>21</v>
      </c>
      <c r="G19" s="1905">
        <f>IFERROR(IF(AND(Table1[[#This Row],[Loại số liệu]]="Kế hoạch",Table1[[#This Row],[Đơn vị]]="m2"),
   Table1[[#This Row],[Tổng (A1+A+B)]]*100/N20,
   IF(AND(Table1[[#This Row],[Loại số liệu]]="Thực hiện",Table1[[#This Row],[Đơn vị]]="m2"),
      T19,
      ""
   )
),0)</f>
        <v>471744</v>
      </c>
      <c r="H19" s="1905">
        <f>IF(AND(Table1[[#This Row],[Loại số liệu]]="Kế hoạch",Table1[[#This Row],[Đơn vị]]="m2"),
    U20*Table1[[#This Row],[Tổng (A1+A+B)]]/100,
    IF(AND(Table1[[#This Row],[Loại số liệu]]="Thực hiện",Table1[[#This Row],[Đơn vị]]="%"),
        IFERROR(#REF!/#REF!*100,""),
        U19
    )
)</f>
        <v>416078.20799999998</v>
      </c>
      <c r="I19" s="1905">
        <f>IF(AND(Table1[[#This Row],[Loại số liệu]]="Kế hoạch",Table1[[#This Row],[Đơn vị]]="m2"),
    V20*Table1[[#This Row],[Tổng (A1+A+B)]]/100,
    IF(AND(Table1[[#This Row],[Loại số liệu]]="Thực hiện",Table1[[#This Row],[Đơn vị]]="%"),
        IFERROR(#REF!/#REF!*100,""),
        V19
    )
)</f>
        <v>32361.6384</v>
      </c>
      <c r="J19" s="1905">
        <f>IF(AND(Table1[[#This Row],[Loại số liệu]]="Kế hoạch",Table1[[#This Row],[Đơn vị]]="m2"),
    W20*Table1[[#This Row],[Tổng (A1+A+B)]]/100,
    IF(AND(Table1[[#This Row],[Loại số liệu]]="Thực hiện",Table1[[#This Row],[Đơn vị]]="%"),
        IFERROR(#REF!/#REF!*100,""),
        W19
    )
)</f>
        <v>13869.273599999999</v>
      </c>
      <c r="K19" s="1905">
        <f>IF(AND(Table1[[#This Row],[Đơn vị]]="m2",Table1[[#This Row],[Loại số liệu]]="Kế hoạch"),
   X19*Y19,
   SUM(Table1[[#This Row],[A1]:[B]])
)</f>
        <v>462309.12</v>
      </c>
      <c r="L19" s="1905">
        <f t="shared" si="3"/>
        <v>30</v>
      </c>
      <c r="M19" s="1622">
        <f>IFERROR(IF(AND(Table1[[#This Row],[Loại số liệu]]="Kế hoạch",Table1[[#This Row],[Đơn vị]]="m2"),
   Y19,
   IF(AND(Table1[[#This Row],[Loại số liệu]]="Thực hiện",Table1[[#This Row],[Đơn vị]]="m2"),
      K19/L19,
      ""
   )
),"")</f>
        <v>15410.304</v>
      </c>
      <c r="N19" s="1905" t="str">
        <f>IF(AND(Table1[[#This Row],[Loại số liệu]]="Kế hoạch",Table1[[#This Row],[Đơn vị]]="%"),
    Z19,
    IF(AND(Table1[[#This Row],[Loại số liệu]]="Thực hiện",Table1[[#This Row],[Đơn vị]]="%"),
        IFERROR(#REF!/#REF!*100,""),
        IF(AND(Table1[[#This Row],[Loại số liệu]]="Thực hiện",Table1[[#This Row],[Đơn vị]]="m2"),
            Z19,
            ""
        )
    )
)</f>
        <v/>
      </c>
      <c r="O19" s="1905" t="str">
        <f>IF(AND(Table1[[#This Row],[Loại số liệu]]="Thực hiện",Table1[[#This Row],[Đơn vị]]="m2"),
    AA19,
    IF(Table1[[#This Row],[A/ép]]="",
        "",
        100-Table1[[#This Row],[A/ép]]
    )
)</f>
        <v/>
      </c>
      <c r="P19" s="1905" t="str">
        <f t="shared" si="4"/>
        <v/>
      </c>
      <c r="Q19" s="1905">
        <f t="shared" si="5"/>
        <v>40</v>
      </c>
      <c r="R19" s="1905">
        <f>IFERROR(Table1[[#This Row],[T/g dừng 2MF]]*Table1[[#This Row],[Số ngày SX]],"")</f>
        <v>1200</v>
      </c>
      <c r="S19" s="1925"/>
      <c r="T19" s="1911"/>
      <c r="U19" s="1905"/>
      <c r="V19" s="1905"/>
      <c r="W19" s="1905"/>
      <c r="X19" s="1910">
        <v>30</v>
      </c>
      <c r="Y19" s="1923">
        <v>15410.304</v>
      </c>
      <c r="Z19" s="1905"/>
      <c r="AA19" s="1905"/>
      <c r="AB19" s="1905"/>
      <c r="AC19" s="1912">
        <v>40</v>
      </c>
    </row>
    <row r="20" spans="1:29" ht="43" customHeight="1" x14ac:dyDescent="0.2">
      <c r="A20" s="1996">
        <f>IF(B20="","",COUNTA($B$3:B20))</f>
        <v>18</v>
      </c>
      <c r="B20" s="1997">
        <v>4</v>
      </c>
      <c r="C20" s="1997" t="s">
        <v>5</v>
      </c>
      <c r="D20" s="1522" t="s">
        <v>115</v>
      </c>
      <c r="E20" s="1522" t="s">
        <v>883</v>
      </c>
      <c r="F20" s="1623" t="s">
        <v>22</v>
      </c>
      <c r="G20" s="1905" t="str">
        <f>IFERROR(IF(AND(Table1[[#This Row],[Loại số liệu]]="Kế hoạch",Table1[[#This Row],[Đơn vị]]="m2"),
   Table1[[#This Row],[Tổng (A1+A+B)]]*100/N21,
   IF(AND(Table1[[#This Row],[Loại số liệu]]="Thực hiện",Table1[[#This Row],[Đơn vị]]="m2"),
      T20,
      ""
   )
),0)</f>
        <v/>
      </c>
      <c r="H20" s="1905">
        <f>IF(AND(Table1[[#This Row],[Loại số liệu]]="Kế hoạch",Table1[[#This Row],[Đơn vị]]="m2"),
    U21*Table1[[#This Row],[Tổng (A1+A+B)]]/100,
    IF(AND(Table1[[#This Row],[Loại số liệu]]="Thực hiện",Table1[[#This Row],[Đơn vị]]="%"),
        IFERROR(H19/$K19*100,""),
        U20
    )
)</f>
        <v>90</v>
      </c>
      <c r="I20" s="1905">
        <f>IF(AND(Table1[[#This Row],[Loại số liệu]]="Kế hoạch",Table1[[#This Row],[Đơn vị]]="m2"),
    V21*Table1[[#This Row],[Tổng (A1+A+B)]]/100,
    IF(AND(Table1[[#This Row],[Loại số liệu]]="Thực hiện",Table1[[#This Row],[Đơn vị]]="%"),
        IFERROR(I19/$K19*100,""),
        V20
    )
)</f>
        <v>7</v>
      </c>
      <c r="J20" s="1905">
        <f>IF(AND(Table1[[#This Row],[Loại số liệu]]="Kế hoạch",Table1[[#This Row],[Đơn vị]]="m2"),
    W21*Table1[[#This Row],[Tổng (A1+A+B)]]/100,
    IF(AND(Table1[[#This Row],[Loại số liệu]]="Thực hiện",Table1[[#This Row],[Đơn vị]]="%"),
        IFERROR(J19/$K19*100,""),
        W20
    )
)</f>
        <v>3</v>
      </c>
      <c r="K20" s="1905">
        <f>IF(AND(Table1[[#This Row],[Đơn vị]]="m2",Table1[[#This Row],[Loại số liệu]]="Kế hoạch"),
   X20*Y20,
   SUM(Table1[[#This Row],[A1]:[B]])
)</f>
        <v>100</v>
      </c>
      <c r="L20" s="1905" t="str">
        <f t="shared" ref="L20:L26" si="6">IF(X20="","",X20)</f>
        <v/>
      </c>
      <c r="M20" s="1622" t="str">
        <f>IFERROR(IF(AND(Table1[[#This Row],[Loại số liệu]]="Kế hoạch",Table1[[#This Row],[Đơn vị]]="m2"),
   Y20,
   IF(AND(Table1[[#This Row],[Loại số liệu]]="Thực hiện",Table1[[#This Row],[Đơn vị]]="m2"),
      K20/L20,
      ""
   )
),"")</f>
        <v/>
      </c>
      <c r="N20" s="1905">
        <f>IF(AND(Table1[[#This Row],[Loại số liệu]]="Kế hoạch",Table1[[#This Row],[Đơn vị]]="%"),
    Z20,
    IF(AND(Table1[[#This Row],[Loại số liệu]]="Thực hiện",Table1[[#This Row],[Đơn vị]]="%"),
        IFERROR(K19/T19*100,""),
        IF(AND(Table1[[#This Row],[Loại số liệu]]="Thực hiện",Table1[[#This Row],[Đơn vị]]="m2"),
            Z20,
            ""
        )
    )
)</f>
        <v>98</v>
      </c>
      <c r="O20" s="1905">
        <f>IF(AND(Table1[[#This Row],[Loại số liệu]]="Thực hiện",Table1[[#This Row],[Đơn vị]]="m2"),
    AA20,
    IF(Table1[[#This Row],[A/ép]]="",
        "",
        100-Table1[[#This Row],[A/ép]]
    )
)</f>
        <v>2</v>
      </c>
      <c r="P20" s="1905" t="str">
        <f t="shared" ref="P20:P26" si="7">IF(AB20="","",AB20)</f>
        <v/>
      </c>
      <c r="Q20" s="1905" t="str">
        <f t="shared" ref="Q20:Q26" si="8">IF(AC20="","",AC20)</f>
        <v/>
      </c>
      <c r="R20" s="1905" t="str">
        <f>IFERROR(Table1[[#This Row],[T/g dừng 2MF]]*Table1[[#This Row],[Số ngày SX]],"")</f>
        <v/>
      </c>
      <c r="S20" s="1925"/>
      <c r="T20" s="1911"/>
      <c r="U20" s="1910">
        <v>90</v>
      </c>
      <c r="V20" s="1910">
        <v>7</v>
      </c>
      <c r="W20" s="1910">
        <v>3</v>
      </c>
      <c r="X20" s="1905"/>
      <c r="Y20" s="1622"/>
      <c r="Z20" s="1910">
        <v>98</v>
      </c>
      <c r="AA20" s="1910">
        <v>2</v>
      </c>
      <c r="AB20" s="1905"/>
      <c r="AC20" s="1909"/>
    </row>
    <row r="21" spans="1:29" ht="44" customHeight="1" x14ac:dyDescent="0.2">
      <c r="A21" s="1996">
        <f>IF(B21="","",COUNTA($B$3:B21))</f>
        <v>19</v>
      </c>
      <c r="B21" s="1997">
        <v>4</v>
      </c>
      <c r="C21" s="1997" t="s">
        <v>5</v>
      </c>
      <c r="D21" s="1522" t="s">
        <v>115</v>
      </c>
      <c r="E21" s="1522" t="s">
        <v>1013</v>
      </c>
      <c r="F21" s="1522" t="s">
        <v>21</v>
      </c>
      <c r="G21" s="1905">
        <f>IFERROR(IF(AND(Table1[[#This Row],[Loại số liệu]]="Kế hoạch",Table1[[#This Row],[Đơn vị]]="m2"),
   Table1[[#This Row],[Tổng (A1+A+B)]]*100/N22,
   IF(AND(Table1[[#This Row],[Loại số liệu]]="Thực hiện",Table1[[#This Row],[Đơn vị]]="m2"),
      T21,
      ""
   )
),0)</f>
        <v>484224</v>
      </c>
      <c r="H21" s="1905">
        <f>IF(AND(Table1[[#This Row],[Loại số liệu]]="Kế hoạch",Table1[[#This Row],[Đơn vị]]="m2"),
    U22*Table1[[#This Row],[Tổng (A1+A+B)]]/100,
    IF(AND(Table1[[#This Row],[Loại số liệu]]="Thực hiện",Table1[[#This Row],[Đơn vị]]="%"),
        IFERROR(H20/$K20*100,""),
        U21
    )
)</f>
        <v>452432.16</v>
      </c>
      <c r="I21" s="1905">
        <f>IF(AND(Table1[[#This Row],[Loại số liệu]]="Kế hoạch",Table1[[#This Row],[Đơn vị]]="m2"),
    V22*Table1[[#This Row],[Tổng (A1+A+B)]]/100,
    IF(AND(Table1[[#This Row],[Loại số liệu]]="Thực hiện",Table1[[#This Row],[Đơn vị]]="%"),
        IFERROR(I20/$K20*100,""),
        V21
    )
)</f>
        <v>8308.7999999999993</v>
      </c>
      <c r="J21" s="1905">
        <f>IF(AND(Table1[[#This Row],[Loại số liệu]]="Kế hoạch",Table1[[#This Row],[Đơn vị]]="m2"),
    W22*Table1[[#This Row],[Tổng (A1+A+B)]]/100,
    IF(AND(Table1[[#This Row],[Loại số liệu]]="Thực hiện",Table1[[#This Row],[Đơn vị]]="%"),
        IFERROR(J20/$K20*100,""),
        W21
    )
)</f>
        <v>18731.52</v>
      </c>
      <c r="K21" s="1905">
        <f>IF(AND(Table1[[#This Row],[Đơn vị]]="m2",Table1[[#This Row],[Loại số liệu]]="Kế hoạch"),
   X21*Y21,
   SUM(Table1[[#This Row],[A1]:[B]])
)</f>
        <v>479472.48</v>
      </c>
      <c r="L21" s="1905">
        <f t="shared" si="6"/>
        <v>30</v>
      </c>
      <c r="M21" s="1622">
        <f>IFERROR(IF(AND(Table1[[#This Row],[Loại số liệu]]="Kế hoạch",Table1[[#This Row],[Đơn vị]]="m2"),
   Y21,
   IF(AND(Table1[[#This Row],[Loại số liệu]]="Thực hiện",Table1[[#This Row],[Đơn vị]]="m2"),
      K21/L21,
      ""
   )
),"")</f>
        <v>15982.415999999999</v>
      </c>
      <c r="N21" s="1905">
        <f>IF(AND(Table1[[#This Row],[Loại số liệu]]="Kế hoạch",Table1[[#This Row],[Đơn vị]]="%"),
    Z21,
    IF(AND(Table1[[#This Row],[Loại số liệu]]="Thực hiện",Table1[[#This Row],[Đơn vị]]="%"),
        IFERROR(K20/T20*100,""),
        IF(AND(Table1[[#This Row],[Loại số liệu]]="Thực hiện",Table1[[#This Row],[Đơn vị]]="m2"),
            Z21,
            ""
        )
    )
)</f>
        <v>0</v>
      </c>
      <c r="O21" s="1905">
        <f>IF(AND(Table1[[#This Row],[Loại số liệu]]="Thực hiện",Table1[[#This Row],[Đơn vị]]="m2"),
    AA21,
    IF(Table1[[#This Row],[A/ép]]="",
        "",
        100-Table1[[#This Row],[A/ép]]
    )
)</f>
        <v>1634.4</v>
      </c>
      <c r="P21" s="1905">
        <f t="shared" si="7"/>
        <v>1121.76</v>
      </c>
      <c r="Q21" s="1905">
        <f t="shared" si="8"/>
        <v>20</v>
      </c>
      <c r="R21" s="1905">
        <f>IFERROR(Table1[[#This Row],[T/g dừng 2MF]]*Table1[[#This Row],[Số ngày SX]],"")</f>
        <v>600</v>
      </c>
      <c r="S21" s="1925"/>
      <c r="T21" s="1913">
        <v>484224</v>
      </c>
      <c r="U21" s="1910">
        <v>452432.16</v>
      </c>
      <c r="V21" s="1910">
        <v>8308.7999999999993</v>
      </c>
      <c r="W21" s="1910">
        <v>18731.52</v>
      </c>
      <c r="X21" s="1910">
        <v>30</v>
      </c>
      <c r="Y21" s="1923">
        <v>15982</v>
      </c>
      <c r="Z21" s="1914"/>
      <c r="AA21" s="1910">
        <v>1634.4</v>
      </c>
      <c r="AB21" s="1910">
        <v>1121.76</v>
      </c>
      <c r="AC21" s="1915">
        <v>20</v>
      </c>
    </row>
    <row r="22" spans="1:29" ht="43" customHeight="1" x14ac:dyDescent="0.2">
      <c r="A22" s="1996">
        <f>IF(B22="","",COUNTA($B$3:B22))</f>
        <v>20</v>
      </c>
      <c r="B22" s="1997">
        <v>4</v>
      </c>
      <c r="C22" s="1997" t="s">
        <v>5</v>
      </c>
      <c r="D22" s="1522" t="s">
        <v>115</v>
      </c>
      <c r="E22" s="1522" t="s">
        <v>1013</v>
      </c>
      <c r="F22" s="1623" t="s">
        <v>22</v>
      </c>
      <c r="G22" s="1905" t="str">
        <f>IFERROR(IF(AND(Table1[[#This Row],[Loại số liệu]]="Kế hoạch",Table1[[#This Row],[Đơn vị]]="m2"),
   Table1[[#This Row],[Tổng (A1+A+B)]]*100/N23,
   IF(AND(Table1[[#This Row],[Loại số liệu]]="Thực hiện",Table1[[#This Row],[Đơn vị]]="m2"),
      T22,
      ""
   )
),0)</f>
        <v/>
      </c>
      <c r="H22" s="1905">
        <f>IF(AND(Table1[[#This Row],[Loại số liệu]]="Kế hoạch",Table1[[#This Row],[Đơn vị]]="m2"),
    U23*Table1[[#This Row],[Tổng (A1+A+B)]]/100,
    IF(AND(Table1[[#This Row],[Loại số liệu]]="Thực hiện",Table1[[#This Row],[Đơn vị]]="%"),
        IFERROR(H21/$K21*100,""),
        U22
    )
)</f>
        <v>94.360402081887997</v>
      </c>
      <c r="I22" s="1905">
        <f>IF(AND(Table1[[#This Row],[Loại số liệu]]="Kế hoạch",Table1[[#This Row],[Đơn vị]]="m2"),
    V23*Table1[[#This Row],[Tổng (A1+A+B)]]/100,
    IF(AND(Table1[[#This Row],[Loại số liệu]]="Thực hiện",Table1[[#This Row],[Đơn vị]]="%"),
        IFERROR(I21/$K21*100,""),
        V22
    )
)</f>
        <v>1.7329044620037419</v>
      </c>
      <c r="J22" s="1905">
        <f>IF(AND(Table1[[#This Row],[Loại số liệu]]="Kế hoạch",Table1[[#This Row],[Đơn vị]]="m2"),
    W23*Table1[[#This Row],[Tổng (A1+A+B)]]/100,
    IF(AND(Table1[[#This Row],[Loại số liệu]]="Thực hiện",Table1[[#This Row],[Đơn vị]]="%"),
        IFERROR(J21/$K21*100,""),
        W22
    )
)</f>
        <v>3.9066934561082629</v>
      </c>
      <c r="K22" s="1905">
        <f>IF(AND(Table1[[#This Row],[Đơn vị]]="m2",Table1[[#This Row],[Loại số liệu]]="Kế hoạch"),
   X22*Y22,
   SUM(Table1[[#This Row],[A1]:[B]])
)</f>
        <v>100</v>
      </c>
      <c r="L22" s="1905" t="str">
        <f t="shared" si="6"/>
        <v/>
      </c>
      <c r="M22" s="1622" t="str">
        <f>IFERROR(IF(AND(Table1[[#This Row],[Loại số liệu]]="Kế hoạch",Table1[[#This Row],[Đơn vị]]="m2"),
   Y22,
   IF(AND(Table1[[#This Row],[Loại số liệu]]="Thực hiện",Table1[[#This Row],[Đơn vị]]="m2"),
      K22/L22,
      ""
   )
),"")</f>
        <v/>
      </c>
      <c r="N22" s="1905">
        <f>IF(AND(Table1[[#This Row],[Loại số liệu]]="Kế hoạch",Table1[[#This Row],[Đơn vị]]="%"),
    Z22,
    IF(AND(Table1[[#This Row],[Loại số liệu]]="Thực hiện",Table1[[#This Row],[Đơn vị]]="%"),
        IFERROR(K21/T21*100,""),
        IF(AND(Table1[[#This Row],[Loại số liệu]]="Thực hiện",Table1[[#This Row],[Đơn vị]]="m2"),
            Z22,
            ""
        )
    )
)</f>
        <v>99.01873513084854</v>
      </c>
      <c r="O22" s="1905">
        <f>IF(AND(Table1[[#This Row],[Loại số liệu]]="Thực hiện",Table1[[#This Row],[Đơn vị]]="m2"),
    AA22,
    IF(Table1[[#This Row],[A/ép]]="",
        "",
        100-Table1[[#This Row],[A/ép]]
    )
)</f>
        <v>0.98126486915145961</v>
      </c>
      <c r="P22" s="1905" t="str">
        <f t="shared" si="7"/>
        <v/>
      </c>
      <c r="Q22" s="1905" t="str">
        <f t="shared" si="8"/>
        <v/>
      </c>
      <c r="R22" s="1905" t="str">
        <f>IFERROR(Table1[[#This Row],[T/g dừng 2MF]]*Table1[[#This Row],[Số ngày SX]],"")</f>
        <v/>
      </c>
      <c r="S22" s="1925"/>
      <c r="T22" s="1911"/>
      <c r="U22" s="1905"/>
      <c r="V22" s="1905"/>
      <c r="W22" s="1905"/>
      <c r="X22" s="1905"/>
      <c r="Y22" s="1622"/>
      <c r="Z22" s="1905"/>
      <c r="AA22" s="1905"/>
      <c r="AB22" s="1905"/>
      <c r="AC22" s="1909"/>
    </row>
    <row r="23" spans="1:29" ht="44" customHeight="1" x14ac:dyDescent="0.2">
      <c r="A23" s="1996">
        <f>IF(B23="","",COUNTA($B$3:B23))</f>
        <v>21</v>
      </c>
      <c r="B23" s="1997">
        <v>4</v>
      </c>
      <c r="C23" s="1997" t="s">
        <v>25</v>
      </c>
      <c r="D23" s="1522" t="s">
        <v>119</v>
      </c>
      <c r="E23" s="1522" t="s">
        <v>883</v>
      </c>
      <c r="F23" s="1522" t="s">
        <v>21</v>
      </c>
      <c r="G23" s="1905">
        <f>IFERROR(IF(AND(Table1[[#This Row],[Loại số liệu]]="Kế hoạch",Table1[[#This Row],[Đơn vị]]="m2"),
   Table1[[#This Row],[Tổng (A1+A+B)]]*100/N24,
   IF(AND(Table1[[#This Row],[Loại số liệu]]="Thực hiện",Table1[[#This Row],[Đơn vị]]="m2"),
      T23,
      ""
   )
),0)</f>
        <v>196980</v>
      </c>
      <c r="H23" s="1905">
        <f>IF(AND(Table1[[#This Row],[Loại số liệu]]="Kế hoạch",Table1[[#This Row],[Đơn vị]]="m2"),
    U24*Table1[[#This Row],[Tổng (A1+A+B)]]/100,
    IF(AND(Table1[[#This Row],[Loại số liệu]]="Thực hiện",Table1[[#This Row],[Đơn vị]]="%"),
        IFERROR(H22/$K22*100,""),
        U23
    )
)</f>
        <v>181457.97599999997</v>
      </c>
      <c r="I23" s="1905">
        <f>IF(AND(Table1[[#This Row],[Loại số liệu]]="Kế hoạch",Table1[[#This Row],[Đơn vị]]="m2"),
    V24*Table1[[#This Row],[Tổng (A1+A+B)]]/100,
    IF(AND(Table1[[#This Row],[Loại số liệu]]="Thực hiện",Table1[[#This Row],[Đơn vị]]="%"),
        IFERROR(I22/$K22*100,""),
        V23
    )
)</f>
        <v>5791.2119999999995</v>
      </c>
      <c r="J23" s="1905">
        <f>IF(AND(Table1[[#This Row],[Loại số liệu]]="Kế hoạch",Table1[[#This Row],[Đơn vị]]="m2"),
    W24*Table1[[#This Row],[Tổng (A1+A+B)]]/100,
    IF(AND(Table1[[#This Row],[Loại số liệu]]="Thực hiện",Table1[[#This Row],[Đơn vị]]="%"),
        IFERROR(J22/$K22*100,""),
        W23
    )
)</f>
        <v>5791.2119999999995</v>
      </c>
      <c r="K23" s="1905">
        <f>IF(AND(Table1[[#This Row],[Đơn vị]]="m2",Table1[[#This Row],[Loại số liệu]]="Kế hoạch"),
   X23*Y23,
   SUM(Table1[[#This Row],[A1]:[B]])
)</f>
        <v>193040.4</v>
      </c>
      <c r="L23" s="1905">
        <f t="shared" si="6"/>
        <v>14</v>
      </c>
      <c r="M23" s="1622">
        <f>IFERROR(IF(AND(Table1[[#This Row],[Loại số liệu]]="Kế hoạch",Table1[[#This Row],[Đơn vị]]="m2"),
   Y23,
   IF(AND(Table1[[#This Row],[Loại số liệu]]="Thực hiện",Table1[[#This Row],[Đơn vị]]="m2"),
      K23/L23,
      ""
   )
),"")</f>
        <v>13788.6</v>
      </c>
      <c r="N23" s="1905" t="str">
        <f>IF(AND(Table1[[#This Row],[Loại số liệu]]="Kế hoạch",Table1[[#This Row],[Đơn vị]]="%"),
    Z23,
    IF(AND(Table1[[#This Row],[Loại số liệu]]="Thực hiện",Table1[[#This Row],[Đơn vị]]="%"),
        IFERROR(K22/T22*100,""),
        IF(AND(Table1[[#This Row],[Loại số liệu]]="Thực hiện",Table1[[#This Row],[Đơn vị]]="m2"),
            Z23,
            ""
        )
    )
)</f>
        <v/>
      </c>
      <c r="O23" s="1905" t="str">
        <f>IF(AND(Table1[[#This Row],[Loại số liệu]]="Thực hiện",Table1[[#This Row],[Đơn vị]]="m2"),
    AA24,
    IF(Table1[[#This Row],[A/ép]]="",
        "",
        100-Table1[[#This Row],[A/ép]]
    )
)</f>
        <v/>
      </c>
      <c r="P23" s="1905" t="str">
        <f t="shared" si="7"/>
        <v/>
      </c>
      <c r="Q23" s="1905">
        <f t="shared" si="8"/>
        <v>100</v>
      </c>
      <c r="R23" s="1905">
        <f>IFERROR(Table1[[#This Row],[T/g dừng 2MF]]*Table1[[#This Row],[Số ngày SX]],"")</f>
        <v>1400</v>
      </c>
      <c r="S23" s="1925"/>
      <c r="T23" s="1911"/>
      <c r="U23" s="1905"/>
      <c r="V23" s="1905"/>
      <c r="W23" s="1905"/>
      <c r="X23" s="1910">
        <v>14</v>
      </c>
      <c r="Y23" s="1923">
        <v>13788.6</v>
      </c>
      <c r="Z23" s="1905"/>
      <c r="AA23" s="1905"/>
      <c r="AB23" s="1905"/>
      <c r="AC23" s="1912">
        <v>100</v>
      </c>
    </row>
    <row r="24" spans="1:29" ht="34" customHeight="1" x14ac:dyDescent="0.2">
      <c r="A24" s="1996">
        <f>IF(B24="","",COUNTA($B$3:B24))</f>
        <v>22</v>
      </c>
      <c r="B24" s="1997">
        <v>4</v>
      </c>
      <c r="C24" s="1997" t="s">
        <v>25</v>
      </c>
      <c r="D24" s="1522" t="s">
        <v>119</v>
      </c>
      <c r="E24" s="1522" t="s">
        <v>883</v>
      </c>
      <c r="F24" s="1623" t="s">
        <v>22</v>
      </c>
      <c r="G24" s="1905" t="str">
        <f>IFERROR(IF(AND(Table1[[#This Row],[Loại số liệu]]="Kế hoạch",Table1[[#This Row],[Đơn vị]]="m2"),
   Table1[[#This Row],[Tổng (A1+A+B)]]*100/N25,
   IF(AND(Table1[[#This Row],[Loại số liệu]]="Thực hiện",Table1[[#This Row],[Đơn vị]]="m2"),
      T24,
      ""
   )
),0)</f>
        <v/>
      </c>
      <c r="H24" s="1905">
        <f>IF(AND(Table1[[#This Row],[Loại số liệu]]="Kế hoạch",Table1[[#This Row],[Đơn vị]]="m2"),
    U25*Table1[[#This Row],[Tổng (A1+A+B)]]/100,
    IF(AND(Table1[[#This Row],[Loại số liệu]]="Thực hiện",Table1[[#This Row],[Đơn vị]]="%"),
        IFERROR(H23/$K23*100,""),
        U24
    )
)</f>
        <v>94</v>
      </c>
      <c r="I24" s="1905">
        <f>IF(AND(Table1[[#This Row],[Loại số liệu]]="Kế hoạch",Table1[[#This Row],[Đơn vị]]="m2"),
    V25*Table1[[#This Row],[Tổng (A1+A+B)]]/100,
    IF(AND(Table1[[#This Row],[Loại số liệu]]="Thực hiện",Table1[[#This Row],[Đơn vị]]="%"),
        IFERROR(I23/$K23*100,""),
        V24
    )
)</f>
        <v>3</v>
      </c>
      <c r="J24" s="1905">
        <f>IF(AND(Table1[[#This Row],[Loại số liệu]]="Kế hoạch",Table1[[#This Row],[Đơn vị]]="m2"),
    W25*Table1[[#This Row],[Tổng (A1+A+B)]]/100,
    IF(AND(Table1[[#This Row],[Loại số liệu]]="Thực hiện",Table1[[#This Row],[Đơn vị]]="%"),
        IFERROR(J23/$K23*100,""),
        W24
    )
)</f>
        <v>3</v>
      </c>
      <c r="K24" s="1905">
        <f>IF(AND(Table1[[#This Row],[Đơn vị]]="m2",Table1[[#This Row],[Loại số liệu]]="Kế hoạch"),
   X24*Y24,
   SUM(Table1[[#This Row],[A1]:[B]])
)</f>
        <v>100</v>
      </c>
      <c r="L24" s="1905" t="str">
        <f t="shared" si="6"/>
        <v/>
      </c>
      <c r="M24" s="1622" t="str">
        <f>IFERROR(IF(AND(Table1[[#This Row],[Loại số liệu]]="Kế hoạch",Table1[[#This Row],[Đơn vị]]="m2"),
   Y24,
   IF(AND(Table1[[#This Row],[Loại số liệu]]="Thực hiện",Table1[[#This Row],[Đơn vị]]="m2"),
      K24/L24,
      ""
   )
),"")</f>
        <v/>
      </c>
      <c r="N24" s="1905">
        <f>IF(AND(Table1[[#This Row],[Loại số liệu]]="Kế hoạch",Table1[[#This Row],[Đơn vị]]="%"),
    Z24,
    IF(AND(Table1[[#This Row],[Loại số liệu]]="Thực hiện",Table1[[#This Row],[Đơn vị]]="%"),
        IFERROR(K23/T23*100,""),
        IF(AND(Table1[[#This Row],[Loại số liệu]]="Thực hiện",Table1[[#This Row],[Đơn vị]]="m2"),
            Z24,
            ""
        )
    )
)</f>
        <v>98</v>
      </c>
      <c r="O24" s="1905">
        <f>IF(AND(Table1[[#This Row],[Loại số liệu]]="Thực hiện",Table1[[#This Row],[Đơn vị]]="m2"),#REF!,
    IF(
    Table1[[#This Row],[A/ép]]="",
        "",
        100-Table1[[#This Row],[A/ép]]
    )
)</f>
        <v>2</v>
      </c>
      <c r="P24" s="1905" t="str">
        <f t="shared" si="7"/>
        <v/>
      </c>
      <c r="Q24" s="1905" t="str">
        <f t="shared" si="8"/>
        <v/>
      </c>
      <c r="R24" s="1905" t="str">
        <f>IFERROR(Table1[[#This Row],[T/g dừng 2MF]]*Table1[[#This Row],[Số ngày SX]],"")</f>
        <v/>
      </c>
      <c r="S24" s="1925"/>
      <c r="T24" s="1911"/>
      <c r="U24" s="1910">
        <v>94</v>
      </c>
      <c r="V24" s="1910">
        <v>3</v>
      </c>
      <c r="W24" s="1910">
        <v>3</v>
      </c>
      <c r="X24" s="1905"/>
      <c r="Y24" s="1622"/>
      <c r="Z24" s="1905">
        <v>98</v>
      </c>
      <c r="AA24" s="1905">
        <v>2</v>
      </c>
      <c r="AB24" s="1905"/>
      <c r="AC24" s="1909"/>
    </row>
    <row r="25" spans="1:29" ht="44" customHeight="1" x14ac:dyDescent="0.2">
      <c r="A25" s="1996">
        <f>IF(B25="","",COUNTA($B$3:B25))</f>
        <v>23</v>
      </c>
      <c r="B25" s="1997">
        <v>4</v>
      </c>
      <c r="C25" s="1997" t="s">
        <v>25</v>
      </c>
      <c r="D25" s="1522" t="s">
        <v>119</v>
      </c>
      <c r="E25" s="1522" t="s">
        <v>1013</v>
      </c>
      <c r="F25" s="1522" t="s">
        <v>21</v>
      </c>
      <c r="G25" s="1905">
        <f>IFERROR(IF(AND(Table1[[#This Row],[Loại số liệu]]="Kế hoạch",Table1[[#This Row],[Đơn vị]]="m2"),
   Table1[[#This Row],[Tổng (A1+A+B)]]*100/N26,
   IF(AND(Table1[[#This Row],[Loại số liệu]]="Thực hiện",Table1[[#This Row],[Đơn vị]]="m2"),
      T25,
      ""
   )
),0)</f>
        <v>209653</v>
      </c>
      <c r="H25" s="1905">
        <f>IF(AND(Table1[[#This Row],[Loại số liệu]]="Kế hoạch",Table1[[#This Row],[Đơn vị]]="m2"),
    U26*Table1[[#This Row],[Tổng (A1+A+B)]]/100,
    IF(AND(Table1[[#This Row],[Loại số liệu]]="Thực hiện",Table1[[#This Row],[Đơn vị]]="%"),
        IFERROR(H24/$K24*100,""),
        U25
    )
)</f>
        <v>207028.5</v>
      </c>
      <c r="I25" s="1905">
        <f>IF(AND(Table1[[#This Row],[Loại số liệu]]="Kế hoạch",Table1[[#This Row],[Đơn vị]]="m2"),
    V26*Table1[[#This Row],[Tổng (A1+A+B)]]/100,
    IF(AND(Table1[[#This Row],[Loại số liệu]]="Thực hiện",Table1[[#This Row],[Đơn vị]]="%"),
        IFERROR(I24/$K24*100,""),
        V25
    )
)</f>
        <v>0</v>
      </c>
      <c r="J25" s="1905">
        <f>IF(AND(Table1[[#This Row],[Loại số liệu]]="Kế hoạch",Table1[[#This Row],[Đơn vị]]="m2"),
    W26*Table1[[#This Row],[Tổng (A1+A+B)]]/100,
    IF(AND(Table1[[#This Row],[Loại số liệu]]="Thực hiện",Table1[[#This Row],[Đơn vị]]="%"),
        IFERROR(J24/$K24*100,""),
        W25
    )
)</f>
        <v>1215</v>
      </c>
      <c r="K25" s="1905">
        <f>IF(AND(Table1[[#This Row],[Đơn vị]]="m2",Table1[[#This Row],[Loại số liệu]]="Kế hoạch"),
   X25*Y25,
   SUM(Table1[[#This Row],[A1]:[B]])
)</f>
        <v>208243.5</v>
      </c>
      <c r="L25" s="1905">
        <f t="shared" si="6"/>
        <v>14</v>
      </c>
      <c r="M25" s="1622">
        <f>IFERROR(IF(AND(Table1[[#This Row],[Loại số liệu]]="Kế hoạch",Table1[[#This Row],[Đơn vị]]="m2"),
   Y25,
   IF(AND(Table1[[#This Row],[Loại số liệu]]="Thực hiện",Table1[[#This Row],[Đơn vị]]="m2"),
      K25/L25,
      ""
   )
),"")</f>
        <v>14874.535714285714</v>
      </c>
      <c r="N25" s="1905">
        <f>IF(AND(Table1[[#This Row],[Loại số liệu]]="Kế hoạch",Table1[[#This Row],[Đơn vị]]="%"),
    Z25,
    IF(AND(Table1[[#This Row],[Loại số liệu]]="Thực hiện",Table1[[#This Row],[Đơn vị]]="%"),
        IFERROR(K24/T24*100,""),
        IF(AND(Table1[[#This Row],[Loại số liệu]]="Thực hiện",Table1[[#This Row],[Đơn vị]]="m2"),
            Z25,
            ""
        )
    )
)</f>
        <v>0</v>
      </c>
      <c r="O25" s="1905">
        <f>IF(AND(Table1[[#This Row],[Loại số liệu]]="Thực hiện",Table1[[#This Row],[Đơn vị]]="m2"),
    AA25,
    IF(Table1[[#This Row],[A/ép]]="",
        "",
        100-Table1[[#This Row],[A/ép]]
    )
)</f>
        <v>729</v>
      </c>
      <c r="P25" s="1905">
        <f t="shared" si="7"/>
        <v>603</v>
      </c>
      <c r="Q25" s="1905">
        <f t="shared" si="8"/>
        <v>75</v>
      </c>
      <c r="R25" s="1905">
        <f>IFERROR(Table1[[#This Row],[T/g dừng 2MF]]*Table1[[#This Row],[Số ngày SX]],"")</f>
        <v>1050</v>
      </c>
      <c r="S25" s="1925"/>
      <c r="T25" s="1913">
        <v>209653</v>
      </c>
      <c r="U25" s="1910">
        <v>207028.5</v>
      </c>
      <c r="V25" s="1910">
        <v>0</v>
      </c>
      <c r="W25" s="1910">
        <v>1215</v>
      </c>
      <c r="X25" s="1910">
        <v>14</v>
      </c>
      <c r="Y25" s="1923">
        <v>14875</v>
      </c>
      <c r="Z25" s="1914"/>
      <c r="AA25" s="1910">
        <v>729</v>
      </c>
      <c r="AB25" s="1910">
        <v>603</v>
      </c>
      <c r="AC25" s="1915">
        <v>75</v>
      </c>
    </row>
    <row r="26" spans="1:29" ht="24" customHeight="1" x14ac:dyDescent="0.2">
      <c r="A26" s="1996">
        <f>IF(B26="","",COUNTA($B$3:B26))</f>
        <v>24</v>
      </c>
      <c r="B26" s="1997">
        <v>4</v>
      </c>
      <c r="C26" s="1997" t="s">
        <v>25</v>
      </c>
      <c r="D26" s="1522" t="s">
        <v>119</v>
      </c>
      <c r="E26" s="1522" t="s">
        <v>1013</v>
      </c>
      <c r="F26" s="1623" t="s">
        <v>22</v>
      </c>
      <c r="G26" s="1905" t="str">
        <f>IFERROR(IF(AND(Table1[[#This Row],[Loại số liệu]]="Kế hoạch",Table1[[#This Row],[Đơn vị]]="m2"),
   Table1[[#This Row],[Tổng (A1+A+B)]]*100/#REF!,
   IF(AND(Table1[[#This Row],[Loại số liệu]]="Thực hiện",Table1[[#This Row],[Đơn vị]]="m2"),
      T26,
      ""
   )
),0)</f>
        <v/>
      </c>
      <c r="H26" s="1905">
        <f>IF(AND(Table1[[#This Row],[Loại số liệu]]="Kế hoạch",Table1[[#This Row],[Đơn vị]]="m2"),#REF!*
    Table1[[#This Row],[Tổng (A1+A+B)]]/100,
    IF(AND(Table1[[#This Row],[Loại số liệu]]="Thực hiện",Table1[[#This Row],[Đơn vị]]="%"),
        IFERROR(H25/$K25*100,""),
        U26
    )
)</f>
        <v>99.416548415676843</v>
      </c>
      <c r="I26" s="1905">
        <f>IF(AND(Table1[[#This Row],[Loại số liệu]]="Kế hoạch",Table1[[#This Row],[Đơn vị]]="m2"),#REF!*
    Table1[[#This Row],[Tổng (A1+A+B)]]/100,
    IF(AND(Table1[[#This Row],[Loại số liệu]]="Thực hiện",Table1[[#This Row],[Đơn vị]]="%"),
        IFERROR(I25/$K25*100,""),
        V26
    )
)</f>
        <v>0</v>
      </c>
      <c r="J26" s="1905">
        <f>IF(AND(Table1[[#This Row],[Loại số liệu]]="Kế hoạch",Table1[[#This Row],[Đơn vị]]="m2"),#REF!*
    Table1[[#This Row],[Tổng (A1+A+B)]]/100,
    IF(AND(Table1[[#This Row],[Loại số liệu]]="Thực hiện",Table1[[#This Row],[Đơn vị]]="%"),
        IFERROR(J25/$K25*100,""),
        W26
    )
)</f>
        <v>0.58345158432316013</v>
      </c>
      <c r="K26" s="1905">
        <f>IF(AND(Table1[[#This Row],[Đơn vị]]="m2",Table1[[#This Row],[Loại số liệu]]="Kế hoạch"),
   X26*Y26,
   SUM(Table1[[#This Row],[A1]:[B]])
)</f>
        <v>100</v>
      </c>
      <c r="L26" s="1905" t="str">
        <f t="shared" si="6"/>
        <v/>
      </c>
      <c r="M26" s="1622" t="str">
        <f>IFERROR(IF(AND(Table1[[#This Row],[Loại số liệu]]="Kế hoạch",Table1[[#This Row],[Đơn vị]]="m2"),
   Y26,
   IF(AND(Table1[[#This Row],[Loại số liệu]]="Thực hiện",Table1[[#This Row],[Đơn vị]]="m2"),
      K26/L26,
      ""
   )
),"")</f>
        <v/>
      </c>
      <c r="N26" s="1905">
        <f>IF(AND(Table1[[#This Row],[Loại số liệu]]="Kế hoạch",Table1[[#This Row],[Đơn vị]]="%"),
    Z26,
    IF(AND(Table1[[#This Row],[Loại số liệu]]="Thực hiện",Table1[[#This Row],[Đơn vị]]="%"),
        IFERROR(K25/T25*100,""),
        IF(AND(Table1[[#This Row],[Loại số liệu]]="Thực hiện",Table1[[#This Row],[Đơn vị]]="m2"),
            Z26,
            ""
        )
    )
)</f>
        <v>99.327698625824581</v>
      </c>
      <c r="O26" s="1905">
        <f>IF(AND(Table1[[#This Row],[Loại số liệu]]="Thực hiện",Table1[[#This Row],[Đơn vị]]="m2"),
    AA26,
    IF(Table1[[#This Row],[A/ép]]="",
        "",
        100-Table1[[#This Row],[A/ép]]
    )
)</f>
        <v>0.67230137417541869</v>
      </c>
      <c r="P26" s="1905" t="str">
        <f t="shared" si="7"/>
        <v/>
      </c>
      <c r="Q26" s="1905" t="str">
        <f t="shared" si="8"/>
        <v/>
      </c>
      <c r="R26" s="1905" t="str">
        <f>IFERROR(Table1[[#This Row],[T/g dừng 2MF]]*Table1[[#This Row],[Số ngày SX]],"")</f>
        <v/>
      </c>
      <c r="S26" s="1925"/>
      <c r="T26" s="1911"/>
      <c r="U26" s="1905"/>
      <c r="V26" s="1905"/>
      <c r="W26" s="1905"/>
      <c r="X26" s="1905"/>
      <c r="Y26" s="1622"/>
      <c r="Z26" s="1905"/>
      <c r="AA26" s="1905"/>
      <c r="AB26" s="1905"/>
      <c r="AC26" s="1909"/>
    </row>
    <row r="27" spans="1:29" ht="44" customHeight="1" x14ac:dyDescent="0.2">
      <c r="A27" s="1996">
        <f>IF(B27="","",COUNTA($B$3:B27))</f>
        <v>25</v>
      </c>
      <c r="B27" s="1997">
        <v>4</v>
      </c>
      <c r="C27" s="1997" t="s">
        <v>25</v>
      </c>
      <c r="D27" s="1522" t="s">
        <v>116</v>
      </c>
      <c r="E27" s="1522" t="s">
        <v>883</v>
      </c>
      <c r="F27" s="1522" t="s">
        <v>21</v>
      </c>
      <c r="G27" s="1905">
        <f>IFERROR(IF(AND(Table1[[#This Row],[Loại số liệu]]="Kế hoạch",Table1[[#This Row],[Đơn vị]]="m2"),
   Table1[[#This Row],[Tổng (A1+A+B)]]*100/N28,
   IF(AND(Table1[[#This Row],[Loại số liệu]]="Thực hiện",Table1[[#This Row],[Đơn vị]]="m2"),
      T27,
      ""
   )
),0)</f>
        <v>219744</v>
      </c>
      <c r="H27" s="1905">
        <f>IF(AND(Table1[[#This Row],[Loại số liệu]]="Kế hoạch",Table1[[#This Row],[Đơn vị]]="m2"),
    U28*Table1[[#This Row],[Tổng (A1+A+B)]]/100,
    IF(AND(Table1[[#This Row],[Loại số liệu]]="Thực hiện",Table1[[#This Row],[Đơn vị]]="%"),
        IFERROR(#REF!/#REF!*100,""),
        U27
    )
)</f>
        <v>193814.20800000001</v>
      </c>
      <c r="I27" s="1905">
        <f>IF(AND(Table1[[#This Row],[Loại số liệu]]="Kế hoạch",Table1[[#This Row],[Đơn vị]]="m2"),
    V28*Table1[[#This Row],[Tổng (A1+A+B)]]/100,
    IF(AND(Table1[[#This Row],[Loại số liệu]]="Thực hiện",Table1[[#This Row],[Đơn vị]]="%"),
        IFERROR(#REF!/#REF!*100,""),
        V27
    )
)</f>
        <v>15074.438399999999</v>
      </c>
      <c r="J27" s="1905">
        <f>IF(AND(Table1[[#This Row],[Loại số liệu]]="Kế hoạch",Table1[[#This Row],[Đơn vị]]="m2"),
    W28*Table1[[#This Row],[Tổng (A1+A+B)]]/100,
    IF(AND(Table1[[#This Row],[Loại số liệu]]="Thực hiện",Table1[[#This Row],[Đơn vị]]="%"),
        IFERROR(#REF!/#REF!*100,""),
        W27
    )
)</f>
        <v>6460.4736000000003</v>
      </c>
      <c r="K27" s="1905">
        <f>IF(AND(Table1[[#This Row],[Đơn vị]]="m2",Table1[[#This Row],[Loại số liệu]]="Kế hoạch"),
   X27*Y27,
   SUM(Table1[[#This Row],[A1]:[B]])
)</f>
        <v>215349.12</v>
      </c>
      <c r="L27" s="1905">
        <f t="shared" ref="L27:L49" si="9">IF(X27="","",X27)</f>
        <v>15</v>
      </c>
      <c r="M27" s="1622">
        <f>IFERROR(IF(AND(Table1[[#This Row],[Loại số liệu]]="Kế hoạch",Table1[[#This Row],[Đơn vị]]="m2"),
   Y27,
   IF(AND(Table1[[#This Row],[Loại số liệu]]="Thực hiện",Table1[[#This Row],[Đơn vị]]="m2"),
      K27/L27,
      ""
   )
),"")</f>
        <v>14356.608</v>
      </c>
      <c r="N27" s="1905" t="str">
        <f>IF(AND(Table1[[#This Row],[Loại số liệu]]="Kế hoạch",Table1[[#This Row],[Đơn vị]]="%"),
    Z27,
    IF(AND(Table1[[#This Row],[Loại số liệu]]="Thực hiện",Table1[[#This Row],[Đơn vị]]="%"),
        IFERROR(#REF!/#REF!*100,""),
        IF(AND(Table1[[#This Row],[Loại số liệu]]="Thực hiện",Table1[[#This Row],[Đơn vị]]="m2"),
            Z27,
            ""
        )
    )
)</f>
        <v/>
      </c>
      <c r="O27" s="1905" t="str">
        <f>IF(AND(Table1[[#This Row],[Loại số liệu]]="Thực hiện",Table1[[#This Row],[Đơn vị]]="m2"),
    AA27,
    IF(Table1[[#This Row],[A/ép]]="",
        "",
        100-Table1[[#This Row],[A/ép]]
    )
)</f>
        <v/>
      </c>
      <c r="P27" s="1905" t="str">
        <f t="shared" ref="P27:P49" si="10">IF(AB27="","",AB27)</f>
        <v/>
      </c>
      <c r="Q27" s="1905">
        <f t="shared" ref="Q27:Q49" si="11">IF(AC27="","",AC27)</f>
        <v>40</v>
      </c>
      <c r="R27" s="1905">
        <f>IFERROR(Table1[[#This Row],[T/g dừng 2MF]]*Table1[[#This Row],[Số ngày SX]],"")</f>
        <v>600</v>
      </c>
      <c r="S27" s="1925"/>
      <c r="T27" s="1911"/>
      <c r="U27" s="1905"/>
      <c r="V27" s="1905"/>
      <c r="W27" s="1905"/>
      <c r="X27" s="1910">
        <v>15</v>
      </c>
      <c r="Y27" s="1923">
        <v>14356.608</v>
      </c>
      <c r="Z27" s="1905"/>
      <c r="AA27" s="1905"/>
      <c r="AB27" s="1905"/>
      <c r="AC27" s="1909">
        <v>40</v>
      </c>
    </row>
    <row r="28" spans="1:29" ht="24" customHeight="1" x14ac:dyDescent="0.2">
      <c r="A28" s="1996">
        <f>IF(B28="","",COUNTA($B$3:B28))</f>
        <v>26</v>
      </c>
      <c r="B28" s="1997">
        <v>4</v>
      </c>
      <c r="C28" s="1997" t="s">
        <v>25</v>
      </c>
      <c r="D28" s="1522" t="s">
        <v>116</v>
      </c>
      <c r="E28" s="1522" t="s">
        <v>883</v>
      </c>
      <c r="F28" s="1623" t="s">
        <v>22</v>
      </c>
      <c r="G28" s="1905" t="str">
        <f>IFERROR(IF(AND(Table1[[#This Row],[Loại số liệu]]="Kế hoạch",Table1[[#This Row],[Đơn vị]]="m2"),
   Table1[[#This Row],[Tổng (A1+A+B)]]*100/N29,
   IF(AND(Table1[[#This Row],[Loại số liệu]]="Thực hiện",Table1[[#This Row],[Đơn vị]]="m2"),
      T28,
      ""
   )
),0)</f>
        <v/>
      </c>
      <c r="H28" s="1905">
        <f>IF(AND(Table1[[#This Row],[Loại số liệu]]="Kế hoạch",Table1[[#This Row],[Đơn vị]]="m2"),
    U29*Table1[[#This Row],[Tổng (A1+A+B)]]/100,
    IF(AND(Table1[[#This Row],[Loại số liệu]]="Thực hiện",Table1[[#This Row],[Đơn vị]]="%"),
        IFERROR(H27/$K27*100,""),
        U28
    )
)</f>
        <v>90</v>
      </c>
      <c r="I28" s="1905">
        <f>IF(AND(Table1[[#This Row],[Loại số liệu]]="Kế hoạch",Table1[[#This Row],[Đơn vị]]="m2"),
    V29*Table1[[#This Row],[Tổng (A1+A+B)]]/100,
    IF(AND(Table1[[#This Row],[Loại số liệu]]="Thực hiện",Table1[[#This Row],[Đơn vị]]="%"),
        IFERROR(I27/$K27*100,""),
        V28
    )
)</f>
        <v>7</v>
      </c>
      <c r="J28" s="1905">
        <f>IF(AND(Table1[[#This Row],[Loại số liệu]]="Kế hoạch",Table1[[#This Row],[Đơn vị]]="m2"),
    W29*Table1[[#This Row],[Tổng (A1+A+B)]]/100,
    IF(AND(Table1[[#This Row],[Loại số liệu]]="Thực hiện",Table1[[#This Row],[Đơn vị]]="%"),
        IFERROR(J27/$K27*100,""),
        W28
    )
)</f>
        <v>3</v>
      </c>
      <c r="K28" s="1905">
        <f>IF(AND(Table1[[#This Row],[Đơn vị]]="m2",Table1[[#This Row],[Loại số liệu]]="Kế hoạch"),
   X28*Y28,
   SUM(Table1[[#This Row],[A1]:[B]])
)</f>
        <v>100</v>
      </c>
      <c r="L28" s="1905" t="str">
        <f t="shared" si="9"/>
        <v/>
      </c>
      <c r="M28" s="1622" t="str">
        <f>IFERROR(IF(AND(Table1[[#This Row],[Loại số liệu]]="Kế hoạch",Table1[[#This Row],[Đơn vị]]="m2"),
   Y28,
   IF(AND(Table1[[#This Row],[Loại số liệu]]="Thực hiện",Table1[[#This Row],[Đơn vị]]="m2"),
      K28/L28,
      ""
   )
),"")</f>
        <v/>
      </c>
      <c r="N28" s="1905">
        <f>IF(AND(Table1[[#This Row],[Loại số liệu]]="Kế hoạch",Table1[[#This Row],[Đơn vị]]="%"),
    Z28,
    IF(AND(Table1[[#This Row],[Loại số liệu]]="Thực hiện",Table1[[#This Row],[Đơn vị]]="%"),
        IFERROR(K27/T27*100,""),
        IF(AND(Table1[[#This Row],[Loại số liệu]]="Thực hiện",Table1[[#This Row],[Đơn vị]]="m2"),
            Z28,
            ""
        )
    )
)</f>
        <v>98</v>
      </c>
      <c r="O28" s="1905">
        <f>IF(AND(Table1[[#This Row],[Loại số liệu]]="Thực hiện",Table1[[#This Row],[Đơn vị]]="m2"),
    AA28,
    IF(Table1[[#This Row],[A/ép]]="",
        "",
        100-Table1[[#This Row],[A/ép]]
    )
)</f>
        <v>2</v>
      </c>
      <c r="P28" s="1905" t="str">
        <f t="shared" si="10"/>
        <v/>
      </c>
      <c r="Q28" s="1905" t="str">
        <f t="shared" si="11"/>
        <v/>
      </c>
      <c r="R28" s="1905" t="str">
        <f>IFERROR(Table1[[#This Row],[T/g dừng 2MF]]*Table1[[#This Row],[Số ngày SX]],"")</f>
        <v/>
      </c>
      <c r="S28" s="1925"/>
      <c r="T28" s="1911"/>
      <c r="U28" s="1910">
        <v>90</v>
      </c>
      <c r="V28" s="1910">
        <v>7</v>
      </c>
      <c r="W28" s="1910">
        <v>3</v>
      </c>
      <c r="X28" s="1905"/>
      <c r="Y28" s="1622"/>
      <c r="Z28" s="1910">
        <v>98</v>
      </c>
      <c r="AA28" s="1910">
        <v>2</v>
      </c>
      <c r="AB28" s="1905"/>
      <c r="AC28" s="1909"/>
    </row>
    <row r="29" spans="1:29" ht="44" customHeight="1" x14ac:dyDescent="0.2">
      <c r="A29" s="1996">
        <f>IF(B29="","",COUNTA($B$3:B29))</f>
        <v>27</v>
      </c>
      <c r="B29" s="1997">
        <v>4</v>
      </c>
      <c r="C29" s="1997" t="s">
        <v>25</v>
      </c>
      <c r="D29" s="1522" t="s">
        <v>116</v>
      </c>
      <c r="E29" s="1522" t="s">
        <v>1013</v>
      </c>
      <c r="F29" s="1522" t="s">
        <v>21</v>
      </c>
      <c r="G29" s="1905">
        <f>IFERROR(IF(AND(Table1[[#This Row],[Loại số liệu]]="Kế hoạch",Table1[[#This Row],[Đơn vị]]="m2"),
   Table1[[#This Row],[Tổng (A1+A+B)]]*100/N30,
   IF(AND(Table1[[#This Row],[Loại số liệu]]="Thực hiện",Table1[[#This Row],[Đơn vị]]="m2"),
      T29,
      ""
   )
),0)</f>
        <v>231114</v>
      </c>
      <c r="H29" s="1905">
        <f>IF(AND(Table1[[#This Row],[Loại số liệu]]="Kế hoạch",Table1[[#This Row],[Đơn vị]]="m2"),
    U30*Table1[[#This Row],[Tổng (A1+A+B)]]/100,
    IF(AND(Table1[[#This Row],[Loại số liệu]]="Thực hiện",Table1[[#This Row],[Đơn vị]]="%"),
        IFERROR(H28/$K28*100,""),
        U29
    )
)</f>
        <v>206842</v>
      </c>
      <c r="I29" s="1905">
        <f>IF(AND(Table1[[#This Row],[Loại số liệu]]="Kế hoạch",Table1[[#This Row],[Đơn vị]]="m2"),
    V30*Table1[[#This Row],[Tổng (A1+A+B)]]/100,
    IF(AND(Table1[[#This Row],[Loại số liệu]]="Thực hiện",Table1[[#This Row],[Đơn vị]]="%"),
        IFERROR(I28/$K28*100,""),
        V29
    )
)</f>
        <v>0</v>
      </c>
      <c r="J29" s="1905">
        <f>IF(AND(Table1[[#This Row],[Loại số liệu]]="Kế hoạch",Table1[[#This Row],[Đơn vị]]="m2"),
    W30*Table1[[#This Row],[Tổng (A1+A+B)]]/100,
    IF(AND(Table1[[#This Row],[Loại số liệu]]="Thực hiện",Table1[[#This Row],[Đơn vị]]="%"),
        IFERROR(J28/$K28*100,""),
        W29
    )
)</f>
        <v>17892.8</v>
      </c>
      <c r="K29" s="1905">
        <f>IF(AND(Table1[[#This Row],[Đơn vị]]="m2",Table1[[#This Row],[Loại số liệu]]="Kế hoạch"),
   X29*Y29,
   SUM(Table1[[#This Row],[A1]:[B]])
)</f>
        <v>224734.8</v>
      </c>
      <c r="L29" s="1905">
        <f t="shared" si="9"/>
        <v>15.5</v>
      </c>
      <c r="M29" s="1622">
        <f>IFERROR(IF(AND(Table1[[#This Row],[Loại số liệu]]="Kế hoạch",Table1[[#This Row],[Đơn vị]]="m2"),
   Y29,
   IF(AND(Table1[[#This Row],[Loại số liệu]]="Thực hiện",Table1[[#This Row],[Đơn vị]]="m2"),
      K29/L29,
      ""
   )
),"")</f>
        <v>14499.019354838709</v>
      </c>
      <c r="N29" s="1905">
        <f>IF(AND(Table1[[#This Row],[Loại số liệu]]="Kế hoạch",Table1[[#This Row],[Đơn vị]]="%"),
    Z29,
    IF(AND(Table1[[#This Row],[Loại số liệu]]="Thực hiện",Table1[[#This Row],[Đơn vị]]="%"),
        IFERROR(K28/T28*100,""),
        IF(AND(Table1[[#This Row],[Loại số liệu]]="Thực hiện",Table1[[#This Row],[Đơn vị]]="m2"),
            Z29,
            ""
        )
    )
)</f>
        <v>0</v>
      </c>
      <c r="O29" s="1905">
        <f>IF(AND(Table1[[#This Row],[Loại số liệu]]="Thực hiện",Table1[[#This Row],[Đơn vị]]="m2"),
    AA29,
    IF(Table1[[#This Row],[A/ép]]="",
        "",
        100-Table1[[#This Row],[A/ép]]
    )
)</f>
        <v>1277</v>
      </c>
      <c r="P29" s="1905">
        <f t="shared" si="10"/>
        <v>2254</v>
      </c>
      <c r="Q29" s="1905">
        <f t="shared" si="11"/>
        <v>42</v>
      </c>
      <c r="R29" s="1905">
        <f>IFERROR(Table1[[#This Row],[T/g dừng 2MF]]*Table1[[#This Row],[Số ngày SX]],"")</f>
        <v>651</v>
      </c>
      <c r="S29" s="1925"/>
      <c r="T29" s="1913">
        <v>231114</v>
      </c>
      <c r="U29" s="1910">
        <v>206842</v>
      </c>
      <c r="V29" s="1910">
        <v>0</v>
      </c>
      <c r="W29" s="1910">
        <v>17892.8</v>
      </c>
      <c r="X29" s="1910">
        <v>15.5</v>
      </c>
      <c r="Y29" s="1923">
        <v>14499</v>
      </c>
      <c r="Z29" s="1914"/>
      <c r="AA29" s="1910">
        <v>1277</v>
      </c>
      <c r="AB29" s="1910">
        <v>2254</v>
      </c>
      <c r="AC29" s="1915">
        <v>42</v>
      </c>
    </row>
    <row r="30" spans="1:29" ht="24" customHeight="1" x14ac:dyDescent="0.2">
      <c r="A30" s="1996">
        <f>IF(B30="","",COUNTA($B$3:B30))</f>
        <v>28</v>
      </c>
      <c r="B30" s="1997">
        <v>4</v>
      </c>
      <c r="C30" s="1997" t="s">
        <v>25</v>
      </c>
      <c r="D30" s="1522" t="s">
        <v>116</v>
      </c>
      <c r="E30" s="1522" t="s">
        <v>1013</v>
      </c>
      <c r="F30" s="1623" t="s">
        <v>22</v>
      </c>
      <c r="G30" s="1905" t="str">
        <f>IFERROR(IF(AND(Table1[[#This Row],[Loại số liệu]]="Kế hoạch",Table1[[#This Row],[Đơn vị]]="m2"),
   Table1[[#This Row],[Tổng (A1+A+B)]]*100/N31,
   IF(AND(Table1[[#This Row],[Loại số liệu]]="Thực hiện",Table1[[#This Row],[Đơn vị]]="m2"),
      T30,
      ""
   )
),0)</f>
        <v/>
      </c>
      <c r="H30" s="1905">
        <f>IF(AND(Table1[[#This Row],[Loại số liệu]]="Kế hoạch",Table1[[#This Row],[Đơn vị]]="m2"),
    U31*Table1[[#This Row],[Tổng (A1+A+B)]]/100,
    IF(AND(Table1[[#This Row],[Loại số liệu]]="Thực hiện",Table1[[#This Row],[Đơn vị]]="%"),
        IFERROR(H29/$K29*100,""),
        U30
    )
)</f>
        <v>92.038260207141931</v>
      </c>
      <c r="I30" s="1905">
        <f>IF(AND(Table1[[#This Row],[Loại số liệu]]="Kế hoạch",Table1[[#This Row],[Đơn vị]]="m2"),
    V31*Table1[[#This Row],[Tổng (A1+A+B)]]/100,
    IF(AND(Table1[[#This Row],[Loại số liệu]]="Thực hiện",Table1[[#This Row],[Đơn vị]]="%"),
        IFERROR(I29/$K29*100,""),
        V30
    )
)</f>
        <v>0</v>
      </c>
      <c r="J30" s="1905">
        <f>IF(AND(Table1[[#This Row],[Loại số liệu]]="Kế hoạch",Table1[[#This Row],[Đơn vị]]="m2"),
    W31*Table1[[#This Row],[Tổng (A1+A+B)]]/100,
    IF(AND(Table1[[#This Row],[Loại số liệu]]="Thực hiện",Table1[[#This Row],[Đơn vị]]="%"),
        IFERROR(J29/$K29*100,""),
        W30
    )
)</f>
        <v>7.9617397928580704</v>
      </c>
      <c r="K30" s="1905">
        <f>IF(AND(Table1[[#This Row],[Đơn vị]]="m2",Table1[[#This Row],[Loại số liệu]]="Kế hoạch"),
   X30*Y30,
   SUM(Table1[[#This Row],[A1]:[B]])
)</f>
        <v>100</v>
      </c>
      <c r="L30" s="1905" t="str">
        <f t="shared" si="9"/>
        <v/>
      </c>
      <c r="M30" s="1622" t="str">
        <f>IFERROR(IF(AND(Table1[[#This Row],[Loại số liệu]]="Kế hoạch",Table1[[#This Row],[Đơn vị]]="m2"),
   Y30,
   IF(AND(Table1[[#This Row],[Loại số liệu]]="Thực hiện",Table1[[#This Row],[Đơn vị]]="m2"),
      K30/L30,
      ""
   )
),"")</f>
        <v/>
      </c>
      <c r="N30" s="1905">
        <f>IF(AND(Table1[[#This Row],[Loại số liệu]]="Kế hoạch",Table1[[#This Row],[Đơn vị]]="%"),
    Z30,
    IF(AND(Table1[[#This Row],[Loại số liệu]]="Thực hiện",Table1[[#This Row],[Đơn vị]]="%"),
        IFERROR(K29/T29*100,""),
        IF(AND(Table1[[#This Row],[Loại số liệu]]="Thực hiện",Table1[[#This Row],[Đơn vị]]="m2"),
            Z30,
            ""
        )
    )
)</f>
        <v>97.239803733222558</v>
      </c>
      <c r="O30" s="1905">
        <f>IF(AND(Table1[[#This Row],[Loại số liệu]]="Thực hiện",Table1[[#This Row],[Đơn vị]]="m2"),
    AA30,
    IF(Table1[[#This Row],[A/ép]]="",
        "",
        100-Table1[[#This Row],[A/ép]]
    )
)</f>
        <v>2.7601962667774416</v>
      </c>
      <c r="P30" s="1905" t="str">
        <f t="shared" si="10"/>
        <v/>
      </c>
      <c r="Q30" s="1905" t="str">
        <f t="shared" si="11"/>
        <v/>
      </c>
      <c r="R30" s="1905" t="str">
        <f>IFERROR(Table1[[#This Row],[T/g dừng 2MF]]*Table1[[#This Row],[Số ngày SX]],"")</f>
        <v/>
      </c>
      <c r="S30" s="1925"/>
      <c r="T30" s="1911"/>
      <c r="U30" s="1905"/>
      <c r="V30" s="1905"/>
      <c r="W30" s="1905"/>
      <c r="X30" s="1905"/>
      <c r="Y30" s="1622"/>
      <c r="Z30" s="1905"/>
      <c r="AA30" s="1905"/>
      <c r="AB30" s="1905"/>
      <c r="AC30" s="1909"/>
    </row>
    <row r="31" spans="1:29" ht="44" customHeight="1" x14ac:dyDescent="0.2">
      <c r="A31" s="1996">
        <f>IF(B31="","",COUNTA($B$3:B31))</f>
        <v>29</v>
      </c>
      <c r="B31" s="1997">
        <v>5</v>
      </c>
      <c r="C31" s="1997" t="s">
        <v>5</v>
      </c>
      <c r="D31" s="1522" t="s">
        <v>115</v>
      </c>
      <c r="E31" s="1522" t="s">
        <v>883</v>
      </c>
      <c r="F31" s="1522" t="s">
        <v>21</v>
      </c>
      <c r="G31" s="1905">
        <f>IFERROR(IF(AND(Table1[[#This Row],[Loại số liệu]]="Kế hoạch",Table1[[#This Row],[Đơn vị]]="m2"),
   Table1[[#This Row],[Tổng (A1+A+B)]]*100/N32,
   IF(AND(Table1[[#This Row],[Loại số liệu]]="Thực hiện",Table1[[#This Row],[Đơn vị]]="m2"),
      T31,
      ""
   )
),0)</f>
        <v>479606.4</v>
      </c>
      <c r="H31" s="1905">
        <f>IF(AND(Table1[[#This Row],[Loại số liệu]]="Kế hoạch",Table1[[#This Row],[Đơn vị]]="m2"),
    U32*Table1[[#This Row],[Tổng (A1+A+B)]]/100,
    IF(AND(Table1[[#This Row],[Loại số liệu]]="Thực hiện",Table1[[#This Row],[Đơn vị]]="%"),
        IFERROR(H30/$K30*100,""),
        U31
    )
)</f>
        <v>423012.84479999996</v>
      </c>
      <c r="I31" s="1905">
        <f>IF(AND(Table1[[#This Row],[Loại số liệu]]="Kế hoạch",Table1[[#This Row],[Đơn vị]]="m2"),
    V32*Table1[[#This Row],[Tổng (A1+A+B)]]/100,
    IF(AND(Table1[[#This Row],[Loại số liệu]]="Thực hiện",Table1[[#This Row],[Đơn vị]]="%"),
        IFERROR(I30/$K30*100,""),
        V31
    )
)</f>
        <v>32900.999040000002</v>
      </c>
      <c r="J31" s="1905">
        <f>IF(AND(Table1[[#This Row],[Loại số liệu]]="Kế hoạch",Table1[[#This Row],[Đơn vị]]="m2"),
    W32*Table1[[#This Row],[Tổng (A1+A+B)]]/100,
    IF(AND(Table1[[#This Row],[Loại số liệu]]="Thực hiện",Table1[[#This Row],[Đơn vị]]="%"),
        IFERROR(J30/$K30*100,""),
        W31
    )
)</f>
        <v>14100.428160000001</v>
      </c>
      <c r="K31" s="1905">
        <f>IF(AND(Table1[[#This Row],[Đơn vị]]="m2",Table1[[#This Row],[Loại số liệu]]="Kế hoạch"),
   X31*Y31,
   SUM(Table1[[#This Row],[A1]:[B]])
)</f>
        <v>470014.272</v>
      </c>
      <c r="L31" s="1905">
        <f t="shared" si="9"/>
        <v>30.5</v>
      </c>
      <c r="M31" s="1622">
        <f>IFERROR(IF(AND(Table1[[#This Row],[Loại số liệu]]="Kế hoạch",Table1[[#This Row],[Đơn vị]]="m2"),
   Y31,
   IF(AND(Table1[[#This Row],[Loại số liệu]]="Thực hiện",Table1[[#This Row],[Đơn vị]]="m2"),
      K31/L31,
      ""
   )
),"")</f>
        <v>15410.304</v>
      </c>
      <c r="N31" s="1905" t="str">
        <f>IF(AND(Table1[[#This Row],[Loại số liệu]]="Kế hoạch",Table1[[#This Row],[Đơn vị]]="%"),
    Z31,
    IF(AND(Table1[[#This Row],[Loại số liệu]]="Thực hiện",Table1[[#This Row],[Đơn vị]]="%"),
        IFERROR(K30/T30*100,""),
        IF(AND(Table1[[#This Row],[Loại số liệu]]="Thực hiện",Table1[[#This Row],[Đơn vị]]="m2"),
            Z31,
            ""
        )
    )
)</f>
        <v/>
      </c>
      <c r="O31" s="1905" t="str">
        <f>IF(AND(Table1[[#This Row],[Loại số liệu]]="Thực hiện",Table1[[#This Row],[Đơn vị]]="m2"),
    AA31,
    IF(Table1[[#This Row],[A/ép]]="",
        "",
        100-Table1[[#This Row],[A/ép]]
    )
)</f>
        <v/>
      </c>
      <c r="P31" s="1905" t="str">
        <f t="shared" si="10"/>
        <v/>
      </c>
      <c r="Q31" s="1905">
        <f t="shared" si="11"/>
        <v>40</v>
      </c>
      <c r="R31" s="1905">
        <f>IFERROR(Table1[[#This Row],[T/g dừng 2MF]]*Table1[[#This Row],[Số ngày SX]],"")</f>
        <v>1220</v>
      </c>
      <c r="S31" s="1925"/>
      <c r="T31" s="1911"/>
      <c r="U31" s="1905"/>
      <c r="V31" s="1905"/>
      <c r="W31" s="1905"/>
      <c r="X31" s="1910">
        <v>30.5</v>
      </c>
      <c r="Y31" s="1923">
        <v>15410.304</v>
      </c>
      <c r="Z31" s="1905"/>
      <c r="AA31" s="1905"/>
      <c r="AB31" s="1905"/>
      <c r="AC31" s="1912">
        <v>40</v>
      </c>
    </row>
    <row r="32" spans="1:29" ht="24" customHeight="1" x14ac:dyDescent="0.2">
      <c r="A32" s="1996">
        <f>IF(B32="","",COUNTA($B$3:B32))</f>
        <v>30</v>
      </c>
      <c r="B32" s="1997">
        <v>5</v>
      </c>
      <c r="C32" s="1997" t="s">
        <v>5</v>
      </c>
      <c r="D32" s="1522" t="s">
        <v>115</v>
      </c>
      <c r="E32" s="1522" t="s">
        <v>883</v>
      </c>
      <c r="F32" s="1623" t="s">
        <v>22</v>
      </c>
      <c r="G32" s="1905" t="str">
        <f>IFERROR(IF(AND(Table1[[#This Row],[Loại số liệu]]="Kế hoạch",Table1[[#This Row],[Đơn vị]]="m2"),
   Table1[[#This Row],[Tổng (A1+A+B)]]*100/N33,
   IF(AND(Table1[[#This Row],[Loại số liệu]]="Thực hiện",Table1[[#This Row],[Đơn vị]]="m2"),
      T32,
      ""
   )
),0)</f>
        <v/>
      </c>
      <c r="H32" s="1905">
        <f>IF(AND(Table1[[#This Row],[Loại số liệu]]="Kế hoạch",Table1[[#This Row],[Đơn vị]]="m2"),
    U33*Table1[[#This Row],[Tổng (A1+A+B)]]/100,
    IF(AND(Table1[[#This Row],[Loại số liệu]]="Thực hiện",Table1[[#This Row],[Đơn vị]]="%"),
        IFERROR(H31/$K31*100,""),
        U32
    )
)</f>
        <v>90</v>
      </c>
      <c r="I32" s="1905">
        <f>IF(AND(Table1[[#This Row],[Loại số liệu]]="Kế hoạch",Table1[[#This Row],[Đơn vị]]="m2"),
    V33*Table1[[#This Row],[Tổng (A1+A+B)]]/100,
    IF(AND(Table1[[#This Row],[Loại số liệu]]="Thực hiện",Table1[[#This Row],[Đơn vị]]="%"),
        IFERROR(I31/$K31*100,""),
        V32
    )
)</f>
        <v>7</v>
      </c>
      <c r="J32" s="1905">
        <f>IF(AND(Table1[[#This Row],[Loại số liệu]]="Kế hoạch",Table1[[#This Row],[Đơn vị]]="m2"),
    W33*Table1[[#This Row],[Tổng (A1+A+B)]]/100,
    IF(AND(Table1[[#This Row],[Loại số liệu]]="Thực hiện",Table1[[#This Row],[Đơn vị]]="%"),
        IFERROR(J31/$K31*100,""),
        W32
    )
)</f>
        <v>3</v>
      </c>
      <c r="K32" s="1905">
        <f>IF(AND(Table1[[#This Row],[Đơn vị]]="m2",Table1[[#This Row],[Loại số liệu]]="Kế hoạch"),
   X32*Y32,
   SUM(Table1[[#This Row],[A1]:[B]])
)</f>
        <v>100</v>
      </c>
      <c r="L32" s="1905" t="str">
        <f t="shared" si="9"/>
        <v/>
      </c>
      <c r="M32" s="1622" t="str">
        <f>IFERROR(IF(AND(Table1[[#This Row],[Loại số liệu]]="Kế hoạch",Table1[[#This Row],[Đơn vị]]="m2"),
   Y32,
   IF(AND(Table1[[#This Row],[Loại số liệu]]="Thực hiện",Table1[[#This Row],[Đơn vị]]="m2"),
      K32/L32,
      ""
   )
),"")</f>
        <v/>
      </c>
      <c r="N32" s="1905">
        <f>IF(AND(Table1[[#This Row],[Loại số liệu]]="Kế hoạch",Table1[[#This Row],[Đơn vị]]="%"),
    Z32,
    IF(AND(Table1[[#This Row],[Loại số liệu]]="Thực hiện",Table1[[#This Row],[Đơn vị]]="%"),
        IFERROR(K31/T31*100,""),
        IF(AND(Table1[[#This Row],[Loại số liệu]]="Thực hiện",Table1[[#This Row],[Đơn vị]]="m2"),
            Z32,
            ""
        )
    )
)</f>
        <v>98</v>
      </c>
      <c r="O32" s="1905">
        <f>IF(AND(Table1[[#This Row],[Loại số liệu]]="Thực hiện",Table1[[#This Row],[Đơn vị]]="m2"),
    AA32,
    IF(Table1[[#This Row],[A/ép]]="",
        "",
        100-Table1[[#This Row],[A/ép]]
    )
)</f>
        <v>2</v>
      </c>
      <c r="P32" s="1905" t="str">
        <f t="shared" si="10"/>
        <v/>
      </c>
      <c r="Q32" s="1905" t="str">
        <f t="shared" si="11"/>
        <v/>
      </c>
      <c r="R32" s="1905" t="str">
        <f>IFERROR(Table1[[#This Row],[T/g dừng 2MF]]*Table1[[#This Row],[Số ngày SX]],"")</f>
        <v/>
      </c>
      <c r="S32" s="1925"/>
      <c r="T32" s="1911"/>
      <c r="U32" s="1910">
        <v>90</v>
      </c>
      <c r="V32" s="1910">
        <v>7</v>
      </c>
      <c r="W32" s="1910">
        <v>3</v>
      </c>
      <c r="X32" s="1905"/>
      <c r="Y32" s="1622"/>
      <c r="Z32" s="1910">
        <v>98</v>
      </c>
      <c r="AA32" s="1910">
        <v>2</v>
      </c>
      <c r="AB32" s="1905"/>
      <c r="AC32" s="1909"/>
    </row>
    <row r="33" spans="1:29" ht="44" customHeight="1" x14ac:dyDescent="0.2">
      <c r="A33" s="1996">
        <f>IF(B33="","",COUNTA($B$3:B33))</f>
        <v>31</v>
      </c>
      <c r="B33" s="1997">
        <v>5</v>
      </c>
      <c r="C33" s="1997" t="s">
        <v>5</v>
      </c>
      <c r="D33" s="1522" t="s">
        <v>115</v>
      </c>
      <c r="E33" s="1522" t="s">
        <v>1013</v>
      </c>
      <c r="F33" s="1522" t="s">
        <v>21</v>
      </c>
      <c r="G33" s="1905">
        <f>IFERROR(IF(AND(Table1[[#This Row],[Loại số liệu]]="Kế hoạch",Table1[[#This Row],[Đơn vị]]="m2"),
   Table1[[#This Row],[Tổng (A1+A+B)]]*100/N34,
   IF(AND(Table1[[#This Row],[Loại số liệu]]="Thực hiện",Table1[[#This Row],[Đơn vị]]="m2"),
      T33,
      ""
   )
),0)</f>
        <v>496261</v>
      </c>
      <c r="H33" s="1905">
        <f>IF(AND(Table1[[#This Row],[Loại số liệu]]="Kế hoạch",Table1[[#This Row],[Đơn vị]]="m2"),
    U34*Table1[[#This Row],[Tổng (A1+A+B)]]/100,
    IF(AND(Table1[[#This Row],[Loại số liệu]]="Thực hiện",Table1[[#This Row],[Đơn vị]]="%"),
        IFERROR(H32/$K32*100,""),
        U33
    )
)</f>
        <v>456658.56</v>
      </c>
      <c r="I33" s="1905">
        <f>IF(AND(Table1[[#This Row],[Loại số liệu]]="Kế hoạch",Table1[[#This Row],[Đơn vị]]="m2"),
    V34*Table1[[#This Row],[Tổng (A1+A+B)]]/100,
    IF(AND(Table1[[#This Row],[Loại số liệu]]="Thực hiện",Table1[[#This Row],[Đơn vị]]="%"),
        IFERROR(I32/$K32*100,""),
        V33
    )
)</f>
        <v>13129.92</v>
      </c>
      <c r="J33" s="1905">
        <f>IF(AND(Table1[[#This Row],[Loại số liệu]]="Kế hoạch",Table1[[#This Row],[Đơn vị]]="m2"),
    W34*Table1[[#This Row],[Tổng (A1+A+B)]]/100,
    IF(AND(Table1[[#This Row],[Loại số liệu]]="Thực hiện",Table1[[#This Row],[Đơn vị]]="%"),
        IFERROR(J32/$K32*100,""),
        W33
    )
)</f>
        <v>20170.080000000002</v>
      </c>
      <c r="K33" s="1905">
        <f>IF(AND(Table1[[#This Row],[Đơn vị]]="m2",Table1[[#This Row],[Loại số liệu]]="Kế hoạch"),
   X33*Y33,
   SUM(Table1[[#This Row],[A1]:[B]])
)</f>
        <v>489958.56</v>
      </c>
      <c r="L33" s="1905">
        <f t="shared" si="9"/>
        <v>30.5</v>
      </c>
      <c r="M33" s="1622">
        <f>IFERROR(IF(AND(Table1[[#This Row],[Loại số liệu]]="Kế hoạch",Table1[[#This Row],[Đơn vị]]="m2"),
   Y33,
   IF(AND(Table1[[#This Row],[Loại số liệu]]="Thực hiện",Table1[[#This Row],[Đơn vị]]="m2"),
      K33/L33,
      ""
   )
),"")</f>
        <v>16064.215081967213</v>
      </c>
      <c r="N33" s="1905">
        <f>IF(AND(Table1[[#This Row],[Loại số liệu]]="Kế hoạch",Table1[[#This Row],[Đơn vị]]="%"),
    Z33,
    IF(AND(Table1[[#This Row],[Loại số liệu]]="Thực hiện",Table1[[#This Row],[Đơn vị]]="%"),
        IFERROR(K32/T32*100,""),
        IF(AND(Table1[[#This Row],[Loại số liệu]]="Thực hiện",Table1[[#This Row],[Đơn vị]]="m2"),
            Z33,
            ""
        )
    )
)</f>
        <v>0</v>
      </c>
      <c r="O33" s="1905">
        <f>IF(AND(Table1[[#This Row],[Loại số liệu]]="Thực hiện",Table1[[#This Row],[Đơn vị]]="m2"),
    AA33,
    IF(Table1[[#This Row],[A/ép]]="",
        "",
        100-Table1[[#This Row],[A/ép]]
    )
)</f>
        <v>1683.36</v>
      </c>
      <c r="P33" s="1905">
        <f t="shared" si="10"/>
        <v>1319.04</v>
      </c>
      <c r="Q33" s="1905">
        <f t="shared" si="11"/>
        <v>25</v>
      </c>
      <c r="R33" s="1905">
        <f>IFERROR(Table1[[#This Row],[T/g dừng 2MF]]*Table1[[#This Row],[Số ngày SX]],"")</f>
        <v>762.5</v>
      </c>
      <c r="S33" s="1925"/>
      <c r="T33" s="1913">
        <v>496261</v>
      </c>
      <c r="U33" s="1910">
        <v>456658.56</v>
      </c>
      <c r="V33" s="1910">
        <v>13129.92</v>
      </c>
      <c r="W33" s="1910">
        <v>20170.080000000002</v>
      </c>
      <c r="X33" s="1910">
        <v>30.5</v>
      </c>
      <c r="Y33" s="1923">
        <v>16064</v>
      </c>
      <c r="Z33" s="1914"/>
      <c r="AA33" s="1910">
        <v>1683.36</v>
      </c>
      <c r="AB33" s="1905">
        <v>1319.04</v>
      </c>
      <c r="AC33" s="1910">
        <v>25</v>
      </c>
    </row>
    <row r="34" spans="1:29" ht="24" customHeight="1" x14ac:dyDescent="0.2">
      <c r="A34" s="1996">
        <f>IF(B34="","",COUNTA($B$3:B34))</f>
        <v>32</v>
      </c>
      <c r="B34" s="1997">
        <v>5</v>
      </c>
      <c r="C34" s="1997" t="s">
        <v>5</v>
      </c>
      <c r="D34" s="1522" t="s">
        <v>115</v>
      </c>
      <c r="E34" s="1522" t="s">
        <v>1013</v>
      </c>
      <c r="F34" s="1623" t="s">
        <v>22</v>
      </c>
      <c r="G34" s="1905" t="str">
        <f>IFERROR(IF(AND(Table1[[#This Row],[Loại số liệu]]="Kế hoạch",Table1[[#This Row],[Đơn vị]]="m2"),
   Table1[[#This Row],[Tổng (A1+A+B)]]*100/N35,
   IF(AND(Table1[[#This Row],[Loại số liệu]]="Thực hiện",Table1[[#This Row],[Đơn vị]]="m2"),
      T34,
      ""
   )
),0)</f>
        <v/>
      </c>
      <c r="H34" s="1905">
        <f>IF(AND(Table1[[#This Row],[Loại số liệu]]="Kế hoạch",Table1[[#This Row],[Đơn vị]]="m2"),
    U35*Table1[[#This Row],[Tổng (A1+A+B)]]/100,
    IF(AND(Table1[[#This Row],[Loại số liệu]]="Thực hiện",Table1[[#This Row],[Đơn vị]]="%"),
        IFERROR(H33/$K33*100,""),
        U34
    )
)</f>
        <v>93.20350684351753</v>
      </c>
      <c r="I34" s="1905">
        <f>IF(AND(Table1[[#This Row],[Loại số liệu]]="Kế hoạch",Table1[[#This Row],[Đơn vị]]="m2"),
    V35*Table1[[#This Row],[Tổng (A1+A+B)]]/100,
    IF(AND(Table1[[#This Row],[Loại số liệu]]="Thực hiện",Table1[[#This Row],[Đơn vị]]="%"),
        IFERROR(I33/$K33*100,""),
        V34
    )
)</f>
        <v>2.6798021448997646</v>
      </c>
      <c r="J34" s="1905">
        <f>IF(AND(Table1[[#This Row],[Loại số liệu]]="Kế hoạch",Table1[[#This Row],[Đơn vị]]="m2"),
    W35*Table1[[#This Row],[Tổng (A1+A+B)]]/100,
    IF(AND(Table1[[#This Row],[Loại số liệu]]="Thực hiện",Table1[[#This Row],[Đơn vị]]="%"),
        IFERROR(J33/$K33*100,""),
        W34
    )
)</f>
        <v>4.1166910115826942</v>
      </c>
      <c r="K34" s="1905">
        <f>IF(AND(Table1[[#This Row],[Đơn vị]]="m2",Table1[[#This Row],[Loại số liệu]]="Kế hoạch"),
   X34*Y34,
   SUM(Table1[[#This Row],[A1]:[B]])
)</f>
        <v>99.999999999999986</v>
      </c>
      <c r="L34" s="1905" t="str">
        <f t="shared" si="9"/>
        <v/>
      </c>
      <c r="M34" s="1622" t="str">
        <f>IFERROR(IF(AND(Table1[[#This Row],[Loại số liệu]]="Kế hoạch",Table1[[#This Row],[Đơn vị]]="m2"),
   Y34,
   IF(AND(Table1[[#This Row],[Loại số liệu]]="Thực hiện",Table1[[#This Row],[Đơn vị]]="m2"),
      K34/L34,
      ""
   )
),"")</f>
        <v/>
      </c>
      <c r="N34" s="1905">
        <f>IF(AND(Table1[[#This Row],[Loại số liệu]]="Kế hoạch",Table1[[#This Row],[Đơn vị]]="%"),
    Z34,
    IF(AND(Table1[[#This Row],[Loại số liệu]]="Thực hiện",Table1[[#This Row],[Đơn vị]]="%"),
        IFERROR(K33/T33*100,""),
        IF(AND(Table1[[#This Row],[Loại số liệu]]="Thực hiện",Table1[[#This Row],[Đơn vị]]="m2"),
            Z34,
            ""
        )
    )
)</f>
        <v>98.730015052563076</v>
      </c>
      <c r="O34" s="1905">
        <f>IF(AND(Table1[[#This Row],[Loại số liệu]]="Thực hiện",Table1[[#This Row],[Đơn vị]]="m2"),
    AA34,
    IF(Table1[[#This Row],[A/ép]]="",
        "",
        100-Table1[[#This Row],[A/ép]]
    )
)</f>
        <v>1.2699849474369245</v>
      </c>
      <c r="P34" s="1905" t="str">
        <f t="shared" si="10"/>
        <v/>
      </c>
      <c r="Q34" s="1905" t="str">
        <f t="shared" si="11"/>
        <v/>
      </c>
      <c r="R34" s="1905" t="str">
        <f>IFERROR(Table1[[#This Row],[T/g dừng 2MF]]*Table1[[#This Row],[Số ngày SX]],"")</f>
        <v/>
      </c>
      <c r="S34" s="1925"/>
      <c r="T34" s="1911"/>
      <c r="U34" s="1905"/>
      <c r="V34" s="1905"/>
      <c r="W34" s="1905"/>
      <c r="X34" s="1905"/>
      <c r="Y34" s="1622"/>
      <c r="Z34" s="1905"/>
      <c r="AA34" s="1905"/>
      <c r="AB34" s="1905"/>
      <c r="AC34" s="1909"/>
    </row>
    <row r="35" spans="1:29" ht="44" customHeight="1" x14ac:dyDescent="0.2">
      <c r="A35" s="1996">
        <f>IF(B35="","",COUNTA($B$3:B35))</f>
        <v>33</v>
      </c>
      <c r="B35" s="1997">
        <v>5</v>
      </c>
      <c r="C35" s="1997" t="s">
        <v>25</v>
      </c>
      <c r="D35" s="1522" t="s">
        <v>116</v>
      </c>
      <c r="E35" s="1522" t="s">
        <v>883</v>
      </c>
      <c r="F35" s="1522" t="s">
        <v>21</v>
      </c>
      <c r="G35" s="1905">
        <f>IFERROR(IF(AND(Table1[[#This Row],[Loại số liệu]]="Kế hoạch",Table1[[#This Row],[Đơn vị]]="m2"),
   Table1[[#This Row],[Tổng (A1+A+B)]]*100/N36,
   IF(AND(Table1[[#This Row],[Loại số liệu]]="Thực hiện",Table1[[#This Row],[Đơn vị]]="m2"),
      T35,
      ""
   )
),0)</f>
        <v>454137.59999999998</v>
      </c>
      <c r="H35" s="1905">
        <f>IF(AND(Table1[[#This Row],[Loại số liệu]]="Kế hoạch",Table1[[#This Row],[Đơn vị]]="m2"),
    U36*Table1[[#This Row],[Tổng (A1+A+B)]]/100,
    IF(AND(Table1[[#This Row],[Loại số liệu]]="Thực hiện",Table1[[#This Row],[Đơn vị]]="%"),
        IFERROR(H34/$K34*100,""),
        U35
    )
)</f>
        <v>400549.36320000002</v>
      </c>
      <c r="I35" s="1905">
        <f>IF(AND(Table1[[#This Row],[Loại số liệu]]="Kế hoạch",Table1[[#This Row],[Đơn vị]]="m2"),
    V36*Table1[[#This Row],[Tổng (A1+A+B)]]/100,
    IF(AND(Table1[[#This Row],[Loại số liệu]]="Thực hiện",Table1[[#This Row],[Đơn vị]]="%"),
        IFERROR(I34/$K34*100,""),
        V35
    )
)</f>
        <v>31153.839359999998</v>
      </c>
      <c r="J35" s="1905">
        <f>IF(AND(Table1[[#This Row],[Loại số liệu]]="Kế hoạch",Table1[[#This Row],[Đơn vị]]="m2"),
    W36*Table1[[#This Row],[Tổng (A1+A+B)]]/100,
    IF(AND(Table1[[#This Row],[Loại số liệu]]="Thực hiện",Table1[[#This Row],[Đơn vị]]="%"),
        IFERROR(J34/$K34*100,""),
        W35
    )
)</f>
        <v>13351.64544</v>
      </c>
      <c r="K35" s="1905">
        <f>IF(AND(Table1[[#This Row],[Đơn vị]]="m2",Table1[[#This Row],[Loại số liệu]]="Kế hoạch"),
   X35*Y35,
   SUM(Table1[[#This Row],[A1]:[B]])
)</f>
        <v>445054.848</v>
      </c>
      <c r="L35" s="1905">
        <f t="shared" si="9"/>
        <v>31</v>
      </c>
      <c r="M35" s="1622">
        <f>IFERROR(IF(AND(Table1[[#This Row],[Loại số liệu]]="Kế hoạch",Table1[[#This Row],[Đơn vị]]="m2"),
   Y35,
   IF(AND(Table1[[#This Row],[Loại số liệu]]="Thực hiện",Table1[[#This Row],[Đơn vị]]="m2"),
      K35/L35,
      ""
   )
),"")</f>
        <v>14356.608</v>
      </c>
      <c r="N35" s="1905" t="str">
        <f>IF(AND(Table1[[#This Row],[Loại số liệu]]="Kế hoạch",Table1[[#This Row],[Đơn vị]]="%"),
    Z35,
    IF(AND(Table1[[#This Row],[Loại số liệu]]="Thực hiện",Table1[[#This Row],[Đơn vị]]="%"),
        IFERROR(K34/T34*100,""),
        IF(AND(Table1[[#This Row],[Loại số liệu]]="Thực hiện",Table1[[#This Row],[Đơn vị]]="m2"),
            Z35,
            ""
        )
    )
)</f>
        <v/>
      </c>
      <c r="O35" s="1905" t="str">
        <f>IF(AND(Table1[[#This Row],[Loại số liệu]]="Thực hiện",Table1[[#This Row],[Đơn vị]]="m2"),
    AA35,
    IF(Table1[[#This Row],[A/ép]]="",
        "",
        100-Table1[[#This Row],[A/ép]]
    )
)</f>
        <v/>
      </c>
      <c r="P35" s="1905" t="str">
        <f t="shared" si="10"/>
        <v/>
      </c>
      <c r="Q35" s="1905">
        <f t="shared" si="11"/>
        <v>40</v>
      </c>
      <c r="R35" s="1905">
        <f>IFERROR(Table1[[#This Row],[T/g dừng 2MF]]*Table1[[#This Row],[Số ngày SX]],"")</f>
        <v>1240</v>
      </c>
      <c r="S35" s="1925"/>
      <c r="T35" s="1911"/>
      <c r="U35" s="1905"/>
      <c r="V35" s="1905"/>
      <c r="W35" s="1905"/>
      <c r="X35" s="1910">
        <v>31</v>
      </c>
      <c r="Y35" s="1923">
        <v>14356.608</v>
      </c>
      <c r="Z35" s="1905"/>
      <c r="AA35" s="1905"/>
      <c r="AB35" s="1905"/>
      <c r="AC35" s="1912">
        <v>40</v>
      </c>
    </row>
    <row r="36" spans="1:29" ht="24" customHeight="1" x14ac:dyDescent="0.2">
      <c r="A36" s="1996">
        <f>IF(B36="","",COUNTA($B$3:B36))</f>
        <v>34</v>
      </c>
      <c r="B36" s="1997">
        <v>5</v>
      </c>
      <c r="C36" s="1997" t="s">
        <v>25</v>
      </c>
      <c r="D36" s="1522" t="s">
        <v>116</v>
      </c>
      <c r="E36" s="1522" t="s">
        <v>883</v>
      </c>
      <c r="F36" s="1623" t="s">
        <v>22</v>
      </c>
      <c r="G36" s="1905" t="str">
        <f>IFERROR(IF(AND(Table1[[#This Row],[Loại số liệu]]="Kế hoạch",Table1[[#This Row],[Đơn vị]]="m2"),
   Table1[[#This Row],[Tổng (A1+A+B)]]*100/N37,
   IF(AND(Table1[[#This Row],[Loại số liệu]]="Thực hiện",Table1[[#This Row],[Đơn vị]]="m2"),
      T36,
      ""
   )
),0)</f>
        <v/>
      </c>
      <c r="H36" s="1905">
        <f>IF(AND(Table1[[#This Row],[Loại số liệu]]="Kế hoạch",Table1[[#This Row],[Đơn vị]]="m2"),
    U37*Table1[[#This Row],[Tổng (A1+A+B)]]/100,
    IF(AND(Table1[[#This Row],[Loại số liệu]]="Thực hiện",Table1[[#This Row],[Đơn vị]]="%"),
        IFERROR(H35/$K35*100,""),
        U36
    )
)</f>
        <v>90</v>
      </c>
      <c r="I36" s="1905">
        <f>IF(AND(Table1[[#This Row],[Loại số liệu]]="Kế hoạch",Table1[[#This Row],[Đơn vị]]="m2"),
    V37*Table1[[#This Row],[Tổng (A1+A+B)]]/100,
    IF(AND(Table1[[#This Row],[Loại số liệu]]="Thực hiện",Table1[[#This Row],[Đơn vị]]="%"),
        IFERROR(I35/$K35*100,""),
        V36
    )
)</f>
        <v>7</v>
      </c>
      <c r="J36" s="1905">
        <f>IF(AND(Table1[[#This Row],[Loại số liệu]]="Kế hoạch",Table1[[#This Row],[Đơn vị]]="m2"),
    W37*Table1[[#This Row],[Tổng (A1+A+B)]]/100,
    IF(AND(Table1[[#This Row],[Loại số liệu]]="Thực hiện",Table1[[#This Row],[Đơn vị]]="%"),
        IFERROR(J35/$K35*100,""),
        W36
    )
)</f>
        <v>3</v>
      </c>
      <c r="K36" s="1905">
        <f>IF(AND(Table1[[#This Row],[Đơn vị]]="m2",Table1[[#This Row],[Loại số liệu]]="Kế hoạch"),
   X36*Y36,
   SUM(Table1[[#This Row],[A1]:[B]])
)</f>
        <v>100</v>
      </c>
      <c r="L36" s="1905" t="str">
        <f t="shared" si="9"/>
        <v/>
      </c>
      <c r="M36" s="1622" t="str">
        <f>IFERROR(IF(AND(Table1[[#This Row],[Loại số liệu]]="Kế hoạch",Table1[[#This Row],[Đơn vị]]="m2"),
   Y36,
   IF(AND(Table1[[#This Row],[Loại số liệu]]="Thực hiện",Table1[[#This Row],[Đơn vị]]="m2"),
      K36/L36,
      ""
   )
),"")</f>
        <v/>
      </c>
      <c r="N36" s="1905">
        <f>IF(AND(Table1[[#This Row],[Loại số liệu]]="Kế hoạch",Table1[[#This Row],[Đơn vị]]="%"),
    Z36,
    IF(AND(Table1[[#This Row],[Loại số liệu]]="Thực hiện",Table1[[#This Row],[Đơn vị]]="%"),
        IFERROR(K35/T35*100,""),
        IF(AND(Table1[[#This Row],[Loại số liệu]]="Thực hiện",Table1[[#This Row],[Đơn vị]]="m2"),
            Z36,
            ""
        )
    )
)</f>
        <v>98</v>
      </c>
      <c r="O36" s="1905">
        <f>IF(AND(Table1[[#This Row],[Loại số liệu]]="Thực hiện",Table1[[#This Row],[Đơn vị]]="m2"),
    AA36,
    IF(Table1[[#This Row],[A/ép]]="",
        "",
        100-Table1[[#This Row],[A/ép]]
    )
)</f>
        <v>2</v>
      </c>
      <c r="P36" s="1905" t="str">
        <f t="shared" si="10"/>
        <v/>
      </c>
      <c r="Q36" s="1905" t="str">
        <f t="shared" si="11"/>
        <v/>
      </c>
      <c r="R36" s="1905" t="str">
        <f>IFERROR(Table1[[#This Row],[T/g dừng 2MF]]*Table1[[#This Row],[Số ngày SX]],"")</f>
        <v/>
      </c>
      <c r="S36" s="1925"/>
      <c r="T36" s="1911"/>
      <c r="U36" s="1910">
        <v>90</v>
      </c>
      <c r="V36" s="1910">
        <v>7</v>
      </c>
      <c r="W36" s="1910">
        <v>3</v>
      </c>
      <c r="X36" s="1905"/>
      <c r="Y36" s="1622"/>
      <c r="Z36" s="1910">
        <v>98</v>
      </c>
      <c r="AA36" s="1910">
        <v>2</v>
      </c>
      <c r="AB36" s="1905"/>
      <c r="AC36" s="1909"/>
    </row>
    <row r="37" spans="1:29" ht="44" customHeight="1" x14ac:dyDescent="0.2">
      <c r="A37" s="1996">
        <f>IF(B37="","",COUNTA($B$3:B37))</f>
        <v>35</v>
      </c>
      <c r="B37" s="1997">
        <v>5</v>
      </c>
      <c r="C37" s="1997" t="s">
        <v>25</v>
      </c>
      <c r="D37" s="1522" t="s">
        <v>116</v>
      </c>
      <c r="E37" s="1522" t="s">
        <v>1013</v>
      </c>
      <c r="F37" s="1522" t="s">
        <v>21</v>
      </c>
      <c r="G37" s="1905">
        <f>IFERROR(IF(AND(Table1[[#This Row],[Loại số liệu]]="Kế hoạch",Table1[[#This Row],[Đơn vị]]="m2"),
   Table1[[#This Row],[Tổng (A1+A+B)]]*100/N38,
   IF(AND(Table1[[#This Row],[Loại số liệu]]="Thực hiện",Table1[[#This Row],[Đơn vị]]="m2"),
      T37,
      ""
   )
),0)</f>
        <v>466139</v>
      </c>
      <c r="H37" s="1905">
        <f>IF(AND(Table1[[#This Row],[Loại số liệu]]="Kế hoạch",Table1[[#This Row],[Đơn vị]]="m2"),
    U38*Table1[[#This Row],[Tổng (A1+A+B)]]/100,
    IF(AND(Table1[[#This Row],[Loại số liệu]]="Thực hiện",Table1[[#This Row],[Đơn vị]]="%"),
        IFERROR(H36/$K36*100,""),
        U37
    )
)</f>
        <v>434859.2</v>
      </c>
      <c r="I37" s="1905">
        <f>IF(AND(Table1[[#This Row],[Loại số liệu]]="Kế hoạch",Table1[[#This Row],[Đơn vị]]="m2"),
    V38*Table1[[#This Row],[Tổng (A1+A+B)]]/100,
    IF(AND(Table1[[#This Row],[Loại số liệu]]="Thực hiện",Table1[[#This Row],[Đơn vị]]="%"),
        IFERROR(I36/$K36*100,""),
        V37
    )
)</f>
        <v>0</v>
      </c>
      <c r="J37" s="1905">
        <f>IF(AND(Table1[[#This Row],[Loại số liệu]]="Kế hoạch",Table1[[#This Row],[Đơn vị]]="m2"),
    W38*Table1[[#This Row],[Tổng (A1+A+B)]]/100,
    IF(AND(Table1[[#This Row],[Loại số liệu]]="Thực hiện",Table1[[#This Row],[Đơn vị]]="%"),
        IFERROR(J36/$K36*100,""),
        W37
    )
)</f>
        <v>24872</v>
      </c>
      <c r="K37" s="1905">
        <f>IF(AND(Table1[[#This Row],[Đơn vị]]="m2",Table1[[#This Row],[Loại số liệu]]="Kế hoạch"),
   X37*Y37,
   SUM(Table1[[#This Row],[A1]:[B]])
)</f>
        <v>459731.20000000001</v>
      </c>
      <c r="L37" s="1905">
        <f t="shared" si="9"/>
        <v>31</v>
      </c>
      <c r="M37" s="1622">
        <f>IFERROR(IF(AND(Table1[[#This Row],[Loại số liệu]]="Kế hoạch",Table1[[#This Row],[Đơn vị]]="m2"),
   Y37,
   IF(AND(Table1[[#This Row],[Loại số liệu]]="Thực hiện",Table1[[#This Row],[Đơn vị]]="m2"),
      K37/L37,
      ""
   )
),"")</f>
        <v>14830.038709677419</v>
      </c>
      <c r="N37" s="1905">
        <f>IF(AND(Table1[[#This Row],[Loại số liệu]]="Kế hoạch",Table1[[#This Row],[Đơn vị]]="%"),
    Z37,
    IF(AND(Table1[[#This Row],[Loại số liệu]]="Thực hiện",Table1[[#This Row],[Đơn vị]]="%"),
        IFERROR(K36/T36*100,""),
        IF(AND(Table1[[#This Row],[Loại số liệu]]="Thực hiện",Table1[[#This Row],[Đơn vị]]="m2"),
            Z37,
            ""
        )
    )
)</f>
        <v>0</v>
      </c>
      <c r="O37" s="1905">
        <f>IF(AND(Table1[[#This Row],[Loại số liệu]]="Thực hiện",Table1[[#This Row],[Đơn vị]]="m2"),
    AA37,
    IF(Table1[[#This Row],[A/ép]]="",
        "",
        100-Table1[[#This Row],[A/ép]]
    )
)</f>
        <v>1907.2</v>
      </c>
      <c r="P37" s="1905">
        <f t="shared" si="10"/>
        <v>2030.4</v>
      </c>
      <c r="Q37" s="1905">
        <f t="shared" si="11"/>
        <v>25</v>
      </c>
      <c r="R37" s="1905">
        <f>IFERROR(Table1[[#This Row],[T/g dừng 2MF]]*Table1[[#This Row],[Số ngày SX]],"")</f>
        <v>775</v>
      </c>
      <c r="S37" s="1925"/>
      <c r="T37" s="1913">
        <v>466139</v>
      </c>
      <c r="U37" s="1910">
        <v>434859.2</v>
      </c>
      <c r="V37" s="1910">
        <v>0</v>
      </c>
      <c r="W37" s="1910">
        <v>24872</v>
      </c>
      <c r="X37" s="1910">
        <v>31</v>
      </c>
      <c r="Y37" s="1923">
        <v>14830</v>
      </c>
      <c r="Z37" s="1914"/>
      <c r="AA37" s="1910">
        <v>1907.2</v>
      </c>
      <c r="AB37" s="1910">
        <v>2030.4</v>
      </c>
      <c r="AC37" s="1915">
        <v>25</v>
      </c>
    </row>
    <row r="38" spans="1:29" ht="24" customHeight="1" x14ac:dyDescent="0.2">
      <c r="A38" s="1996">
        <f>IF(B38="","",COUNTA($B$3:B38))</f>
        <v>36</v>
      </c>
      <c r="B38" s="1997">
        <v>5</v>
      </c>
      <c r="C38" s="1997" t="s">
        <v>25</v>
      </c>
      <c r="D38" s="1522" t="s">
        <v>116</v>
      </c>
      <c r="E38" s="1522" t="s">
        <v>1013</v>
      </c>
      <c r="F38" s="1623" t="s">
        <v>22</v>
      </c>
      <c r="G38" s="1905" t="str">
        <f>IFERROR(IF(AND(Table1[[#This Row],[Loại số liệu]]="Kế hoạch",Table1[[#This Row],[Đơn vị]]="m2"),
   Table1[[#This Row],[Tổng (A1+A+B)]]*100/N39,
   IF(AND(Table1[[#This Row],[Loại số liệu]]="Thực hiện",Table1[[#This Row],[Đơn vị]]="m2"),
      T38,
      ""
   )
),0)</f>
        <v/>
      </c>
      <c r="H38" s="1905">
        <f>IF(AND(Table1[[#This Row],[Loại số liệu]]="Kế hoạch",Table1[[#This Row],[Đơn vị]]="m2"),
    U39*Table1[[#This Row],[Tổng (A1+A+B)]]/100,
    IF(AND(Table1[[#This Row],[Loại số liệu]]="Thực hiện",Table1[[#This Row],[Đơn vị]]="%"),
        IFERROR(H37/$K37*100,""),
        U38
    )
)</f>
        <v>94.589882087619898</v>
      </c>
      <c r="I38" s="1905">
        <f>IF(AND(Table1[[#This Row],[Loại số liệu]]="Kế hoạch",Table1[[#This Row],[Đơn vị]]="m2"),
    V39*Table1[[#This Row],[Tổng (A1+A+B)]]/100,
    IF(AND(Table1[[#This Row],[Loại số liệu]]="Thực hiện",Table1[[#This Row],[Đơn vị]]="%"),
        IFERROR(I37/$K37*100,""),
        V38
    )
)</f>
        <v>0</v>
      </c>
      <c r="J38" s="1905">
        <f>IF(AND(Table1[[#This Row],[Loại số liệu]]="Kế hoạch",Table1[[#This Row],[Đơn vị]]="m2"),
    W39*Table1[[#This Row],[Tổng (A1+A+B)]]/100,
    IF(AND(Table1[[#This Row],[Loại số liệu]]="Thực hiện",Table1[[#This Row],[Đơn vị]]="%"),
        IFERROR(J37/$K37*100,""),
        W38
    )
)</f>
        <v>5.4101179123801035</v>
      </c>
      <c r="K38" s="1905">
        <f>IF(AND(Table1[[#This Row],[Đơn vị]]="m2",Table1[[#This Row],[Loại số liệu]]="Kế hoạch"),
   X38*Y38,
   SUM(Table1[[#This Row],[A1]:[B]])
)</f>
        <v>100</v>
      </c>
      <c r="L38" s="1905" t="str">
        <f t="shared" si="9"/>
        <v/>
      </c>
      <c r="M38" s="1622" t="str">
        <f>IFERROR(IF(AND(Table1[[#This Row],[Loại số liệu]]="Kế hoạch",Table1[[#This Row],[Đơn vị]]="m2"),
   Y38,
   IF(AND(Table1[[#This Row],[Loại số liệu]]="Thực hiện",Table1[[#This Row],[Đơn vị]]="m2"),
      K38/L38,
      ""
   )
),"")</f>
        <v/>
      </c>
      <c r="N38" s="1905">
        <f>IF(AND(Table1[[#This Row],[Loại số liệu]]="Kế hoạch",Table1[[#This Row],[Đơn vị]]="%"),
    Z38,
    IF(AND(Table1[[#This Row],[Loại số liệu]]="Thực hiện",Table1[[#This Row],[Đơn vị]]="%"),
        IFERROR(K37/T37*100,""),
        IF(AND(Table1[[#This Row],[Loại số liệu]]="Thực hiện",Table1[[#This Row],[Đơn vị]]="m2"),
            Z38,
            ""
        )
    )
)</f>
        <v>98.625345658698365</v>
      </c>
      <c r="O38" s="1905">
        <f>IF(AND(Table1[[#This Row],[Loại số liệu]]="Thực hiện",Table1[[#This Row],[Đơn vị]]="m2"),
    AA38,
    IF(Table1[[#This Row],[A/ép]]="",
        "",
        100-Table1[[#This Row],[A/ép]]
    )
)</f>
        <v>1.3746543413016354</v>
      </c>
      <c r="P38" s="1905" t="str">
        <f t="shared" si="10"/>
        <v/>
      </c>
      <c r="Q38" s="1905" t="str">
        <f t="shared" si="11"/>
        <v/>
      </c>
      <c r="R38" s="1905" t="str">
        <f>IFERROR(Table1[[#This Row],[T/g dừng 2MF]]*Table1[[#This Row],[Số ngày SX]],"")</f>
        <v/>
      </c>
      <c r="S38" s="1925"/>
      <c r="T38" s="1911"/>
      <c r="U38" s="1905"/>
      <c r="V38" s="1905"/>
      <c r="W38" s="1905"/>
      <c r="X38" s="1905"/>
      <c r="Y38" s="1622"/>
      <c r="Z38" s="1905"/>
      <c r="AA38" s="1905"/>
      <c r="AB38" s="1905"/>
      <c r="AC38" s="1909"/>
    </row>
    <row r="39" spans="1:29" ht="44" customHeight="1" x14ac:dyDescent="0.2">
      <c r="A39" s="1996">
        <f>IF(B39="","",COUNTA($B$3:B39))</f>
        <v>37</v>
      </c>
      <c r="B39" s="1997">
        <v>6</v>
      </c>
      <c r="C39" s="1997" t="s">
        <v>5</v>
      </c>
      <c r="D39" s="1522" t="s">
        <v>115</v>
      </c>
      <c r="E39" s="1522" t="s">
        <v>883</v>
      </c>
      <c r="F39" s="1522" t="s">
        <v>21</v>
      </c>
      <c r="G39" s="1905">
        <f>IFERROR(IF(AND(Table1[[#This Row],[Loại số liệu]]="Kế hoạch",Table1[[#This Row],[Đơn vị]]="m2"),
   Table1[[#This Row],[Tổng (A1+A+B)]]*100/N40,
   IF(AND(Table1[[#This Row],[Loại số liệu]]="Thực hiện",Table1[[#This Row],[Đơn vị]]="m2"),
      T39,
      ""
   )
),0)</f>
        <v>471744</v>
      </c>
      <c r="H39" s="1905">
        <f>IF(AND(Table1[[#This Row],[Loại số liệu]]="Kế hoạch",Table1[[#This Row],[Đơn vị]]="m2"),
    U40*Table1[[#This Row],[Tổng (A1+A+B)]]/100,
    IF(AND(Table1[[#This Row],[Loại số liệu]]="Thực hiện",Table1[[#This Row],[Đơn vị]]="%"),
        IFERROR(H38/$K38*100,""),
        U39
    )
)</f>
        <v>416078.20799999998</v>
      </c>
      <c r="I39" s="1905">
        <f>IF(AND(Table1[[#This Row],[Loại số liệu]]="Kế hoạch",Table1[[#This Row],[Đơn vị]]="m2"),
    V40*Table1[[#This Row],[Tổng (A1+A+B)]]/100,
    IF(AND(Table1[[#This Row],[Loại số liệu]]="Thực hiện",Table1[[#This Row],[Đơn vị]]="%"),
        IFERROR(I38/$K38*100,""),
        V39
    )
)</f>
        <v>32361.6384</v>
      </c>
      <c r="J39" s="1905">
        <f>IF(AND(Table1[[#This Row],[Loại số liệu]]="Kế hoạch",Table1[[#This Row],[Đơn vị]]="m2"),
    W40*Table1[[#This Row],[Tổng (A1+A+B)]]/100,
    IF(AND(Table1[[#This Row],[Loại số liệu]]="Thực hiện",Table1[[#This Row],[Đơn vị]]="%"),
        IFERROR(J38/$K38*100,""),
        W39
    )
)</f>
        <v>13869.273599999999</v>
      </c>
      <c r="K39" s="1905">
        <f>IF(AND(Table1[[#This Row],[Đơn vị]]="m2",Table1[[#This Row],[Loại số liệu]]="Kế hoạch"),
   X39*Y39,
   SUM(Table1[[#This Row],[A1]:[B]])
)</f>
        <v>462309.12</v>
      </c>
      <c r="L39" s="1905">
        <f t="shared" si="9"/>
        <v>30</v>
      </c>
      <c r="M39" s="1622">
        <f>IFERROR(IF(AND(Table1[[#This Row],[Loại số liệu]]="Kế hoạch",Table1[[#This Row],[Đơn vị]]="m2"),
   Y39,
   IF(AND(Table1[[#This Row],[Loại số liệu]]="Thực hiện",Table1[[#This Row],[Đơn vị]]="m2"),
      K39/L39,
      ""
   )
),"")</f>
        <v>15410.304</v>
      </c>
      <c r="N39" s="1905" t="str">
        <f>IF(AND(Table1[[#This Row],[Loại số liệu]]="Kế hoạch",Table1[[#This Row],[Đơn vị]]="%"),
    Z39,
    IF(AND(Table1[[#This Row],[Loại số liệu]]="Thực hiện",Table1[[#This Row],[Đơn vị]]="%"),
        IFERROR(K38/T38*100,""),
        IF(AND(Table1[[#This Row],[Loại số liệu]]="Thực hiện",Table1[[#This Row],[Đơn vị]]="m2"),
            Z39,
            ""
        )
    )
)</f>
        <v/>
      </c>
      <c r="O39" s="1905" t="str">
        <f>IF(AND(Table1[[#This Row],[Loại số liệu]]="Thực hiện",Table1[[#This Row],[Đơn vị]]="m2"),
    AA39,
    IF(Table1[[#This Row],[A/ép]]="",
        "",
        100-Table1[[#This Row],[A/ép]]
    )
)</f>
        <v/>
      </c>
      <c r="P39" s="1905" t="str">
        <f t="shared" si="10"/>
        <v/>
      </c>
      <c r="Q39" s="1905">
        <f t="shared" si="11"/>
        <v>40</v>
      </c>
      <c r="R39" s="1905">
        <f>IFERROR(Table1[[#This Row],[T/g dừng 2MF]]*Table1[[#This Row],[Số ngày SX]],"")</f>
        <v>1200</v>
      </c>
      <c r="S39" s="1925"/>
      <c r="T39" s="1911"/>
      <c r="U39" s="1905"/>
      <c r="V39" s="1905"/>
      <c r="W39" s="1905"/>
      <c r="X39" s="1910">
        <v>30</v>
      </c>
      <c r="Y39" s="1923">
        <v>15410.304</v>
      </c>
      <c r="Z39" s="1905"/>
      <c r="AA39" s="1905"/>
      <c r="AB39" s="1905"/>
      <c r="AC39" s="1912">
        <v>40</v>
      </c>
    </row>
    <row r="40" spans="1:29" ht="47" customHeight="1" x14ac:dyDescent="0.2">
      <c r="A40" s="1996">
        <f>IF(B40="","",COUNTA($B$3:B40))</f>
        <v>38</v>
      </c>
      <c r="B40" s="1997">
        <v>6</v>
      </c>
      <c r="C40" s="1997" t="s">
        <v>5</v>
      </c>
      <c r="D40" s="1522" t="s">
        <v>115</v>
      </c>
      <c r="E40" s="1522" t="s">
        <v>883</v>
      </c>
      <c r="F40" s="1623" t="s">
        <v>22</v>
      </c>
      <c r="G40" s="1905" t="str">
        <f>IFERROR(IF(AND(Table1[[#This Row],[Loại số liệu]]="Kế hoạch",Table1[[#This Row],[Đơn vị]]="m2"),
   Table1[[#This Row],[Tổng (A1+A+B)]]*100/N41,
   IF(AND(Table1[[#This Row],[Loại số liệu]]="Thực hiện",Table1[[#This Row],[Đơn vị]]="m2"),
      T40,
      ""
   )
),0)</f>
        <v/>
      </c>
      <c r="H40" s="1905">
        <f>IF(AND(Table1[[#This Row],[Loại số liệu]]="Kế hoạch",Table1[[#This Row],[Đơn vị]]="m2"),
    U41*Table1[[#This Row],[Tổng (A1+A+B)]]/100,
    IF(AND(Table1[[#This Row],[Loại số liệu]]="Thực hiện",Table1[[#This Row],[Đơn vị]]="%"),
        IFERROR(H39/$K39*100,""),
        U40
    )
)</f>
        <v>90</v>
      </c>
      <c r="I40" s="1905">
        <f>IF(AND(Table1[[#This Row],[Loại số liệu]]="Kế hoạch",Table1[[#This Row],[Đơn vị]]="m2"),
    V41*Table1[[#This Row],[Tổng (A1+A+B)]]/100,
    IF(AND(Table1[[#This Row],[Loại số liệu]]="Thực hiện",Table1[[#This Row],[Đơn vị]]="%"),
        IFERROR(I39/$K39*100,""),
        V40
    )
)</f>
        <v>7</v>
      </c>
      <c r="J40" s="1905">
        <f>IF(AND(Table1[[#This Row],[Loại số liệu]]="Kế hoạch",Table1[[#This Row],[Đơn vị]]="m2"),
    W41*Table1[[#This Row],[Tổng (A1+A+B)]]/100,
    IF(AND(Table1[[#This Row],[Loại số liệu]]="Thực hiện",Table1[[#This Row],[Đơn vị]]="%"),
        IFERROR(J39/$K39*100,""),
        W40
    )
)</f>
        <v>3</v>
      </c>
      <c r="K40" s="1905">
        <f>IF(AND(Table1[[#This Row],[Đơn vị]]="m2",Table1[[#This Row],[Loại số liệu]]="Kế hoạch"),
   X40*Y40,
   SUM(Table1[[#This Row],[A1]:[B]])
)</f>
        <v>100</v>
      </c>
      <c r="L40" s="1905" t="str">
        <f t="shared" si="9"/>
        <v/>
      </c>
      <c r="M40" s="1622" t="str">
        <f>IFERROR(IF(AND(Table1[[#This Row],[Loại số liệu]]="Kế hoạch",Table1[[#This Row],[Đơn vị]]="m2"),
   Y40,
   IF(AND(Table1[[#This Row],[Loại số liệu]]="Thực hiện",Table1[[#This Row],[Đơn vị]]="m2"),
      K40/L40,
      ""
   )
),"")</f>
        <v/>
      </c>
      <c r="N40" s="1905">
        <f>IF(AND(Table1[[#This Row],[Loại số liệu]]="Kế hoạch",Table1[[#This Row],[Đơn vị]]="%"),
    Z40,
    IF(AND(Table1[[#This Row],[Loại số liệu]]="Thực hiện",Table1[[#This Row],[Đơn vị]]="%"),
        IFERROR(K39/T39*100,""),
        IF(AND(Table1[[#This Row],[Loại số liệu]]="Thực hiện",Table1[[#This Row],[Đơn vị]]="m2"),
            Z40,
            ""
        )
    )
)</f>
        <v>98</v>
      </c>
      <c r="O40" s="1905">
        <f>IF(AND(Table1[[#This Row],[Loại số liệu]]="Thực hiện",Table1[[#This Row],[Đơn vị]]="m2"),
    AA40,
    IF(Table1[[#This Row],[A/ép]]="",
        "",
        100-Table1[[#This Row],[A/ép]]
    )
)</f>
        <v>2</v>
      </c>
      <c r="P40" s="1905" t="str">
        <f t="shared" si="10"/>
        <v/>
      </c>
      <c r="Q40" s="1905" t="str">
        <f t="shared" si="11"/>
        <v/>
      </c>
      <c r="R40" s="1905" t="str">
        <f>IFERROR(Table1[[#This Row],[T/g dừng 2MF]]*Table1[[#This Row],[Số ngày SX]],"")</f>
        <v/>
      </c>
      <c r="S40" s="1925"/>
      <c r="T40" s="1911"/>
      <c r="U40" s="1910">
        <v>90</v>
      </c>
      <c r="V40" s="1910">
        <v>7</v>
      </c>
      <c r="W40" s="1910">
        <v>3</v>
      </c>
      <c r="X40" s="1905"/>
      <c r="Y40" s="1622"/>
      <c r="Z40" s="1910">
        <v>98</v>
      </c>
      <c r="AA40" s="1910">
        <v>2</v>
      </c>
      <c r="AB40" s="1905"/>
      <c r="AC40" s="1909"/>
    </row>
    <row r="41" spans="1:29" ht="47" customHeight="1" x14ac:dyDescent="0.2">
      <c r="A41" s="1996">
        <f>IF(B41="","",COUNTA($B$3:B41))</f>
        <v>39</v>
      </c>
      <c r="B41" s="1997">
        <v>6</v>
      </c>
      <c r="C41" s="1997" t="s">
        <v>5</v>
      </c>
      <c r="D41" s="1522" t="s">
        <v>115</v>
      </c>
      <c r="E41" s="1522" t="s">
        <v>1013</v>
      </c>
      <c r="F41" s="1522" t="s">
        <v>21</v>
      </c>
      <c r="G41" s="1905">
        <f>IFERROR(IF(AND(Table1[[#This Row],[Loại số liệu]]="Kế hoạch",Table1[[#This Row],[Đơn vị]]="m2"),
   Table1[[#This Row],[Tổng (A1+A+B)]]*100/N42,
   IF(AND(Table1[[#This Row],[Loại số liệu]]="Thực hiện",Table1[[#This Row],[Đơn vị]]="m2"),
      T41,
      ""
   )
),0)</f>
        <v>483481</v>
      </c>
      <c r="H41" s="1905">
        <f>IF(AND(Table1[[#This Row],[Loại số liệu]]="Kế hoạch",Table1[[#This Row],[Đơn vị]]="m2"),
    U42*Table1[[#This Row],[Tổng (A1+A+B)]]/100,
    IF(AND(Table1[[#This Row],[Loại số liệu]]="Thực hiện",Table1[[#This Row],[Đơn vị]]="%"),
        IFERROR(H40/$K40*100,""),
        U41
    )
)</f>
        <v>449686.08</v>
      </c>
      <c r="I41" s="1905">
        <f>IF(AND(Table1[[#This Row],[Loại số liệu]]="Kế hoạch",Table1[[#This Row],[Đơn vị]]="m2"),
    V42*Table1[[#This Row],[Tổng (A1+A+B)]]/100,
    IF(AND(Table1[[#This Row],[Loại số liệu]]="Thực hiện",Table1[[#This Row],[Đơn vị]]="%"),
        IFERROR(I40/$K40*100,""),
        V41
    )
)</f>
        <v>9264.9599999999991</v>
      </c>
      <c r="J41" s="1905">
        <f>IF(AND(Table1[[#This Row],[Loại số liệu]]="Kế hoạch",Table1[[#This Row],[Đơn vị]]="m2"),
    W42*Table1[[#This Row],[Tổng (A1+A+B)]]/100,
    IF(AND(Table1[[#This Row],[Loại số liệu]]="Thực hiện",Table1[[#This Row],[Đơn vị]]="%"),
        IFERROR(J40/$K40*100,""),
        W41
    )
)</f>
        <v>19704.96</v>
      </c>
      <c r="K41" s="1905">
        <f>IF(AND(Table1[[#This Row],[Đơn vị]]="m2",Table1[[#This Row],[Loại số liệu]]="Kế hoạch"),
   X41*Y41,
   SUM(Table1[[#This Row],[A1]:[B]])
)</f>
        <v>478656.00000000006</v>
      </c>
      <c r="L41" s="1905">
        <f t="shared" si="9"/>
        <v>30</v>
      </c>
      <c r="M41" s="1622">
        <f>IFERROR(IF(AND(Table1[[#This Row],[Loại số liệu]]="Kế hoạch",Table1[[#This Row],[Đơn vị]]="m2"),
   Y41,
   IF(AND(Table1[[#This Row],[Loại số liệu]]="Thực hiện",Table1[[#This Row],[Đơn vị]]="m2"),
      K41/L41,
      ""
   )
),"")</f>
        <v>15955.200000000003</v>
      </c>
      <c r="N41" s="1905">
        <f>IF(AND(Table1[[#This Row],[Loại số liệu]]="Kế hoạch",Table1[[#This Row],[Đơn vị]]="%"),
    Z41,
    IF(AND(Table1[[#This Row],[Loại số liệu]]="Thực hiện",Table1[[#This Row],[Đơn vị]]="%"),
        IFERROR(K40/T40*100,""),
        IF(AND(Table1[[#This Row],[Loại số liệu]]="Thực hiện",Table1[[#This Row],[Đơn vị]]="m2"),
            Z41,
            ""
        )
    )
)</f>
        <v>0</v>
      </c>
      <c r="O41" s="1905">
        <f>IF(AND(Table1[[#This Row],[Loại số liệu]]="Thực hiện",Table1[[#This Row],[Đơn vị]]="m2"),
    AA41,
    IF(Table1[[#This Row],[A/ép]]="",
        "",
        100-Table1[[#This Row],[A/ép]]
    )
)</f>
        <v>1261.44</v>
      </c>
      <c r="P41" s="1905">
        <f t="shared" si="10"/>
        <v>1406.88</v>
      </c>
      <c r="Q41" s="1905">
        <f t="shared" si="11"/>
        <v>20</v>
      </c>
      <c r="R41" s="1905">
        <f>IFERROR(Table1[[#This Row],[T/g dừng 2MF]]*Table1[[#This Row],[Số ngày SX]],"")</f>
        <v>600</v>
      </c>
      <c r="S41" s="1925"/>
      <c r="T41" s="1913">
        <v>483481</v>
      </c>
      <c r="U41" s="1910">
        <v>449686.08</v>
      </c>
      <c r="V41" s="1910">
        <v>9264.9599999999991</v>
      </c>
      <c r="W41" s="1910">
        <v>19704.96</v>
      </c>
      <c r="X41" s="1910">
        <v>30</v>
      </c>
      <c r="Y41" s="1923">
        <v>15955</v>
      </c>
      <c r="Z41" s="1914"/>
      <c r="AA41" s="1910">
        <v>1261.44</v>
      </c>
      <c r="AB41" s="1910">
        <v>1406.88</v>
      </c>
      <c r="AC41" s="1915">
        <v>20</v>
      </c>
    </row>
    <row r="42" spans="1:29" ht="47" customHeight="1" x14ac:dyDescent="0.2">
      <c r="A42" s="1996">
        <f>IF(B42="","",COUNTA($B$3:B42))</f>
        <v>40</v>
      </c>
      <c r="B42" s="1997">
        <v>6</v>
      </c>
      <c r="C42" s="1997" t="s">
        <v>5</v>
      </c>
      <c r="D42" s="1522" t="s">
        <v>115</v>
      </c>
      <c r="E42" s="1522" t="s">
        <v>1013</v>
      </c>
      <c r="F42" s="1623" t="s">
        <v>22</v>
      </c>
      <c r="G42" s="1905" t="str">
        <f>IFERROR(IF(AND(Table1[[#This Row],[Loại số liệu]]="Kế hoạch",Table1[[#This Row],[Đơn vị]]="m2"),
   Table1[[#This Row],[Tổng (A1+A+B)]]*100/N43,
   IF(AND(Table1[[#This Row],[Loại số liệu]]="Thực hiện",Table1[[#This Row],[Đơn vị]]="m2"),
      T42,
      ""
   )
),0)</f>
        <v/>
      </c>
      <c r="H42" s="1905">
        <f>IF(AND(Table1[[#This Row],[Loại số liệu]]="Kế hoạch",Table1[[#This Row],[Đơn vị]]="m2"),
    U43*Table1[[#This Row],[Tổng (A1+A+B)]]/100,
    IF(AND(Table1[[#This Row],[Loại số liệu]]="Thực hiện",Table1[[#This Row],[Đơn vị]]="%"),
        IFERROR(H41/$K41*100,""),
        U42
    )
)</f>
        <v>93.94765342960288</v>
      </c>
      <c r="I42" s="1905">
        <f>IF(AND(Table1[[#This Row],[Loại số liệu]]="Kế hoạch",Table1[[#This Row],[Đơn vị]]="m2"),
    V43*Table1[[#This Row],[Tổng (A1+A+B)]]/100,
    IF(AND(Table1[[#This Row],[Loại số liệu]]="Thực hiện",Table1[[#This Row],[Đơn vị]]="%"),
        IFERROR(I41/$K41*100,""),
        V42
    )
)</f>
        <v>1.9356197352587239</v>
      </c>
      <c r="J42" s="1905">
        <f>IF(AND(Table1[[#This Row],[Loại số liệu]]="Kế hoạch",Table1[[#This Row],[Đơn vị]]="m2"),
    W43*Table1[[#This Row],[Tổng (A1+A+B)]]/100,
    IF(AND(Table1[[#This Row],[Loại số liệu]]="Thực hiện",Table1[[#This Row],[Đơn vị]]="%"),
        IFERROR(J41/$K41*100,""),
        W42
    )
)</f>
        <v>4.1167268351383868</v>
      </c>
      <c r="K42" s="1905">
        <f>IF(AND(Table1[[#This Row],[Đơn vị]]="m2",Table1[[#This Row],[Loại số liệu]]="Kế hoạch"),
   X42*Y42,
   SUM(Table1[[#This Row],[A1]:[B]])
)</f>
        <v>100</v>
      </c>
      <c r="L42" s="1905" t="str">
        <f t="shared" si="9"/>
        <v/>
      </c>
      <c r="M42" s="1622" t="str">
        <f>IFERROR(IF(AND(Table1[[#This Row],[Loại số liệu]]="Kế hoạch",Table1[[#This Row],[Đơn vị]]="m2"),
   Y42,
   IF(AND(Table1[[#This Row],[Loại số liệu]]="Thực hiện",Table1[[#This Row],[Đơn vị]]="m2"),
      K42/L42,
      ""
   )
),"")</f>
        <v/>
      </c>
      <c r="N42" s="1905">
        <f>IF(AND(Table1[[#This Row],[Loại số liệu]]="Kế hoạch",Table1[[#This Row],[Đơn vị]]="%"),
    Z42,
    IF(AND(Table1[[#This Row],[Loại số liệu]]="Thực hiện",Table1[[#This Row],[Đơn vị]]="%"),
        IFERROR(K41/T41*100,""),
        IF(AND(Table1[[#This Row],[Loại số liệu]]="Thực hiện",Table1[[#This Row],[Đơn vị]]="m2"),
            Z42,
            ""
        )
    )
)</f>
        <v>99.002029035267171</v>
      </c>
      <c r="O42" s="1905">
        <f>IF(AND(Table1[[#This Row],[Loại số liệu]]="Thực hiện",Table1[[#This Row],[Đơn vị]]="m2"),
    AA42,
    IF(Table1[[#This Row],[A/ép]]="",
        "",
        100-Table1[[#This Row],[A/ép]]
    )
)</f>
        <v>0.9979709647328292</v>
      </c>
      <c r="P42" s="1905" t="str">
        <f t="shared" si="10"/>
        <v/>
      </c>
      <c r="Q42" s="1905" t="str">
        <f t="shared" si="11"/>
        <v/>
      </c>
      <c r="R42" s="1905" t="str">
        <f>IFERROR(Table1[[#This Row],[T/g dừng 2MF]]*Table1[[#This Row],[Số ngày SX]],"")</f>
        <v/>
      </c>
      <c r="S42" s="1925"/>
      <c r="T42" s="1911"/>
      <c r="U42" s="1905"/>
      <c r="V42" s="1905"/>
      <c r="W42" s="1905"/>
      <c r="X42" s="1905"/>
      <c r="Y42" s="1622"/>
      <c r="Z42" s="1905"/>
      <c r="AA42" s="1905"/>
      <c r="AB42" s="1905"/>
      <c r="AC42" s="1909"/>
    </row>
    <row r="43" spans="1:29" ht="47" customHeight="1" x14ac:dyDescent="0.2">
      <c r="A43" s="1996">
        <f>IF(B43="","",COUNTA($B$3:B43))</f>
        <v>41</v>
      </c>
      <c r="B43" s="1997">
        <v>6</v>
      </c>
      <c r="C43" s="1997" t="s">
        <v>25</v>
      </c>
      <c r="D43" s="1522" t="s">
        <v>116</v>
      </c>
      <c r="E43" s="1522" t="s">
        <v>883</v>
      </c>
      <c r="F43" s="1522" t="s">
        <v>21</v>
      </c>
      <c r="G43" s="1905">
        <f>IFERROR(IF(AND(Table1[[#This Row],[Loại số liệu]]="Kế hoạch",Table1[[#This Row],[Đơn vị]]="m2"),
   Table1[[#This Row],[Tổng (A1+A+B)]]*100/N44,
   IF(AND(Table1[[#This Row],[Loại số liệu]]="Thực hiện",Table1[[#This Row],[Đơn vị]]="m2"),
      T43,
      ""
   )
),0)</f>
        <v>424838.39999999997</v>
      </c>
      <c r="H43" s="1905">
        <f>IF(AND(Table1[[#This Row],[Loại số liệu]]="Kế hoạch",Table1[[#This Row],[Đơn vị]]="m2"),
    U44*Table1[[#This Row],[Tổng (A1+A+B)]]/100,
    IF(AND(Table1[[#This Row],[Loại số liệu]]="Thực hiện",Table1[[#This Row],[Đơn vị]]="%"),
        IFERROR(H42/$K42*100,""),
        U43
    )
)</f>
        <v>374707.46879999997</v>
      </c>
      <c r="I43" s="1905">
        <f>IF(AND(Table1[[#This Row],[Loại số liệu]]="Kế hoạch",Table1[[#This Row],[Đơn vị]]="m2"),
    V44*Table1[[#This Row],[Tổng (A1+A+B)]]/100,
    IF(AND(Table1[[#This Row],[Loại số liệu]]="Thực hiện",Table1[[#This Row],[Đơn vị]]="%"),
        IFERROR(I42/$K42*100,""),
        V43
    )
)</f>
        <v>29143.914239999998</v>
      </c>
      <c r="J43" s="1905">
        <f>IF(AND(Table1[[#This Row],[Loại số liệu]]="Kế hoạch",Table1[[#This Row],[Đơn vị]]="m2"),
    W44*Table1[[#This Row],[Tổng (A1+A+B)]]/100,
    IF(AND(Table1[[#This Row],[Loại số liệu]]="Thực hiện",Table1[[#This Row],[Đơn vị]]="%"),
        IFERROR(J42/$K42*100,""),
        W43
    )
)</f>
        <v>12490.248959999999</v>
      </c>
      <c r="K43" s="1905">
        <f>IF(AND(Table1[[#This Row],[Đơn vị]]="m2",Table1[[#This Row],[Loại số liệu]]="Kế hoạch"),
   X43*Y43,
   SUM(Table1[[#This Row],[A1]:[B]])
)</f>
        <v>416341.63199999998</v>
      </c>
      <c r="L43" s="1905">
        <f t="shared" si="9"/>
        <v>29</v>
      </c>
      <c r="M43" s="1622">
        <f>IFERROR(IF(AND(Table1[[#This Row],[Loại số liệu]]="Kế hoạch",Table1[[#This Row],[Đơn vị]]="m2"),
   Y43,
   IF(AND(Table1[[#This Row],[Loại số liệu]]="Thực hiện",Table1[[#This Row],[Đơn vị]]="m2"),
      K43/L43,
      ""
   )
),"")</f>
        <v>14356.608</v>
      </c>
      <c r="N43" s="1905" t="str">
        <f>IF(AND(Table1[[#This Row],[Loại số liệu]]="Kế hoạch",Table1[[#This Row],[Đơn vị]]="%"),
    Z43,
    IF(AND(Table1[[#This Row],[Loại số liệu]]="Thực hiện",Table1[[#This Row],[Đơn vị]]="%"),
        IFERROR(K42/T42*100,""),
        IF(AND(Table1[[#This Row],[Loại số liệu]]="Thực hiện",Table1[[#This Row],[Đơn vị]]="m2"),
            Z43,
            ""
        )
    )
)</f>
        <v/>
      </c>
      <c r="O43" s="1905" t="str">
        <f>IF(AND(Table1[[#This Row],[Loại số liệu]]="Thực hiện",Table1[[#This Row],[Đơn vị]]="m2"),
    AA43,
    IF(Table1[[#This Row],[A/ép]]="",
        "",
        100-Table1[[#This Row],[A/ép]]
    )
)</f>
        <v/>
      </c>
      <c r="P43" s="1905" t="str">
        <f t="shared" si="10"/>
        <v/>
      </c>
      <c r="Q43" s="1905">
        <f t="shared" si="11"/>
        <v>40</v>
      </c>
      <c r="R43" s="1905">
        <f>IFERROR(Table1[[#This Row],[T/g dừng 2MF]]*Table1[[#This Row],[Số ngày SX]],"")</f>
        <v>1160</v>
      </c>
      <c r="S43" s="1925"/>
      <c r="T43" s="1911"/>
      <c r="U43" s="1905"/>
      <c r="V43" s="1905"/>
      <c r="W43" s="1905"/>
      <c r="X43" s="1910">
        <v>29</v>
      </c>
      <c r="Y43" s="1923">
        <v>14356.608</v>
      </c>
      <c r="Z43" s="1905"/>
      <c r="AA43" s="1905"/>
      <c r="AB43" s="1905"/>
      <c r="AC43" s="1912">
        <v>40</v>
      </c>
    </row>
    <row r="44" spans="1:29" ht="47" customHeight="1" x14ac:dyDescent="0.2">
      <c r="A44" s="1996">
        <f>IF(B44="","",COUNTA($B$3:B44))</f>
        <v>42</v>
      </c>
      <c r="B44" s="1997">
        <v>6</v>
      </c>
      <c r="C44" s="1997" t="s">
        <v>25</v>
      </c>
      <c r="D44" s="1522" t="s">
        <v>116</v>
      </c>
      <c r="E44" s="1522" t="s">
        <v>883</v>
      </c>
      <c r="F44" s="1623" t="s">
        <v>22</v>
      </c>
      <c r="G44" s="1905" t="str">
        <f>IFERROR(IF(AND(Table1[[#This Row],[Loại số liệu]]="Kế hoạch",Table1[[#This Row],[Đơn vị]]="m2"),
   Table1[[#This Row],[Tổng (A1+A+B)]]*100/N45,
   IF(AND(Table1[[#This Row],[Loại số liệu]]="Thực hiện",Table1[[#This Row],[Đơn vị]]="m2"),
      T44,
      ""
   )
),0)</f>
        <v/>
      </c>
      <c r="H44" s="1905">
        <f>IF(AND(Table1[[#This Row],[Loại số liệu]]="Kế hoạch",Table1[[#This Row],[Đơn vị]]="m2"),
    U45*Table1[[#This Row],[Tổng (A1+A+B)]]/100,
    IF(AND(Table1[[#This Row],[Loại số liệu]]="Thực hiện",Table1[[#This Row],[Đơn vị]]="%"),
        IFERROR(H43/$K43*100,""),
        U44
    )
)</f>
        <v>90</v>
      </c>
      <c r="I44" s="1905">
        <f>IF(AND(Table1[[#This Row],[Loại số liệu]]="Kế hoạch",Table1[[#This Row],[Đơn vị]]="m2"),
    V45*Table1[[#This Row],[Tổng (A1+A+B)]]/100,
    IF(AND(Table1[[#This Row],[Loại số liệu]]="Thực hiện",Table1[[#This Row],[Đơn vị]]="%"),
        IFERROR(I43/$K43*100,""),
        V44
    )
)</f>
        <v>7</v>
      </c>
      <c r="J44" s="1905">
        <f>IF(AND(Table1[[#This Row],[Loại số liệu]]="Kế hoạch",Table1[[#This Row],[Đơn vị]]="m2"),
    W45*Table1[[#This Row],[Tổng (A1+A+B)]]/100,
    IF(AND(Table1[[#This Row],[Loại số liệu]]="Thực hiện",Table1[[#This Row],[Đơn vị]]="%"),
        IFERROR(J43/$K43*100,""),
        W44
    )
)</f>
        <v>3</v>
      </c>
      <c r="K44" s="1905">
        <f>IF(AND(Table1[[#This Row],[Đơn vị]]="m2",Table1[[#This Row],[Loại số liệu]]="Kế hoạch"),
   X44*Y44,
   SUM(Table1[[#This Row],[A1]:[B]])
)</f>
        <v>100</v>
      </c>
      <c r="L44" s="1905" t="str">
        <f t="shared" si="9"/>
        <v/>
      </c>
      <c r="M44" s="1622" t="str">
        <f>IFERROR(IF(AND(Table1[[#This Row],[Loại số liệu]]="Kế hoạch",Table1[[#This Row],[Đơn vị]]="m2"),
   Y44,
   IF(AND(Table1[[#This Row],[Loại số liệu]]="Thực hiện",Table1[[#This Row],[Đơn vị]]="m2"),
      K44/L44,
      ""
   )
),"")</f>
        <v/>
      </c>
      <c r="N44" s="1905">
        <f>IF(AND(Table1[[#This Row],[Loại số liệu]]="Kế hoạch",Table1[[#This Row],[Đơn vị]]="%"),
    Z44,
    IF(AND(Table1[[#This Row],[Loại số liệu]]="Thực hiện",Table1[[#This Row],[Đơn vị]]="%"),
        IFERROR(K43/T43*100,""),
        IF(AND(Table1[[#This Row],[Loại số liệu]]="Thực hiện",Table1[[#This Row],[Đơn vị]]="m2"),
            Z44,
            ""
        )
    )
)</f>
        <v>98</v>
      </c>
      <c r="O44" s="1905">
        <f>IF(AND(Table1[[#This Row],[Loại số liệu]]="Thực hiện",Table1[[#This Row],[Đơn vị]]="m2"),
    AA44,
    IF(Table1[[#This Row],[A/ép]]="",
        "",
        100-Table1[[#This Row],[A/ép]]
    )
)</f>
        <v>2</v>
      </c>
      <c r="P44" s="1905" t="str">
        <f t="shared" si="10"/>
        <v/>
      </c>
      <c r="Q44" s="1905" t="str">
        <f t="shared" si="11"/>
        <v/>
      </c>
      <c r="R44" s="1905" t="str">
        <f>IFERROR(Table1[[#This Row],[T/g dừng 2MF]]*Table1[[#This Row],[Số ngày SX]],"")</f>
        <v/>
      </c>
      <c r="S44" s="1925"/>
      <c r="T44" s="1911"/>
      <c r="U44" s="1910">
        <v>90</v>
      </c>
      <c r="V44" s="1910">
        <v>7</v>
      </c>
      <c r="W44" s="1910">
        <v>3</v>
      </c>
      <c r="X44" s="1905"/>
      <c r="Y44" s="1622"/>
      <c r="Z44" s="1910">
        <v>98</v>
      </c>
      <c r="AA44" s="1910">
        <v>2</v>
      </c>
      <c r="AB44" s="1905"/>
      <c r="AC44" s="1909"/>
    </row>
    <row r="45" spans="1:29" ht="47" customHeight="1" x14ac:dyDescent="0.2">
      <c r="A45" s="1996">
        <f>IF(B45="","",COUNTA($B$3:B45))</f>
        <v>43</v>
      </c>
      <c r="B45" s="1997">
        <v>6</v>
      </c>
      <c r="C45" s="1998" t="s">
        <v>25</v>
      </c>
      <c r="D45" s="1522" t="s">
        <v>116</v>
      </c>
      <c r="E45" s="1623" t="s">
        <v>1013</v>
      </c>
      <c r="F45" s="1522" t="s">
        <v>21</v>
      </c>
      <c r="G45" s="1905">
        <f>IFERROR(IF(AND(Table1[[#This Row],[Loại số liệu]]="Kế hoạch",Table1[[#This Row],[Đơn vị]]="m2"),
   Table1[[#This Row],[Tổng (A1+A+B)]]*100/N46,
   IF(AND(Table1[[#This Row],[Loại số liệu]]="Thực hiện",Table1[[#This Row],[Đơn vị]]="m2"),
      T45,
      ""
   )
),0)</f>
        <v>435135</v>
      </c>
      <c r="H45" s="1905">
        <f>IF(AND(Table1[[#This Row],[Loại số liệu]]="Kế hoạch",Table1[[#This Row],[Đơn vị]]="m2"),
    U46*Table1[[#This Row],[Tổng (A1+A+B)]]/100,
    IF(AND(Table1[[#This Row],[Loại số liệu]]="Thực hiện",Table1[[#This Row],[Đơn vị]]="%"),
        IFERROR(H44/$K44*100,""),
        U45
    )
)</f>
        <v>408598.4</v>
      </c>
      <c r="I45" s="1905">
        <f>IF(AND(Table1[[#This Row],[Loại số liệu]]="Kế hoạch",Table1[[#This Row],[Đơn vị]]="m2"),
    V46*Table1[[#This Row],[Tổng (A1+A+B)]]/100,
    IF(AND(Table1[[#This Row],[Loại số liệu]]="Thực hiện",Table1[[#This Row],[Đơn vị]]="%"),
        IFERROR(I44/$K44*100,""),
        V45
    )
)</f>
        <v>0</v>
      </c>
      <c r="J45" s="1905">
        <f>IF(AND(Table1[[#This Row],[Loại số liệu]]="Kế hoạch",Table1[[#This Row],[Đơn vị]]="m2"),
    W46*Table1[[#This Row],[Tổng (A1+A+B)]]/100,
    IF(AND(Table1[[#This Row],[Loại số liệu]]="Thực hiện",Table1[[#This Row],[Đơn vị]]="%"),
        IFERROR(J44/$K44*100,""),
        W45
    )
)</f>
        <v>22238.400000000001</v>
      </c>
      <c r="K45" s="1905">
        <f>IF(AND(Table1[[#This Row],[Đơn vị]]="m2",Table1[[#This Row],[Loại số liệu]]="Kế hoạch"),
   X45*Y45,
   SUM(Table1[[#This Row],[A1]:[B]])
)</f>
        <v>430836.80000000005</v>
      </c>
      <c r="L45" s="1905">
        <f t="shared" si="9"/>
        <v>29</v>
      </c>
      <c r="M45" s="1622">
        <f>IFERROR(IF(AND(Table1[[#This Row],[Loại số liệu]]="Kế hoạch",Table1[[#This Row],[Đơn vị]]="m2"),
   Y45,
   IF(AND(Table1[[#This Row],[Loại số liệu]]="Thực hiện",Table1[[#This Row],[Đơn vị]]="m2"),
      K45/L45,
      ""
   )
),"")</f>
        <v>14856.441379310347</v>
      </c>
      <c r="N45" s="1905">
        <f>IF(AND(Table1[[#This Row],[Loại số liệu]]="Kế hoạch",Table1[[#This Row],[Đơn vị]]="%"),
    Z45,
    IF(AND(Table1[[#This Row],[Loại số liệu]]="Thực hiện",Table1[[#This Row],[Đơn vị]]="%"),
        IFERROR(K44/T44*100,""),
        IF(AND(Table1[[#This Row],[Loại số liệu]]="Thực hiện",Table1[[#This Row],[Đơn vị]]="m2"),
            Z45,
            ""
        )
    )
)</f>
        <v>0</v>
      </c>
      <c r="O45" s="1905">
        <f>IF(AND(Table1[[#This Row],[Loại số liệu]]="Thực hiện",Table1[[#This Row],[Đơn vị]]="m2"),
    AA45,
    IF(Table1[[#This Row],[A/ép]]="",
        "",
        100-Table1[[#This Row],[A/ép]]
    )
)</f>
        <v>1907</v>
      </c>
      <c r="P45" s="1905">
        <f t="shared" si="10"/>
        <v>2030</v>
      </c>
      <c r="Q45" s="1905">
        <f t="shared" si="11"/>
        <v>25</v>
      </c>
      <c r="R45" s="1905">
        <f>IFERROR(Table1[[#This Row],[T/g dừng 2MF]]*Table1[[#This Row],[Số ngày SX]],"")</f>
        <v>725</v>
      </c>
      <c r="S45" s="1925"/>
      <c r="T45" s="1913">
        <v>435135</v>
      </c>
      <c r="U45" s="1910">
        <v>408598.4</v>
      </c>
      <c r="V45" s="1910">
        <v>0</v>
      </c>
      <c r="W45" s="1910">
        <v>22238.400000000001</v>
      </c>
      <c r="X45" s="1910">
        <v>29</v>
      </c>
      <c r="Y45" s="1923">
        <v>14856</v>
      </c>
      <c r="Z45" s="1914"/>
      <c r="AA45" s="1910">
        <v>1907</v>
      </c>
      <c r="AB45" s="1910">
        <v>2030</v>
      </c>
      <c r="AC45" s="1915">
        <v>25</v>
      </c>
    </row>
    <row r="46" spans="1:29" ht="47" customHeight="1" x14ac:dyDescent="0.2">
      <c r="A46" s="1996">
        <f>IF(B46="","",COUNTA($B$3:B46))</f>
        <v>44</v>
      </c>
      <c r="B46" s="1997">
        <v>6</v>
      </c>
      <c r="C46" s="1998" t="s">
        <v>25</v>
      </c>
      <c r="D46" s="1522" t="s">
        <v>116</v>
      </c>
      <c r="E46" s="1623" t="s">
        <v>1013</v>
      </c>
      <c r="F46" s="1623" t="s">
        <v>22</v>
      </c>
      <c r="G46" s="1905" t="str">
        <f>IFERROR(IF(AND(Table1[[#This Row],[Loại số liệu]]="Kế hoạch",Table1[[#This Row],[Đơn vị]]="m2"),
   Table1[[#This Row],[Tổng (A1+A+B)]]*100/N47,
   IF(AND(Table1[[#This Row],[Loại số liệu]]="Thực hiện",Table1[[#This Row],[Đơn vị]]="m2"),
      T46,
      ""
   )
),0)</f>
        <v/>
      </c>
      <c r="H46" s="1905">
        <f>IF(AND(Table1[[#This Row],[Loại số liệu]]="Kế hoạch",Table1[[#This Row],[Đơn vị]]="m2"),
    U47*Table1[[#This Row],[Tổng (A1+A+B)]]/100,
    IF(AND(Table1[[#This Row],[Loại số liệu]]="Thực hiện",Table1[[#This Row],[Đơn vị]]="%"),
        IFERROR(H45/$K45*100,""),
        U46
    )
)</f>
        <v>94.838323931474747</v>
      </c>
      <c r="I46" s="1905">
        <f>IF(AND(Table1[[#This Row],[Loại số liệu]]="Kế hoạch",Table1[[#This Row],[Đơn vị]]="m2"),
    V47*Table1[[#This Row],[Tổng (A1+A+B)]]/100,
    IF(AND(Table1[[#This Row],[Loại số liệu]]="Thực hiện",Table1[[#This Row],[Đơn vị]]="%"),
        IFERROR(I45/$K45*100,""),
        V46
    )
)</f>
        <v>0</v>
      </c>
      <c r="J46" s="1905">
        <f>IF(AND(Table1[[#This Row],[Loại số liệu]]="Kế hoạch",Table1[[#This Row],[Đơn vị]]="m2"),
    W47*Table1[[#This Row],[Tổng (A1+A+B)]]/100,
    IF(AND(Table1[[#This Row],[Loại số liệu]]="Thực hiện",Table1[[#This Row],[Đơn vị]]="%"),
        IFERROR(J45/$K45*100,""),
        W46
    )
)</f>
        <v>5.1616760685252512</v>
      </c>
      <c r="K46" s="1905">
        <f>IF(AND(Table1[[#This Row],[Đơn vị]]="m2",Table1[[#This Row],[Loại số liệu]]="Kế hoạch"),
   X46*Y46,
   SUM(Table1[[#This Row],[A1]:[B]])
)</f>
        <v>100</v>
      </c>
      <c r="L46" s="1905" t="str">
        <f t="shared" si="9"/>
        <v/>
      </c>
      <c r="M46" s="1622" t="str">
        <f>IFERROR(IF(AND(Table1[[#This Row],[Loại số liệu]]="Kế hoạch",Table1[[#This Row],[Đơn vị]]="m2"),
   Y46,
   IF(AND(Table1[[#This Row],[Loại số liệu]]="Thực hiện",Table1[[#This Row],[Đơn vị]]="m2"),
      K46/L46,
      ""
   )
),"")</f>
        <v/>
      </c>
      <c r="N46" s="1905">
        <f>IF(AND(Table1[[#This Row],[Loại số liệu]]="Kế hoạch",Table1[[#This Row],[Đơn vị]]="%"),
    Z46,
    IF(AND(Table1[[#This Row],[Loại số liệu]]="Thực hiện",Table1[[#This Row],[Đơn vị]]="%"),
        IFERROR(K45/T45*100,""),
        IF(AND(Table1[[#This Row],[Loại số liệu]]="Thực hiện",Table1[[#This Row],[Đơn vị]]="m2"),
            Z46,
            ""
        )
    )
)</f>
        <v>99.012214600066656</v>
      </c>
      <c r="O46" s="1905">
        <f>IF(AND(Table1[[#This Row],[Loại số liệu]]="Thực hiện",Table1[[#This Row],[Đơn vị]]="m2"),
    AA46,
    IF(Table1[[#This Row],[A/ép]]="",
        "",
        100-Table1[[#This Row],[A/ép]]
    )
)</f>
        <v>0.98778539993334391</v>
      </c>
      <c r="P46" s="1905" t="str">
        <f t="shared" si="10"/>
        <v/>
      </c>
      <c r="Q46" s="1905" t="str">
        <f t="shared" si="11"/>
        <v/>
      </c>
      <c r="R46" s="1905" t="str">
        <f>IFERROR(Table1[[#This Row],[T/g dừng 2MF]]*Table1[[#This Row],[Số ngày SX]],"")</f>
        <v/>
      </c>
      <c r="S46" s="1925"/>
      <c r="T46" s="1911"/>
      <c r="U46" s="1905"/>
      <c r="V46" s="1905"/>
      <c r="W46" s="1905"/>
      <c r="X46" s="1905"/>
      <c r="Y46" s="1622"/>
      <c r="Z46" s="1905"/>
      <c r="AA46" s="1905"/>
      <c r="AB46" s="1905"/>
      <c r="AC46" s="1909"/>
    </row>
    <row r="47" spans="1:29" ht="47" customHeight="1" x14ac:dyDescent="0.2">
      <c r="A47" s="1996">
        <f>IF(B47="","",COUNTA($B$3:B47))</f>
        <v>45</v>
      </c>
      <c r="B47" s="1997">
        <v>6</v>
      </c>
      <c r="C47" s="1998" t="s">
        <v>25</v>
      </c>
      <c r="D47" s="1522" t="s">
        <v>119</v>
      </c>
      <c r="E47" s="1522" t="s">
        <v>883</v>
      </c>
      <c r="F47" s="1522" t="s">
        <v>21</v>
      </c>
      <c r="G47" s="1905">
        <f>IFERROR(IF(AND(Table1[[#This Row],[Loại số liệu]]="Kế hoạch",Table1[[#This Row],[Đơn vị]]="m2"),
   Table1[[#This Row],[Tổng (A1+A+B)]]*100/N48,
   IF(AND(Table1[[#This Row],[Loại số liệu]]="Thực hiện",Table1[[#This Row],[Đơn vị]]="m2"),
      T47,
      ""
   )
),0)</f>
        <v>7035</v>
      </c>
      <c r="H47" s="1905">
        <f>IF(AND(Table1[[#This Row],[Loại số liệu]]="Kế hoạch",Table1[[#This Row],[Đơn vị]]="m2"),
    U48*Table1[[#This Row],[Tổng (A1+A+B)]]/100,
    IF(AND(Table1[[#This Row],[Loại số liệu]]="Thực hiện",Table1[[#This Row],[Đơn vị]]="%"),
        IFERROR(H46/$K46*100,""),
        U47
    )
)</f>
        <v>6480.6420000000007</v>
      </c>
      <c r="I47" s="1905">
        <f>IF(AND(Table1[[#This Row],[Loại số liệu]]="Kế hoạch",Table1[[#This Row],[Đơn vị]]="m2"),
    V48*Table1[[#This Row],[Tổng (A1+A+B)]]/100,
    IF(AND(Table1[[#This Row],[Loại số liệu]]="Thực hiện",Table1[[#This Row],[Đơn vị]]="%"),
        IFERROR(I46/$K46*100,""),
        V47
    )
)</f>
        <v>206.82900000000001</v>
      </c>
      <c r="J47" s="1905">
        <f>IF(AND(Table1[[#This Row],[Loại số liệu]]="Kế hoạch",Table1[[#This Row],[Đơn vị]]="m2"),
    W48*Table1[[#This Row],[Tổng (A1+A+B)]]/100,
    IF(AND(Table1[[#This Row],[Loại số liệu]]="Thực hiện",Table1[[#This Row],[Đơn vị]]="%"),
        IFERROR(J46/$K46*100,""),
        W47
    )
)</f>
        <v>206.82900000000001</v>
      </c>
      <c r="K47" s="1905">
        <f>IF(AND(Table1[[#This Row],[Đơn vị]]="m2",Table1[[#This Row],[Loại số liệu]]="Kế hoạch"),
   X47*Y47,
   SUM(Table1[[#This Row],[A1]:[B]])
)</f>
        <v>6894.3</v>
      </c>
      <c r="L47" s="1905">
        <f t="shared" si="9"/>
        <v>0.5</v>
      </c>
      <c r="M47" s="1622">
        <f>IFERROR(IF(AND(Table1[[#This Row],[Loại số liệu]]="Kế hoạch",Table1[[#This Row],[Đơn vị]]="m2"),
   Y47,
   IF(AND(Table1[[#This Row],[Loại số liệu]]="Thực hiện",Table1[[#This Row],[Đơn vị]]="m2"),
      K47/L47,
      ""
   )
),"")</f>
        <v>13788.6</v>
      </c>
      <c r="N47" s="1905" t="str">
        <f>IF(AND(Table1[[#This Row],[Loại số liệu]]="Kế hoạch",Table1[[#This Row],[Đơn vị]]="%"),
    Z47,
    IF(AND(Table1[[#This Row],[Loại số liệu]]="Thực hiện",Table1[[#This Row],[Đơn vị]]="%"),
        IFERROR(K46/T46*100,""),
        IF(AND(Table1[[#This Row],[Loại số liệu]]="Thực hiện",Table1[[#This Row],[Đơn vị]]="m2"),
            Z47,
            ""
        )
    )
)</f>
        <v/>
      </c>
      <c r="O47" s="1905" t="str">
        <f>IF(AND(Table1[[#This Row],[Loại số liệu]]="Thực hiện",Table1[[#This Row],[Đơn vị]]="m2"),
    AA47,
    IF(Table1[[#This Row],[A/ép]]="",
        "",
        100-Table1[[#This Row],[A/ép]]
    )
)</f>
        <v/>
      </c>
      <c r="P47" s="1905" t="str">
        <f t="shared" si="10"/>
        <v/>
      </c>
      <c r="Q47" s="1905">
        <f t="shared" si="11"/>
        <v>100</v>
      </c>
      <c r="R47" s="1905">
        <f>IFERROR(Table1[[#This Row],[T/g dừng 2MF]]*Table1[[#This Row],[Số ngày SX]],"")</f>
        <v>50</v>
      </c>
      <c r="S47" s="1925"/>
      <c r="T47" s="1911"/>
      <c r="U47" s="1905"/>
      <c r="V47" s="1905"/>
      <c r="W47" s="1905"/>
      <c r="X47" s="1910">
        <v>0.5</v>
      </c>
      <c r="Y47" s="1923">
        <v>13788.6</v>
      </c>
      <c r="Z47" s="1905"/>
      <c r="AA47" s="1905"/>
      <c r="AB47" s="1905"/>
      <c r="AC47" s="1912">
        <v>100</v>
      </c>
    </row>
    <row r="48" spans="1:29" ht="47" customHeight="1" x14ac:dyDescent="0.2">
      <c r="A48" s="1996">
        <f>IF(B48="","",COUNTA($B$3:B48))</f>
        <v>46</v>
      </c>
      <c r="B48" s="1997">
        <v>6</v>
      </c>
      <c r="C48" s="1998" t="s">
        <v>25</v>
      </c>
      <c r="D48" s="1522" t="s">
        <v>119</v>
      </c>
      <c r="E48" s="1522" t="s">
        <v>883</v>
      </c>
      <c r="F48" s="1623" t="s">
        <v>22</v>
      </c>
      <c r="G48" s="1905" t="str">
        <f>IFERROR(IF(AND(Table1[[#This Row],[Loại số liệu]]="Kế hoạch",Table1[[#This Row],[Đơn vị]]="m2"),
   Table1[[#This Row],[Tổng (A1+A+B)]]*100/N49,
   IF(AND(Table1[[#This Row],[Loại số liệu]]="Thực hiện",Table1[[#This Row],[Đơn vị]]="m2"),
      T48,
      ""
   )
),0)</f>
        <v/>
      </c>
      <c r="H48" s="1905">
        <f>IF(AND(Table1[[#This Row],[Loại số liệu]]="Kế hoạch",Table1[[#This Row],[Đơn vị]]="m2"),
    U49*Table1[[#This Row],[Tổng (A1+A+B)]]/100,
    IF(AND(Table1[[#This Row],[Loại số liệu]]="Thực hiện",Table1[[#This Row],[Đơn vị]]="%"),
        IFERROR(H47/$K47*100,""),
        U48
    )
)</f>
        <v>94</v>
      </c>
      <c r="I48" s="1905">
        <f>IF(AND(Table1[[#This Row],[Loại số liệu]]="Kế hoạch",Table1[[#This Row],[Đơn vị]]="m2"),
    V49*Table1[[#This Row],[Tổng (A1+A+B)]]/100,
    IF(AND(Table1[[#This Row],[Loại số liệu]]="Thực hiện",Table1[[#This Row],[Đơn vị]]="%"),
        IFERROR(I47/$K47*100,""),
        V48
    )
)</f>
        <v>3</v>
      </c>
      <c r="J48" s="1905">
        <f>IF(AND(Table1[[#This Row],[Loại số liệu]]="Kế hoạch",Table1[[#This Row],[Đơn vị]]="m2"),
    W49*Table1[[#This Row],[Tổng (A1+A+B)]]/100,
    IF(AND(Table1[[#This Row],[Loại số liệu]]="Thực hiện",Table1[[#This Row],[Đơn vị]]="%"),
        IFERROR(J47/$K47*100,""),
        W48
    )
)</f>
        <v>3</v>
      </c>
      <c r="K48" s="1905">
        <f>IF(AND(Table1[[#This Row],[Đơn vị]]="m2",Table1[[#This Row],[Loại số liệu]]="Kế hoạch"),
   X48*Y48,
   SUM(Table1[[#This Row],[A1]:[B]])
)</f>
        <v>100</v>
      </c>
      <c r="L48" s="1905" t="str">
        <f t="shared" si="9"/>
        <v/>
      </c>
      <c r="M48" s="1622" t="str">
        <f>IFERROR(IF(AND(Table1[[#This Row],[Loại số liệu]]="Kế hoạch",Table1[[#This Row],[Đơn vị]]="m2"),
   Y48,
   IF(AND(Table1[[#This Row],[Loại số liệu]]="Thực hiện",Table1[[#This Row],[Đơn vị]]="m2"),
      K48/L48,
      ""
   )
),"")</f>
        <v/>
      </c>
      <c r="N48" s="1905">
        <f>IF(AND(Table1[[#This Row],[Loại số liệu]]="Kế hoạch",Table1[[#This Row],[Đơn vị]]="%"),
    Z48,
    IF(AND(Table1[[#This Row],[Loại số liệu]]="Thực hiện",Table1[[#This Row],[Đơn vị]]="%"),
        IFERROR(K47/T47*100,""),
        IF(AND(Table1[[#This Row],[Loại số liệu]]="Thực hiện",Table1[[#This Row],[Đơn vị]]="m2"),
            Z48,
            ""
        )
    )
)</f>
        <v>98</v>
      </c>
      <c r="O48" s="1905">
        <f>IF(AND(Table1[[#This Row],[Loại số liệu]]="Thực hiện",Table1[[#This Row],[Đơn vị]]="m2"),
    AA48,
    IF(Table1[[#This Row],[A/ép]]="",
        "",
        100-Table1[[#This Row],[A/ép]]
    )
)</f>
        <v>2</v>
      </c>
      <c r="P48" s="1905" t="str">
        <f t="shared" si="10"/>
        <v/>
      </c>
      <c r="Q48" s="1905" t="str">
        <f t="shared" si="11"/>
        <v/>
      </c>
      <c r="R48" s="1905" t="str">
        <f>IFERROR(Table1[[#This Row],[T/g dừng 2MF]]*Table1[[#This Row],[Số ngày SX]],"")</f>
        <v/>
      </c>
      <c r="S48" s="1925"/>
      <c r="T48" s="1911"/>
      <c r="U48" s="1910">
        <v>94</v>
      </c>
      <c r="V48" s="1910">
        <v>3</v>
      </c>
      <c r="W48" s="1910">
        <v>3</v>
      </c>
      <c r="X48" s="1905"/>
      <c r="Y48" s="1622"/>
      <c r="Z48" s="1910">
        <v>98</v>
      </c>
      <c r="AA48" s="1910">
        <v>2</v>
      </c>
      <c r="AB48" s="1905"/>
      <c r="AC48" s="1909"/>
    </row>
    <row r="49" spans="1:29" ht="47" customHeight="1" x14ac:dyDescent="0.2">
      <c r="A49" s="1996">
        <f>IF(B49="","",COUNTA($B$3:B49))</f>
        <v>47</v>
      </c>
      <c r="B49" s="1997">
        <v>6</v>
      </c>
      <c r="C49" s="1998" t="s">
        <v>25</v>
      </c>
      <c r="D49" s="1522" t="s">
        <v>119</v>
      </c>
      <c r="E49" s="1522" t="s">
        <v>1013</v>
      </c>
      <c r="F49" s="1522" t="s">
        <v>21</v>
      </c>
      <c r="G49" s="1905">
        <f>IFERROR(IF(AND(Table1[[#This Row],[Loại số liệu]]="Kế hoạch",Table1[[#This Row],[Đơn vị]]="m2"),
   Table1[[#This Row],[Tổng (A1+A+B)]]*100/N50,
   IF(AND(Table1[[#This Row],[Loại số liệu]]="Thực hiện",Table1[[#This Row],[Đơn vị]]="m2"),
      T49,
      ""
   )
),0)</f>
        <v>7270</v>
      </c>
      <c r="H49" s="1905">
        <f>IF(AND(Table1[[#This Row],[Loại số liệu]]="Kế hoạch",Table1[[#This Row],[Đơn vị]]="m2"),
    U50*Table1[[#This Row],[Tổng (A1+A+B)]]/100,
    IF(AND(Table1[[#This Row],[Loại số liệu]]="Thực hiện",Table1[[#This Row],[Đơn vị]]="%"),
        IFERROR(H48/$K48*100,""),
        U49
    )
)</f>
        <v>5471</v>
      </c>
      <c r="I49" s="1905">
        <f>IF(AND(Table1[[#This Row],[Loại số liệu]]="Kế hoạch",Table1[[#This Row],[Đơn vị]]="m2"),
    V50*Table1[[#This Row],[Tổng (A1+A+B)]]/100,
    IF(AND(Table1[[#This Row],[Loại số liệu]]="Thực hiện",Table1[[#This Row],[Đơn vị]]="%"),
        IFERROR(I48/$K48*100,""),
        V49
    )
)</f>
        <v>0</v>
      </c>
      <c r="J49" s="1905">
        <f>IF(AND(Table1[[#This Row],[Loại số liệu]]="Kế hoạch",Table1[[#This Row],[Đơn vị]]="m2"),
    W50*Table1[[#This Row],[Tổng (A1+A+B)]]/100,
    IF(AND(Table1[[#This Row],[Loại số liệu]]="Thực hiện",Table1[[#This Row],[Đơn vị]]="%"),
        IFERROR(J48/$K48*100,""),
        W49
    )
)</f>
        <v>199.5</v>
      </c>
      <c r="K49" s="1905">
        <f>IF(AND(Table1[[#This Row],[Đơn vị]]="m2",Table1[[#This Row],[Loại số liệu]]="Kế hoạch"),
   X49*Y49,
   SUM(Table1[[#This Row],[A1]:[B]])
)</f>
        <v>5670.5</v>
      </c>
      <c r="L49" s="1905">
        <f t="shared" si="9"/>
        <v>0.5</v>
      </c>
      <c r="M49" s="1622">
        <f>IFERROR(IF(AND(Table1[[#This Row],[Loại số liệu]]="Kế hoạch",Table1[[#This Row],[Đơn vị]]="m2"),
   Y49,
   IF(AND(Table1[[#This Row],[Loại số liệu]]="Thực hiện",Table1[[#This Row],[Đơn vị]]="m2"),
      K49/L49,
      ""
   )
),"")</f>
        <v>11341</v>
      </c>
      <c r="N49" s="1905">
        <f>IF(AND(Table1[[#This Row],[Loại số liệu]]="Kế hoạch",Table1[[#This Row],[Đơn vị]]="%"),
    Z49,
    IF(AND(Table1[[#This Row],[Loại số liệu]]="Thực hiện",Table1[[#This Row],[Đơn vị]]="%"),
        IFERROR(K48/T48*100,""),
        IF(AND(Table1[[#This Row],[Loại số liệu]]="Thực hiện",Table1[[#This Row],[Đơn vị]]="m2"),
            Z49,
            ""
        )
    )
)</f>
        <v>0</v>
      </c>
      <c r="O49" s="1905">
        <f>IF(AND(Table1[[#This Row],[Loại số liệu]]="Thực hiện",Table1[[#This Row],[Đơn vị]]="m2"),
    AA49,
    IF(Table1[[#This Row],[A/ép]]="",
        "",
        100-Table1[[#This Row],[A/ép]]
    )
)</f>
        <v>26</v>
      </c>
      <c r="P49" s="1905">
        <f t="shared" si="10"/>
        <v>45</v>
      </c>
      <c r="Q49" s="1905">
        <f t="shared" si="11"/>
        <v>48</v>
      </c>
      <c r="R49" s="1905">
        <f>IFERROR(Table1[[#This Row],[T/g dừng 2MF]]*Table1[[#This Row],[Số ngày SX]],"")</f>
        <v>24</v>
      </c>
      <c r="S49" s="1925"/>
      <c r="T49" s="1913">
        <v>7270</v>
      </c>
      <c r="U49" s="1910">
        <v>5471</v>
      </c>
      <c r="V49" s="1910">
        <v>0</v>
      </c>
      <c r="W49" s="2457">
        <v>199.5</v>
      </c>
      <c r="X49" s="1910">
        <v>0.5</v>
      </c>
      <c r="Y49" s="1923">
        <v>11343</v>
      </c>
      <c r="Z49" s="1914"/>
      <c r="AA49" s="1910">
        <v>26</v>
      </c>
      <c r="AB49" s="1910">
        <v>45</v>
      </c>
      <c r="AC49" s="1915">
        <v>48</v>
      </c>
    </row>
    <row r="50" spans="1:29" ht="47" customHeight="1" x14ac:dyDescent="0.2">
      <c r="A50" s="1996">
        <f>IF(B50="","",COUNTA($B$3:B75))</f>
        <v>72</v>
      </c>
      <c r="B50" s="1997">
        <v>6</v>
      </c>
      <c r="C50" s="1998" t="s">
        <v>25</v>
      </c>
      <c r="D50" s="1522" t="s">
        <v>119</v>
      </c>
      <c r="E50" s="1522" t="s">
        <v>1013</v>
      </c>
      <c r="F50" s="1623" t="s">
        <v>22</v>
      </c>
      <c r="G50" s="1905" t="str">
        <f>IFERROR(IF(AND(Table1[[#This Row],[Loại số liệu]]="Kế hoạch",Table1[[#This Row],[Đơn vị]]="m2"),
   Table1[[#This Row],[Tổng (A1+A+B)]]*100/N51,
   IF(AND(Table1[[#This Row],[Loại số liệu]]="Thực hiện",Table1[[#This Row],[Đơn vị]]="m2"),
      T50,
      ""
   )
),0)</f>
        <v/>
      </c>
      <c r="H50" s="1905">
        <f>IF(AND(Table1[[#This Row],[Loại số liệu]]="Kế hoạch",Table1[[#This Row],[Đơn vị]]="m2"),
    U51*Table1[[#This Row],[Tổng (A1+A+B)]]/100,
    IF(AND(Table1[[#This Row],[Loại số liệu]]="Thực hiện",Table1[[#This Row],[Đơn vị]]="%"),
        IFERROR(H49/$K49*100,""),
        U50
    )
)</f>
        <v>96.48179172912441</v>
      </c>
      <c r="I50" s="1905">
        <f>IF(AND(Table1[[#This Row],[Loại số liệu]]="Kế hoạch",Table1[[#This Row],[Đơn vị]]="m2"),
    V51*Table1[[#This Row],[Tổng (A1+A+B)]]/100,
    IF(AND(Table1[[#This Row],[Loại số liệu]]="Thực hiện",Table1[[#This Row],[Đơn vị]]="%"),
        IFERROR(I49/$K49*100,""),
        V50
    )
)</f>
        <v>0</v>
      </c>
      <c r="J50" s="1905">
        <f>IF(AND(Table1[[#This Row],[Loại số liệu]]="Kế hoạch",Table1[[#This Row],[Đơn vị]]="m2"),
    W51*Table1[[#This Row],[Tổng (A1+A+B)]]/100,
    IF(AND(Table1[[#This Row],[Loại số liệu]]="Thực hiện",Table1[[#This Row],[Đơn vị]]="%"),
        IFERROR(J49/$K49*100,""),
        W50
    )
)</f>
        <v>3.5182082708755842</v>
      </c>
      <c r="K50" s="1905">
        <f>IF(AND(Table1[[#This Row],[Đơn vị]]="m2",Table1[[#This Row],[Loại số liệu]]="Kế hoạch"),
   X50*Y50,
   SUM(Table1[[#This Row],[A1]:[B]])
)</f>
        <v>100</v>
      </c>
      <c r="L50" s="1905" t="str">
        <f t="shared" ref="L50:L51" si="12">IF(X50="","",X50)</f>
        <v/>
      </c>
      <c r="M50" s="1622" t="str">
        <f>IFERROR(IF(AND(Table1[[#This Row],[Loại số liệu]]="Kế hoạch",Table1[[#This Row],[Đơn vị]]="m2"),
   Y50,
   IF(AND(Table1[[#This Row],[Loại số liệu]]="Thực hiện",Table1[[#This Row],[Đơn vị]]="m2"),
      K50/L50,
      ""
   )
),"")</f>
        <v/>
      </c>
      <c r="N50" s="1905">
        <f>IF(AND(Table1[[#This Row],[Loại số liệu]]="Kế hoạch",Table1[[#This Row],[Đơn vị]]="%"),
    Z50,
    IF(AND(Table1[[#This Row],[Loại số liệu]]="Thực hiện",Table1[[#This Row],[Đơn vị]]="%"),
        IFERROR(K49/T49*100,""),
        IF(AND(Table1[[#This Row],[Loại số liệu]]="Thực hiện",Table1[[#This Row],[Đơn vị]]="m2"),
            Z50,
            ""
        )
    )
)</f>
        <v>77.998624484181562</v>
      </c>
      <c r="O50" s="1905">
        <f>IF(AND(Table1[[#This Row],[Loại số liệu]]="Thực hiện",Table1[[#This Row],[Đơn vị]]="m2"),
    AA50,
    IF(Table1[[#This Row],[A/ép]]="",
        "",
        100-Table1[[#This Row],[A/ép]]
    )
)</f>
        <v>22.001375515818438</v>
      </c>
      <c r="P50" s="1905" t="str">
        <f t="shared" ref="P50:P51" si="13">IF(AB50="","",AB50)</f>
        <v/>
      </c>
      <c r="Q50" s="1905" t="str">
        <f t="shared" ref="Q50:Q51" si="14">IF(AC50="","",AC50)</f>
        <v/>
      </c>
      <c r="R50" s="1905" t="str">
        <f>IFERROR(Table1[[#This Row],[T/g dừng 2MF]]*Table1[[#This Row],[Số ngày SX]],"")</f>
        <v/>
      </c>
      <c r="S50" s="1925"/>
      <c r="T50" s="1911"/>
      <c r="U50" s="1905"/>
      <c r="V50" s="1905"/>
      <c r="W50" s="1905"/>
      <c r="X50" s="1905"/>
      <c r="Y50" s="1622"/>
      <c r="Z50" s="1905"/>
      <c r="AA50" s="1905"/>
      <c r="AB50" s="1905"/>
      <c r="AC50" s="1909"/>
    </row>
    <row r="51" spans="1:29" ht="47" customHeight="1" x14ac:dyDescent="0.2">
      <c r="A51" s="1996">
        <f>IF(B51="","",COUNTA($B$3:B51))</f>
        <v>49</v>
      </c>
      <c r="B51" s="1997">
        <v>7</v>
      </c>
      <c r="C51" s="1997" t="s">
        <v>5</v>
      </c>
      <c r="D51" s="1522" t="s">
        <v>115</v>
      </c>
      <c r="E51" s="1522" t="s">
        <v>883</v>
      </c>
      <c r="F51" s="1522" t="s">
        <v>21</v>
      </c>
      <c r="G51" s="2054">
        <f>IFERROR(IF(AND(Table1[[#This Row],[Loại số liệu]]="Kế hoạch",Table1[[#This Row],[Đơn vị]]="m2"),
   Table1[[#This Row],[Tổng (A1+A+B)]]*100/N52,
   IF(AND(Table1[[#This Row],[Loại số liệu]]="Thực hiện",Table1[[#This Row],[Đơn vị]]="m2"),
      T51,
      ""
   )
),0)</f>
        <v>487468.79999999999</v>
      </c>
      <c r="H51" s="2054">
        <f>IF(AND(Table1[[#This Row],[Loại số liệu]]="Kế hoạch",Table1[[#This Row],[Đơn vị]]="m2"),
    U52*Table1[[#This Row],[Tổng (A1+A+B)]]/100,
    IF(AND(Table1[[#This Row],[Loại số liệu]]="Thực hiện",Table1[[#This Row],[Đơn vị]]="%"),
        IFERROR(H50/$K50*100,""),
        U51
    )
)</f>
        <v>429947.48159999994</v>
      </c>
      <c r="I51" s="2054">
        <f>IF(AND(Table1[[#This Row],[Loại số liệu]]="Kế hoạch",Table1[[#This Row],[Đơn vị]]="m2"),
    V52*Table1[[#This Row],[Tổng (A1+A+B)]]/100,
    IF(AND(Table1[[#This Row],[Loại số liệu]]="Thực hiện",Table1[[#This Row],[Đơn vị]]="%"),
        IFERROR(I50/$K50*100,""),
        V51
    )
)</f>
        <v>33440.359680000001</v>
      </c>
      <c r="J51" s="2054">
        <f>IF(AND(Table1[[#This Row],[Loại số liệu]]="Kế hoạch",Table1[[#This Row],[Đơn vị]]="m2"),
    W52*Table1[[#This Row],[Tổng (A1+A+B)]]/100,
    IF(AND(Table1[[#This Row],[Loại số liệu]]="Thực hiện",Table1[[#This Row],[Đơn vị]]="%"),
        IFERROR(J50/$K50*100,""),
        W51
    )
)</f>
        <v>14331.582719999999</v>
      </c>
      <c r="K51" s="2054">
        <f>IF(AND(Table1[[#This Row],[Đơn vị]]="m2",Table1[[#This Row],[Loại số liệu]]="Kế hoạch"),
   X51*Y51,
   SUM(Table1[[#This Row],[A1]:[B]])
)</f>
        <v>477719.424</v>
      </c>
      <c r="L51" s="2054">
        <f t="shared" si="12"/>
        <v>31</v>
      </c>
      <c r="M51" s="1940">
        <f>IFERROR(IF(AND(Table1[[#This Row],[Loại số liệu]]="Kế hoạch",Table1[[#This Row],[Đơn vị]]="m2"),
   Y51,
   IF(AND(Table1[[#This Row],[Loại số liệu]]="Thực hiện",Table1[[#This Row],[Đơn vị]]="m2"),
      K51/L51,
      ""
   )
),"")</f>
        <v>15410.304</v>
      </c>
      <c r="N51" s="2054" t="str">
        <f>IF(AND(Table1[[#This Row],[Loại số liệu]]="Kế hoạch",Table1[[#This Row],[Đơn vị]]="%"),
    Z51,
    IF(AND(Table1[[#This Row],[Loại số liệu]]="Thực hiện",Table1[[#This Row],[Đơn vị]]="%"),
        IFERROR(K50/T50*100,""),
        IF(AND(Table1[[#This Row],[Loại số liệu]]="Thực hiện",Table1[[#This Row],[Đơn vị]]="m2"),
            Z51,
            ""
        )
    )
)</f>
        <v/>
      </c>
      <c r="O51" s="2054" t="str">
        <f>IF(AND(Table1[[#This Row],[Loại số liệu]]="Thực hiện",Table1[[#This Row],[Đơn vị]]="m2"),
    AA51,
    IF(Table1[[#This Row],[A/ép]]="",
        "",
        100-Table1[[#This Row],[A/ép]]
    )
)</f>
        <v/>
      </c>
      <c r="P51" s="2054" t="str">
        <f t="shared" si="13"/>
        <v/>
      </c>
      <c r="Q51" s="2054">
        <f t="shared" si="14"/>
        <v>40</v>
      </c>
      <c r="R51" s="2054">
        <f>IFERROR(Table1[[#This Row],[T/g dừng 2MF]]*Table1[[#This Row],[Số ngày SX]],"")</f>
        <v>1240</v>
      </c>
      <c r="S51" s="2418"/>
      <c r="T51" s="2055"/>
      <c r="U51" s="2054"/>
      <c r="V51" s="2054"/>
      <c r="W51" s="2054"/>
      <c r="X51" s="2054">
        <v>31</v>
      </c>
      <c r="Y51" s="1940">
        <v>15410.304</v>
      </c>
      <c r="Z51" s="2054"/>
      <c r="AA51" s="2054"/>
      <c r="AB51" s="2054"/>
      <c r="AC51" s="2056">
        <v>40</v>
      </c>
    </row>
    <row r="52" spans="1:29" ht="47" customHeight="1" x14ac:dyDescent="0.2">
      <c r="A52" s="1996">
        <f>IF(B52="","",COUNTA($B$3:B52))</f>
        <v>50</v>
      </c>
      <c r="B52" s="1997">
        <v>7</v>
      </c>
      <c r="C52" s="1997" t="s">
        <v>5</v>
      </c>
      <c r="D52" s="1522" t="s">
        <v>115</v>
      </c>
      <c r="E52" s="1522" t="s">
        <v>883</v>
      </c>
      <c r="F52" s="1623" t="s">
        <v>22</v>
      </c>
      <c r="G52" s="2054" t="str">
        <f>IFERROR(IF(AND(Table1[[#This Row],[Loại số liệu]]="Kế hoạch",Table1[[#This Row],[Đơn vị]]="m2"),
   Table1[[#This Row],[Tổng (A1+A+B)]]*100/N53,
   IF(AND(Table1[[#This Row],[Loại số liệu]]="Thực hiện",Table1[[#This Row],[Đơn vị]]="m2"),
      T52,
      ""
   )
),0)</f>
        <v/>
      </c>
      <c r="H52" s="2054">
        <f>IF(AND(Table1[[#This Row],[Loại số liệu]]="Kế hoạch",Table1[[#This Row],[Đơn vị]]="m2"),
    U53*Table1[[#This Row],[Tổng (A1+A+B)]]/100,
    IF(AND(Table1[[#This Row],[Loại số liệu]]="Thực hiện",Table1[[#This Row],[Đơn vị]]="%"),
        IFERROR(H51/$K51*100,""),
        U52
    )
)</f>
        <v>90</v>
      </c>
      <c r="I52" s="2054">
        <f>IF(AND(Table1[[#This Row],[Loại số liệu]]="Kế hoạch",Table1[[#This Row],[Đơn vị]]="m2"),
    V53*Table1[[#This Row],[Tổng (A1+A+B)]]/100,
    IF(AND(Table1[[#This Row],[Loại số liệu]]="Thực hiện",Table1[[#This Row],[Đơn vị]]="%"),
        IFERROR(I51/$K51*100,""),
        V52
    )
)</f>
        <v>7</v>
      </c>
      <c r="J52" s="2054">
        <f>IF(AND(Table1[[#This Row],[Loại số liệu]]="Kế hoạch",Table1[[#This Row],[Đơn vị]]="m2"),
    W53*Table1[[#This Row],[Tổng (A1+A+B)]]/100,
    IF(AND(Table1[[#This Row],[Loại số liệu]]="Thực hiện",Table1[[#This Row],[Đơn vị]]="%"),
        IFERROR(J51/$K51*100,""),
        W52
    )
)</f>
        <v>3</v>
      </c>
      <c r="K52" s="2054">
        <f>IF(AND(Table1[[#This Row],[Đơn vị]]="m2",Table1[[#This Row],[Loại số liệu]]="Kế hoạch"),
   X52*Y52,
   SUM(Table1[[#This Row],[A1]:[B]])
)</f>
        <v>100</v>
      </c>
      <c r="L52" s="2054" t="str">
        <f t="shared" ref="L52:L55" si="15">IF(X52="","",X52)</f>
        <v/>
      </c>
      <c r="M52" s="1940" t="str">
        <f>IFERROR(IF(AND(Table1[[#This Row],[Loại số liệu]]="Kế hoạch",Table1[[#This Row],[Đơn vị]]="m2"),
   Y52,
   IF(AND(Table1[[#This Row],[Loại số liệu]]="Thực hiện",Table1[[#This Row],[Đơn vị]]="m2"),
      K52/L52,
      ""
   )
),"")</f>
        <v/>
      </c>
      <c r="N52" s="2054">
        <f>IF(AND(Table1[[#This Row],[Loại số liệu]]="Kế hoạch",Table1[[#This Row],[Đơn vị]]="%"),
    Z52,
    IF(AND(Table1[[#This Row],[Loại số liệu]]="Thực hiện",Table1[[#This Row],[Đơn vị]]="%"),
        IFERROR(K51/T51*100,""),
        IF(AND(Table1[[#This Row],[Loại số liệu]]="Thực hiện",Table1[[#This Row],[Đơn vị]]="m2"),
            Z52,
            ""
        )
    )
)</f>
        <v>98</v>
      </c>
      <c r="O52" s="2054">
        <f>IF(AND(Table1[[#This Row],[Loại số liệu]]="Thực hiện",Table1[[#This Row],[Đơn vị]]="m2"),
    AA52,
    IF(Table1[[#This Row],[A/ép]]="",
        "",
        100-Table1[[#This Row],[A/ép]]
    )
)</f>
        <v>2</v>
      </c>
      <c r="P52" s="2054" t="str">
        <f t="shared" ref="P52:P55" si="16">IF(AB52="","",AB52)</f>
        <v/>
      </c>
      <c r="Q52" s="2054" t="str">
        <f t="shared" ref="Q52:Q55" si="17">IF(AC52="","",AC52)</f>
        <v/>
      </c>
      <c r="R52" s="2054" t="str">
        <f>IFERROR(Table1[[#This Row],[T/g dừng 2MF]]*Table1[[#This Row],[Số ngày SX]],"")</f>
        <v/>
      </c>
      <c r="S52" s="2418"/>
      <c r="T52" s="2055"/>
      <c r="U52" s="2054">
        <v>90</v>
      </c>
      <c r="V52" s="2054">
        <v>7</v>
      </c>
      <c r="W52" s="2054">
        <v>3</v>
      </c>
      <c r="X52" s="2054"/>
      <c r="Y52" s="1940"/>
      <c r="Z52" s="2054">
        <v>98</v>
      </c>
      <c r="AA52" s="2054">
        <v>2</v>
      </c>
      <c r="AB52" s="2054"/>
      <c r="AC52" s="2056"/>
    </row>
    <row r="53" spans="1:29" ht="47" customHeight="1" x14ac:dyDescent="0.2">
      <c r="A53" s="1996">
        <f>IF(B53="","",COUNTA($B$3:B53))</f>
        <v>51</v>
      </c>
      <c r="B53" s="1997">
        <v>7</v>
      </c>
      <c r="C53" s="1997" t="s">
        <v>5</v>
      </c>
      <c r="D53" s="1522" t="s">
        <v>115</v>
      </c>
      <c r="E53" s="1522" t="s">
        <v>1013</v>
      </c>
      <c r="F53" s="1522" t="s">
        <v>21</v>
      </c>
      <c r="G53" s="2054">
        <f>IFERROR(IF(AND(Table1[[#This Row],[Loại số liệu]]="Kế hoạch",Table1[[#This Row],[Đơn vị]]="m2"),
   Table1[[#This Row],[Tổng (A1+A+B)]]*100/N54,
   IF(AND(Table1[[#This Row],[Loại số liệu]]="Thực hiện",Table1[[#This Row],[Đơn vị]]="m2"),
      T53,
      ""
   )
),0)</f>
        <v>501371</v>
      </c>
      <c r="H53" s="2054">
        <f>IF(AND(Table1[[#This Row],[Loại số liệu]]="Kế hoạch",Table1[[#This Row],[Đơn vị]]="m2"),
    U54*Table1[[#This Row],[Tổng (A1+A+B)]]/100,
    IF(AND(Table1[[#This Row],[Loại số liệu]]="Thực hiện",Table1[[#This Row],[Đơn vị]]="%"),
        IFERROR(H52/$K52*100,""),
        U53
    )
)</f>
        <v>459164.15999999997</v>
      </c>
      <c r="I53" s="2054">
        <f>IF(AND(Table1[[#This Row],[Loại số liệu]]="Kế hoạch",Table1[[#This Row],[Đơn vị]]="m2"),
    V54*Table1[[#This Row],[Tổng (A1+A+B)]]/100,
    IF(AND(Table1[[#This Row],[Loại số liệu]]="Thực hiện",Table1[[#This Row],[Đơn vị]]="%"),
        IFERROR(I52/$K52*100,""),
        V53
    )
)</f>
        <v>17278.560000000001</v>
      </c>
      <c r="J53" s="2054">
        <f>IF(AND(Table1[[#This Row],[Loại số liệu]]="Kế hoạch",Table1[[#This Row],[Đơn vị]]="m2"),
    W54*Table1[[#This Row],[Tổng (A1+A+B)]]/100,
    IF(AND(Table1[[#This Row],[Loại số liệu]]="Thực hiện",Table1[[#This Row],[Đơn vị]]="%"),
        IFERROR(J52/$K52*100,""),
        W53
    )
)</f>
        <v>19002.240000000002</v>
      </c>
      <c r="K53" s="2054">
        <f>IF(AND(Table1[[#This Row],[Đơn vị]]="m2",Table1[[#This Row],[Loại số liệu]]="Kế hoạch"),
   X53*Y53,
   SUM(Table1[[#This Row],[A1]:[B]])
)</f>
        <v>495444.95999999996</v>
      </c>
      <c r="L53" s="2054">
        <f t="shared" si="15"/>
        <v>31</v>
      </c>
      <c r="M53" s="1940">
        <f>IFERROR(IF(AND(Table1[[#This Row],[Loại số liệu]]="Kế hoạch",Table1[[#This Row],[Đơn vị]]="m2"),
   Y53,
   IF(AND(Table1[[#This Row],[Loại số liệu]]="Thực hiện",Table1[[#This Row],[Đơn vị]]="m2"),
      K53/L53,
      ""
   )
),"")</f>
        <v>15982.095483870966</v>
      </c>
      <c r="N53" s="2054">
        <f>IF(AND(Table1[[#This Row],[Loại số liệu]]="Kế hoạch",Table1[[#This Row],[Đơn vị]]="%"),
    Z53,
    IF(AND(Table1[[#This Row],[Loại số liệu]]="Thực hiện",Table1[[#This Row],[Đơn vị]]="%"),
        IFERROR(K52/T52*100,""),
        IF(AND(Table1[[#This Row],[Loại số liệu]]="Thực hiện",Table1[[#This Row],[Đơn vị]]="m2"),
            Z53,
            ""
        )
    )
)</f>
        <v>0</v>
      </c>
      <c r="O53" s="2054">
        <f>IF(AND(Table1[[#This Row],[Loại số liệu]]="Thực hiện",Table1[[#This Row],[Đơn vị]]="m2"),
    AA53,
    IF(Table1[[#This Row],[A/ép]]="",
        "",
        100-Table1[[#This Row],[A/ép]]
    )
)</f>
        <v>1637.28</v>
      </c>
      <c r="P53" s="2054">
        <f t="shared" si="16"/>
        <v>1198.08</v>
      </c>
      <c r="Q53" s="2054">
        <f t="shared" si="17"/>
        <v>25</v>
      </c>
      <c r="R53" s="2054">
        <f>IFERROR(Table1[[#This Row],[T/g dừng 2MF]]*Table1[[#This Row],[Số ngày SX]],"")</f>
        <v>775</v>
      </c>
      <c r="S53" s="2418"/>
      <c r="T53" s="2055">
        <v>501371</v>
      </c>
      <c r="U53" s="2054">
        <v>459164.15999999997</v>
      </c>
      <c r="V53" s="2054">
        <v>17278.560000000001</v>
      </c>
      <c r="W53" s="2054">
        <v>19002.240000000002</v>
      </c>
      <c r="X53" s="2054">
        <v>31</v>
      </c>
      <c r="Y53" s="1940">
        <v>15955</v>
      </c>
      <c r="Z53" s="2054"/>
      <c r="AA53" s="2054">
        <v>1637.28</v>
      </c>
      <c r="AB53" s="2054">
        <v>1198.08</v>
      </c>
      <c r="AC53" s="2056">
        <v>25</v>
      </c>
    </row>
    <row r="54" spans="1:29" ht="47" customHeight="1" x14ac:dyDescent="0.2">
      <c r="A54" s="1996">
        <f>IF(B54="","",COUNTA($B$3:B54))</f>
        <v>52</v>
      </c>
      <c r="B54" s="1997">
        <v>7</v>
      </c>
      <c r="C54" s="1997" t="s">
        <v>5</v>
      </c>
      <c r="D54" s="1522" t="s">
        <v>115</v>
      </c>
      <c r="E54" s="1522" t="s">
        <v>1013</v>
      </c>
      <c r="F54" s="1623" t="s">
        <v>22</v>
      </c>
      <c r="G54" s="2054" t="str">
        <f>IFERROR(IF(AND(Table1[[#This Row],[Loại số liệu]]="Kế hoạch",Table1[[#This Row],[Đơn vị]]="m2"),
   Table1[[#This Row],[Tổng (A1+A+B)]]*100/N55,
   IF(AND(Table1[[#This Row],[Loại số liệu]]="Thực hiện",Table1[[#This Row],[Đơn vị]]="m2"),
      T54,
      ""
   )
),0)</f>
        <v/>
      </c>
      <c r="H54" s="2054">
        <f>IF(AND(Table1[[#This Row],[Loại số liệu]]="Kế hoạch",Table1[[#This Row],[Đơn vị]]="m2"),
    U55*Table1[[#This Row],[Tổng (A1+A+B)]]/100,
    IF(AND(Table1[[#This Row],[Loại số liệu]]="Thực hiện",Table1[[#This Row],[Đơn vị]]="%"),
        IFERROR(H53/$K53*100,""),
        U54
    )
)</f>
        <v>92.677128050712227</v>
      </c>
      <c r="I54" s="2054">
        <f>IF(AND(Table1[[#This Row],[Loại số liệu]]="Kế hoạch",Table1[[#This Row],[Đơn vị]]="m2"),
    V55*Table1[[#This Row],[Tổng (A1+A+B)]]/100,
    IF(AND(Table1[[#This Row],[Loại số liệu]]="Thực hiện",Table1[[#This Row],[Đơn vị]]="%"),
        IFERROR(I53/$K53*100,""),
        V54
    )
)</f>
        <v>3.4874832514190888</v>
      </c>
      <c r="J54" s="2054">
        <f>IF(AND(Table1[[#This Row],[Loại số liệu]]="Kế hoạch",Table1[[#This Row],[Đơn vị]]="m2"),
    W55*Table1[[#This Row],[Tổng (A1+A+B)]]/100,
    IF(AND(Table1[[#This Row],[Loại số liệu]]="Thực hiện",Table1[[#This Row],[Đơn vị]]="%"),
        IFERROR(J53/$K53*100,""),
        W54
    )
)</f>
        <v>3.8353886978686802</v>
      </c>
      <c r="K54" s="2054">
        <f>IF(AND(Table1[[#This Row],[Đơn vị]]="m2",Table1[[#This Row],[Loại số liệu]]="Kế hoạch"),
   X54*Y54,
   SUM(Table1[[#This Row],[A1]:[B]])
)</f>
        <v>100</v>
      </c>
      <c r="L54" s="2054" t="str">
        <f t="shared" si="15"/>
        <v/>
      </c>
      <c r="M54" s="1940" t="str">
        <f>IFERROR(IF(AND(Table1[[#This Row],[Loại số liệu]]="Kế hoạch",Table1[[#This Row],[Đơn vị]]="m2"),
   Y54,
   IF(AND(Table1[[#This Row],[Loại số liệu]]="Thực hiện",Table1[[#This Row],[Đơn vị]]="m2"),
      K54/L54,
      ""
   )
),"")</f>
        <v/>
      </c>
      <c r="N54" s="2054">
        <f>IF(AND(Table1[[#This Row],[Loại số liệu]]="Kế hoạch",Table1[[#This Row],[Đơn vị]]="%"),
    Z54,
    IF(AND(Table1[[#This Row],[Loại số liệu]]="Thực hiện",Table1[[#This Row],[Đơn vị]]="%"),
        IFERROR(K53/T53*100,""),
        IF(AND(Table1[[#This Row],[Loại số liệu]]="Thực hiện",Table1[[#This Row],[Đơn vị]]="m2"),
            Z54,
            ""
        )
    )
)</f>
        <v>98.818032953641108</v>
      </c>
      <c r="O54" s="2054">
        <f>IF(AND(Table1[[#This Row],[Loại số liệu]]="Thực hiện",Table1[[#This Row],[Đơn vị]]="m2"),
    AA54,
    IF(Table1[[#This Row],[A/ép]]="",
        "",
        100-Table1[[#This Row],[A/ép]]
    )
)</f>
        <v>1.181967046358892</v>
      </c>
      <c r="P54" s="2054" t="str">
        <f t="shared" si="16"/>
        <v/>
      </c>
      <c r="Q54" s="2054" t="str">
        <f t="shared" si="17"/>
        <v/>
      </c>
      <c r="R54" s="2054" t="str">
        <f>IFERROR(Table1[[#This Row],[T/g dừng 2MF]]*Table1[[#This Row],[Số ngày SX]],"")</f>
        <v/>
      </c>
      <c r="S54" s="2418"/>
      <c r="T54" s="2055"/>
      <c r="U54" s="2054"/>
      <c r="V54" s="2054"/>
      <c r="W54" s="2054"/>
      <c r="X54" s="2054"/>
      <c r="Y54" s="1940"/>
      <c r="Z54" s="2054"/>
      <c r="AA54" s="2054"/>
      <c r="AB54" s="2054"/>
      <c r="AC54" s="2056"/>
    </row>
    <row r="55" spans="1:29" ht="47" customHeight="1" x14ac:dyDescent="0.2">
      <c r="A55" s="1996">
        <f>IF(B55="","",COUNTA($B$3:B55))</f>
        <v>53</v>
      </c>
      <c r="B55" s="1997">
        <v>7</v>
      </c>
      <c r="C55" s="1998" t="s">
        <v>25</v>
      </c>
      <c r="D55" s="1522" t="s">
        <v>119</v>
      </c>
      <c r="E55" s="1522" t="s">
        <v>883</v>
      </c>
      <c r="F55" s="1522" t="s">
        <v>21</v>
      </c>
      <c r="G55" s="2054">
        <f>IFERROR(IF(AND(Table1[[#This Row],[Loại số liệu]]="Kế hoạch",Table1[[#This Row],[Đơn vị]]="m2"),
   Table1[[#This Row],[Tổng (A1+A+B)]]*100/N56,
   IF(AND(Table1[[#This Row],[Loại số liệu]]="Thực hiện",Table1[[#This Row],[Đơn vị]]="m2"),
      T55,
      ""
   )
),0)</f>
        <v>436170</v>
      </c>
      <c r="H55" s="2054">
        <f>IF(AND(Table1[[#This Row],[Loại số liệu]]="Kế hoạch",Table1[[#This Row],[Đơn vị]]="m2"),
    U56*Table1[[#This Row],[Tổng (A1+A+B)]]/100,
    IF(AND(Table1[[#This Row],[Loại số liệu]]="Thực hiện",Table1[[#This Row],[Đơn vị]]="%"),
        IFERROR(H54/$K54*100,""),
        U55
    )
)</f>
        <v>401799.80400000006</v>
      </c>
      <c r="I55" s="2054">
        <f>IF(AND(Table1[[#This Row],[Loại số liệu]]="Kế hoạch",Table1[[#This Row],[Đơn vị]]="m2"),
    V56*Table1[[#This Row],[Tổng (A1+A+B)]]/100,
    IF(AND(Table1[[#This Row],[Loại số liệu]]="Thực hiện",Table1[[#This Row],[Đơn vị]]="%"),
        IFERROR(I54/$K54*100,""),
        V55
    )
)</f>
        <v>12823.398000000001</v>
      </c>
      <c r="J55" s="2054">
        <f>IF(AND(Table1[[#This Row],[Loại số liệu]]="Kế hoạch",Table1[[#This Row],[Đơn vị]]="m2"),
    W56*Table1[[#This Row],[Tổng (A1+A+B)]]/100,
    IF(AND(Table1[[#This Row],[Loại số liệu]]="Thực hiện",Table1[[#This Row],[Đơn vị]]="%"),
        IFERROR(J54/$K54*100,""),
        W55
    )
)</f>
        <v>12823.398000000001</v>
      </c>
      <c r="K55" s="2054">
        <f>IF(AND(Table1[[#This Row],[Đơn vị]]="m2",Table1[[#This Row],[Loại số liệu]]="Kế hoạch"),
   X55*Y55,
   SUM(Table1[[#This Row],[A1]:[B]])
)</f>
        <v>427446.60000000003</v>
      </c>
      <c r="L55" s="2054">
        <f t="shared" si="15"/>
        <v>31</v>
      </c>
      <c r="M55" s="1940">
        <f>IFERROR(IF(AND(Table1[[#This Row],[Loại số liệu]]="Kế hoạch",Table1[[#This Row],[Đơn vị]]="m2"),
   Y55,
   IF(AND(Table1[[#This Row],[Loại số liệu]]="Thực hiện",Table1[[#This Row],[Đơn vị]]="m2"),
      K55/L55,
      ""
   )
),"")</f>
        <v>13788.6</v>
      </c>
      <c r="N55" s="2054" t="str">
        <f>IF(AND(Table1[[#This Row],[Loại số liệu]]="Kế hoạch",Table1[[#This Row],[Đơn vị]]="%"),
    Z55,
    IF(AND(Table1[[#This Row],[Loại số liệu]]="Thực hiện",Table1[[#This Row],[Đơn vị]]="%"),
        IFERROR(K54/T54*100,""),
        IF(AND(Table1[[#This Row],[Loại số liệu]]="Thực hiện",Table1[[#This Row],[Đơn vị]]="m2"),
            Z55,
            ""
        )
    )
)</f>
        <v/>
      </c>
      <c r="O55" s="2054" t="str">
        <f>IF(AND(Table1[[#This Row],[Loại số liệu]]="Thực hiện",Table1[[#This Row],[Đơn vị]]="m2"),
    AA55,
    IF(Table1[[#This Row],[A/ép]]="",
        "",
        100-Table1[[#This Row],[A/ép]]
    )
)</f>
        <v/>
      </c>
      <c r="P55" s="2054" t="str">
        <f t="shared" si="16"/>
        <v/>
      </c>
      <c r="Q55" s="2054">
        <f t="shared" si="17"/>
        <v>100</v>
      </c>
      <c r="R55" s="1905">
        <f>IFERROR(Table1[[#This Row],[T/g dừng 2MF]]*Table1[[#This Row],[Số ngày SX]],"")</f>
        <v>3100</v>
      </c>
      <c r="S55" s="1925"/>
      <c r="T55" s="1911"/>
      <c r="U55" s="1905"/>
      <c r="V55" s="1905"/>
      <c r="W55" s="1905"/>
      <c r="X55" s="1910">
        <v>31</v>
      </c>
      <c r="Y55" s="1923">
        <v>13788.6</v>
      </c>
      <c r="Z55" s="1905"/>
      <c r="AA55" s="1905"/>
      <c r="AB55" s="1905"/>
      <c r="AC55" s="1912">
        <v>100</v>
      </c>
    </row>
    <row r="56" spans="1:29" ht="47" customHeight="1" x14ac:dyDescent="0.2">
      <c r="A56" s="1996">
        <f>IF(B56="","",COUNTA($B$3:B56))</f>
        <v>54</v>
      </c>
      <c r="B56" s="1997">
        <v>7</v>
      </c>
      <c r="C56" s="1998" t="s">
        <v>25</v>
      </c>
      <c r="D56" s="1522" t="s">
        <v>119</v>
      </c>
      <c r="E56" s="1522" t="s">
        <v>883</v>
      </c>
      <c r="F56" s="1623" t="s">
        <v>22</v>
      </c>
      <c r="G56" s="2054" t="str">
        <f>IFERROR(IF(AND(Table1[[#This Row],[Loại số liệu]]="Kế hoạch",Table1[[#This Row],[Đơn vị]]="m2"),
   Table1[[#This Row],[Tổng (A1+A+B)]]*100/N57,
   IF(AND(Table1[[#This Row],[Loại số liệu]]="Thực hiện",Table1[[#This Row],[Đơn vị]]="m2"),
      T56,
      ""
   )
),0)</f>
        <v/>
      </c>
      <c r="H56" s="2054">
        <f>IF(AND(Table1[[#This Row],[Loại số liệu]]="Kế hoạch",Table1[[#This Row],[Đơn vị]]="m2"),
    U57*Table1[[#This Row],[Tổng (A1+A+B)]]/100,
    IF(AND(Table1[[#This Row],[Loại số liệu]]="Thực hiện",Table1[[#This Row],[Đơn vị]]="%"),
        IFERROR(H55/$K55*100,""),
        U56
    )
)</f>
        <v>94</v>
      </c>
      <c r="I56" s="2054">
        <f>IF(AND(Table1[[#This Row],[Loại số liệu]]="Kế hoạch",Table1[[#This Row],[Đơn vị]]="m2"),
    V57*Table1[[#This Row],[Tổng (A1+A+B)]]/100,
    IF(AND(Table1[[#This Row],[Loại số liệu]]="Thực hiện",Table1[[#This Row],[Đơn vị]]="%"),
        IFERROR(I55/$K55*100,""),
        V56
    )
)</f>
        <v>3</v>
      </c>
      <c r="J56" s="2054">
        <f>IF(AND(Table1[[#This Row],[Loại số liệu]]="Kế hoạch",Table1[[#This Row],[Đơn vị]]="m2"),
    W57*Table1[[#This Row],[Tổng (A1+A+B)]]/100,
    IF(AND(Table1[[#This Row],[Loại số liệu]]="Thực hiện",Table1[[#This Row],[Đơn vị]]="%"),
        IFERROR(J55/$K55*100,""),
        W56
    )
)</f>
        <v>3</v>
      </c>
      <c r="K56" s="2054">
        <f>IF(AND(Table1[[#This Row],[Đơn vị]]="m2",Table1[[#This Row],[Loại số liệu]]="Kế hoạch"),
   X56*Y56,
   SUM(Table1[[#This Row],[A1]:[B]])
)</f>
        <v>100</v>
      </c>
      <c r="L56" s="2054" t="str">
        <f t="shared" ref="L56:L69" si="18">IF(X56="","",X56)</f>
        <v/>
      </c>
      <c r="M56" s="1940" t="str">
        <f>IFERROR(IF(AND(Table1[[#This Row],[Loại số liệu]]="Kế hoạch",Table1[[#This Row],[Đơn vị]]="m2"),
   Y56,
   IF(AND(Table1[[#This Row],[Loại số liệu]]="Thực hiện",Table1[[#This Row],[Đơn vị]]="m2"),
      K56/L56,
      ""
   )
),"")</f>
        <v/>
      </c>
      <c r="N56" s="2054">
        <f>IF(AND(Table1[[#This Row],[Loại số liệu]]="Kế hoạch",Table1[[#This Row],[Đơn vị]]="%"),
    Z56,
    IF(AND(Table1[[#This Row],[Loại số liệu]]="Thực hiện",Table1[[#This Row],[Đơn vị]]="%"),
        IFERROR(K55/T55*100,""),
        IF(AND(Table1[[#This Row],[Loại số liệu]]="Thực hiện",Table1[[#This Row],[Đơn vị]]="m2"),
            Z56,
            ""
        )
    )
)</f>
        <v>98</v>
      </c>
      <c r="O56" s="2054">
        <f>IF(AND(Table1[[#This Row],[Loại số liệu]]="Thực hiện",Table1[[#This Row],[Đơn vị]]="m2"),
    AA56,
    IF(Table1[[#This Row],[A/ép]]="",
        "",
        100-Table1[[#This Row],[A/ép]]
    )
)</f>
        <v>2</v>
      </c>
      <c r="P56" s="2054" t="str">
        <f t="shared" ref="P56:P69" si="19">IF(AB56="","",AB56)</f>
        <v/>
      </c>
      <c r="Q56" s="2054" t="str">
        <f t="shared" ref="Q56:Q69" si="20">IF(AC56="","",AC56)</f>
        <v/>
      </c>
      <c r="R56" s="1905" t="str">
        <f>IFERROR(Table1[[#This Row],[T/g dừng 2MF]]*Table1[[#This Row],[Số ngày SX]],"")</f>
        <v/>
      </c>
      <c r="S56" s="1925"/>
      <c r="T56" s="1911"/>
      <c r="U56" s="1910">
        <v>94</v>
      </c>
      <c r="V56" s="1910">
        <v>3</v>
      </c>
      <c r="W56" s="1910">
        <v>3</v>
      </c>
      <c r="X56" s="1905"/>
      <c r="Y56" s="1622"/>
      <c r="Z56" s="1910">
        <v>98</v>
      </c>
      <c r="AA56" s="1910">
        <v>2</v>
      </c>
      <c r="AB56" s="1905"/>
      <c r="AC56" s="1909"/>
    </row>
    <row r="57" spans="1:29" ht="47" customHeight="1" x14ac:dyDescent="0.2">
      <c r="A57" s="1996">
        <f>IF(B57="","",COUNTA($B$3:B57))</f>
        <v>55</v>
      </c>
      <c r="B57" s="1997">
        <v>7</v>
      </c>
      <c r="C57" s="1998" t="s">
        <v>25</v>
      </c>
      <c r="D57" s="1522" t="s">
        <v>119</v>
      </c>
      <c r="E57" s="1522" t="s">
        <v>1013</v>
      </c>
      <c r="F57" s="1522" t="s">
        <v>21</v>
      </c>
      <c r="G57" s="2054">
        <f>IFERROR(IF(AND(Table1[[#This Row],[Loại số liệu]]="Kế hoạch",Table1[[#This Row],[Đơn vị]]="m2"),
   Table1[[#This Row],[Tổng (A1+A+B)]]*100/N58,
   IF(AND(Table1[[#This Row],[Loại số liệu]]="Thực hiện",Table1[[#This Row],[Đơn vị]]="m2"),
      T57,
      ""
   )
),0)</f>
        <v>442530</v>
      </c>
      <c r="H57" s="2054">
        <f>IF(AND(Table1[[#This Row],[Loại số liệu]]="Kế hoạch",Table1[[#This Row],[Đơn vị]]="m2"),
    U58*Table1[[#This Row],[Tổng (A1+A+B)]]/100,
    IF(AND(Table1[[#This Row],[Loại số liệu]]="Thực hiện",Table1[[#This Row],[Đơn vị]]="%"),
        IFERROR(H56/$K56*100,""),
        U57
    )
)</f>
        <v>434299.5</v>
      </c>
      <c r="I57" s="2054">
        <f>IF(AND(Table1[[#This Row],[Loại số liệu]]="Kế hoạch",Table1[[#This Row],[Đơn vị]]="m2"),
    V58*Table1[[#This Row],[Tổng (A1+A+B)]]/100,
    IF(AND(Table1[[#This Row],[Loại số liệu]]="Thực hiện",Table1[[#This Row],[Đơn vị]]="%"),
        IFERROR(I56/$K56*100,""),
        V57
    )
)</f>
        <v>0</v>
      </c>
      <c r="J57" s="2054">
        <f>IF(AND(Table1[[#This Row],[Loại số liệu]]="Kế hoạch",Table1[[#This Row],[Đơn vị]]="m2"),
    W58*Table1[[#This Row],[Tổng (A1+A+B)]]/100,
    IF(AND(Table1[[#This Row],[Loại số liệu]]="Thực hiện",Table1[[#This Row],[Đơn vị]]="%"),
        IFERROR(J56/$K56*100,""),
        W57
    )
)</f>
        <v>4056</v>
      </c>
      <c r="K57" s="2054">
        <f>IF(AND(Table1[[#This Row],[Đơn vị]]="m2",Table1[[#This Row],[Loại số liệu]]="Kế hoạch"),
   X57*Y57,
   SUM(Table1[[#This Row],[A1]:[B]])
)</f>
        <v>438355.5</v>
      </c>
      <c r="L57" s="2054">
        <f t="shared" si="18"/>
        <v>31</v>
      </c>
      <c r="M57" s="1940">
        <f>IFERROR(IF(AND(Table1[[#This Row],[Loại số liệu]]="Kế hoạch",Table1[[#This Row],[Đơn vị]]="m2"),
   Y57,
   IF(AND(Table1[[#This Row],[Loại số liệu]]="Thực hiện",Table1[[#This Row],[Đơn vị]]="m2"),
      K57/L57,
      ""
   )
),"")</f>
        <v>14140.5</v>
      </c>
      <c r="N57" s="2054">
        <f>IF(AND(Table1[[#This Row],[Loại số liệu]]="Kế hoạch",Table1[[#This Row],[Đơn vị]]="%"),
    Z57,
    IF(AND(Table1[[#This Row],[Loại số liệu]]="Thực hiện",Table1[[#This Row],[Đơn vị]]="%"),
        IFERROR(K56/T56*100,""),
        IF(AND(Table1[[#This Row],[Loại số liệu]]="Thực hiện",Table1[[#This Row],[Đơn vị]]="m2"),
            Z57,
            ""
        )
    )
)</f>
        <v>0</v>
      </c>
      <c r="O57" s="2054">
        <f>IF(AND(Table1[[#This Row],[Loại số liệu]]="Thực hiện",Table1[[#This Row],[Đơn vị]]="m2"),
    AA57,
    IF(Table1[[#This Row],[A/ép]]="",
        "",
        100-Table1[[#This Row],[A/ép]]
    )
)</f>
        <v>2746.3</v>
      </c>
      <c r="P57" s="2054">
        <f t="shared" si="19"/>
        <v>3217.9</v>
      </c>
      <c r="Q57" s="2054">
        <f t="shared" si="20"/>
        <v>105</v>
      </c>
      <c r="R57" s="1905">
        <f>IFERROR(Table1[[#This Row],[T/g dừng 2MF]]*Table1[[#This Row],[Số ngày SX]],"")</f>
        <v>3255</v>
      </c>
      <c r="S57" s="1925"/>
      <c r="T57" s="1913">
        <v>442530</v>
      </c>
      <c r="U57" s="1910">
        <v>434299.5</v>
      </c>
      <c r="V57" s="1910">
        <v>0</v>
      </c>
      <c r="W57" s="2457">
        <v>4056</v>
      </c>
      <c r="X57" s="1910">
        <v>31</v>
      </c>
      <c r="Y57" s="1923">
        <v>14141</v>
      </c>
      <c r="Z57" s="1914"/>
      <c r="AA57" s="1910">
        <v>2746.3</v>
      </c>
      <c r="AB57" s="1910">
        <v>3217.9</v>
      </c>
      <c r="AC57" s="1915">
        <v>105</v>
      </c>
    </row>
    <row r="58" spans="1:29" ht="47" customHeight="1" x14ac:dyDescent="0.2">
      <c r="A58" s="1996">
        <f>IF(B58="","",COUNTA($B$3:B58))</f>
        <v>56</v>
      </c>
      <c r="B58" s="1997">
        <v>7</v>
      </c>
      <c r="C58" s="1998" t="s">
        <v>25</v>
      </c>
      <c r="D58" s="1522" t="s">
        <v>119</v>
      </c>
      <c r="E58" s="1522" t="s">
        <v>1013</v>
      </c>
      <c r="F58" s="1623" t="s">
        <v>22</v>
      </c>
      <c r="G58" s="2054" t="str">
        <f>IFERROR(IF(AND(Table1[[#This Row],[Loại số liệu]]="Kế hoạch",Table1[[#This Row],[Đơn vị]]="m2"),
   Table1[[#This Row],[Tổng (A1+A+B)]]*100/N59,
   IF(AND(Table1[[#This Row],[Loại số liệu]]="Thực hiện",Table1[[#This Row],[Đơn vị]]="m2"),
      T58,
      ""
   )
),0)</f>
        <v/>
      </c>
      <c r="H58" s="2054">
        <f>IF(AND(Table1[[#This Row],[Loại số liệu]]="Kế hoạch",Table1[[#This Row],[Đơn vị]]="m2"),
    U59*Table1[[#This Row],[Tổng (A1+A+B)]]/100,
    IF(AND(Table1[[#This Row],[Loại số liệu]]="Thực hiện",Table1[[#This Row],[Đơn vị]]="%"),
        IFERROR(H57/$K57*100,""),
        U58
    )
)</f>
        <v>99.074723597627951</v>
      </c>
      <c r="I58" s="2054">
        <f>IF(AND(Table1[[#This Row],[Loại số liệu]]="Kế hoạch",Table1[[#This Row],[Đơn vị]]="m2"),
    V59*Table1[[#This Row],[Tổng (A1+A+B)]]/100,
    IF(AND(Table1[[#This Row],[Loại số liệu]]="Thực hiện",Table1[[#This Row],[Đơn vị]]="%"),
        IFERROR(I57/$K57*100,""),
        V58
    )
)</f>
        <v>0</v>
      </c>
      <c r="J58" s="2054">
        <f>IF(AND(Table1[[#This Row],[Loại số liệu]]="Kế hoạch",Table1[[#This Row],[Đơn vị]]="m2"),
    W59*Table1[[#This Row],[Tổng (A1+A+B)]]/100,
    IF(AND(Table1[[#This Row],[Loại số liệu]]="Thực hiện",Table1[[#This Row],[Đơn vị]]="%"),
        IFERROR(J57/$K57*100,""),
        W58
    )
)</f>
        <v>0.92527640237204734</v>
      </c>
      <c r="K58" s="2054">
        <f>IF(AND(Table1[[#This Row],[Đơn vị]]="m2",Table1[[#This Row],[Loại số liệu]]="Kế hoạch"),
   X58*Y58,
   SUM(Table1[[#This Row],[A1]:[B]])
)</f>
        <v>100</v>
      </c>
      <c r="L58" s="2054" t="str">
        <f t="shared" si="18"/>
        <v/>
      </c>
      <c r="M58" s="1940" t="str">
        <f>IFERROR(IF(AND(Table1[[#This Row],[Loại số liệu]]="Kế hoạch",Table1[[#This Row],[Đơn vị]]="m2"),
   Y58,
   IF(AND(Table1[[#This Row],[Loại số liệu]]="Thực hiện",Table1[[#This Row],[Đơn vị]]="m2"),
      K58/L58,
      ""
   )
),"")</f>
        <v/>
      </c>
      <c r="N58" s="2054">
        <f>IF(AND(Table1[[#This Row],[Loại số liệu]]="Kế hoạch",Table1[[#This Row],[Đơn vị]]="%"),
    Z58,
    IF(AND(Table1[[#This Row],[Loại số liệu]]="Thực hiện",Table1[[#This Row],[Đơn vị]]="%"),
        IFERROR(K57/T57*100,""),
        IF(AND(Table1[[#This Row],[Loại số liệu]]="Thực hiện",Table1[[#This Row],[Đơn vị]]="m2"),
            Z58,
            ""
        )
    )
)</f>
        <v>99.056674123788213</v>
      </c>
      <c r="O58" s="2054">
        <f>IF(AND(Table1[[#This Row],[Loại số liệu]]="Thực hiện",Table1[[#This Row],[Đơn vị]]="m2"),
    AA58,
    IF(Table1[[#This Row],[A/ép]]="",
        "",
        100-Table1[[#This Row],[A/ép]]
    )
)</f>
        <v>0.94332587621178732</v>
      </c>
      <c r="P58" s="2054" t="str">
        <f t="shared" si="19"/>
        <v/>
      </c>
      <c r="Q58" s="2054" t="str">
        <f t="shared" si="20"/>
        <v/>
      </c>
      <c r="R58" s="1905" t="str">
        <f>IFERROR(Table1[[#This Row],[T/g dừng 2MF]]*Table1[[#This Row],[Số ngày SX]],"")</f>
        <v/>
      </c>
      <c r="S58" s="1925"/>
      <c r="T58" s="1911"/>
      <c r="U58" s="1905"/>
      <c r="V58" s="1905"/>
      <c r="W58" s="1905"/>
      <c r="X58" s="1905"/>
      <c r="Y58" s="1622"/>
      <c r="Z58" s="1905"/>
      <c r="AA58" s="1905"/>
      <c r="AB58" s="1905"/>
      <c r="AC58" s="1909"/>
    </row>
    <row r="59" spans="1:29" ht="47" customHeight="1" x14ac:dyDescent="0.2">
      <c r="A59" s="2018">
        <f>IF(B59="","",COUNTA($B$3:B75))</f>
        <v>72</v>
      </c>
      <c r="B59" s="1998">
        <v>8</v>
      </c>
      <c r="C59" s="1997" t="s">
        <v>5</v>
      </c>
      <c r="D59" s="1522" t="s">
        <v>115</v>
      </c>
      <c r="E59" s="1522" t="s">
        <v>883</v>
      </c>
      <c r="F59" s="1522" t="s">
        <v>21</v>
      </c>
      <c r="G59" s="2054">
        <f>IFERROR(IF(AND(Table1[[#This Row],[Loại số liệu]]="Kế hoạch",Table1[[#This Row],[Đơn vị]]="m2"),
   Table1[[#This Row],[Tổng (A1+A+B)]]*100/N60,
   IF(AND(Table1[[#This Row],[Loại số liệu]]="Thực hiện",Table1[[#This Row],[Đơn vị]]="m2"),
      T59,
      ""
   )
),0)</f>
        <v>471744</v>
      </c>
      <c r="H59" s="2054">
        <f>IF(AND(Table1[[#This Row],[Loại số liệu]]="Kế hoạch",Table1[[#This Row],[Đơn vị]]="m2"),
    U60*Table1[[#This Row],[Tổng (A1+A+B)]]/100,
    IF(AND(Table1[[#This Row],[Loại số liệu]]="Thực hiện",Table1[[#This Row],[Đơn vị]]="%"),
        IFERROR(H58/$K58*100,""),
        U59
    )
)</f>
        <v>416078.20799999998</v>
      </c>
      <c r="I59" s="2054">
        <f>IF(AND(Table1[[#This Row],[Loại số liệu]]="Kế hoạch",Table1[[#This Row],[Đơn vị]]="m2"),
    V60*Table1[[#This Row],[Tổng (A1+A+B)]]/100,
    IF(AND(Table1[[#This Row],[Loại số liệu]]="Thực hiện",Table1[[#This Row],[Đơn vị]]="%"),
        IFERROR(I58/$K58*100,""),
        V59
    )
)</f>
        <v>32361.6384</v>
      </c>
      <c r="J59" s="2054">
        <f>IF(AND(Table1[[#This Row],[Loại số liệu]]="Kế hoạch",Table1[[#This Row],[Đơn vị]]="m2"),
    W60*Table1[[#This Row],[Tổng (A1+A+B)]]/100,
    IF(AND(Table1[[#This Row],[Loại số liệu]]="Thực hiện",Table1[[#This Row],[Đơn vị]]="%"),
        IFERROR(J58/$K58*100,""),
        W59
    )
)</f>
        <v>13869.273599999999</v>
      </c>
      <c r="K59" s="2054">
        <f>IF(AND(Table1[[#This Row],[Đơn vị]]="m2",Table1[[#This Row],[Loại số liệu]]="Kế hoạch"),
   X59*Y59,
   SUM(Table1[[#This Row],[A1]:[B]])
)</f>
        <v>462309.12</v>
      </c>
      <c r="L59" s="2054">
        <f t="shared" si="18"/>
        <v>30</v>
      </c>
      <c r="M59" s="1940">
        <f>IFERROR(IF(AND(Table1[[#This Row],[Loại số liệu]]="Kế hoạch",Table1[[#This Row],[Đơn vị]]="m2"),
   Y59,
   IF(AND(Table1[[#This Row],[Loại số liệu]]="Thực hiện",Table1[[#This Row],[Đơn vị]]="m2"),
      K59/L59,
      ""
   )
),"")</f>
        <v>15410.304</v>
      </c>
      <c r="N59" s="2054" t="str">
        <f>IF(AND(Table1[[#This Row],[Loại số liệu]]="Kế hoạch",Table1[[#This Row],[Đơn vị]]="%"),
    Z59,
    IF(AND(Table1[[#This Row],[Loại số liệu]]="Thực hiện",Table1[[#This Row],[Đơn vị]]="%"),
        IFERROR(K58/T58*100,""),
        IF(AND(Table1[[#This Row],[Loại số liệu]]="Thực hiện",Table1[[#This Row],[Đơn vị]]="m2"),
            Z59,
            ""
        )
    )
)</f>
        <v/>
      </c>
      <c r="O59" s="2054" t="str">
        <f>IF(AND(Table1[[#This Row],[Loại số liệu]]="Thực hiện",Table1[[#This Row],[Đơn vị]]="m2"),
    AA59,
    IF(Table1[[#This Row],[A/ép]]="",
        "",
        100-Table1[[#This Row],[A/ép]]
    )
)</f>
        <v/>
      </c>
      <c r="P59" s="2054" t="str">
        <f t="shared" si="19"/>
        <v/>
      </c>
      <c r="Q59" s="2054">
        <f t="shared" si="20"/>
        <v>40</v>
      </c>
      <c r="R59" s="2459">
        <f>IFERROR(Table1[[#This Row],[T/g dừng 2MF]]*Table1[[#This Row],[Số ngày SX]],"")</f>
        <v>1200</v>
      </c>
      <c r="S59" s="1925"/>
      <c r="T59" s="2055"/>
      <c r="U59" s="2054"/>
      <c r="V59" s="2054"/>
      <c r="W59" s="2054"/>
      <c r="X59" s="2054">
        <v>30</v>
      </c>
      <c r="Y59" s="1940">
        <v>15410.304</v>
      </c>
      <c r="Z59" s="2054"/>
      <c r="AA59" s="2054"/>
      <c r="AB59" s="2054"/>
      <c r="AC59" s="2056">
        <v>40</v>
      </c>
    </row>
    <row r="60" spans="1:29" ht="47" customHeight="1" x14ac:dyDescent="0.2">
      <c r="A60" s="1996">
        <f>IF(B60="","",COUNTA($B$3:B60))</f>
        <v>58</v>
      </c>
      <c r="B60" s="1997">
        <v>8</v>
      </c>
      <c r="C60" s="1997" t="s">
        <v>5</v>
      </c>
      <c r="D60" s="1522" t="s">
        <v>115</v>
      </c>
      <c r="E60" s="1522" t="s">
        <v>883</v>
      </c>
      <c r="F60" s="1623" t="s">
        <v>22</v>
      </c>
      <c r="G60" s="2054" t="str">
        <f>IFERROR(IF(AND(Table1[[#This Row],[Loại số liệu]]="Kế hoạch",Table1[[#This Row],[Đơn vị]]="m2"),
   Table1[[#This Row],[Tổng (A1+A+B)]]*100/N61,
   IF(AND(Table1[[#This Row],[Loại số liệu]]="Thực hiện",Table1[[#This Row],[Đơn vị]]="m2"),
      T60,
      ""
   )
),0)</f>
        <v/>
      </c>
      <c r="H60" s="2054">
        <f>IF(AND(Table1[[#This Row],[Loại số liệu]]="Kế hoạch",Table1[[#This Row],[Đơn vị]]="m2"),
    U61*Table1[[#This Row],[Tổng (A1+A+B)]]/100,
    IF(AND(Table1[[#This Row],[Loại số liệu]]="Thực hiện",Table1[[#This Row],[Đơn vị]]="%"),
        IFERROR(H59/$K59*100,""),
        U60
    )
)</f>
        <v>90</v>
      </c>
      <c r="I60" s="2054">
        <f>IF(AND(Table1[[#This Row],[Loại số liệu]]="Kế hoạch",Table1[[#This Row],[Đơn vị]]="m2"),
    V61*Table1[[#This Row],[Tổng (A1+A+B)]]/100,
    IF(AND(Table1[[#This Row],[Loại số liệu]]="Thực hiện",Table1[[#This Row],[Đơn vị]]="%"),
        IFERROR(I59/$K59*100,""),
        V60
    )
)</f>
        <v>7</v>
      </c>
      <c r="J60" s="2054">
        <f>IF(AND(Table1[[#This Row],[Loại số liệu]]="Kế hoạch",Table1[[#This Row],[Đơn vị]]="m2"),
    W61*Table1[[#This Row],[Tổng (A1+A+B)]]/100,
    IF(AND(Table1[[#This Row],[Loại số liệu]]="Thực hiện",Table1[[#This Row],[Đơn vị]]="%"),
        IFERROR(J59/$K59*100,""),
        W60
    )
)</f>
        <v>3</v>
      </c>
      <c r="K60" s="2054">
        <f>IF(AND(Table1[[#This Row],[Đơn vị]]="m2",Table1[[#This Row],[Loại số liệu]]="Kế hoạch"),
   X60*Y60,
   SUM(Table1[[#This Row],[A1]:[B]])
)</f>
        <v>100</v>
      </c>
      <c r="L60" s="2054" t="str">
        <f t="shared" si="18"/>
        <v/>
      </c>
      <c r="M60" s="1940" t="str">
        <f>IFERROR(IF(AND(Table1[[#This Row],[Loại số liệu]]="Kế hoạch",Table1[[#This Row],[Đơn vị]]="m2"),
   Y60,
   IF(AND(Table1[[#This Row],[Loại số liệu]]="Thực hiện",Table1[[#This Row],[Đơn vị]]="m2"),
      K60/L60,
      ""
   )
),"")</f>
        <v/>
      </c>
      <c r="N60" s="2054">
        <f>IF(AND(Table1[[#This Row],[Loại số liệu]]="Kế hoạch",Table1[[#This Row],[Đơn vị]]="%"),
    Z60,
    IF(AND(Table1[[#This Row],[Loại số liệu]]="Thực hiện",Table1[[#This Row],[Đơn vị]]="%"),
        IFERROR(K59/T59*100,""),
        IF(AND(Table1[[#This Row],[Loại số liệu]]="Thực hiện",Table1[[#This Row],[Đơn vị]]="m2"),
            Z60,
            ""
        )
    )
)</f>
        <v>98</v>
      </c>
      <c r="O60" s="2054">
        <f>IF(AND(Table1[[#This Row],[Loại số liệu]]="Thực hiện",Table1[[#This Row],[Đơn vị]]="m2"),
    AA60,
    IF(Table1[[#This Row],[A/ép]]="",
        "",
        100-Table1[[#This Row],[A/ép]]
    )
)</f>
        <v>2</v>
      </c>
      <c r="P60" s="2054" t="str">
        <f t="shared" si="19"/>
        <v/>
      </c>
      <c r="Q60" s="2054" t="str">
        <f t="shared" si="20"/>
        <v/>
      </c>
      <c r="R60" s="1905" t="str">
        <f>IFERROR(Table1[[#This Row],[T/g dừng 2MF]]*Table1[[#This Row],[Số ngày SX]],"")</f>
        <v/>
      </c>
      <c r="S60" s="1925"/>
      <c r="T60" s="2055"/>
      <c r="U60" s="2054">
        <v>90</v>
      </c>
      <c r="V60" s="2054">
        <v>7</v>
      </c>
      <c r="W60" s="2054">
        <v>3</v>
      </c>
      <c r="X60" s="2054"/>
      <c r="Y60" s="1940"/>
      <c r="Z60" s="2054">
        <v>98</v>
      </c>
      <c r="AA60" s="2054">
        <v>2</v>
      </c>
      <c r="AB60" s="2054"/>
      <c r="AC60" s="2056"/>
    </row>
    <row r="61" spans="1:29" ht="47" customHeight="1" x14ac:dyDescent="0.2">
      <c r="A61" s="1996">
        <f>IF(B61="","",COUNTA($B$3:B61))</f>
        <v>59</v>
      </c>
      <c r="B61" s="1997">
        <v>8</v>
      </c>
      <c r="C61" s="1997" t="s">
        <v>5</v>
      </c>
      <c r="D61" s="1522" t="s">
        <v>115</v>
      </c>
      <c r="E61" s="1522" t="s">
        <v>1013</v>
      </c>
      <c r="F61" s="1522" t="s">
        <v>21</v>
      </c>
      <c r="G61" s="2054">
        <f>IFERROR(IF(AND(Table1[[#This Row],[Loại số liệu]]="Kế hoạch",Table1[[#This Row],[Đơn vị]]="m2"),
   Table1[[#This Row],[Tổng (A1+A+B)]]*100/N62,
   IF(AND(Table1[[#This Row],[Loại số liệu]]="Thực hiện",Table1[[#This Row],[Đơn vị]]="m2"),
      T61,
      ""
   )
),0)</f>
        <v>492505</v>
      </c>
      <c r="H61" s="2054">
        <f>IF(AND(Table1[[#This Row],[Loại số liệu]]="Kế hoạch",Table1[[#This Row],[Đơn vị]]="m2"),
    U62*Table1[[#This Row],[Tổng (A1+A+B)]]/100,
    IF(AND(Table1[[#This Row],[Loại số liệu]]="Thực hiện",Table1[[#This Row],[Đơn vị]]="%"),
        IFERROR(H60/$K60*100,""),
        U61
    )
)</f>
        <v>454746.24</v>
      </c>
      <c r="I61" s="2054">
        <f>IF(AND(Table1[[#This Row],[Loại số liệu]]="Kế hoạch",Table1[[#This Row],[Đơn vị]]="m2"),
    V62*Table1[[#This Row],[Tổng (A1+A+B)]]/100,
    IF(AND(Table1[[#This Row],[Loại số liệu]]="Thực hiện",Table1[[#This Row],[Đơn vị]]="%"),
        IFERROR(I60/$K60*100,""),
        V61
    )
)</f>
        <v>12810.24</v>
      </c>
      <c r="J61" s="2054">
        <f>IF(AND(Table1[[#This Row],[Loại số liệu]]="Kế hoạch",Table1[[#This Row],[Đơn vị]]="m2"),
    W62*Table1[[#This Row],[Tổng (A1+A+B)]]/100,
    IF(AND(Table1[[#This Row],[Loại số liệu]]="Thực hiện",Table1[[#This Row],[Đơn vị]]="%"),
        IFERROR(J60/$K60*100,""),
        W61
    )
)</f>
        <v>17177.759999999998</v>
      </c>
      <c r="K61" s="2054">
        <f>IF(AND(Table1[[#This Row],[Đơn vị]]="m2",Table1[[#This Row],[Loại số liệu]]="Kế hoạch"),
   X61*Y61,
   SUM(Table1[[#This Row],[A1]:[B]])
)</f>
        <v>484734.24</v>
      </c>
      <c r="L61" s="2054">
        <f t="shared" si="18"/>
        <v>30</v>
      </c>
      <c r="M61" s="1940">
        <f>IFERROR(IF(AND(Table1[[#This Row],[Loại số liệu]]="Kế hoạch",Table1[[#This Row],[Đơn vị]]="m2"),
   Y61,
   IF(AND(Table1[[#This Row],[Loại số liệu]]="Thực hiện",Table1[[#This Row],[Đơn vị]]="m2"),
      K61/L61,
      ""
   )
),"")</f>
        <v>16157.807999999999</v>
      </c>
      <c r="N61" s="2054">
        <f>IF(AND(Table1[[#This Row],[Loại số liệu]]="Kế hoạch",Table1[[#This Row],[Đơn vị]]="%"),
    Z61,
    IF(AND(Table1[[#This Row],[Loại số liệu]]="Thực hiện",Table1[[#This Row],[Đơn vị]]="%"),
        IFERROR(K60/T60*100,""),
        IF(AND(Table1[[#This Row],[Loại số liệu]]="Thực hiện",Table1[[#This Row],[Đơn vị]]="m2"),
            Z61,
            ""
        )
    )
)</f>
        <v>0</v>
      </c>
      <c r="O61" s="2054">
        <f>IF(AND(Table1[[#This Row],[Loại số liệu]]="Thực hiện",Table1[[#This Row],[Đơn vị]]="m2"),
    AA61,
    IF(Table1[[#This Row],[A/ép]]="",
        "",
        100-Table1[[#This Row],[A/ép]]
    )
)</f>
        <v>1645.92</v>
      </c>
      <c r="P61" s="2054">
        <f t="shared" si="19"/>
        <v>1193.76</v>
      </c>
      <c r="Q61" s="2054">
        <f t="shared" si="20"/>
        <v>16</v>
      </c>
      <c r="R61" s="1905">
        <f>IFERROR(Table1[[#This Row],[T/g dừng 2MF]]*Table1[[#This Row],[Số ngày SX]],"")</f>
        <v>480</v>
      </c>
      <c r="S61" s="1925"/>
      <c r="T61" s="2055">
        <v>492505</v>
      </c>
      <c r="U61" s="2054">
        <v>454746.24</v>
      </c>
      <c r="V61" s="2054">
        <v>12810.24</v>
      </c>
      <c r="W61" s="2054">
        <v>17177.759999999998</v>
      </c>
      <c r="X61" s="2054">
        <v>30</v>
      </c>
      <c r="Y61" s="1940">
        <v>16158</v>
      </c>
      <c r="Z61" s="2054"/>
      <c r="AA61" s="2054">
        <v>1645.92</v>
      </c>
      <c r="AB61" s="2054">
        <v>1193.76</v>
      </c>
      <c r="AC61" s="2056">
        <v>16</v>
      </c>
    </row>
    <row r="62" spans="1:29" ht="47" customHeight="1" x14ac:dyDescent="0.2">
      <c r="A62" s="1996">
        <f>IF(B62="","",COUNTA($B$3:B62))</f>
        <v>60</v>
      </c>
      <c r="B62" s="1997">
        <v>8</v>
      </c>
      <c r="C62" s="1997" t="s">
        <v>5</v>
      </c>
      <c r="D62" s="1522" t="s">
        <v>115</v>
      </c>
      <c r="E62" s="1522" t="s">
        <v>1013</v>
      </c>
      <c r="F62" s="1623" t="s">
        <v>22</v>
      </c>
      <c r="G62" s="2054" t="str">
        <f>IFERROR(IF(AND(Table1[[#This Row],[Loại số liệu]]="Kế hoạch",Table1[[#This Row],[Đơn vị]]="m2"),
   Table1[[#This Row],[Tổng (A1+A+B)]]*100/N63,
   IF(AND(Table1[[#This Row],[Loại số liệu]]="Thực hiện",Table1[[#This Row],[Đơn vị]]="m2"),
      T62,
      ""
   )
),0)</f>
        <v/>
      </c>
      <c r="H62" s="2054">
        <f>IF(AND(Table1[[#This Row],[Loại số liệu]]="Kế hoạch",Table1[[#This Row],[Đơn vị]]="m2"),
    U63*Table1[[#This Row],[Tổng (A1+A+B)]]/100,
    IF(AND(Table1[[#This Row],[Loại số liệu]]="Thực hiện",Table1[[#This Row],[Đơn vị]]="%"),
        IFERROR(H61/$K61*100,""),
        U62
    )
)</f>
        <v>93.813517279076464</v>
      </c>
      <c r="I62" s="2054">
        <f>IF(AND(Table1[[#This Row],[Loại số liệu]]="Kế hoạch",Table1[[#This Row],[Đơn vị]]="m2"),
    V63*Table1[[#This Row],[Tổng (A1+A+B)]]/100,
    IF(AND(Table1[[#This Row],[Loại số liệu]]="Thực hiện",Table1[[#This Row],[Đơn vị]]="%"),
        IFERROR(I61/$K61*100,""),
        V62
    )
)</f>
        <v>2.6427347075791467</v>
      </c>
      <c r="J62" s="2054">
        <f>IF(AND(Table1[[#This Row],[Loại số liệu]]="Kế hoạch",Table1[[#This Row],[Đơn vị]]="m2"),
    W63*Table1[[#This Row],[Tổng (A1+A+B)]]/100,
    IF(AND(Table1[[#This Row],[Loại số liệu]]="Thực hiện",Table1[[#This Row],[Đơn vị]]="%"),
        IFERROR(J61/$K61*100,""),
        W62
    )
)</f>
        <v>3.5437480133443842</v>
      </c>
      <c r="K62" s="2054">
        <f>IF(AND(Table1[[#This Row],[Đơn vị]]="m2",Table1[[#This Row],[Loại số liệu]]="Kế hoạch"),
   X62*Y62,
   SUM(Table1[[#This Row],[A1]:[B]])
)</f>
        <v>100</v>
      </c>
      <c r="L62" s="2054" t="str">
        <f t="shared" si="18"/>
        <v/>
      </c>
      <c r="M62" s="1940" t="str">
        <f>IFERROR(IF(AND(Table1[[#This Row],[Loại số liệu]]="Kế hoạch",Table1[[#This Row],[Đơn vị]]="m2"),
   Y62,
   IF(AND(Table1[[#This Row],[Loại số liệu]]="Thực hiện",Table1[[#This Row],[Đơn vị]]="m2"),
      K62/L62,
      ""
   )
),"")</f>
        <v/>
      </c>
      <c r="N62" s="2054">
        <f>IF(AND(Table1[[#This Row],[Loại số liệu]]="Kế hoạch",Table1[[#This Row],[Đơn vị]]="%"),
    Z62,
    IF(AND(Table1[[#This Row],[Loại số liệu]]="Thực hiện",Table1[[#This Row],[Đơn vị]]="%"),
        IFERROR(K61/T61*100,""),
        IF(AND(Table1[[#This Row],[Loại số liệu]]="Thực hiện",Table1[[#This Row],[Đơn vị]]="m2"),
            Z62,
            ""
        )
    )
)</f>
        <v>98.422196728967208</v>
      </c>
      <c r="O62" s="2054">
        <f>IF(AND(Table1[[#This Row],[Loại số liệu]]="Thực hiện",Table1[[#This Row],[Đơn vị]]="m2"),
    AA62,
    IF(Table1[[#This Row],[A/ép]]="",
        "",
        100-Table1[[#This Row],[A/ép]]
    )
)</f>
        <v>1.5778032710327921</v>
      </c>
      <c r="P62" s="2054" t="str">
        <f t="shared" si="19"/>
        <v/>
      </c>
      <c r="Q62" s="2054" t="str">
        <f t="shared" si="20"/>
        <v/>
      </c>
      <c r="R62" s="1905" t="str">
        <f>IFERROR(Table1[[#This Row],[T/g dừng 2MF]]*Table1[[#This Row],[Số ngày SX]],"")</f>
        <v/>
      </c>
      <c r="S62" s="1925"/>
      <c r="T62" s="2055"/>
      <c r="U62" s="2054"/>
      <c r="V62" s="2054"/>
      <c r="W62" s="2054"/>
      <c r="X62" s="2054"/>
      <c r="Y62" s="1940"/>
      <c r="Z62" s="2054"/>
      <c r="AA62" s="2054"/>
      <c r="AB62" s="2054"/>
      <c r="AC62" s="2056"/>
    </row>
    <row r="63" spans="1:29" ht="47" customHeight="1" x14ac:dyDescent="0.2">
      <c r="A63" s="1996">
        <f>IF(B63="","",COUNTA($B$3:B63))</f>
        <v>61</v>
      </c>
      <c r="B63" s="1997">
        <v>8</v>
      </c>
      <c r="C63" s="1997" t="s">
        <v>25</v>
      </c>
      <c r="D63" s="1522" t="s">
        <v>119</v>
      </c>
      <c r="E63" s="1522" t="s">
        <v>883</v>
      </c>
      <c r="F63" s="1522" t="s">
        <v>21</v>
      </c>
      <c r="G63" s="2054">
        <f>IFERROR(IF(AND(Table1[[#This Row],[Loại số liệu]]="Kế hoạch",Table1[[#This Row],[Đơn vị]]="m2"),
   Table1[[#This Row],[Tổng (A1+A+B)]]*100/N64,
   IF(AND(Table1[[#This Row],[Loại số liệu]]="Thực hiện",Table1[[#This Row],[Đơn vị]]="m2"),
      T63,
      ""
   )
),0)</f>
        <v>56280</v>
      </c>
      <c r="H63" s="2054">
        <f>IF(AND(Table1[[#This Row],[Loại số liệu]]="Kế hoạch",Table1[[#This Row],[Đơn vị]]="m2"),
    U64*Table1[[#This Row],[Tổng (A1+A+B)]]/100,
    IF(AND(Table1[[#This Row],[Loại số liệu]]="Thực hiện",Table1[[#This Row],[Đơn vị]]="%"),
        IFERROR(H62/$K62*100,""),
        U63
    )
)</f>
        <v>51845.136000000006</v>
      </c>
      <c r="I63" s="2054">
        <f>IF(AND(Table1[[#This Row],[Loại số liệu]]="Kế hoạch",Table1[[#This Row],[Đơn vị]]="m2"),
    V64*Table1[[#This Row],[Tổng (A1+A+B)]]/100,
    IF(AND(Table1[[#This Row],[Loại số liệu]]="Thực hiện",Table1[[#This Row],[Đơn vị]]="%"),
        IFERROR(I62/$K62*100,""),
        V63
    )
)</f>
        <v>0</v>
      </c>
      <c r="J63" s="2054">
        <f>IF(AND(Table1[[#This Row],[Loại số liệu]]="Kế hoạch",Table1[[#This Row],[Đơn vị]]="m2"),
    W64*Table1[[#This Row],[Tổng (A1+A+B)]]/100,
    IF(AND(Table1[[#This Row],[Loại số liệu]]="Thực hiện",Table1[[#This Row],[Đơn vị]]="%"),
        IFERROR(J62/$K62*100,""),
        W63
    )
)</f>
        <v>3309.2640000000001</v>
      </c>
      <c r="K63" s="2054">
        <f>IF(AND(Table1[[#This Row],[Đơn vị]]="m2",Table1[[#This Row],[Loại số liệu]]="Kế hoạch"),
   X63*Y63,
   SUM(Table1[[#This Row],[A1]:[B]])
)</f>
        <v>55154.400000000001</v>
      </c>
      <c r="L63" s="2054">
        <f t="shared" si="18"/>
        <v>4</v>
      </c>
      <c r="M63" s="1940">
        <f>IFERROR(IF(AND(Table1[[#This Row],[Loại số liệu]]="Kế hoạch",Table1[[#This Row],[Đơn vị]]="m2"),
   Y63,
   IF(AND(Table1[[#This Row],[Loại số liệu]]="Thực hiện",Table1[[#This Row],[Đơn vị]]="m2"),
      K63/L63,
      ""
   )
),"")</f>
        <v>13788.6</v>
      </c>
      <c r="N63" s="2054" t="str">
        <f>IF(AND(Table1[[#This Row],[Loại số liệu]]="Kế hoạch",Table1[[#This Row],[Đơn vị]]="%"),
    Z63,
    IF(AND(Table1[[#This Row],[Loại số liệu]]="Thực hiện",Table1[[#This Row],[Đơn vị]]="%"),
        IFERROR(K62/T62*100,""),
        IF(AND(Table1[[#This Row],[Loại số liệu]]="Thực hiện",Table1[[#This Row],[Đơn vị]]="m2"),
            Z63,
            ""
        )
    )
)</f>
        <v/>
      </c>
      <c r="O63" s="2054" t="str">
        <f>IF(AND(Table1[[#This Row],[Loại số liệu]]="Thực hiện",Table1[[#This Row],[Đơn vị]]="m2"),
    AA63,
    IF(Table1[[#This Row],[A/ép]]="",
        "",
        100-Table1[[#This Row],[A/ép]]
    )
)</f>
        <v/>
      </c>
      <c r="P63" s="2054" t="str">
        <f t="shared" si="19"/>
        <v/>
      </c>
      <c r="Q63" s="2054">
        <f t="shared" si="20"/>
        <v>100</v>
      </c>
      <c r="R63" s="1905">
        <f>IFERROR(Table1[[#This Row],[T/g dừng 2MF]]*Table1[[#This Row],[Số ngày SX]],"")</f>
        <v>400</v>
      </c>
      <c r="S63" s="1925"/>
      <c r="T63" s="1911"/>
      <c r="U63" s="1905"/>
      <c r="V63" s="1905"/>
      <c r="W63" s="1905"/>
      <c r="X63" s="1910">
        <v>4</v>
      </c>
      <c r="Y63" s="1923">
        <v>13788.6</v>
      </c>
      <c r="Z63" s="1905"/>
      <c r="AA63" s="1905"/>
      <c r="AB63" s="1905"/>
      <c r="AC63" s="1912">
        <v>100</v>
      </c>
    </row>
    <row r="64" spans="1:29" ht="47" customHeight="1" x14ac:dyDescent="0.2">
      <c r="A64" s="1996">
        <f>IF(B64="","",COUNTA($B$3:B64))</f>
        <v>62</v>
      </c>
      <c r="B64" s="1997">
        <v>8</v>
      </c>
      <c r="C64" s="1997" t="s">
        <v>25</v>
      </c>
      <c r="D64" s="1522" t="s">
        <v>119</v>
      </c>
      <c r="E64" s="1522" t="s">
        <v>883</v>
      </c>
      <c r="F64" s="1623" t="s">
        <v>22</v>
      </c>
      <c r="G64" s="2054" t="str">
        <f>IFERROR(IF(AND(Table1[[#This Row],[Loại số liệu]]="Kế hoạch",Table1[[#This Row],[Đơn vị]]="m2"),
   Table1[[#This Row],[Tổng (A1+A+B)]]*100/N65,
   IF(AND(Table1[[#This Row],[Loại số liệu]]="Thực hiện",Table1[[#This Row],[Đơn vị]]="m2"),
      T64,
      ""
   )
),0)</f>
        <v/>
      </c>
      <c r="H64" s="2054">
        <f>IF(AND(Table1[[#This Row],[Loại số liệu]]="Kế hoạch",Table1[[#This Row],[Đơn vị]]="m2"),
    U65*Table1[[#This Row],[Tổng (A1+A+B)]]/100,
    IF(AND(Table1[[#This Row],[Loại số liệu]]="Thực hiện",Table1[[#This Row],[Đơn vị]]="%"),
        IFERROR(H63/$K63*100,""),
        U64
    )
)</f>
        <v>94</v>
      </c>
      <c r="I64" s="2054">
        <f>IF(AND(Table1[[#This Row],[Loại số liệu]]="Kế hoạch",Table1[[#This Row],[Đơn vị]]="m2"),
    V65*Table1[[#This Row],[Tổng (A1+A+B)]]/100,
    IF(AND(Table1[[#This Row],[Loại số liệu]]="Thực hiện",Table1[[#This Row],[Đơn vị]]="%"),
        IFERROR(I63/$K63*100,""),
        V64
    )
)</f>
        <v>0</v>
      </c>
      <c r="J64" s="2054">
        <f>IF(AND(Table1[[#This Row],[Loại số liệu]]="Kế hoạch",Table1[[#This Row],[Đơn vị]]="m2"),
    W65*Table1[[#This Row],[Tổng (A1+A+B)]]/100,
    IF(AND(Table1[[#This Row],[Loại số liệu]]="Thực hiện",Table1[[#This Row],[Đơn vị]]="%"),
        IFERROR(J63/$K63*100,""),
        W64
    )
)</f>
        <v>6</v>
      </c>
      <c r="K64" s="2054">
        <f>IF(AND(Table1[[#This Row],[Đơn vị]]="m2",Table1[[#This Row],[Loại số liệu]]="Kế hoạch"),
   X64*Y64,
   SUM(Table1[[#This Row],[A1]:[B]])
)</f>
        <v>100</v>
      </c>
      <c r="L64" s="2054" t="str">
        <f t="shared" si="18"/>
        <v/>
      </c>
      <c r="M64" s="1940" t="str">
        <f>IFERROR(IF(AND(Table1[[#This Row],[Loại số liệu]]="Kế hoạch",Table1[[#This Row],[Đơn vị]]="m2"),
   Y64,
   IF(AND(Table1[[#This Row],[Loại số liệu]]="Thực hiện",Table1[[#This Row],[Đơn vị]]="m2"),
      K64/L64,
      ""
   )
),"")</f>
        <v/>
      </c>
      <c r="N64" s="2054">
        <f>IF(AND(Table1[[#This Row],[Loại số liệu]]="Kế hoạch",Table1[[#This Row],[Đơn vị]]="%"),
    Z64,
    IF(AND(Table1[[#This Row],[Loại số liệu]]="Thực hiện",Table1[[#This Row],[Đơn vị]]="%"),
        IFERROR(K63/T63*100,""),
        IF(AND(Table1[[#This Row],[Loại số liệu]]="Thực hiện",Table1[[#This Row],[Đơn vị]]="m2"),
            Z64,
            ""
        )
    )
)</f>
        <v>98</v>
      </c>
      <c r="O64" s="2054">
        <f>IF(AND(Table1[[#This Row],[Loại số liệu]]="Thực hiện",Table1[[#This Row],[Đơn vị]]="m2"),
    AA64,
    IF(Table1[[#This Row],[A/ép]]="",
        "",
        100-Table1[[#This Row],[A/ép]]
    )
)</f>
        <v>2</v>
      </c>
      <c r="P64" s="2054" t="str">
        <f t="shared" si="19"/>
        <v/>
      </c>
      <c r="Q64" s="2054" t="str">
        <f t="shared" si="20"/>
        <v/>
      </c>
      <c r="R64" s="1905" t="str">
        <f>IFERROR(Table1[[#This Row],[T/g dừng 2MF]]*Table1[[#This Row],[Số ngày SX]],"")</f>
        <v/>
      </c>
      <c r="S64" s="1925"/>
      <c r="T64" s="1911"/>
      <c r="U64" s="1910">
        <v>94</v>
      </c>
      <c r="V64" s="1910">
        <v>0</v>
      </c>
      <c r="W64" s="1910">
        <v>6</v>
      </c>
      <c r="X64" s="1905"/>
      <c r="Y64" s="1622"/>
      <c r="Z64" s="1910">
        <v>98</v>
      </c>
      <c r="AA64" s="1910">
        <v>2</v>
      </c>
      <c r="AB64" s="1905"/>
      <c r="AC64" s="1909"/>
    </row>
    <row r="65" spans="1:29" ht="47" customHeight="1" x14ac:dyDescent="0.2">
      <c r="A65" s="1996">
        <f>IF(B65="","",COUNTA($B$3:B65))</f>
        <v>63</v>
      </c>
      <c r="B65" s="1997">
        <v>8</v>
      </c>
      <c r="C65" s="1997" t="s">
        <v>25</v>
      </c>
      <c r="D65" s="1522" t="s">
        <v>119</v>
      </c>
      <c r="E65" s="1522" t="s">
        <v>1013</v>
      </c>
      <c r="F65" s="1522" t="s">
        <v>21</v>
      </c>
      <c r="G65" s="2054">
        <f>IFERROR(IF(AND(Table1[[#This Row],[Loại số liệu]]="Kế hoạch",Table1[[#This Row],[Đơn vị]]="m2"),
   Table1[[#This Row],[Tổng (A1+A+B)]]*100/N66,
   IF(AND(Table1[[#This Row],[Loại số liệu]]="Thực hiện",Table1[[#This Row],[Đơn vị]]="m2"),
      T65,
      ""
   )
),0)</f>
        <v>61899</v>
      </c>
      <c r="H65" s="2054">
        <f>IF(AND(Table1[[#This Row],[Loại số liệu]]="Kế hoạch",Table1[[#This Row],[Đơn vị]]="m2"),
    U66*Table1[[#This Row],[Tổng (A1+A+B)]]/100,
    IF(AND(Table1[[#This Row],[Loại số liệu]]="Thực hiện",Table1[[#This Row],[Đơn vị]]="%"),
        IFERROR(H64/$K64*100,""),
        U65
    )
)</f>
        <v>60264</v>
      </c>
      <c r="I65" s="2054">
        <f>IF(AND(Table1[[#This Row],[Loại số liệu]]="Kế hoạch",Table1[[#This Row],[Đơn vị]]="m2"),
    V66*Table1[[#This Row],[Tổng (A1+A+B)]]/100,
    IF(AND(Table1[[#This Row],[Loại số liệu]]="Thực hiện",Table1[[#This Row],[Đơn vị]]="%"),
        IFERROR(I64/$K64*100,""),
        V65
    )
)</f>
        <v>0</v>
      </c>
      <c r="J65" s="2054">
        <f>IF(AND(Table1[[#This Row],[Loại số liệu]]="Kế hoạch",Table1[[#This Row],[Đơn vị]]="m2"),
    W66*Table1[[#This Row],[Tổng (A1+A+B)]]/100,
    IF(AND(Table1[[#This Row],[Loại số liệu]]="Thực hiện",Table1[[#This Row],[Đơn vị]]="%"),
        IFERROR(J64/$K64*100,""),
        W65
    )
)</f>
        <v>1204.5</v>
      </c>
      <c r="K65" s="2054">
        <f>IF(AND(Table1[[#This Row],[Đơn vị]]="m2",Table1[[#This Row],[Loại số liệu]]="Kế hoạch"),
   X65*Y65,
   SUM(Table1[[#This Row],[A1]:[B]])
)</f>
        <v>61468.5</v>
      </c>
      <c r="L65" s="2054">
        <f t="shared" si="18"/>
        <v>4</v>
      </c>
      <c r="M65" s="1940">
        <f>IFERROR(IF(AND(Table1[[#This Row],[Loại số liệu]]="Kế hoạch",Table1[[#This Row],[Đơn vị]]="m2"),
   Y65,
   IF(AND(Table1[[#This Row],[Loại số liệu]]="Thực hiện",Table1[[#This Row],[Đơn vị]]="m2"),
      K65/L65,
      ""
   )
),"")</f>
        <v>15367.125</v>
      </c>
      <c r="N65" s="2054">
        <f>IF(AND(Table1[[#This Row],[Loại số liệu]]="Kế hoạch",Table1[[#This Row],[Đơn vị]]="%"),
    Z65,
    IF(AND(Table1[[#This Row],[Loại số liệu]]="Thực hiện",Table1[[#This Row],[Đơn vị]]="%"),
        IFERROR(K64/T64*100,""),
        IF(AND(Table1[[#This Row],[Loại số liệu]]="Thực hiện",Table1[[#This Row],[Đơn vị]]="m2"),
            Z65,
            ""
        )
    )
)</f>
        <v>0</v>
      </c>
      <c r="O65" s="2054">
        <f>IF(AND(Table1[[#This Row],[Loại số liệu]]="Thực hiện",Table1[[#This Row],[Đơn vị]]="m2"),
    AA65,
    IF(Table1[[#This Row],[A/ép]]="",
        "",
        100-Table1[[#This Row],[A/ép]]
    )
)</f>
        <v>252</v>
      </c>
      <c r="P65" s="2054">
        <f t="shared" si="19"/>
        <v>175.5</v>
      </c>
      <c r="Q65" s="2054">
        <f t="shared" si="20"/>
        <v>100</v>
      </c>
      <c r="R65" s="1905">
        <f>IFERROR(Table1[[#This Row],[T/g dừng 2MF]]*Table1[[#This Row],[Số ngày SX]],"")</f>
        <v>400</v>
      </c>
      <c r="S65" s="1925"/>
      <c r="T65" s="1913">
        <v>61899</v>
      </c>
      <c r="U65" s="1910">
        <v>60264</v>
      </c>
      <c r="V65" s="1910">
        <v>0</v>
      </c>
      <c r="W65" s="2465">
        <v>1204.5</v>
      </c>
      <c r="X65" s="1910">
        <v>4</v>
      </c>
      <c r="Y65" s="1923">
        <v>15367</v>
      </c>
      <c r="Z65" s="1914"/>
      <c r="AA65" s="1910">
        <v>252</v>
      </c>
      <c r="AB65" s="1910">
        <v>175.5</v>
      </c>
      <c r="AC65" s="1915">
        <v>100</v>
      </c>
    </row>
    <row r="66" spans="1:29" ht="47" customHeight="1" x14ac:dyDescent="0.2">
      <c r="A66" s="2018">
        <f>IF(B66="","",COUNTA($B$3:B75))</f>
        <v>72</v>
      </c>
      <c r="B66" s="1998">
        <v>8</v>
      </c>
      <c r="C66" s="1997" t="s">
        <v>25</v>
      </c>
      <c r="D66" s="1522" t="s">
        <v>119</v>
      </c>
      <c r="E66" s="1522" t="s">
        <v>1013</v>
      </c>
      <c r="F66" s="1623" t="s">
        <v>22</v>
      </c>
      <c r="G66" s="2054" t="str">
        <f>IFERROR(IF(AND(Table1[[#This Row],[Loại số liệu]]="Kế hoạch",Table1[[#This Row],[Đơn vị]]="m2"),
   Table1[[#This Row],[Tổng (A1+A+B)]]*100/N67,
   IF(AND(Table1[[#This Row],[Loại số liệu]]="Thực hiện",Table1[[#This Row],[Đơn vị]]="m2"),
      T66,
      ""
   )
),0)</f>
        <v/>
      </c>
      <c r="H66" s="2054">
        <f>IF(AND(Table1[[#This Row],[Loại số liệu]]="Kế hoạch",Table1[[#This Row],[Đơn vị]]="m2"),
    U67*Table1[[#This Row],[Tổng (A1+A+B)]]/100,
    IF(AND(Table1[[#This Row],[Loại số liệu]]="Thực hiện",Table1[[#This Row],[Đơn vị]]="%"),
        IFERROR(H65/$K65*100,""),
        U66
    )
)</f>
        <v>98.040459747675641</v>
      </c>
      <c r="I66" s="2054">
        <f>IF(AND(Table1[[#This Row],[Loại số liệu]]="Kế hoạch",Table1[[#This Row],[Đơn vị]]="m2"),
    V67*Table1[[#This Row],[Tổng (A1+A+B)]]/100,
    IF(AND(Table1[[#This Row],[Loại số liệu]]="Thực hiện",Table1[[#This Row],[Đơn vị]]="%"),
        IFERROR(I65/$K65*100,""),
        V66
    )
)</f>
        <v>0</v>
      </c>
      <c r="J66" s="2054">
        <f>IF(AND(Table1[[#This Row],[Loại số liệu]]="Kế hoạch",Table1[[#This Row],[Đơn vị]]="m2"),
    W67*Table1[[#This Row],[Tổng (A1+A+B)]]/100,
    IF(AND(Table1[[#This Row],[Loại số liệu]]="Thực hiện",Table1[[#This Row],[Đơn vị]]="%"),
        IFERROR(J65/$K65*100,""),
        W66
    )
)</f>
        <v>1.9595402523243612</v>
      </c>
      <c r="K66" s="2054">
        <f>IF(AND(Table1[[#This Row],[Đơn vị]]="m2",Table1[[#This Row],[Loại số liệu]]="Kế hoạch"),
   X66*Y66,
   SUM(Table1[[#This Row],[A1]:[B]])
)</f>
        <v>100</v>
      </c>
      <c r="L66" s="2054" t="str">
        <f t="shared" si="18"/>
        <v/>
      </c>
      <c r="M66" s="1940" t="str">
        <f>IFERROR(IF(AND(Table1[[#This Row],[Loại số liệu]]="Kế hoạch",Table1[[#This Row],[Đơn vị]]="m2"),
   Y66,
   IF(AND(Table1[[#This Row],[Loại số liệu]]="Thực hiện",Table1[[#This Row],[Đơn vị]]="m2"),
      K66/L66,
      ""
   )
),"")</f>
        <v/>
      </c>
      <c r="N66" s="2054">
        <f>IF(AND(Table1[[#This Row],[Loại số liệu]]="Kế hoạch",Table1[[#This Row],[Đơn vị]]="%"),
    Z66,
    IF(AND(Table1[[#This Row],[Loại số liệu]]="Thực hiện",Table1[[#This Row],[Đơn vị]]="%"),
        IFERROR(K65/T65*100,""),
        IF(AND(Table1[[#This Row],[Loại số liệu]]="Thực hiện",Table1[[#This Row],[Đơn vị]]="m2"),
            Z66,
            ""
        )
    )
)</f>
        <v>99.304512189211465</v>
      </c>
      <c r="O66" s="2054">
        <f>IF(AND(Table1[[#This Row],[Loại số liệu]]="Thực hiện",Table1[[#This Row],[Đơn vị]]="m2"),
    AA66,
    IF(Table1[[#This Row],[A/ép]]="",
        "",
        100-Table1[[#This Row],[A/ép]]
    )
)</f>
        <v>0.69548781078853494</v>
      </c>
      <c r="P66" s="2054" t="str">
        <f t="shared" si="19"/>
        <v/>
      </c>
      <c r="Q66" s="2054" t="str">
        <f t="shared" si="20"/>
        <v/>
      </c>
      <c r="R66" s="2459" t="str">
        <f>IFERROR(Table1[[#This Row],[T/g dừng 2MF]]*Table1[[#This Row],[Số ngày SX]],"")</f>
        <v/>
      </c>
      <c r="S66" s="1925"/>
      <c r="T66" s="2458"/>
      <c r="U66" s="2459"/>
      <c r="V66" s="2459"/>
      <c r="W66" s="2459"/>
      <c r="X66" s="2459"/>
      <c r="Y66" s="2460"/>
      <c r="Z66" s="2459"/>
      <c r="AA66" s="2459"/>
      <c r="AB66" s="2459"/>
      <c r="AC66" s="2461"/>
    </row>
    <row r="67" spans="1:29" ht="47" customHeight="1" x14ac:dyDescent="0.2">
      <c r="A67" s="1996">
        <f>IF(B67="","",COUNTA($B$3:B67))</f>
        <v>65</v>
      </c>
      <c r="B67" s="1997">
        <v>8</v>
      </c>
      <c r="C67" s="1997" t="s">
        <v>25</v>
      </c>
      <c r="D67" s="1522" t="s">
        <v>119</v>
      </c>
      <c r="E67" s="1522" t="s">
        <v>883</v>
      </c>
      <c r="F67" s="1522" t="s">
        <v>21</v>
      </c>
      <c r="G67" s="2054">
        <f>IFERROR(IF(AND(Table1[[#This Row],[Loại số liệu]]="Kế hoạch",Table1[[#This Row],[Đơn vị]]="m2"),
   Table1[[#This Row],[Tổng (A1+A+B)]]*100/N68,
   IF(AND(Table1[[#This Row],[Loại số liệu]]="Thực hiện",Table1[[#This Row],[Đơn vị]]="m2"),
      T67,
      ""
   )
),0)</f>
        <v>113137.23076923077</v>
      </c>
      <c r="H67" s="2054">
        <f>IF(AND(Table1[[#This Row],[Loại số liệu]]="Kế hoạch",Table1[[#This Row],[Đơn vị]]="m2"),
    U68*Table1[[#This Row],[Tổng (A1+A+B)]]/100,
    IF(AND(Table1[[#This Row],[Loại số liệu]]="Thực hiện",Table1[[#This Row],[Đơn vị]]="%"),
        IFERROR(H66/$K66*100,""),
        U67
    )
)</f>
        <v>98174.832000000009</v>
      </c>
      <c r="I67" s="2054">
        <f>IF(AND(Table1[[#This Row],[Loại số liệu]]="Kế hoạch",Table1[[#This Row],[Đơn vị]]="m2"),
    V68*Table1[[#This Row],[Tổng (A1+A+B)]]/100,
    IF(AND(Table1[[#This Row],[Loại số liệu]]="Thực hiện",Table1[[#This Row],[Đơn vị]]="%"),
        IFERROR(I66/$K66*100,""),
        V67
    )
)</f>
        <v>0</v>
      </c>
      <c r="J67" s="2054">
        <f>IF(AND(Table1[[#This Row],[Loại số liệu]]="Kế hoạch",Table1[[#This Row],[Đơn vị]]="m2"),
    W68*Table1[[#This Row],[Tổng (A1+A+B)]]/100,
    IF(AND(Table1[[#This Row],[Loại số liệu]]="Thực hiện",Table1[[#This Row],[Đơn vị]]="%"),
        IFERROR(J66/$K66*100,""),
        W67
    )
)</f>
        <v>12133.968000000001</v>
      </c>
      <c r="K67" s="2054">
        <f>IF(AND(Table1[[#This Row],[Đơn vị]]="m2",Table1[[#This Row],[Loại số liệu]]="Kế hoạch"),
   X67*Y67,
   SUM(Table1[[#This Row],[A1]:[B]])
)</f>
        <v>110308.8</v>
      </c>
      <c r="L67" s="2054">
        <f t="shared" si="18"/>
        <v>8</v>
      </c>
      <c r="M67" s="1940">
        <f>IFERROR(IF(AND(Table1[[#This Row],[Loại số liệu]]="Kế hoạch",Table1[[#This Row],[Đơn vị]]="m2"),
   Y67,
   IF(AND(Table1[[#This Row],[Loại số liệu]]="Thực hiện",Table1[[#This Row],[Đơn vị]]="m2"),
      K67/L67,
      ""
   )
),"")</f>
        <v>13788.6</v>
      </c>
      <c r="N67" s="2054" t="str">
        <f>IF(AND(Table1[[#This Row],[Loại số liệu]]="Kế hoạch",Table1[[#This Row],[Đơn vị]]="%"),
    Z67,
    IF(AND(Table1[[#This Row],[Loại số liệu]]="Thực hiện",Table1[[#This Row],[Đơn vị]]="%"),
        IFERROR(K66/T66*100,""),
        IF(AND(Table1[[#This Row],[Loại số liệu]]="Thực hiện",Table1[[#This Row],[Đơn vị]]="m2"),
            Z67,
            ""
        )
    )
)</f>
        <v/>
      </c>
      <c r="O67" s="2054" t="str">
        <f>IF(AND(Table1[[#This Row],[Loại số liệu]]="Thực hiện",Table1[[#This Row],[Đơn vị]]="m2"),
    AA67,
    IF(Table1[[#This Row],[A/ép]]="",
        "",
        100-Table1[[#This Row],[A/ép]]
    )
)</f>
        <v/>
      </c>
      <c r="P67" s="2054" t="str">
        <f t="shared" si="19"/>
        <v/>
      </c>
      <c r="Q67" s="2054">
        <f t="shared" si="20"/>
        <v>100</v>
      </c>
      <c r="R67" s="1905">
        <f>IFERROR(Table1[[#This Row],[T/g dừng 2MF]]*Table1[[#This Row],[Số ngày SX]],"")</f>
        <v>800</v>
      </c>
      <c r="S67" s="1925"/>
      <c r="T67" s="1911"/>
      <c r="U67" s="1905"/>
      <c r="V67" s="1905"/>
      <c r="W67" s="1905"/>
      <c r="X67" s="1910">
        <v>8</v>
      </c>
      <c r="Y67" s="1923">
        <v>13788.6</v>
      </c>
      <c r="Z67" s="1905"/>
      <c r="AA67" s="1905"/>
      <c r="AB67" s="1905"/>
      <c r="AC67" s="1912">
        <v>100</v>
      </c>
    </row>
    <row r="68" spans="1:29" ht="47" customHeight="1" x14ac:dyDescent="0.2">
      <c r="A68" s="1996">
        <f>IF(B68="","",COUNTA($B$3:B68))</f>
        <v>66</v>
      </c>
      <c r="B68" s="1997">
        <v>8</v>
      </c>
      <c r="C68" s="1997" t="s">
        <v>25</v>
      </c>
      <c r="D68" s="1522" t="s">
        <v>119</v>
      </c>
      <c r="E68" s="1522" t="s">
        <v>883</v>
      </c>
      <c r="F68" s="1623" t="s">
        <v>22</v>
      </c>
      <c r="G68" s="2054" t="str">
        <f>IFERROR(IF(AND(Table1[[#This Row],[Loại số liệu]]="Kế hoạch",Table1[[#This Row],[Đơn vị]]="m2"),
   Table1[[#This Row],[Tổng (A1+A+B)]]*100/N69,
   IF(AND(Table1[[#This Row],[Loại số liệu]]="Thực hiện",Table1[[#This Row],[Đơn vị]]="m2"),
      T68,
      ""
   )
),0)</f>
        <v/>
      </c>
      <c r="H68" s="2054">
        <f>IF(AND(Table1[[#This Row],[Loại số liệu]]="Kế hoạch",Table1[[#This Row],[Đơn vị]]="m2"),
    U69*Table1[[#This Row],[Tổng (A1+A+B)]]/100,
    IF(AND(Table1[[#This Row],[Loại số liệu]]="Thực hiện",Table1[[#This Row],[Đơn vị]]="%"),
        IFERROR(H67/$K67*100,""),
        U68
    )
)</f>
        <v>89</v>
      </c>
      <c r="I68" s="2054">
        <f>IF(AND(Table1[[#This Row],[Loại số liệu]]="Kế hoạch",Table1[[#This Row],[Đơn vị]]="m2"),
    V69*Table1[[#This Row],[Tổng (A1+A+B)]]/100,
    IF(AND(Table1[[#This Row],[Loại số liệu]]="Thực hiện",Table1[[#This Row],[Đơn vị]]="%"),
        IFERROR(I67/$K67*100,""),
        V68
    )
)</f>
        <v>0</v>
      </c>
      <c r="J68" s="2054">
        <f>IF(AND(Table1[[#This Row],[Loại số liệu]]="Kế hoạch",Table1[[#This Row],[Đơn vị]]="m2"),
    W69*Table1[[#This Row],[Tổng (A1+A+B)]]/100,
    IF(AND(Table1[[#This Row],[Loại số liệu]]="Thực hiện",Table1[[#This Row],[Đơn vị]]="%"),
        IFERROR(J67/$K67*100,""),
        W68
    )
)</f>
        <v>11</v>
      </c>
      <c r="K68" s="2054">
        <f>IF(AND(Table1[[#This Row],[Đơn vị]]="m2",Table1[[#This Row],[Loại số liệu]]="Kế hoạch"),
   X68*Y68,
   SUM(Table1[[#This Row],[A1]:[B]])
)</f>
        <v>100</v>
      </c>
      <c r="L68" s="2054" t="str">
        <f t="shared" si="18"/>
        <v/>
      </c>
      <c r="M68" s="1940" t="str">
        <f>IFERROR(IF(AND(Table1[[#This Row],[Loại số liệu]]="Kế hoạch",Table1[[#This Row],[Đơn vị]]="m2"),
   Y68,
   IF(AND(Table1[[#This Row],[Loại số liệu]]="Thực hiện",Table1[[#This Row],[Đơn vị]]="m2"),
      K68/L68,
      ""
   )
),"")</f>
        <v/>
      </c>
      <c r="N68" s="2054">
        <f>IF(AND(Table1[[#This Row],[Loại số liệu]]="Kế hoạch",Table1[[#This Row],[Đơn vị]]="%"),
    Z68,
    IF(AND(Table1[[#This Row],[Loại số liệu]]="Thực hiện",Table1[[#This Row],[Đơn vị]]="%"),
        IFERROR(K67/T67*100,""),
        IF(AND(Table1[[#This Row],[Loại số liệu]]="Thực hiện",Table1[[#This Row],[Đơn vị]]="m2"),
            Z68,
            ""
        )
    )
)</f>
        <v>97.5</v>
      </c>
      <c r="O68" s="2054">
        <f>IF(AND(Table1[[#This Row],[Loại số liệu]]="Thực hiện",Table1[[#This Row],[Đơn vị]]="m2"),
    AA68,
    IF(Table1[[#This Row],[A/ép]]="",
        "",
        100-Table1[[#This Row],[A/ép]]
    )
)</f>
        <v>2.5</v>
      </c>
      <c r="P68" s="2054" t="str">
        <f t="shared" si="19"/>
        <v/>
      </c>
      <c r="Q68" s="2054" t="str">
        <f t="shared" si="20"/>
        <v/>
      </c>
      <c r="R68" s="1905" t="str">
        <f>IFERROR(Table1[[#This Row],[T/g dừng 2MF]]*Table1[[#This Row],[Số ngày SX]],"")</f>
        <v/>
      </c>
      <c r="S68" s="1925"/>
      <c r="T68" s="1911"/>
      <c r="U68" s="1910">
        <v>89</v>
      </c>
      <c r="V68" s="1910">
        <v>0</v>
      </c>
      <c r="W68" s="1910">
        <v>11</v>
      </c>
      <c r="X68" s="1905"/>
      <c r="Y68" s="1622"/>
      <c r="Z68" s="1910">
        <v>97.5</v>
      </c>
      <c r="AA68" s="1910">
        <v>2.5</v>
      </c>
      <c r="AB68" s="1905"/>
      <c r="AC68" s="1909"/>
    </row>
    <row r="69" spans="1:29" ht="47" customHeight="1" x14ac:dyDescent="0.2">
      <c r="A69" s="1996">
        <f>IF(B69="","",COUNTA($B$3:B69))</f>
        <v>67</v>
      </c>
      <c r="B69" s="1997">
        <v>8</v>
      </c>
      <c r="C69" s="1997" t="s">
        <v>25</v>
      </c>
      <c r="D69" s="1522" t="s">
        <v>119</v>
      </c>
      <c r="E69" s="1522" t="s">
        <v>1013</v>
      </c>
      <c r="F69" s="1522" t="s">
        <v>21</v>
      </c>
      <c r="G69" s="2054">
        <f>IFERROR(IF(AND(Table1[[#This Row],[Loại số liệu]]="Kế hoạch",Table1[[#This Row],[Đơn vị]]="m2"),
   Table1[[#This Row],[Tổng (A1+A+B)]]*100/N70,
   IF(AND(Table1[[#This Row],[Loại số liệu]]="Thực hiện",Table1[[#This Row],[Đơn vị]]="m2"),
      T69,
      ""
   )
),0)</f>
        <v>114599</v>
      </c>
      <c r="H69" s="2054">
        <f>IF(AND(Table1[[#This Row],[Loại số liệu]]="Kế hoạch",Table1[[#This Row],[Đơn vị]]="m2"),
    U70*Table1[[#This Row],[Tổng (A1+A+B)]]/100,
    IF(AND(Table1[[#This Row],[Loại số liệu]]="Thực hiện",Table1[[#This Row],[Đơn vị]]="%"),
        IFERROR(H68/$K68*100,""),
        U69
    )
)</f>
        <v>107879</v>
      </c>
      <c r="I69" s="2054">
        <f>IF(AND(Table1[[#This Row],[Loại số liệu]]="Kế hoạch",Table1[[#This Row],[Đơn vị]]="m2"),
    V70*Table1[[#This Row],[Tổng (A1+A+B)]]/100,
    IF(AND(Table1[[#This Row],[Loại số liệu]]="Thực hiện",Table1[[#This Row],[Đơn vị]]="%"),
        IFERROR(I68/$K68*100,""),
        V69
    )
)</f>
        <v>0</v>
      </c>
      <c r="J69" s="2054">
        <f>IF(AND(Table1[[#This Row],[Loại số liệu]]="Kế hoạch",Table1[[#This Row],[Đơn vị]]="m2"),
    W70*Table1[[#This Row],[Tổng (A1+A+B)]]/100,
    IF(AND(Table1[[#This Row],[Loại số liệu]]="Thực hiện",Table1[[#This Row],[Đơn vị]]="%"),
        IFERROR(J68/$K68*100,""),
        W69
    )
)</f>
        <v>4899</v>
      </c>
      <c r="K69" s="2054">
        <f>IF(AND(Table1[[#This Row],[Đơn vị]]="m2",Table1[[#This Row],[Loại số liệu]]="Kế hoạch"),
   X69*Y69,
   SUM(Table1[[#This Row],[A1]:[B]])
)</f>
        <v>112778</v>
      </c>
      <c r="L69" s="2054">
        <f t="shared" si="18"/>
        <v>8</v>
      </c>
      <c r="M69" s="1940">
        <f>IFERROR(IF(AND(Table1[[#This Row],[Loại số liệu]]="Kế hoạch",Table1[[#This Row],[Đơn vị]]="m2"),
   Y69,
   IF(AND(Table1[[#This Row],[Loại số liệu]]="Thực hiện",Table1[[#This Row],[Đơn vị]]="m2"),
      K69/L69,
      ""
   )
),"")</f>
        <v>14097.25</v>
      </c>
      <c r="N69" s="2054">
        <f>IF(AND(Table1[[#This Row],[Loại số liệu]]="Kế hoạch",Table1[[#This Row],[Đơn vị]]="%"),
    Z69,
    IF(AND(Table1[[#This Row],[Loại số liệu]]="Thực hiện",Table1[[#This Row],[Đơn vị]]="%"),
        IFERROR(K68/T68*100,""),
        IF(AND(Table1[[#This Row],[Loại số liệu]]="Thực hiện",Table1[[#This Row],[Đơn vị]]="m2"),
            Z69,
            ""
        )
    )
)</f>
        <v>0</v>
      </c>
      <c r="O69" s="2054">
        <f>IF(AND(Table1[[#This Row],[Loại số liệu]]="Thực hiện",Table1[[#This Row],[Đơn vị]]="m2"),
    AA69,
    IF(Table1[[#This Row],[A/ép]]="",
        "",
        100-Table1[[#This Row],[A/ép]]
    )
)</f>
        <v>553.5</v>
      </c>
      <c r="P69" s="2054">
        <f t="shared" si="19"/>
        <v>1239</v>
      </c>
      <c r="Q69" s="2054">
        <f t="shared" si="20"/>
        <v>48</v>
      </c>
      <c r="R69" s="1905">
        <f>IFERROR(Table1[[#This Row],[T/g dừng 2MF]]*Table1[[#This Row],[Số ngày SX]],"")</f>
        <v>384</v>
      </c>
      <c r="S69" s="1925"/>
      <c r="T69" s="1911">
        <v>114599</v>
      </c>
      <c r="U69" s="1905">
        <v>107879</v>
      </c>
      <c r="V69" s="1905">
        <v>0</v>
      </c>
      <c r="W69" s="1905">
        <v>4899</v>
      </c>
      <c r="X69" s="1905">
        <v>8</v>
      </c>
      <c r="Y69" s="1622">
        <v>14097.19</v>
      </c>
      <c r="Z69" s="1905"/>
      <c r="AA69" s="1905">
        <v>553.5</v>
      </c>
      <c r="AB69" s="1905">
        <v>1239</v>
      </c>
      <c r="AC69" s="1909">
        <v>48</v>
      </c>
    </row>
    <row r="70" spans="1:29" ht="47" customHeight="1" x14ac:dyDescent="0.2">
      <c r="A70" s="1996">
        <f>IF(B70="","",COUNTA($B$3:B70))</f>
        <v>68</v>
      </c>
      <c r="B70" s="1998">
        <v>8</v>
      </c>
      <c r="C70" s="1997" t="s">
        <v>25</v>
      </c>
      <c r="D70" s="1522" t="s">
        <v>119</v>
      </c>
      <c r="E70" s="1522" t="s">
        <v>1013</v>
      </c>
      <c r="F70" s="1623" t="s">
        <v>22</v>
      </c>
      <c r="G70" s="2054" t="str">
        <f>IFERROR(IF(AND(Table1[[#This Row],[Loại số liệu]]="Kế hoạch",Table1[[#This Row],[Đơn vị]]="m2"),
   Table1[[#This Row],[Tổng (A1+A+B)]]*100/N71,
   IF(AND(Table1[[#This Row],[Loại số liệu]]="Thực hiện",Table1[[#This Row],[Đơn vị]]="m2"),
      T70,
      ""
   )
),0)</f>
        <v/>
      </c>
      <c r="H70" s="2054">
        <f>IF(AND(Table1[[#This Row],[Loại số liệu]]="Kế hoạch",Table1[[#This Row],[Đơn vị]]="m2"),
    U71*Table1[[#This Row],[Tổng (A1+A+B)]]/100,
    IF(AND(Table1[[#This Row],[Loại số liệu]]="Thực hiện",Table1[[#This Row],[Đơn vị]]="%"),
        IFERROR(H69/$K69*100,""),
        U70
    )
)</f>
        <v>95.656067672773062</v>
      </c>
      <c r="I70" s="2054">
        <f>IF(AND(Table1[[#This Row],[Loại số liệu]]="Kế hoạch",Table1[[#This Row],[Đơn vị]]="m2"),
    V71*Table1[[#This Row],[Tổng (A1+A+B)]]/100,
    IF(AND(Table1[[#This Row],[Loại số liệu]]="Thực hiện",Table1[[#This Row],[Đơn vị]]="%"),
        IFERROR(I69/$K69*100,""),
        V70
    )
)</f>
        <v>0</v>
      </c>
      <c r="J70" s="2054">
        <f>IF(AND(Table1[[#This Row],[Loại số liệu]]="Kế hoạch",Table1[[#This Row],[Đơn vị]]="m2"),
    W71*Table1[[#This Row],[Tổng (A1+A+B)]]/100,
    IF(AND(Table1[[#This Row],[Loại số liệu]]="Thực hiện",Table1[[#This Row],[Đơn vị]]="%"),
        IFERROR(J69/$K69*100,""),
        W70
    )
)</f>
        <v>4.3439323272269421</v>
      </c>
      <c r="K70" s="2054">
        <f>IF(AND(Table1[[#This Row],[Đơn vị]]="m2",Table1[[#This Row],[Loại số liệu]]="Kế hoạch"),
   X70*Y70,
   SUM(Table1[[#This Row],[A1]:[B]])
)</f>
        <v>100</v>
      </c>
      <c r="L70" s="2054" t="str">
        <f t="shared" ref="L70:L74" si="21">IF(X70="","",X70)</f>
        <v/>
      </c>
      <c r="M70" s="1940" t="str">
        <f>IFERROR(IF(AND(Table1[[#This Row],[Loại số liệu]]="Kế hoạch",Table1[[#This Row],[Đơn vị]]="m2"),
   Y70,
   IF(AND(Table1[[#This Row],[Loại số liệu]]="Thực hiện",Table1[[#This Row],[Đơn vị]]="m2"),
      K70/L70,
      ""
   )
),"")</f>
        <v/>
      </c>
      <c r="N70" s="2054">
        <f>IF(AND(Table1[[#This Row],[Loại số liệu]]="Kế hoạch",Table1[[#This Row],[Đơn vị]]="%"),
    Z70,
    IF(AND(Table1[[#This Row],[Loại số liệu]]="Thực hiện",Table1[[#This Row],[Đơn vị]]="%"),
        IFERROR(K69/T69*100,""),
        IF(AND(Table1[[#This Row],[Loại số liệu]]="Thực hiện",Table1[[#This Row],[Đơn vị]]="m2"),
            Z70,
            ""
        )
    )
)</f>
        <v>98.410980898611683</v>
      </c>
      <c r="O70" s="2054">
        <f>IF(AND(Table1[[#This Row],[Loại số liệu]]="Thực hiện",Table1[[#This Row],[Đơn vị]]="m2"),
    AA70,
    IF(Table1[[#This Row],[A/ép]]="",
        "",
        100-Table1[[#This Row],[A/ép]]
    )
)</f>
        <v>1.5890191013883168</v>
      </c>
      <c r="P70" s="2054" t="str">
        <f t="shared" ref="P70:P74" si="22">IF(AB70="","",AB70)</f>
        <v/>
      </c>
      <c r="Q70" s="2054" t="str">
        <f t="shared" ref="Q70:Q74" si="23">IF(AC70="","",AC70)</f>
        <v/>
      </c>
      <c r="R70" s="1905" t="str">
        <f>IFERROR(Table1[[#This Row],[T/g dừng 2MF]]*Table1[[#This Row],[Số ngày SX]],"")</f>
        <v/>
      </c>
      <c r="S70" s="1925"/>
      <c r="T70" s="1911"/>
      <c r="U70" s="1905"/>
      <c r="V70" s="1905"/>
      <c r="W70" s="1905"/>
      <c r="X70" s="1905"/>
      <c r="Y70" s="1622"/>
      <c r="Z70" s="1905"/>
      <c r="AA70" s="1905"/>
      <c r="AB70" s="1905"/>
      <c r="AC70" s="1909"/>
    </row>
    <row r="71" spans="1:29" ht="47" customHeight="1" x14ac:dyDescent="0.2">
      <c r="A71" s="2018">
        <f>IF(B71="","",COUNTA($B$3:B75))</f>
        <v>72</v>
      </c>
      <c r="B71" s="1998">
        <v>8</v>
      </c>
      <c r="C71" s="1997" t="s">
        <v>25</v>
      </c>
      <c r="D71" s="1623" t="s">
        <v>116</v>
      </c>
      <c r="E71" s="1522" t="s">
        <v>883</v>
      </c>
      <c r="F71" s="1522" t="s">
        <v>21</v>
      </c>
      <c r="G71" s="2054">
        <f>IFERROR(IF(AND(Table1[[#This Row],[Loại số liệu]]="Kế hoạch",Table1[[#This Row],[Đơn vị]]="m2"),
   Table1[[#This Row],[Tổng (A1+A+B)]]*100/N72,
   IF(AND(Table1[[#This Row],[Loại số liệu]]="Thực hiện",Table1[[#This Row],[Đơn vị]]="m2"),
      T71,
      ""
   )
),0)</f>
        <v>263692.80000000005</v>
      </c>
      <c r="H71" s="2054">
        <f>IF(AND(Table1[[#This Row],[Loại số liệu]]="Kế hoạch",Table1[[#This Row],[Đơn vị]]="m2"),
    U72*Table1[[#This Row],[Tổng (A1+A+B)]]/100,
    IF(AND(Table1[[#This Row],[Loại số liệu]]="Thực hiện",Table1[[#This Row],[Đơn vị]]="%"),
        IFERROR(H70/$K70*100,""),
        U71
    )
)</f>
        <v>232577.0496</v>
      </c>
      <c r="I71" s="2054">
        <f>IF(AND(Table1[[#This Row],[Loại số liệu]]="Kế hoạch",Table1[[#This Row],[Đơn vị]]="m2"),
    V72*Table1[[#This Row],[Tổng (A1+A+B)]]/100,
    IF(AND(Table1[[#This Row],[Loại số liệu]]="Thực hiện",Table1[[#This Row],[Đơn vị]]="%"),
        IFERROR(I70/$K70*100,""),
        V71
    )
)</f>
        <v>0</v>
      </c>
      <c r="J71" s="2054">
        <f>IF(AND(Table1[[#This Row],[Loại số liệu]]="Kế hoạch",Table1[[#This Row],[Đơn vị]]="m2"),
    W72*Table1[[#This Row],[Tổng (A1+A+B)]]/100,
    IF(AND(Table1[[#This Row],[Loại số liệu]]="Thực hiện",Table1[[#This Row],[Đơn vị]]="%"),
        IFERROR(J70/$K70*100,""),
        W71
    )
)</f>
        <v>25841.894400000005</v>
      </c>
      <c r="K71" s="2054">
        <f>IF(AND(Table1[[#This Row],[Đơn vị]]="m2",Table1[[#This Row],[Loại số liệu]]="Kế hoạch"),
   X71*Y71,
   SUM(Table1[[#This Row],[A1]:[B]])
)</f>
        <v>258418.94400000002</v>
      </c>
      <c r="L71" s="2054">
        <f t="shared" si="21"/>
        <v>18</v>
      </c>
      <c r="M71" s="1940">
        <f>IFERROR(IF(AND(Table1[[#This Row],[Loại số liệu]]="Kế hoạch",Table1[[#This Row],[Đơn vị]]="m2"),
   Y71,
   IF(AND(Table1[[#This Row],[Loại số liệu]]="Thực hiện",Table1[[#This Row],[Đơn vị]]="m2"),
      K71/L71,
      ""
   )
),"")</f>
        <v>14356.608</v>
      </c>
      <c r="N71" s="2054" t="str">
        <f>IF(AND(Table1[[#This Row],[Loại số liệu]]="Kế hoạch",Table1[[#This Row],[Đơn vị]]="%"),
    Z71,
    IF(AND(Table1[[#This Row],[Loại số liệu]]="Thực hiện",Table1[[#This Row],[Đơn vị]]="%"),
        IFERROR(K70/T70*100,""),
        IF(AND(Table1[[#This Row],[Loại số liệu]]="Thực hiện",Table1[[#This Row],[Đơn vị]]="m2"),
            Z71,
            ""
        )
    )
)</f>
        <v/>
      </c>
      <c r="O71" s="2054" t="str">
        <f>IF(AND(Table1[[#This Row],[Loại số liệu]]="Thực hiện",Table1[[#This Row],[Đơn vị]]="m2"),
    AA71,
    IF(Table1[[#This Row],[A/ép]]="",
        "",
        100-Table1[[#This Row],[A/ép]]
    )
)</f>
        <v/>
      </c>
      <c r="P71" s="2054" t="str">
        <f t="shared" si="22"/>
        <v/>
      </c>
      <c r="Q71" s="2054">
        <f t="shared" si="23"/>
        <v>40</v>
      </c>
      <c r="R71" s="2459">
        <f>IFERROR(Table1[[#This Row],[T/g dừng 2MF]]*Table1[[#This Row],[Số ngày SX]],"")</f>
        <v>720</v>
      </c>
      <c r="S71" s="1925"/>
      <c r="T71" s="1911"/>
      <c r="U71" s="1905"/>
      <c r="V71" s="1905"/>
      <c r="W71" s="1905"/>
      <c r="X71" s="1910">
        <v>18</v>
      </c>
      <c r="Y71" s="1923">
        <v>14356.608</v>
      </c>
      <c r="Z71" s="1905"/>
      <c r="AA71" s="1905"/>
      <c r="AB71" s="1905"/>
      <c r="AC71" s="1912">
        <v>40</v>
      </c>
    </row>
    <row r="72" spans="1:29" ht="47" customHeight="1" x14ac:dyDescent="0.2">
      <c r="A72" s="1996">
        <f>IF(B72="","",COUNTA($B$3:B72))</f>
        <v>70</v>
      </c>
      <c r="B72" s="1998">
        <v>8</v>
      </c>
      <c r="C72" s="1997" t="s">
        <v>25</v>
      </c>
      <c r="D72" s="1623" t="s">
        <v>116</v>
      </c>
      <c r="E72" s="1522" t="s">
        <v>883</v>
      </c>
      <c r="F72" s="1623" t="s">
        <v>22</v>
      </c>
      <c r="G72" s="2054" t="str">
        <f>IFERROR(IF(AND(Table1[[#This Row],[Loại số liệu]]="Kế hoạch",Table1[[#This Row],[Đơn vị]]="m2"),
   Table1[[#This Row],[Tổng (A1+A+B)]]*100/N73,
   IF(AND(Table1[[#This Row],[Loại số liệu]]="Thực hiện",Table1[[#This Row],[Đơn vị]]="m2"),
      T72,
      ""
   )
),0)</f>
        <v/>
      </c>
      <c r="H72" s="2054">
        <f>IF(AND(Table1[[#This Row],[Loại số liệu]]="Kế hoạch",Table1[[#This Row],[Đơn vị]]="m2"),
    U73*Table1[[#This Row],[Tổng (A1+A+B)]]/100,
    IF(AND(Table1[[#This Row],[Loại số liệu]]="Thực hiện",Table1[[#This Row],[Đơn vị]]="%"),
        IFERROR(H71/$K71*100,""),
        U72
    )
)</f>
        <v>90</v>
      </c>
      <c r="I72" s="2054">
        <f>IF(AND(Table1[[#This Row],[Loại số liệu]]="Kế hoạch",Table1[[#This Row],[Đơn vị]]="m2"),
    V73*Table1[[#This Row],[Tổng (A1+A+B)]]/100,
    IF(AND(Table1[[#This Row],[Loại số liệu]]="Thực hiện",Table1[[#This Row],[Đơn vị]]="%"),
        IFERROR(I71/$K71*100,""),
        V72
    )
)</f>
        <v>0</v>
      </c>
      <c r="J72" s="2054">
        <f>IF(AND(Table1[[#This Row],[Loại số liệu]]="Kế hoạch",Table1[[#This Row],[Đơn vị]]="m2"),
    W73*Table1[[#This Row],[Tổng (A1+A+B)]]/100,
    IF(AND(Table1[[#This Row],[Loại số liệu]]="Thực hiện",Table1[[#This Row],[Đơn vị]]="%"),
        IFERROR(J71/$K71*100,""),
        W72
    )
)</f>
        <v>10</v>
      </c>
      <c r="K72" s="2054">
        <f>IF(AND(Table1[[#This Row],[Đơn vị]]="m2",Table1[[#This Row],[Loại số liệu]]="Kế hoạch"),
   X72*Y72,
   SUM(Table1[[#This Row],[A1]:[B]])
)</f>
        <v>100</v>
      </c>
      <c r="L72" s="2054" t="str">
        <f t="shared" si="21"/>
        <v/>
      </c>
      <c r="M72" s="1940" t="str">
        <f>IFERROR(IF(AND(Table1[[#This Row],[Loại số liệu]]="Kế hoạch",Table1[[#This Row],[Đơn vị]]="m2"),
   Y72,
   IF(AND(Table1[[#This Row],[Loại số liệu]]="Thực hiện",Table1[[#This Row],[Đơn vị]]="m2"),
      K72/L72,
      ""
   )
),"")</f>
        <v/>
      </c>
      <c r="N72" s="2054">
        <f>IF(AND(Table1[[#This Row],[Loại số liệu]]="Kế hoạch",Table1[[#This Row],[Đơn vị]]="%"),
    Z72,
    IF(AND(Table1[[#This Row],[Loại số liệu]]="Thực hiện",Table1[[#This Row],[Đơn vị]]="%"),
        IFERROR(K71/T71*100,""),
        IF(AND(Table1[[#This Row],[Loại số liệu]]="Thực hiện",Table1[[#This Row],[Đơn vị]]="m2"),
            Z72,
            ""
        )
    )
)</f>
        <v>98</v>
      </c>
      <c r="O72" s="2054">
        <f>IF(AND(Table1[[#This Row],[Loại số liệu]]="Thực hiện",Table1[[#This Row],[Đơn vị]]="m2"),
    AA72,
    IF(Table1[[#This Row],[A/ép]]="",
        "",
        100-Table1[[#This Row],[A/ép]]
    )
)</f>
        <v>2</v>
      </c>
      <c r="P72" s="2054" t="str">
        <f t="shared" si="22"/>
        <v/>
      </c>
      <c r="Q72" s="2054" t="str">
        <f t="shared" si="23"/>
        <v/>
      </c>
      <c r="R72" s="1905" t="str">
        <f>IFERROR(Table1[[#This Row],[T/g dừng 2MF]]*Table1[[#This Row],[Số ngày SX]],"")</f>
        <v/>
      </c>
      <c r="S72" s="1925"/>
      <c r="T72" s="1911"/>
      <c r="U72" s="1910">
        <v>90</v>
      </c>
      <c r="V72" s="1910">
        <v>0</v>
      </c>
      <c r="W72" s="1910">
        <v>10</v>
      </c>
      <c r="X72" s="1905"/>
      <c r="Y72" s="1622"/>
      <c r="Z72" s="1910">
        <v>98</v>
      </c>
      <c r="AA72" s="1910">
        <v>2</v>
      </c>
      <c r="AB72" s="1905"/>
      <c r="AC72" s="1909"/>
    </row>
    <row r="73" spans="1:29" ht="47" customHeight="1" x14ac:dyDescent="0.2">
      <c r="A73" s="1996">
        <f>IF(B73="","",COUNTA($B$3:B73))</f>
        <v>71</v>
      </c>
      <c r="B73" s="1998">
        <v>8</v>
      </c>
      <c r="C73" s="1997" t="s">
        <v>25</v>
      </c>
      <c r="D73" s="1623" t="s">
        <v>116</v>
      </c>
      <c r="E73" s="1522" t="s">
        <v>1013</v>
      </c>
      <c r="F73" s="1522" t="s">
        <v>21</v>
      </c>
      <c r="G73" s="2054">
        <f>IFERROR(IF(AND(Table1[[#This Row],[Loại số liệu]]="Kế hoạch",Table1[[#This Row],[Đơn vị]]="m2"),
   Table1[[#This Row],[Tổng (A1+A+B)]]*100/N74,
   IF(AND(Table1[[#This Row],[Loại số liệu]]="Thực hiện",Table1[[#This Row],[Đơn vị]]="m2"),
      T73,
      ""
   )
),0)</f>
        <v>276924</v>
      </c>
      <c r="H73" s="2054">
        <f>IF(AND(Table1[[#This Row],[Loại số liệu]]="Kế hoạch",Table1[[#This Row],[Đơn vị]]="m2"),
    U74*Table1[[#This Row],[Tổng (A1+A+B)]]/100,
    IF(AND(Table1[[#This Row],[Loại số liệu]]="Thực hiện",Table1[[#This Row],[Đơn vị]]="%"),
        IFERROR(H72/$K72*100,""),
        U73
    )
)</f>
        <v>252729.60000000001</v>
      </c>
      <c r="I73" s="2054">
        <f>IF(AND(Table1[[#This Row],[Loại số liệu]]="Kế hoạch",Table1[[#This Row],[Đơn vị]]="m2"),
    V74*Table1[[#This Row],[Tổng (A1+A+B)]]/100,
    IF(AND(Table1[[#This Row],[Loại số liệu]]="Thực hiện",Table1[[#This Row],[Đơn vị]]="%"),
        IFERROR(I72/$K72*100,""),
        V73
    )
)</f>
        <v>0</v>
      </c>
      <c r="J73" s="2054">
        <f>IF(AND(Table1[[#This Row],[Loại số liệu]]="Kế hoạch",Table1[[#This Row],[Đơn vị]]="m2"),
    W74*Table1[[#This Row],[Tổng (A1+A+B)]]/100,
    IF(AND(Table1[[#This Row],[Loại số liệu]]="Thực hiện",Table1[[#This Row],[Đơn vị]]="%"),
        IFERROR(J72/$K72*100,""),
        W73
    )
)</f>
        <v>17681.599999999999</v>
      </c>
      <c r="K73" s="2054">
        <f>IF(AND(Table1[[#This Row],[Đơn vị]]="m2",Table1[[#This Row],[Loại số liệu]]="Kế hoạch"),
   X73*Y73,
   SUM(Table1[[#This Row],[A1]:[B]])
)</f>
        <v>270411.2</v>
      </c>
      <c r="L73" s="2054">
        <f t="shared" si="21"/>
        <v>18</v>
      </c>
      <c r="M73" s="1940">
        <f>IFERROR(IF(AND(Table1[[#This Row],[Loại số liệu]]="Kế hoạch",Table1[[#This Row],[Đơn vị]]="m2"),
   Y73,
   IF(AND(Table1[[#This Row],[Loại số liệu]]="Thực hiện",Table1[[#This Row],[Đơn vị]]="m2"),
      K73/L73,
      ""
   )
),"")</f>
        <v>15022.844444444445</v>
      </c>
      <c r="N73" s="2054">
        <f>IF(AND(Table1[[#This Row],[Loại số liệu]]="Kế hoạch",Table1[[#This Row],[Đơn vị]]="%"),
    Z73,
    IF(AND(Table1[[#This Row],[Loại số liệu]]="Thực hiện",Table1[[#This Row],[Đơn vị]]="%"),
        IFERROR(K72/T72*100,""),
        IF(AND(Table1[[#This Row],[Loại số liệu]]="Thực hiện",Table1[[#This Row],[Đơn vị]]="m2"),
            Z73,
            ""
        )
    )
)</f>
        <v>0</v>
      </c>
      <c r="O73" s="2054">
        <f>IF(AND(Table1[[#This Row],[Loại số liệu]]="Thực hiện",Table1[[#This Row],[Đơn vị]]="m2"),
    AA73,
    IF(Table1[[#This Row],[A/ép]]="",
        "",
        100-Table1[[#This Row],[A/ép]]
    )
)</f>
        <v>1203.8</v>
      </c>
      <c r="P73" s="2054">
        <f t="shared" si="22"/>
        <v>1643.8</v>
      </c>
      <c r="Q73" s="2054">
        <f t="shared" si="23"/>
        <v>13</v>
      </c>
      <c r="R73" s="1905">
        <f>IFERROR(Table1[[#This Row],[T/g dừng 2MF]]*Table1[[#This Row],[Số ngày SX]],"")</f>
        <v>234</v>
      </c>
      <c r="S73" s="1925"/>
      <c r="T73" s="1911">
        <v>276924</v>
      </c>
      <c r="U73" s="1905">
        <v>252729.60000000001</v>
      </c>
      <c r="V73" s="1905">
        <v>0</v>
      </c>
      <c r="W73" s="1905">
        <v>17681.599999999999</v>
      </c>
      <c r="X73" s="1905">
        <v>18</v>
      </c>
      <c r="Y73" s="1622">
        <v>15023</v>
      </c>
      <c r="Z73" s="1905"/>
      <c r="AA73" s="1905">
        <v>1203.8</v>
      </c>
      <c r="AB73" s="1905">
        <v>1643.8</v>
      </c>
      <c r="AC73" s="1909">
        <v>13</v>
      </c>
    </row>
    <row r="74" spans="1:29" ht="47" customHeight="1" x14ac:dyDescent="0.2">
      <c r="A74" s="1996">
        <f>IF(B74="","",COUNTA($B$3:B74))</f>
        <v>72</v>
      </c>
      <c r="B74" s="1998">
        <v>8</v>
      </c>
      <c r="C74" s="1997" t="s">
        <v>25</v>
      </c>
      <c r="D74" s="1623" t="s">
        <v>116</v>
      </c>
      <c r="E74" s="1522" t="s">
        <v>1013</v>
      </c>
      <c r="F74" s="1623" t="s">
        <v>22</v>
      </c>
      <c r="G74" s="2054" t="str">
        <f>IFERROR(IF(AND(Table1[[#This Row],[Loại số liệu]]="Kế hoạch",Table1[[#This Row],[Đơn vị]]="m2"),
   Table1[[#This Row],[Tổng (A1+A+B)]]*100/N75,
   IF(AND(Table1[[#This Row],[Loại số liệu]]="Thực hiện",Table1[[#This Row],[Đơn vị]]="m2"),
      T74,
      ""
   )
),0)</f>
        <v/>
      </c>
      <c r="H74" s="2054">
        <f>IF(AND(Table1[[#This Row],[Loại số liệu]]="Kế hoạch",Table1[[#This Row],[Đơn vị]]="m2"),
    U75*Table1[[#This Row],[Tổng (A1+A+B)]]/100,
    IF(AND(Table1[[#This Row],[Loại số liệu]]="Thực hiện",Table1[[#This Row],[Đơn vị]]="%"),
        IFERROR(H73/$K73*100,""),
        U74
    )
)</f>
        <v>93.461217582703668</v>
      </c>
      <c r="I74" s="2054">
        <f>IF(AND(Table1[[#This Row],[Loại số liệu]]="Kế hoạch",Table1[[#This Row],[Đơn vị]]="m2"),
    V75*Table1[[#This Row],[Tổng (A1+A+B)]]/100,
    IF(AND(Table1[[#This Row],[Loại số liệu]]="Thực hiện",Table1[[#This Row],[Đơn vị]]="%"),
        IFERROR(I73/$K73*100,""),
        V74
    )
)</f>
        <v>0</v>
      </c>
      <c r="J74" s="2054">
        <f>IF(AND(Table1[[#This Row],[Loại số liệu]]="Kế hoạch",Table1[[#This Row],[Đơn vị]]="m2"),
    W75*Table1[[#This Row],[Tổng (A1+A+B)]]/100,
    IF(AND(Table1[[#This Row],[Loại số liệu]]="Thực hiện",Table1[[#This Row],[Đơn vị]]="%"),
        IFERROR(J73/$K73*100,""),
        W74
    )
)</f>
        <v>6.538782417296324</v>
      </c>
      <c r="K74" s="2054">
        <f>IF(AND(Table1[[#This Row],[Đơn vị]]="m2",Table1[[#This Row],[Loại số liệu]]="Kế hoạch"),
   X74*Y74,
   SUM(Table1[[#This Row],[A1]:[B]])
)</f>
        <v>99.999999999999986</v>
      </c>
      <c r="L74" s="2054" t="str">
        <f t="shared" si="21"/>
        <v/>
      </c>
      <c r="M74" s="1940" t="str">
        <f>IFERROR(IF(AND(Table1[[#This Row],[Loại số liệu]]="Kế hoạch",Table1[[#This Row],[Đơn vị]]="m2"),
   Y74,
   IF(AND(Table1[[#This Row],[Loại số liệu]]="Thực hiện",Table1[[#This Row],[Đơn vị]]="m2"),
      K74/L74,
      ""
   )
),"")</f>
        <v/>
      </c>
      <c r="N74" s="2054">
        <f>IF(AND(Table1[[#This Row],[Loại số liệu]]="Kế hoạch",Table1[[#This Row],[Đơn vị]]="%"),
    Z74,
    IF(AND(Table1[[#This Row],[Loại số liệu]]="Thực hiện",Table1[[#This Row],[Đơn vị]]="%"),
        IFERROR(K73/T73*100,""),
        IF(AND(Table1[[#This Row],[Loại số liệu]]="Thực hiện",Table1[[#This Row],[Đơn vị]]="m2"),
            Z74,
            ""
        )
    )
)</f>
        <v>97.648163395010911</v>
      </c>
      <c r="O74" s="2054">
        <f>IF(AND(Table1[[#This Row],[Loại số liệu]]="Thực hiện",Table1[[#This Row],[Đơn vị]]="m2"),
    AA74,
    IF(Table1[[#This Row],[A/ép]]="",
        "",
        100-Table1[[#This Row],[A/ép]]
    )
)</f>
        <v>2.3518366049890886</v>
      </c>
      <c r="P74" s="2054" t="str">
        <f t="shared" si="22"/>
        <v/>
      </c>
      <c r="Q74" s="2054" t="str">
        <f t="shared" si="23"/>
        <v/>
      </c>
      <c r="R74" s="1905" t="str">
        <f>IFERROR(Table1[[#This Row],[T/g dừng 2MF]]*Table1[[#This Row],[Số ngày SX]],"")</f>
        <v/>
      </c>
      <c r="S74" s="1925"/>
      <c r="T74" s="1911"/>
      <c r="U74" s="1905"/>
      <c r="V74" s="1905"/>
      <c r="W74" s="1905"/>
      <c r="X74" s="1905"/>
      <c r="Y74" s="1622"/>
      <c r="Z74" s="1905"/>
      <c r="AA74" s="1905"/>
      <c r="AB74" s="1905"/>
      <c r="AC74" s="1909"/>
    </row>
    <row r="75" spans="1:29" ht="47" customHeight="1" x14ac:dyDescent="0.2">
      <c r="A75" s="2018" t="str">
        <f>IF(B75="","",COUNTA($B$3:B75))</f>
        <v/>
      </c>
      <c r="B75" s="1998"/>
      <c r="C75" s="1998"/>
      <c r="D75" s="1623"/>
      <c r="E75" s="1623"/>
      <c r="F75" s="2462"/>
      <c r="G75" s="2460" t="str">
        <f>IFERROR(IF(AND(Table1[[#This Row],[Loại số liệu]]="Kế hoạch",Table1[[#This Row],[Đơn vị]]="m2"),
   Table1[[#This Row],[Tổng (A1+A+B)]]*100/N76,
   IF(AND(Table1[[#This Row],[Loại số liệu]]="Thực hiện",Table1[[#This Row],[Đơn vị]]="m2"),
      T75,
      ""
   )
),0)</f>
        <v/>
      </c>
      <c r="H75" s="2460"/>
      <c r="I75" s="2460"/>
      <c r="J75" s="2460"/>
      <c r="K75" s="2460">
        <f>Table1[[#This Row],[A1]]+Table1[[#This Row],[A]]+Table1[[#This Row],[B]]</f>
        <v>0</v>
      </c>
      <c r="L75" s="2460"/>
      <c r="M75" s="2460"/>
      <c r="N75" s="2460"/>
      <c r="O75" s="2460"/>
      <c r="P75" s="2460"/>
      <c r="Q75" s="2460"/>
      <c r="R75" s="2459">
        <f>IFERROR(Table1[[#This Row],[T/g dừng 2MF]]*Table1[[#This Row],[Số ngày SX]],"")</f>
        <v>0</v>
      </c>
      <c r="S75" s="1925"/>
      <c r="T75" s="2458"/>
      <c r="U75" s="2459"/>
      <c r="V75" s="2459"/>
      <c r="W75" s="2459"/>
      <c r="X75" s="2459"/>
      <c r="Y75" s="2460"/>
      <c r="Z75" s="2459"/>
      <c r="AA75" s="2459"/>
      <c r="AB75" s="2459"/>
      <c r="AC75" s="2461"/>
    </row>
    <row r="76" spans="1:29" ht="47" customHeight="1" x14ac:dyDescent="0.2">
      <c r="S76" s="1925"/>
    </row>
    <row r="77" spans="1:29" ht="47" customHeight="1" x14ac:dyDescent="0.2">
      <c r="S77" s="1925"/>
    </row>
    <row r="78" spans="1:29" ht="47" customHeight="1" x14ac:dyDescent="0.2">
      <c r="S78" s="1925"/>
    </row>
    <row r="79" spans="1:29" ht="47" customHeight="1" x14ac:dyDescent="0.2">
      <c r="S79" s="1925"/>
    </row>
    <row r="80" spans="1:29" ht="47" customHeight="1" x14ac:dyDescent="0.2">
      <c r="S80" s="1925"/>
    </row>
    <row r="81" spans="19:19" ht="47" customHeight="1" x14ac:dyDescent="0.2">
      <c r="S81" s="1925"/>
    </row>
    <row r="82" spans="19:19" ht="47" customHeight="1" x14ac:dyDescent="0.2">
      <c r="S82" s="1925"/>
    </row>
    <row r="83" spans="19:19" ht="47" customHeight="1" x14ac:dyDescent="0.2">
      <c r="S83" s="1925"/>
    </row>
    <row r="84" spans="19:19" ht="47" customHeight="1" x14ac:dyDescent="0.2">
      <c r="S84" s="1925"/>
    </row>
    <row r="85" spans="19:19" ht="47" customHeight="1" x14ac:dyDescent="0.2">
      <c r="S85" s="1925"/>
    </row>
    <row r="86" spans="19:19" ht="47" customHeight="1" x14ac:dyDescent="0.2">
      <c r="S86" s="1925"/>
    </row>
    <row r="87" spans="19:19" ht="47" customHeight="1" x14ac:dyDescent="0.2">
      <c r="S87" s="1925"/>
    </row>
    <row r="88" spans="19:19" ht="47" customHeight="1" x14ac:dyDescent="0.2">
      <c r="S88" s="1925"/>
    </row>
    <row r="89" spans="19:19" ht="47" customHeight="1" x14ac:dyDescent="0.2">
      <c r="S89" s="1925"/>
    </row>
    <row r="90" spans="19:19" ht="47" customHeight="1" x14ac:dyDescent="0.2">
      <c r="S90" s="1925"/>
    </row>
    <row r="91" spans="19:19" ht="47" customHeight="1" x14ac:dyDescent="0.2">
      <c r="S91" s="1925"/>
    </row>
    <row r="92" spans="19:19" ht="45" customHeight="1" x14ac:dyDescent="0.2">
      <c r="S92" s="1925"/>
    </row>
    <row r="93" spans="19:19" ht="47" customHeight="1" x14ac:dyDescent="0.2">
      <c r="S93" s="1925"/>
    </row>
    <row r="94" spans="19:19" ht="45" customHeight="1" x14ac:dyDescent="0.2">
      <c r="S94" s="1925"/>
    </row>
    <row r="95" spans="19:19" ht="47" customHeight="1" x14ac:dyDescent="0.2">
      <c r="S95" s="1925"/>
    </row>
    <row r="96" spans="19:19" ht="47" customHeight="1" x14ac:dyDescent="0.2">
      <c r="S96" s="1925"/>
    </row>
    <row r="97" spans="19:19" ht="47" customHeight="1" x14ac:dyDescent="0.2">
      <c r="S97" s="1925"/>
    </row>
    <row r="98" spans="19:19" ht="47" customHeight="1" x14ac:dyDescent="0.2">
      <c r="S98" s="1925"/>
    </row>
    <row r="99" spans="19:19" ht="47" customHeight="1" x14ac:dyDescent="0.2">
      <c r="S99" s="1925"/>
    </row>
    <row r="100" spans="19:19" ht="47" customHeight="1" x14ac:dyDescent="0.2">
      <c r="S100" s="1925"/>
    </row>
    <row r="101" spans="19:19" ht="47" customHeight="1" x14ac:dyDescent="0.2">
      <c r="S101" s="1925"/>
    </row>
    <row r="102" spans="19:19" ht="47" customHeight="1" x14ac:dyDescent="0.2">
      <c r="S102" s="1925"/>
    </row>
    <row r="103" spans="19:19" ht="47" customHeight="1" x14ac:dyDescent="0.2">
      <c r="S103" s="1925"/>
    </row>
    <row r="104" spans="19:19" ht="47" customHeight="1" x14ac:dyDescent="0.2">
      <c r="S104" s="1925"/>
    </row>
    <row r="105" spans="19:19" ht="47" customHeight="1" x14ac:dyDescent="0.2">
      <c r="S105" s="1925"/>
    </row>
    <row r="106" spans="19:19" ht="47" customHeight="1" x14ac:dyDescent="0.2">
      <c r="S106" s="1925"/>
    </row>
    <row r="107" spans="19:19" ht="47" customHeight="1" x14ac:dyDescent="0.2">
      <c r="S107" s="1925"/>
    </row>
    <row r="108" spans="19:19" ht="47" customHeight="1" x14ac:dyDescent="0.2">
      <c r="S108" s="1925"/>
    </row>
    <row r="109" spans="19:19" ht="47" customHeight="1" x14ac:dyDescent="0.2">
      <c r="S109" s="1925"/>
    </row>
    <row r="110" spans="19:19" ht="47" customHeight="1" x14ac:dyDescent="0.2">
      <c r="S110" s="1925"/>
    </row>
    <row r="111" spans="19:19" ht="47" customHeight="1" x14ac:dyDescent="0.2">
      <c r="S111" s="1925"/>
    </row>
    <row r="112" spans="19:19" ht="47" customHeight="1" x14ac:dyDescent="0.2">
      <c r="S112" s="1925"/>
    </row>
    <row r="113" spans="19:19" ht="47" customHeight="1" x14ac:dyDescent="0.2">
      <c r="S113" s="1925"/>
    </row>
    <row r="114" spans="19:19" ht="47" customHeight="1" x14ac:dyDescent="0.2">
      <c r="S114" s="1925"/>
    </row>
    <row r="115" spans="19:19" ht="47" customHeight="1" x14ac:dyDescent="0.2"/>
    <row r="116" spans="19:19" ht="36" customHeight="1" x14ac:dyDescent="0.2"/>
    <row r="117" spans="19:19" ht="36" customHeight="1" x14ac:dyDescent="0.2"/>
    <row r="118" spans="19:19" ht="36" customHeight="1" x14ac:dyDescent="0.2"/>
    <row r="119" spans="19:19" ht="36" customHeight="1" x14ac:dyDescent="0.2"/>
    <row r="120" spans="19:19" ht="36" customHeight="1" x14ac:dyDescent="0.2"/>
    <row r="121" spans="19:19" ht="36" customHeight="1" x14ac:dyDescent="0.2"/>
    <row r="122" spans="19:19" ht="36" customHeight="1" x14ac:dyDescent="0.2"/>
    <row r="123" spans="19:19" ht="36" customHeight="1" x14ac:dyDescent="0.2"/>
    <row r="124" spans="19:19" ht="36" customHeight="1" x14ac:dyDescent="0.2"/>
    <row r="125" spans="19:19" ht="36" customHeight="1" x14ac:dyDescent="0.2"/>
    <row r="126" spans="19:19" ht="36" customHeight="1" x14ac:dyDescent="0.2"/>
    <row r="127" spans="19:19" ht="36" customHeight="1" x14ac:dyDescent="0.2"/>
    <row r="128" spans="19:19" ht="36" customHeight="1" x14ac:dyDescent="0.2"/>
    <row r="129" ht="36" customHeight="1" x14ac:dyDescent="0.2"/>
    <row r="130" ht="36" customHeight="1" x14ac:dyDescent="0.2"/>
    <row r="131" ht="36" customHeight="1" x14ac:dyDescent="0.2"/>
    <row r="132" ht="36" customHeight="1" x14ac:dyDescent="0.2"/>
    <row r="133" ht="36" customHeight="1" x14ac:dyDescent="0.2"/>
    <row r="134" ht="36" customHeight="1" x14ac:dyDescent="0.2"/>
    <row r="135" ht="36" customHeight="1" x14ac:dyDescent="0.2"/>
    <row r="136" ht="36" customHeight="1" x14ac:dyDescent="0.2"/>
    <row r="137" ht="36" customHeight="1" x14ac:dyDescent="0.2"/>
    <row r="138" ht="36" customHeight="1" x14ac:dyDescent="0.2"/>
    <row r="139" ht="36" customHeight="1" x14ac:dyDescent="0.2"/>
    <row r="140" ht="36" customHeight="1" x14ac:dyDescent="0.2"/>
    <row r="141" ht="36" customHeight="1" x14ac:dyDescent="0.2"/>
    <row r="142" ht="36" customHeight="1" x14ac:dyDescent="0.2"/>
    <row r="143" ht="36" customHeight="1" x14ac:dyDescent="0.2"/>
    <row r="144" ht="36" customHeight="1" x14ac:dyDescent="0.2"/>
    <row r="145" ht="36" customHeight="1" x14ac:dyDescent="0.2"/>
    <row r="146" ht="35" customHeight="1" x14ac:dyDescent="0.2"/>
    <row r="147" ht="35" customHeight="1" x14ac:dyDescent="0.2"/>
    <row r="148" ht="35" customHeight="1" x14ac:dyDescent="0.2"/>
    <row r="149" ht="35" customHeight="1" x14ac:dyDescent="0.2"/>
    <row r="150" ht="35" customHeight="1" x14ac:dyDescent="0.2"/>
    <row r="151" ht="35" customHeight="1" x14ac:dyDescent="0.2"/>
    <row r="152" ht="35" customHeight="1" x14ac:dyDescent="0.2"/>
    <row r="153" ht="35" customHeight="1" x14ac:dyDescent="0.2"/>
    <row r="154" ht="35" customHeight="1" x14ac:dyDescent="0.2"/>
    <row r="155" ht="35" customHeight="1" x14ac:dyDescent="0.2"/>
    <row r="156" ht="35" customHeight="1" x14ac:dyDescent="0.2"/>
    <row r="157" ht="35" customHeight="1" x14ac:dyDescent="0.2"/>
    <row r="158" ht="35" customHeight="1" x14ac:dyDescent="0.2"/>
    <row r="159" ht="35" customHeight="1" x14ac:dyDescent="0.2"/>
    <row r="160" ht="35" customHeight="1" x14ac:dyDescent="0.2"/>
    <row r="161" ht="35" customHeight="1" x14ac:dyDescent="0.2"/>
    <row r="162" ht="35" customHeight="1" x14ac:dyDescent="0.2"/>
    <row r="163" ht="35" customHeight="1" x14ac:dyDescent="0.2"/>
    <row r="164" ht="37" customHeight="1" x14ac:dyDescent="0.2"/>
    <row r="165" ht="37" customHeight="1" x14ac:dyDescent="0.2"/>
  </sheetData>
  <phoneticPr fontId="40" type="noConversion"/>
  <dataValidations count="2">
    <dataValidation type="list" allowBlank="1" showInputMessage="1" showErrorMessage="1" sqref="F3:F75" xr:uid="{DF8B6EE5-8612-47EB-A2FB-4F73078E988D}">
      <formula1>"%, m2"</formula1>
    </dataValidation>
    <dataValidation type="list" allowBlank="1" showInputMessage="1" showErrorMessage="1" sqref="E3:E75" xr:uid="{C8E56886-F307-4C64-B287-63C268ED51BE}">
      <formula1>"Kế hoạch, Thực hiện"</formula1>
    </dataValidation>
  </dataValidations>
  <pageMargins left="0.2" right="0.2" top="0.75" bottom="0.75" header="0.3" footer="0.3"/>
  <pageSetup paperSize="9" orientation="portrait" horizontalDpi="0" verticalDpi="0"/>
  <tableParts count="2">
    <tablePart r:id="rId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C3CC5FB3-634E-4269-A14B-96D54C624BC1}">
          <x14:formula1>
            <xm:f>'Phụ lục'!$K$3:$K$16</xm:f>
          </x14:formula1>
          <xm:sqref>D3:D75</xm:sqref>
        </x14:dataValidation>
        <x14:dataValidation type="list" allowBlank="1" showInputMessage="1" showErrorMessage="1" xr:uid="{2E9B065F-D3AF-4BFB-8135-F1ED3B3F58A7}">
          <x14:formula1>
            <xm:f>'Phụ lục'!$N$3:$N$16</xm:f>
          </x14:formula1>
          <xm:sqref>C3:C75</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67E22-09D6-4EC2-9465-746E48CBF8E5}">
  <sheetPr codeName="Sheet8"/>
  <dimension ref="A1:N973"/>
  <sheetViews>
    <sheetView topLeftCell="B467" zoomScale="160" zoomScaleNormal="160" workbookViewId="0">
      <selection activeCell="H484" sqref="H484"/>
    </sheetView>
  </sheetViews>
  <sheetFormatPr baseColWidth="10" defaultColWidth="8.83203125" defaultRowHeight="16" x14ac:dyDescent="0.2"/>
  <cols>
    <col min="1" max="1" width="5.5" style="1760" customWidth="1"/>
    <col min="2" max="2" width="8.83203125" style="1760"/>
    <col min="3" max="3" width="12.1640625" style="1760" customWidth="1"/>
    <col min="4" max="4" width="11.6640625" style="1760" customWidth="1"/>
    <col min="5" max="5" width="18.5" style="1760" customWidth="1"/>
    <col min="6" max="6" width="19" style="1760" customWidth="1"/>
    <col min="7" max="7" width="10.83203125" style="1760" bestFit="1" customWidth="1"/>
    <col min="8" max="8" width="11.1640625" style="1760" customWidth="1"/>
    <col min="9" max="16384" width="8.83203125" style="1760"/>
  </cols>
  <sheetData>
    <row r="1" spans="1:9" x14ac:dyDescent="0.2">
      <c r="A1" s="1759" t="s">
        <v>1027</v>
      </c>
      <c r="B1" s="1759"/>
      <c r="C1" s="1759"/>
      <c r="D1" s="1759"/>
      <c r="E1" s="1759"/>
      <c r="F1" s="1759"/>
      <c r="G1" s="1759"/>
      <c r="H1" s="1759"/>
    </row>
    <row r="2" spans="1:9" x14ac:dyDescent="0.2">
      <c r="A2" s="1761" t="s">
        <v>39</v>
      </c>
      <c r="B2" s="1762" t="s">
        <v>1010</v>
      </c>
      <c r="C2" s="1762" t="s">
        <v>1011</v>
      </c>
      <c r="D2" s="1762" t="s">
        <v>6</v>
      </c>
      <c r="E2" s="1762" t="s">
        <v>135</v>
      </c>
      <c r="F2" s="1762" t="s">
        <v>105</v>
      </c>
      <c r="G2" s="1762" t="s">
        <v>1025</v>
      </c>
      <c r="H2" s="1927" t="s">
        <v>43</v>
      </c>
      <c r="I2" s="1762" t="s">
        <v>1412</v>
      </c>
    </row>
    <row r="3" spans="1:9" x14ac:dyDescent="0.2">
      <c r="A3" s="1993">
        <f>IF(B3="","",COUNTA($B$3:B3))</f>
        <v>1</v>
      </c>
      <c r="B3" s="1994">
        <v>1</v>
      </c>
      <c r="C3" s="1994" t="s">
        <v>5</v>
      </c>
      <c r="D3" s="1763" t="s">
        <v>115</v>
      </c>
      <c r="E3" s="1763" t="s">
        <v>139</v>
      </c>
      <c r="F3" s="1764" t="s">
        <v>120</v>
      </c>
      <c r="G3" s="1764" t="s">
        <v>18</v>
      </c>
      <c r="H3" s="1926">
        <v>40151.519999999997</v>
      </c>
    </row>
    <row r="4" spans="1:9" x14ac:dyDescent="0.2">
      <c r="A4" s="1993">
        <f>IF(B4="","",COUNTA($B$3:B4))</f>
        <v>2</v>
      </c>
      <c r="B4" s="1994">
        <v>1</v>
      </c>
      <c r="C4" s="1994" t="s">
        <v>5</v>
      </c>
      <c r="D4" s="1763" t="s">
        <v>115</v>
      </c>
      <c r="E4" s="1763" t="s">
        <v>139</v>
      </c>
      <c r="F4" s="1764" t="s">
        <v>120</v>
      </c>
      <c r="G4" s="1764" t="s">
        <v>19</v>
      </c>
      <c r="H4" s="1926">
        <v>2388.96</v>
      </c>
    </row>
    <row r="5" spans="1:9" x14ac:dyDescent="0.2">
      <c r="A5" s="1993">
        <f>IF(B5="","",COUNTA($B$3:B5))</f>
        <v>3</v>
      </c>
      <c r="B5" s="1994">
        <v>1</v>
      </c>
      <c r="C5" s="1994" t="s">
        <v>5</v>
      </c>
      <c r="D5" s="1763" t="s">
        <v>115</v>
      </c>
      <c r="E5" s="1763" t="s">
        <v>139</v>
      </c>
      <c r="F5" s="1764" t="s">
        <v>120</v>
      </c>
      <c r="G5" s="1764" t="s">
        <v>20</v>
      </c>
      <c r="H5" s="1926">
        <v>9898.56</v>
      </c>
    </row>
    <row r="6" spans="1:9" x14ac:dyDescent="0.2">
      <c r="A6" s="1993">
        <f>IF(B6="","",COUNTA($B$3:B6))</f>
        <v>4</v>
      </c>
      <c r="B6" s="1994">
        <v>1</v>
      </c>
      <c r="C6" s="1994" t="s">
        <v>5</v>
      </c>
      <c r="D6" s="1763" t="s">
        <v>115</v>
      </c>
      <c r="E6" s="1763" t="s">
        <v>139</v>
      </c>
      <c r="F6" s="1764" t="s">
        <v>1353</v>
      </c>
      <c r="G6" s="1764" t="s">
        <v>18</v>
      </c>
      <c r="H6" s="1926">
        <v>2400.48</v>
      </c>
    </row>
    <row r="7" spans="1:9" x14ac:dyDescent="0.2">
      <c r="A7" s="1993">
        <f>IF(B7="","",COUNTA($B$3:B7))</f>
        <v>5</v>
      </c>
      <c r="B7" s="1994">
        <v>1</v>
      </c>
      <c r="C7" s="1994" t="s">
        <v>5</v>
      </c>
      <c r="D7" s="1763" t="s">
        <v>115</v>
      </c>
      <c r="E7" s="1763" t="s">
        <v>139</v>
      </c>
      <c r="F7" s="1764" t="s">
        <v>1353</v>
      </c>
      <c r="G7" s="1764" t="s">
        <v>19</v>
      </c>
      <c r="H7" s="1926">
        <v>0</v>
      </c>
    </row>
    <row r="8" spans="1:9" x14ac:dyDescent="0.2">
      <c r="A8" s="1993">
        <f>IF(B8="","",COUNTA($B$3:B8))</f>
        <v>6</v>
      </c>
      <c r="B8" s="1994">
        <v>1</v>
      </c>
      <c r="C8" s="1994" t="s">
        <v>5</v>
      </c>
      <c r="D8" s="1763" t="s">
        <v>115</v>
      </c>
      <c r="E8" s="1763" t="s">
        <v>139</v>
      </c>
      <c r="F8" s="1764" t="s">
        <v>1353</v>
      </c>
      <c r="G8" s="1764" t="s">
        <v>20</v>
      </c>
      <c r="H8" s="1926">
        <v>171.36</v>
      </c>
    </row>
    <row r="9" spans="1:9" x14ac:dyDescent="0.2">
      <c r="A9" s="1993">
        <f>IF(B9="","",COUNTA($B$3:B9))</f>
        <v>7</v>
      </c>
      <c r="B9" s="1994">
        <v>1</v>
      </c>
      <c r="C9" s="1994" t="s">
        <v>5</v>
      </c>
      <c r="D9" s="1763" t="s">
        <v>115</v>
      </c>
      <c r="E9" s="1763" t="s">
        <v>139</v>
      </c>
      <c r="F9" s="1764" t="s">
        <v>114</v>
      </c>
      <c r="G9" s="1764" t="s">
        <v>18</v>
      </c>
      <c r="H9" s="1926">
        <v>1260</v>
      </c>
    </row>
    <row r="10" spans="1:9" x14ac:dyDescent="0.2">
      <c r="A10" s="1993">
        <f>IF(B10="","",COUNTA($B$3:B10))</f>
        <v>8</v>
      </c>
      <c r="B10" s="1994">
        <v>1</v>
      </c>
      <c r="C10" s="1994" t="s">
        <v>5</v>
      </c>
      <c r="D10" s="1763" t="s">
        <v>115</v>
      </c>
      <c r="E10" s="1763" t="s">
        <v>139</v>
      </c>
      <c r="F10" s="1764" t="s">
        <v>114</v>
      </c>
      <c r="G10" s="1764" t="s">
        <v>19</v>
      </c>
      <c r="H10" s="1926">
        <v>0</v>
      </c>
    </row>
    <row r="11" spans="1:9" x14ac:dyDescent="0.2">
      <c r="A11" s="1993">
        <f>IF(B11="","",COUNTA($B$3:B11))</f>
        <v>9</v>
      </c>
      <c r="B11" s="1994">
        <v>1</v>
      </c>
      <c r="C11" s="1994" t="s">
        <v>5</v>
      </c>
      <c r="D11" s="1763" t="s">
        <v>115</v>
      </c>
      <c r="E11" s="1763" t="s">
        <v>139</v>
      </c>
      <c r="F11" s="1764" t="s">
        <v>114</v>
      </c>
      <c r="G11" s="1764" t="s">
        <v>20</v>
      </c>
      <c r="H11" s="1926">
        <v>108</v>
      </c>
    </row>
    <row r="12" spans="1:9" x14ac:dyDescent="0.2">
      <c r="A12" s="1993">
        <f>IF(B12="","",COUNTA($B$3:B12))</f>
        <v>10</v>
      </c>
      <c r="B12" s="1994">
        <v>1</v>
      </c>
      <c r="C12" s="1994" t="s">
        <v>5</v>
      </c>
      <c r="D12" s="1763" t="s">
        <v>115</v>
      </c>
      <c r="E12" s="1763" t="s">
        <v>139</v>
      </c>
      <c r="F12" s="1764" t="s">
        <v>129</v>
      </c>
      <c r="G12" s="1764" t="s">
        <v>18</v>
      </c>
      <c r="H12" s="1926">
        <v>7488</v>
      </c>
    </row>
    <row r="13" spans="1:9" x14ac:dyDescent="0.2">
      <c r="A13" s="1993">
        <f>IF(B13="","",COUNTA($B$3:B13))</f>
        <v>11</v>
      </c>
      <c r="B13" s="1994">
        <v>1</v>
      </c>
      <c r="C13" s="1994" t="s">
        <v>5</v>
      </c>
      <c r="D13" s="1763" t="s">
        <v>115</v>
      </c>
      <c r="E13" s="1763" t="s">
        <v>139</v>
      </c>
      <c r="F13" s="1764" t="s">
        <v>129</v>
      </c>
      <c r="G13" s="1764" t="s">
        <v>19</v>
      </c>
      <c r="H13" s="1926">
        <v>712.8</v>
      </c>
    </row>
    <row r="14" spans="1:9" x14ac:dyDescent="0.2">
      <c r="A14" s="1993">
        <f>IF(B14="","",COUNTA($B$3:B14))</f>
        <v>12</v>
      </c>
      <c r="B14" s="1994">
        <v>1</v>
      </c>
      <c r="C14" s="1994" t="s">
        <v>5</v>
      </c>
      <c r="D14" s="1763" t="s">
        <v>115</v>
      </c>
      <c r="E14" s="1763" t="s">
        <v>139</v>
      </c>
      <c r="F14" s="1764" t="s">
        <v>129</v>
      </c>
      <c r="G14" s="1764" t="s">
        <v>20</v>
      </c>
      <c r="H14" s="1926">
        <v>272.16000000000003</v>
      </c>
    </row>
    <row r="15" spans="1:9" x14ac:dyDescent="0.2">
      <c r="A15" s="1993">
        <f>IF(B15="","",COUNTA($B$3:B15))</f>
        <v>13</v>
      </c>
      <c r="B15" s="1994">
        <v>1</v>
      </c>
      <c r="C15" s="1994" t="s">
        <v>5</v>
      </c>
      <c r="D15" s="1763" t="s">
        <v>115</v>
      </c>
      <c r="E15" s="1763" t="s">
        <v>139</v>
      </c>
      <c r="F15" s="1764" t="s">
        <v>113</v>
      </c>
      <c r="G15" s="1764" t="s">
        <v>18</v>
      </c>
      <c r="H15" s="1926">
        <v>55791.360000000001</v>
      </c>
    </row>
    <row r="16" spans="1:9" x14ac:dyDescent="0.2">
      <c r="A16" s="1993">
        <f>IF(B16="","",COUNTA($B$3:B16))</f>
        <v>14</v>
      </c>
      <c r="B16" s="1994">
        <v>1</v>
      </c>
      <c r="C16" s="1994" t="s">
        <v>5</v>
      </c>
      <c r="D16" s="1763" t="s">
        <v>115</v>
      </c>
      <c r="E16" s="1763" t="s">
        <v>139</v>
      </c>
      <c r="F16" s="1764" t="s">
        <v>113</v>
      </c>
      <c r="G16" s="1764" t="s">
        <v>19</v>
      </c>
      <c r="H16" s="1926">
        <v>0</v>
      </c>
    </row>
    <row r="17" spans="1:8" x14ac:dyDescent="0.2">
      <c r="A17" s="1993">
        <f>IF(B17="","",COUNTA($B$3:B17))</f>
        <v>15</v>
      </c>
      <c r="B17" s="1994">
        <v>1</v>
      </c>
      <c r="C17" s="1994" t="s">
        <v>5</v>
      </c>
      <c r="D17" s="1763" t="s">
        <v>115</v>
      </c>
      <c r="E17" s="1763" t="s">
        <v>139</v>
      </c>
      <c r="F17" s="1764" t="s">
        <v>113</v>
      </c>
      <c r="G17" s="1764" t="s">
        <v>20</v>
      </c>
      <c r="H17" s="1926">
        <v>0</v>
      </c>
    </row>
    <row r="18" spans="1:8" x14ac:dyDescent="0.2">
      <c r="A18" s="1993">
        <f>IF(B18="","",COUNTA($B$3:B18))</f>
        <v>16</v>
      </c>
      <c r="B18" s="1994">
        <v>1</v>
      </c>
      <c r="C18" s="1994" t="s">
        <v>5</v>
      </c>
      <c r="D18" s="1763" t="s">
        <v>115</v>
      </c>
      <c r="E18" s="1763" t="s">
        <v>139</v>
      </c>
      <c r="F18" s="1764" t="s">
        <v>128</v>
      </c>
      <c r="G18" s="1764" t="s">
        <v>18</v>
      </c>
      <c r="H18" s="1926">
        <v>1049.76</v>
      </c>
    </row>
    <row r="19" spans="1:8" x14ac:dyDescent="0.2">
      <c r="A19" s="1993">
        <f>IF(B19="","",COUNTA($B$3:B19))</f>
        <v>17</v>
      </c>
      <c r="B19" s="1994">
        <v>1</v>
      </c>
      <c r="C19" s="1994" t="s">
        <v>5</v>
      </c>
      <c r="D19" s="1763" t="s">
        <v>115</v>
      </c>
      <c r="E19" s="1763" t="s">
        <v>139</v>
      </c>
      <c r="F19" s="1764" t="s">
        <v>128</v>
      </c>
      <c r="G19" s="1764" t="s">
        <v>19</v>
      </c>
      <c r="H19" s="1926">
        <v>0</v>
      </c>
    </row>
    <row r="20" spans="1:8" x14ac:dyDescent="0.2">
      <c r="A20" s="1993">
        <f>IF(B20="","",COUNTA($B$3:B20))</f>
        <v>18</v>
      </c>
      <c r="B20" s="1994">
        <v>1</v>
      </c>
      <c r="C20" s="1994" t="s">
        <v>5</v>
      </c>
      <c r="D20" s="1763" t="s">
        <v>115</v>
      </c>
      <c r="E20" s="1763" t="s">
        <v>139</v>
      </c>
      <c r="F20" s="1764" t="s">
        <v>128</v>
      </c>
      <c r="G20" s="1764" t="s">
        <v>20</v>
      </c>
      <c r="H20" s="1926">
        <v>138.24</v>
      </c>
    </row>
    <row r="21" spans="1:8" x14ac:dyDescent="0.2">
      <c r="A21" s="1993">
        <f>IF(B21="","",COUNTA($B$3:B21))</f>
        <v>19</v>
      </c>
      <c r="B21" s="1994">
        <v>1</v>
      </c>
      <c r="C21" s="1994" t="s">
        <v>5</v>
      </c>
      <c r="D21" s="1763" t="s">
        <v>115</v>
      </c>
      <c r="E21" s="1763" t="s">
        <v>139</v>
      </c>
      <c r="F21" s="1764" t="s">
        <v>541</v>
      </c>
      <c r="G21" s="1764" t="s">
        <v>18</v>
      </c>
      <c r="H21" s="1926">
        <v>3538.08</v>
      </c>
    </row>
    <row r="22" spans="1:8" x14ac:dyDescent="0.2">
      <c r="A22" s="1993">
        <f>IF(B22="","",COUNTA($B$3:B22))</f>
        <v>20</v>
      </c>
      <c r="B22" s="1994">
        <v>1</v>
      </c>
      <c r="C22" s="1994" t="s">
        <v>5</v>
      </c>
      <c r="D22" s="1763" t="s">
        <v>115</v>
      </c>
      <c r="E22" s="1763" t="s">
        <v>139</v>
      </c>
      <c r="F22" s="1764" t="s">
        <v>541</v>
      </c>
      <c r="G22" s="1764" t="s">
        <v>19</v>
      </c>
      <c r="H22" s="1926">
        <v>230.4</v>
      </c>
    </row>
    <row r="23" spans="1:8" x14ac:dyDescent="0.2">
      <c r="A23" s="1993">
        <f>IF(B23="","",COUNTA($B$3:B23))</f>
        <v>21</v>
      </c>
      <c r="B23" s="1994">
        <v>1</v>
      </c>
      <c r="C23" s="1994" t="s">
        <v>5</v>
      </c>
      <c r="D23" s="1763" t="s">
        <v>115</v>
      </c>
      <c r="E23" s="1763" t="s">
        <v>139</v>
      </c>
      <c r="F23" s="1764" t="s">
        <v>541</v>
      </c>
      <c r="G23" s="1764" t="s">
        <v>20</v>
      </c>
      <c r="H23" s="1926">
        <v>151.19999999999999</v>
      </c>
    </row>
    <row r="24" spans="1:8" x14ac:dyDescent="0.2">
      <c r="A24" s="1993">
        <f>IF(B24="","",COUNTA($B$3:B24))</f>
        <v>22</v>
      </c>
      <c r="B24" s="1995">
        <v>1</v>
      </c>
      <c r="C24" s="1994" t="s">
        <v>25</v>
      </c>
      <c r="D24" s="1763" t="s">
        <v>116</v>
      </c>
      <c r="E24" s="1763" t="s">
        <v>140</v>
      </c>
      <c r="F24" s="1764" t="s">
        <v>109</v>
      </c>
      <c r="G24" s="1764" t="s">
        <v>18</v>
      </c>
      <c r="H24" s="1926">
        <v>125476.8</v>
      </c>
    </row>
    <row r="25" spans="1:8" x14ac:dyDescent="0.2">
      <c r="A25" s="1993">
        <f>IF(B25="","",COUNTA($B$3:B25))</f>
        <v>23</v>
      </c>
      <c r="B25" s="1995">
        <v>1</v>
      </c>
      <c r="C25" s="1994" t="s">
        <v>25</v>
      </c>
      <c r="D25" s="1763" t="s">
        <v>116</v>
      </c>
      <c r="E25" s="1763" t="s">
        <v>140</v>
      </c>
      <c r="F25" s="1764" t="s">
        <v>109</v>
      </c>
      <c r="G25" s="1764" t="s">
        <v>19</v>
      </c>
      <c r="H25" s="1926">
        <v>0</v>
      </c>
    </row>
    <row r="26" spans="1:8" x14ac:dyDescent="0.2">
      <c r="A26" s="1993">
        <f>IF(B26="","",COUNTA($B$3:B26))</f>
        <v>24</v>
      </c>
      <c r="B26" s="1995">
        <v>1</v>
      </c>
      <c r="C26" s="1994" t="s">
        <v>25</v>
      </c>
      <c r="D26" s="1763" t="s">
        <v>116</v>
      </c>
      <c r="E26" s="1763" t="s">
        <v>140</v>
      </c>
      <c r="F26" s="1766" t="s">
        <v>109</v>
      </c>
      <c r="G26" s="1764" t="s">
        <v>20</v>
      </c>
      <c r="H26" s="1926">
        <v>8251.2000000000007</v>
      </c>
    </row>
    <row r="27" spans="1:8" x14ac:dyDescent="0.2">
      <c r="A27" s="1993">
        <f>IF(B27="","",COUNTA($B$3:B27))</f>
        <v>25</v>
      </c>
      <c r="B27" s="1995">
        <v>1</v>
      </c>
      <c r="C27" s="1994" t="s">
        <v>25</v>
      </c>
      <c r="D27" s="1763" t="s">
        <v>116</v>
      </c>
      <c r="E27" s="1763" t="s">
        <v>140</v>
      </c>
      <c r="F27" s="1764" t="s">
        <v>541</v>
      </c>
      <c r="G27" s="1764" t="s">
        <v>18</v>
      </c>
      <c r="H27" s="1926">
        <v>41331.199999999997</v>
      </c>
    </row>
    <row r="28" spans="1:8" x14ac:dyDescent="0.2">
      <c r="A28" s="1993">
        <f>IF(B28="","",COUNTA($B$3:B28))</f>
        <v>26</v>
      </c>
      <c r="B28" s="1995">
        <v>1</v>
      </c>
      <c r="C28" s="1994" t="s">
        <v>25</v>
      </c>
      <c r="D28" s="1763" t="s">
        <v>116</v>
      </c>
      <c r="E28" s="1763" t="s">
        <v>140</v>
      </c>
      <c r="F28" s="1764" t="s">
        <v>541</v>
      </c>
      <c r="G28" s="1764" t="s">
        <v>19</v>
      </c>
      <c r="H28" s="1926">
        <v>0</v>
      </c>
    </row>
    <row r="29" spans="1:8" x14ac:dyDescent="0.2">
      <c r="A29" s="1993">
        <f>IF(B29="","",COUNTA($B$3:B29))</f>
        <v>27</v>
      </c>
      <c r="B29" s="1995">
        <v>1</v>
      </c>
      <c r="C29" s="1994" t="s">
        <v>25</v>
      </c>
      <c r="D29" s="1763" t="s">
        <v>116</v>
      </c>
      <c r="E29" s="1763" t="s">
        <v>140</v>
      </c>
      <c r="F29" s="1764" t="s">
        <v>541</v>
      </c>
      <c r="G29" s="1764" t="s">
        <v>20</v>
      </c>
      <c r="H29" s="1926">
        <v>972.8</v>
      </c>
    </row>
    <row r="30" spans="1:8" x14ac:dyDescent="0.2">
      <c r="A30" s="1993">
        <f>IF(B30="","",COUNTA($B$3:B30))</f>
        <v>28</v>
      </c>
      <c r="B30" s="1995">
        <v>1</v>
      </c>
      <c r="C30" s="1994" t="s">
        <v>25</v>
      </c>
      <c r="D30" s="1763" t="s">
        <v>116</v>
      </c>
      <c r="E30" s="1763" t="s">
        <v>140</v>
      </c>
      <c r="F30" s="1764" t="s">
        <v>125</v>
      </c>
      <c r="G30" s="1764" t="s">
        <v>18</v>
      </c>
      <c r="H30" s="1926">
        <v>1121.5999999999999</v>
      </c>
    </row>
    <row r="31" spans="1:8" x14ac:dyDescent="0.2">
      <c r="A31" s="1993">
        <f>IF(B31="","",COUNTA($B$3:B31))</f>
        <v>29</v>
      </c>
      <c r="B31" s="1995">
        <v>1</v>
      </c>
      <c r="C31" s="1994" t="s">
        <v>25</v>
      </c>
      <c r="D31" s="1763" t="s">
        <v>116</v>
      </c>
      <c r="E31" s="1763" t="s">
        <v>140</v>
      </c>
      <c r="F31" s="1764" t="s">
        <v>125</v>
      </c>
      <c r="G31" s="1764" t="s">
        <v>19</v>
      </c>
      <c r="H31" s="1926">
        <v>0</v>
      </c>
    </row>
    <row r="32" spans="1:8" x14ac:dyDescent="0.2">
      <c r="A32" s="1993">
        <f>IF(B32="","",COUNTA($B$3:B32))</f>
        <v>30</v>
      </c>
      <c r="B32" s="1995">
        <v>1</v>
      </c>
      <c r="C32" s="1994" t="s">
        <v>25</v>
      </c>
      <c r="D32" s="1763" t="s">
        <v>116</v>
      </c>
      <c r="E32" s="1763" t="s">
        <v>140</v>
      </c>
      <c r="F32" s="1764" t="s">
        <v>125</v>
      </c>
      <c r="G32" s="1764" t="s">
        <v>20</v>
      </c>
      <c r="H32" s="1926">
        <v>27.2</v>
      </c>
    </row>
    <row r="33" spans="1:8" x14ac:dyDescent="0.2">
      <c r="A33" s="1993">
        <f>IF(B33="","",COUNTA($B$3:B33))</f>
        <v>31</v>
      </c>
      <c r="B33" s="1995">
        <v>1</v>
      </c>
      <c r="C33" s="1994" t="s">
        <v>25</v>
      </c>
      <c r="D33" s="1763" t="s">
        <v>116</v>
      </c>
      <c r="E33" s="1763" t="s">
        <v>140</v>
      </c>
      <c r="F33" s="1764" t="s">
        <v>117</v>
      </c>
      <c r="G33" s="1764" t="s">
        <v>18</v>
      </c>
      <c r="H33" s="1926">
        <v>17524.8</v>
      </c>
    </row>
    <row r="34" spans="1:8" x14ac:dyDescent="0.2">
      <c r="A34" s="1993">
        <f>IF(B34="","",COUNTA($B$3:B34))</f>
        <v>32</v>
      </c>
      <c r="B34" s="1995">
        <v>1</v>
      </c>
      <c r="C34" s="1994" t="s">
        <v>25</v>
      </c>
      <c r="D34" s="1763" t="s">
        <v>116</v>
      </c>
      <c r="E34" s="1763" t="s">
        <v>140</v>
      </c>
      <c r="F34" s="1764" t="s">
        <v>117</v>
      </c>
      <c r="G34" s="1764" t="s">
        <v>19</v>
      </c>
      <c r="H34" s="1926">
        <v>0</v>
      </c>
    </row>
    <row r="35" spans="1:8" x14ac:dyDescent="0.2">
      <c r="A35" s="1993">
        <f>IF(B35="","",COUNTA($B$3:B35))</f>
        <v>33</v>
      </c>
      <c r="B35" s="1995">
        <v>1</v>
      </c>
      <c r="C35" s="1994" t="s">
        <v>25</v>
      </c>
      <c r="D35" s="1763" t="s">
        <v>116</v>
      </c>
      <c r="E35" s="1763" t="s">
        <v>140</v>
      </c>
      <c r="F35" s="1764" t="s">
        <v>117</v>
      </c>
      <c r="G35" s="1764" t="s">
        <v>20</v>
      </c>
      <c r="H35" s="1926">
        <v>384</v>
      </c>
    </row>
    <row r="36" spans="1:8" x14ac:dyDescent="0.2">
      <c r="A36" s="1993">
        <f>IF(B36="","",COUNTA($B$3:B36))</f>
        <v>34</v>
      </c>
      <c r="B36" s="1995">
        <v>1</v>
      </c>
      <c r="C36" s="1994" t="s">
        <v>25</v>
      </c>
      <c r="D36" s="1763" t="s">
        <v>116</v>
      </c>
      <c r="E36" s="1763" t="s">
        <v>140</v>
      </c>
      <c r="F36" s="1764" t="s">
        <v>146</v>
      </c>
      <c r="G36" s="1764" t="s">
        <v>18</v>
      </c>
      <c r="H36" s="1926">
        <v>1984</v>
      </c>
    </row>
    <row r="37" spans="1:8" x14ac:dyDescent="0.2">
      <c r="A37" s="1993">
        <f>IF(B37="","",COUNTA($B$3:B37))</f>
        <v>35</v>
      </c>
      <c r="B37" s="1995">
        <v>1</v>
      </c>
      <c r="C37" s="1994" t="s">
        <v>25</v>
      </c>
      <c r="D37" s="1763" t="s">
        <v>116</v>
      </c>
      <c r="E37" s="1763" t="s">
        <v>140</v>
      </c>
      <c r="F37" s="1764" t="s">
        <v>146</v>
      </c>
      <c r="G37" s="1764" t="s">
        <v>19</v>
      </c>
      <c r="H37" s="1926">
        <v>0</v>
      </c>
    </row>
    <row r="38" spans="1:8" x14ac:dyDescent="0.2">
      <c r="A38" s="1993">
        <f>IF(B38="","",COUNTA($B$3:B38))</f>
        <v>36</v>
      </c>
      <c r="B38" s="1995">
        <v>1</v>
      </c>
      <c r="C38" s="1994" t="s">
        <v>25</v>
      </c>
      <c r="D38" s="1763" t="s">
        <v>116</v>
      </c>
      <c r="E38" s="1763" t="s">
        <v>140</v>
      </c>
      <c r="F38" s="1764" t="s">
        <v>146</v>
      </c>
      <c r="G38" s="1764" t="s">
        <v>20</v>
      </c>
      <c r="H38" s="1926">
        <v>142.4</v>
      </c>
    </row>
    <row r="39" spans="1:8" x14ac:dyDescent="0.2">
      <c r="A39" s="1993">
        <f>IF(B39="","",COUNTA($B$3:B39))</f>
        <v>37</v>
      </c>
      <c r="B39" s="1995">
        <v>1</v>
      </c>
      <c r="C39" s="1994" t="s">
        <v>25</v>
      </c>
      <c r="D39" s="1763" t="s">
        <v>116</v>
      </c>
      <c r="E39" s="1763" t="s">
        <v>140</v>
      </c>
      <c r="F39" s="1764" t="s">
        <v>129</v>
      </c>
      <c r="G39" s="1764" t="s">
        <v>18</v>
      </c>
      <c r="H39" s="1926">
        <v>15052.8</v>
      </c>
    </row>
    <row r="40" spans="1:8" x14ac:dyDescent="0.2">
      <c r="A40" s="1993">
        <f>IF(B40="","",COUNTA($B$3:B40))</f>
        <v>38</v>
      </c>
      <c r="B40" s="1995">
        <v>1</v>
      </c>
      <c r="C40" s="1994" t="s">
        <v>25</v>
      </c>
      <c r="D40" s="1763" t="s">
        <v>116</v>
      </c>
      <c r="E40" s="1763" t="s">
        <v>140</v>
      </c>
      <c r="F40" s="1764" t="s">
        <v>129</v>
      </c>
      <c r="G40" s="1764" t="s">
        <v>19</v>
      </c>
      <c r="H40" s="1926">
        <v>0</v>
      </c>
    </row>
    <row r="41" spans="1:8" x14ac:dyDescent="0.2">
      <c r="A41" s="1993">
        <f>IF(B41="","",COUNTA($B$3:B41))</f>
        <v>39</v>
      </c>
      <c r="B41" s="1995">
        <v>1</v>
      </c>
      <c r="C41" s="1994" t="s">
        <v>25</v>
      </c>
      <c r="D41" s="1763" t="s">
        <v>116</v>
      </c>
      <c r="E41" s="1763" t="s">
        <v>140</v>
      </c>
      <c r="F41" s="1764" t="s">
        <v>129</v>
      </c>
      <c r="G41" s="1764" t="s">
        <v>20</v>
      </c>
      <c r="H41" s="1926">
        <v>665.6</v>
      </c>
    </row>
    <row r="42" spans="1:8" x14ac:dyDescent="0.2">
      <c r="A42" s="1993">
        <f>IF(B42="","",COUNTA($B$3:B42))</f>
        <v>40</v>
      </c>
      <c r="B42" s="1995">
        <v>1</v>
      </c>
      <c r="C42" s="1994" t="s">
        <v>25</v>
      </c>
      <c r="D42" s="1763" t="s">
        <v>116</v>
      </c>
      <c r="E42" s="1763" t="s">
        <v>140</v>
      </c>
      <c r="F42" s="1764" t="s">
        <v>112</v>
      </c>
      <c r="G42" s="1764" t="s">
        <v>18</v>
      </c>
      <c r="H42" s="1926">
        <v>3504</v>
      </c>
    </row>
    <row r="43" spans="1:8" x14ac:dyDescent="0.2">
      <c r="A43" s="1993">
        <f>IF(B43="","",COUNTA($B$3:B43))</f>
        <v>41</v>
      </c>
      <c r="B43" s="1995">
        <v>1</v>
      </c>
      <c r="C43" s="1994" t="s">
        <v>25</v>
      </c>
      <c r="D43" s="1763" t="s">
        <v>116</v>
      </c>
      <c r="E43" s="1763" t="s">
        <v>140</v>
      </c>
      <c r="F43" s="1764" t="s">
        <v>112</v>
      </c>
      <c r="G43" s="1764" t="s">
        <v>19</v>
      </c>
      <c r="H43" s="1926">
        <v>0</v>
      </c>
    </row>
    <row r="44" spans="1:8" x14ac:dyDescent="0.2">
      <c r="A44" s="1993">
        <f>IF(B44="","",COUNTA($B$3:B44))</f>
        <v>42</v>
      </c>
      <c r="B44" s="1995">
        <v>1</v>
      </c>
      <c r="C44" s="1994" t="s">
        <v>25</v>
      </c>
      <c r="D44" s="1763" t="s">
        <v>116</v>
      </c>
      <c r="E44" s="1763" t="s">
        <v>140</v>
      </c>
      <c r="F44" s="1764" t="s">
        <v>112</v>
      </c>
      <c r="G44" s="1764" t="s">
        <v>20</v>
      </c>
      <c r="H44" s="1926">
        <v>123.2</v>
      </c>
    </row>
    <row r="45" spans="1:8" x14ac:dyDescent="0.2">
      <c r="A45" s="1993">
        <f>IF(B45="","",COUNTA($B$3:B45))</f>
        <v>43</v>
      </c>
      <c r="B45" s="1995">
        <v>1</v>
      </c>
      <c r="C45" s="1994" t="s">
        <v>25</v>
      </c>
      <c r="D45" s="1763" t="s">
        <v>116</v>
      </c>
      <c r="E45" s="1763" t="s">
        <v>140</v>
      </c>
      <c r="F45" s="1764" t="s">
        <v>113</v>
      </c>
      <c r="G45" s="1764" t="s">
        <v>18</v>
      </c>
      <c r="H45" s="1926">
        <v>3377.6</v>
      </c>
    </row>
    <row r="46" spans="1:8" x14ac:dyDescent="0.2">
      <c r="A46" s="1993">
        <f>IF(B46="","",COUNTA($B$3:B46))</f>
        <v>44</v>
      </c>
      <c r="B46" s="1995">
        <v>1</v>
      </c>
      <c r="C46" s="1994" t="s">
        <v>25</v>
      </c>
      <c r="D46" s="1763" t="s">
        <v>116</v>
      </c>
      <c r="E46" s="1763" t="s">
        <v>140</v>
      </c>
      <c r="F46" s="1764" t="s">
        <v>113</v>
      </c>
      <c r="G46" s="1764" t="s">
        <v>19</v>
      </c>
      <c r="H46" s="1926">
        <v>0</v>
      </c>
    </row>
    <row r="47" spans="1:8" x14ac:dyDescent="0.2">
      <c r="A47" s="1993">
        <f>IF(B47="","",COUNTA($B$3:B47))</f>
        <v>45</v>
      </c>
      <c r="B47" s="1995">
        <v>1</v>
      </c>
      <c r="C47" s="1994" t="s">
        <v>25</v>
      </c>
      <c r="D47" s="1763" t="s">
        <v>116</v>
      </c>
      <c r="E47" s="1763" t="s">
        <v>140</v>
      </c>
      <c r="F47" s="1764" t="s">
        <v>113</v>
      </c>
      <c r="G47" s="1764" t="s">
        <v>20</v>
      </c>
      <c r="H47" s="1926">
        <v>0</v>
      </c>
    </row>
    <row r="48" spans="1:8" x14ac:dyDescent="0.2">
      <c r="A48" s="1993">
        <f>IF(B48="","",COUNTA($B$3:B48))</f>
        <v>46</v>
      </c>
      <c r="B48" s="1994">
        <v>3</v>
      </c>
      <c r="C48" s="1994" t="s">
        <v>5</v>
      </c>
      <c r="D48" s="1763" t="s">
        <v>115</v>
      </c>
      <c r="E48" s="1763" t="s">
        <v>139</v>
      </c>
      <c r="F48" s="1764" t="s">
        <v>120</v>
      </c>
      <c r="G48" s="1764" t="s">
        <v>18</v>
      </c>
      <c r="H48" s="1926">
        <v>186573.6</v>
      </c>
    </row>
    <row r="49" spans="1:8" x14ac:dyDescent="0.2">
      <c r="A49" s="1993">
        <f>IF(B49="","",COUNTA($B$3:B49))</f>
        <v>47</v>
      </c>
      <c r="B49" s="1994">
        <v>3</v>
      </c>
      <c r="C49" s="1994" t="s">
        <v>5</v>
      </c>
      <c r="D49" s="1763" t="s">
        <v>115</v>
      </c>
      <c r="E49" s="1763" t="s">
        <v>139</v>
      </c>
      <c r="F49" s="1764" t="s">
        <v>120</v>
      </c>
      <c r="G49" s="1764" t="s">
        <v>19</v>
      </c>
      <c r="H49" s="1926">
        <v>6072.48</v>
      </c>
    </row>
    <row r="50" spans="1:8" x14ac:dyDescent="0.2">
      <c r="A50" s="1993">
        <f>IF(B50="","",COUNTA($B$3:B50))</f>
        <v>48</v>
      </c>
      <c r="B50" s="1994">
        <v>3</v>
      </c>
      <c r="C50" s="1994" t="s">
        <v>5</v>
      </c>
      <c r="D50" s="1763" t="s">
        <v>115</v>
      </c>
      <c r="E50" s="1763" t="s">
        <v>139</v>
      </c>
      <c r="F50" s="1764" t="s">
        <v>120</v>
      </c>
      <c r="G50" s="1764" t="s">
        <v>20</v>
      </c>
      <c r="H50" s="1926">
        <v>6937.92</v>
      </c>
    </row>
    <row r="51" spans="1:8" x14ac:dyDescent="0.2">
      <c r="A51" s="1993">
        <f>IF(B51="","",COUNTA($B$3:B51))</f>
        <v>49</v>
      </c>
      <c r="B51" s="1994">
        <v>3</v>
      </c>
      <c r="C51" s="1994" t="s">
        <v>5</v>
      </c>
      <c r="D51" s="1763" t="s">
        <v>115</v>
      </c>
      <c r="E51" s="1763" t="s">
        <v>139</v>
      </c>
      <c r="F51" s="1764" t="s">
        <v>146</v>
      </c>
      <c r="G51" s="1764" t="s">
        <v>18</v>
      </c>
      <c r="H51" s="1926">
        <v>10313.280000000001</v>
      </c>
    </row>
    <row r="52" spans="1:8" x14ac:dyDescent="0.2">
      <c r="A52" s="1993">
        <f>IF(B52="","",COUNTA($B$3:B52))</f>
        <v>50</v>
      </c>
      <c r="B52" s="1994">
        <v>3</v>
      </c>
      <c r="C52" s="1994" t="s">
        <v>5</v>
      </c>
      <c r="D52" s="1763" t="s">
        <v>115</v>
      </c>
      <c r="E52" s="1763" t="s">
        <v>139</v>
      </c>
      <c r="F52" s="1764" t="s">
        <v>146</v>
      </c>
      <c r="G52" s="1764" t="s">
        <v>19</v>
      </c>
      <c r="H52" s="1926">
        <v>0</v>
      </c>
    </row>
    <row r="53" spans="1:8" x14ac:dyDescent="0.2">
      <c r="A53" s="1993">
        <f>IF(B53="","",COUNTA($B$3:B53))</f>
        <v>51</v>
      </c>
      <c r="B53" s="1994">
        <v>3</v>
      </c>
      <c r="C53" s="1994" t="s">
        <v>5</v>
      </c>
      <c r="D53" s="1763" t="s">
        <v>115</v>
      </c>
      <c r="E53" s="1763" t="s">
        <v>139</v>
      </c>
      <c r="F53" s="1764" t="s">
        <v>146</v>
      </c>
      <c r="G53" s="1764" t="s">
        <v>20</v>
      </c>
      <c r="H53" s="1926">
        <v>162.72</v>
      </c>
    </row>
    <row r="54" spans="1:8" x14ac:dyDescent="0.2">
      <c r="A54" s="1993">
        <f>IF(B54="","",COUNTA($B$3:B54))</f>
        <v>52</v>
      </c>
      <c r="B54" s="1994">
        <v>3</v>
      </c>
      <c r="C54" s="1994" t="s">
        <v>5</v>
      </c>
      <c r="D54" s="1763" t="s">
        <v>115</v>
      </c>
      <c r="E54" s="1763" t="s">
        <v>139</v>
      </c>
      <c r="F54" s="1764" t="s">
        <v>1353</v>
      </c>
      <c r="G54" s="1764" t="s">
        <v>18</v>
      </c>
      <c r="H54" s="1926">
        <v>7977.6</v>
      </c>
    </row>
    <row r="55" spans="1:8" x14ac:dyDescent="0.2">
      <c r="A55" s="1993">
        <f>IF(B55="","",COUNTA($B$3:B55))</f>
        <v>53</v>
      </c>
      <c r="B55" s="1994">
        <v>3</v>
      </c>
      <c r="C55" s="1994" t="s">
        <v>5</v>
      </c>
      <c r="D55" s="1763" t="s">
        <v>115</v>
      </c>
      <c r="E55" s="1763" t="s">
        <v>139</v>
      </c>
      <c r="F55" s="1764" t="s">
        <v>1353</v>
      </c>
      <c r="G55" s="1764" t="s">
        <v>19</v>
      </c>
      <c r="H55" s="1926">
        <v>0</v>
      </c>
    </row>
    <row r="56" spans="1:8" x14ac:dyDescent="0.2">
      <c r="A56" s="1993">
        <f>IF(B56="","",COUNTA($B$3:B56))</f>
        <v>54</v>
      </c>
      <c r="B56" s="1994">
        <v>3</v>
      </c>
      <c r="C56" s="1994" t="s">
        <v>5</v>
      </c>
      <c r="D56" s="1763" t="s">
        <v>115</v>
      </c>
      <c r="E56" s="1763" t="s">
        <v>139</v>
      </c>
      <c r="F56" s="1764" t="s">
        <v>1353</v>
      </c>
      <c r="G56" s="1764" t="s">
        <v>20</v>
      </c>
      <c r="H56" s="1926">
        <v>378.72</v>
      </c>
    </row>
    <row r="57" spans="1:8" x14ac:dyDescent="0.2">
      <c r="A57" s="1993">
        <f>IF(B57="","",COUNTA($B$3:B57))</f>
        <v>55</v>
      </c>
      <c r="B57" s="1994">
        <v>3</v>
      </c>
      <c r="C57" s="1994" t="s">
        <v>5</v>
      </c>
      <c r="D57" s="1763" t="s">
        <v>115</v>
      </c>
      <c r="E57" s="1763" t="s">
        <v>139</v>
      </c>
      <c r="F57" s="1764" t="s">
        <v>114</v>
      </c>
      <c r="G57" s="1764" t="s">
        <v>18</v>
      </c>
      <c r="H57" s="1926">
        <v>12661.92</v>
      </c>
    </row>
    <row r="58" spans="1:8" x14ac:dyDescent="0.2">
      <c r="A58" s="1993">
        <f>IF(B58="","",COUNTA($B$3:B58))</f>
        <v>56</v>
      </c>
      <c r="B58" s="1994">
        <v>3</v>
      </c>
      <c r="C58" s="1994" t="s">
        <v>5</v>
      </c>
      <c r="D58" s="1763" t="s">
        <v>115</v>
      </c>
      <c r="E58" s="1763" t="s">
        <v>139</v>
      </c>
      <c r="F58" s="1764" t="s">
        <v>114</v>
      </c>
      <c r="G58" s="1764" t="s">
        <v>19</v>
      </c>
      <c r="H58" s="1926">
        <v>0</v>
      </c>
    </row>
    <row r="59" spans="1:8" x14ac:dyDescent="0.2">
      <c r="A59" s="1993">
        <f>IF(B59="","",COUNTA($B$3:B59))</f>
        <v>57</v>
      </c>
      <c r="B59" s="1994">
        <v>3</v>
      </c>
      <c r="C59" s="1994" t="s">
        <v>5</v>
      </c>
      <c r="D59" s="1763" t="s">
        <v>115</v>
      </c>
      <c r="E59" s="1763" t="s">
        <v>139</v>
      </c>
      <c r="F59" s="1764" t="s">
        <v>114</v>
      </c>
      <c r="G59" s="1764" t="s">
        <v>20</v>
      </c>
      <c r="H59" s="1926">
        <v>521.28</v>
      </c>
    </row>
    <row r="60" spans="1:8" x14ac:dyDescent="0.2">
      <c r="A60" s="1993">
        <f>IF(B60="","",COUNTA($B$3:B60))</f>
        <v>58</v>
      </c>
      <c r="B60" s="1994">
        <v>3</v>
      </c>
      <c r="C60" s="1994" t="s">
        <v>5</v>
      </c>
      <c r="D60" s="1763" t="s">
        <v>115</v>
      </c>
      <c r="E60" s="1763" t="s">
        <v>139</v>
      </c>
      <c r="F60" s="1764" t="s">
        <v>129</v>
      </c>
      <c r="G60" s="1764" t="s">
        <v>18</v>
      </c>
      <c r="H60" s="1926">
        <v>18154.080000000002</v>
      </c>
    </row>
    <row r="61" spans="1:8" x14ac:dyDescent="0.2">
      <c r="A61" s="1993">
        <f>IF(B61="","",COUNTA($B$3:B61))</f>
        <v>59</v>
      </c>
      <c r="B61" s="1994">
        <v>3</v>
      </c>
      <c r="C61" s="1994" t="s">
        <v>5</v>
      </c>
      <c r="D61" s="1763" t="s">
        <v>115</v>
      </c>
      <c r="E61" s="1763" t="s">
        <v>139</v>
      </c>
      <c r="F61" s="1764" t="s">
        <v>129</v>
      </c>
      <c r="G61" s="1764" t="s">
        <v>19</v>
      </c>
      <c r="H61" s="1926">
        <v>466.56</v>
      </c>
    </row>
    <row r="62" spans="1:8" x14ac:dyDescent="0.2">
      <c r="A62" s="1993">
        <f>IF(B62="","",COUNTA($B$3:B62))</f>
        <v>60</v>
      </c>
      <c r="B62" s="1994">
        <v>3</v>
      </c>
      <c r="C62" s="1994" t="s">
        <v>5</v>
      </c>
      <c r="D62" s="1763" t="s">
        <v>115</v>
      </c>
      <c r="E62" s="1763" t="s">
        <v>139</v>
      </c>
      <c r="F62" s="1764" t="s">
        <v>129</v>
      </c>
      <c r="G62" s="1764" t="s">
        <v>20</v>
      </c>
      <c r="H62" s="1926">
        <v>296.64</v>
      </c>
    </row>
    <row r="63" spans="1:8" x14ac:dyDescent="0.2">
      <c r="A63" s="1993">
        <f>IF(B63="","",COUNTA($B$3:B63))</f>
        <v>61</v>
      </c>
      <c r="B63" s="1994">
        <v>3</v>
      </c>
      <c r="C63" s="1994" t="s">
        <v>5</v>
      </c>
      <c r="D63" s="1763" t="s">
        <v>115</v>
      </c>
      <c r="E63" s="1763" t="s">
        <v>139</v>
      </c>
      <c r="F63" s="1764" t="s">
        <v>112</v>
      </c>
      <c r="G63" s="1764" t="s">
        <v>18</v>
      </c>
      <c r="H63" s="1926">
        <v>18442.080000000002</v>
      </c>
    </row>
    <row r="64" spans="1:8" x14ac:dyDescent="0.2">
      <c r="A64" s="1993">
        <f>IF(B64="","",COUNTA($B$3:B64))</f>
        <v>62</v>
      </c>
      <c r="B64" s="1994">
        <v>3</v>
      </c>
      <c r="C64" s="1994" t="s">
        <v>5</v>
      </c>
      <c r="D64" s="1763" t="s">
        <v>115</v>
      </c>
      <c r="E64" s="1763" t="s">
        <v>139</v>
      </c>
      <c r="F64" s="1764" t="s">
        <v>112</v>
      </c>
      <c r="G64" s="1764" t="s">
        <v>19</v>
      </c>
      <c r="H64" s="1926">
        <v>298.08</v>
      </c>
    </row>
    <row r="65" spans="1:8" x14ac:dyDescent="0.2">
      <c r="A65" s="1993">
        <f>IF(B65="","",COUNTA($B$3:B65))</f>
        <v>63</v>
      </c>
      <c r="B65" s="1994">
        <v>3</v>
      </c>
      <c r="C65" s="1994" t="s">
        <v>5</v>
      </c>
      <c r="D65" s="1763" t="s">
        <v>115</v>
      </c>
      <c r="E65" s="1763" t="s">
        <v>139</v>
      </c>
      <c r="F65" s="1764" t="s">
        <v>112</v>
      </c>
      <c r="G65" s="1764" t="s">
        <v>20</v>
      </c>
      <c r="H65" s="1926">
        <v>324</v>
      </c>
    </row>
    <row r="66" spans="1:8" x14ac:dyDescent="0.2">
      <c r="A66" s="1993">
        <f>IF(B66="","",COUNTA($B$3:B66))</f>
        <v>64</v>
      </c>
      <c r="B66" s="1994">
        <v>3</v>
      </c>
      <c r="C66" s="1994" t="s">
        <v>5</v>
      </c>
      <c r="D66" s="1763" t="s">
        <v>115</v>
      </c>
      <c r="E66" s="1763" t="s">
        <v>139</v>
      </c>
      <c r="F66" s="1764" t="s">
        <v>128</v>
      </c>
      <c r="G66" s="1764" t="s">
        <v>18</v>
      </c>
      <c r="H66" s="1926">
        <v>10820.16</v>
      </c>
    </row>
    <row r="67" spans="1:8" x14ac:dyDescent="0.2">
      <c r="A67" s="1993">
        <f>IF(B67="","",COUNTA($B$3:B67))</f>
        <v>65</v>
      </c>
      <c r="B67" s="1994">
        <v>3</v>
      </c>
      <c r="C67" s="1994" t="s">
        <v>5</v>
      </c>
      <c r="D67" s="1763" t="s">
        <v>115</v>
      </c>
      <c r="E67" s="1763" t="s">
        <v>139</v>
      </c>
      <c r="F67" s="1764" t="s">
        <v>128</v>
      </c>
      <c r="G67" s="1764" t="s">
        <v>19</v>
      </c>
      <c r="H67" s="1926">
        <v>0</v>
      </c>
    </row>
    <row r="68" spans="1:8" x14ac:dyDescent="0.2">
      <c r="A68" s="1993">
        <f>IF(B68="","",COUNTA($B$3:B68))</f>
        <v>66</v>
      </c>
      <c r="B68" s="1994">
        <v>3</v>
      </c>
      <c r="C68" s="1994" t="s">
        <v>5</v>
      </c>
      <c r="D68" s="1763" t="s">
        <v>115</v>
      </c>
      <c r="E68" s="1763" t="s">
        <v>139</v>
      </c>
      <c r="F68" s="1764" t="s">
        <v>128</v>
      </c>
      <c r="G68" s="1764" t="s">
        <v>20</v>
      </c>
      <c r="H68" s="1926">
        <v>368.64</v>
      </c>
    </row>
    <row r="69" spans="1:8" x14ac:dyDescent="0.2">
      <c r="A69" s="1993">
        <f>IF(B69="","",COUNTA($B$3:B69))</f>
        <v>67</v>
      </c>
      <c r="B69" s="1994">
        <v>3</v>
      </c>
      <c r="C69" s="1994" t="s">
        <v>5</v>
      </c>
      <c r="D69" s="1763" t="s">
        <v>115</v>
      </c>
      <c r="E69" s="1763" t="s">
        <v>139</v>
      </c>
      <c r="F69" s="1764" t="s">
        <v>541</v>
      </c>
      <c r="G69" s="1764" t="s">
        <v>18</v>
      </c>
      <c r="H69" s="1926">
        <v>54031.68</v>
      </c>
    </row>
    <row r="70" spans="1:8" x14ac:dyDescent="0.2">
      <c r="A70" s="1993">
        <f>IF(B70="","",COUNTA($B$3:B70))</f>
        <v>68</v>
      </c>
      <c r="B70" s="1994">
        <v>3</v>
      </c>
      <c r="C70" s="1994" t="s">
        <v>5</v>
      </c>
      <c r="D70" s="1763" t="s">
        <v>115</v>
      </c>
      <c r="E70" s="1763" t="s">
        <v>139</v>
      </c>
      <c r="F70" s="1764" t="s">
        <v>541</v>
      </c>
      <c r="G70" s="1764" t="s">
        <v>19</v>
      </c>
      <c r="H70" s="1926">
        <v>691.2</v>
      </c>
    </row>
    <row r="71" spans="1:8" x14ac:dyDescent="0.2">
      <c r="A71" s="1993">
        <f>IF(B71="","",COUNTA($B$3:B71))</f>
        <v>69</v>
      </c>
      <c r="B71" s="1994">
        <v>3</v>
      </c>
      <c r="C71" s="1994" t="s">
        <v>5</v>
      </c>
      <c r="D71" s="1763" t="s">
        <v>115</v>
      </c>
      <c r="E71" s="1763" t="s">
        <v>139</v>
      </c>
      <c r="F71" s="1764" t="s">
        <v>541</v>
      </c>
      <c r="G71" s="1764" t="s">
        <v>20</v>
      </c>
      <c r="H71" s="1926">
        <v>793.44</v>
      </c>
    </row>
    <row r="72" spans="1:8" x14ac:dyDescent="0.2">
      <c r="A72" s="1993">
        <f>IF(B72="","",COUNTA($B$3:B72))</f>
        <v>70</v>
      </c>
      <c r="B72" s="1994">
        <v>3</v>
      </c>
      <c r="C72" s="1994" t="s">
        <v>25</v>
      </c>
      <c r="D72" s="1763" t="s">
        <v>119</v>
      </c>
      <c r="E72" s="1763" t="s">
        <v>1028</v>
      </c>
      <c r="F72" s="1764" t="s">
        <v>109</v>
      </c>
      <c r="G72" s="1764" t="s">
        <v>18</v>
      </c>
      <c r="H72" s="1926">
        <v>233358</v>
      </c>
    </row>
    <row r="73" spans="1:8" x14ac:dyDescent="0.2">
      <c r="A73" s="1993">
        <f>IF(B73="","",COUNTA($B$3:B73))</f>
        <v>71</v>
      </c>
      <c r="B73" s="1994">
        <v>3</v>
      </c>
      <c r="C73" s="1994" t="s">
        <v>25</v>
      </c>
      <c r="D73" s="1763" t="s">
        <v>119</v>
      </c>
      <c r="E73" s="1763" t="s">
        <v>1028</v>
      </c>
      <c r="F73" s="1764" t="s">
        <v>109</v>
      </c>
      <c r="G73" s="1764" t="s">
        <v>19</v>
      </c>
      <c r="H73" s="1926">
        <v>0</v>
      </c>
    </row>
    <row r="74" spans="1:8" x14ac:dyDescent="0.2">
      <c r="A74" s="1993">
        <f>IF(B74="","",COUNTA($B$3:B74))</f>
        <v>72</v>
      </c>
      <c r="B74" s="1994">
        <v>3</v>
      </c>
      <c r="C74" s="1994" t="s">
        <v>25</v>
      </c>
      <c r="D74" s="1763" t="s">
        <v>119</v>
      </c>
      <c r="E74" s="1763" t="s">
        <v>1028</v>
      </c>
      <c r="F74" s="1764" t="s">
        <v>109</v>
      </c>
      <c r="G74" s="1764" t="s">
        <v>20</v>
      </c>
      <c r="H74" s="1926">
        <v>1960.5</v>
      </c>
    </row>
    <row r="75" spans="1:8" x14ac:dyDescent="0.2">
      <c r="A75" s="1993">
        <f>IF(B75="","",COUNTA($B$3:B75))</f>
        <v>73</v>
      </c>
      <c r="B75" s="1994">
        <v>3</v>
      </c>
      <c r="C75" s="1994" t="s">
        <v>25</v>
      </c>
      <c r="D75" s="1763" t="s">
        <v>119</v>
      </c>
      <c r="E75" s="1763" t="s">
        <v>1028</v>
      </c>
      <c r="F75" s="1764" t="s">
        <v>129</v>
      </c>
      <c r="G75" s="1764" t="s">
        <v>18</v>
      </c>
      <c r="H75" s="1926">
        <v>31834.5</v>
      </c>
    </row>
    <row r="76" spans="1:8" x14ac:dyDescent="0.2">
      <c r="A76" s="1993">
        <f>IF(B76="","",COUNTA($B$3:B76))</f>
        <v>74</v>
      </c>
      <c r="B76" s="1994">
        <v>3</v>
      </c>
      <c r="C76" s="1994" t="s">
        <v>25</v>
      </c>
      <c r="D76" s="1763" t="s">
        <v>119</v>
      </c>
      <c r="E76" s="1763" t="s">
        <v>1028</v>
      </c>
      <c r="F76" s="1764" t="s">
        <v>129</v>
      </c>
      <c r="G76" s="1764" t="s">
        <v>19</v>
      </c>
      <c r="H76" s="1926">
        <v>0</v>
      </c>
    </row>
    <row r="77" spans="1:8" x14ac:dyDescent="0.2">
      <c r="A77" s="1993">
        <f>IF(B77="","",COUNTA($B$3:B77))</f>
        <v>75</v>
      </c>
      <c r="B77" s="1994">
        <v>3</v>
      </c>
      <c r="C77" s="1994" t="s">
        <v>25</v>
      </c>
      <c r="D77" s="1763" t="s">
        <v>119</v>
      </c>
      <c r="E77" s="1763" t="s">
        <v>1028</v>
      </c>
      <c r="F77" s="1764" t="s">
        <v>129</v>
      </c>
      <c r="G77" s="1764" t="s">
        <v>20</v>
      </c>
      <c r="H77" s="1926">
        <v>106.5</v>
      </c>
    </row>
    <row r="78" spans="1:8" x14ac:dyDescent="0.2">
      <c r="A78" s="1993">
        <f>IF(B78="","",COUNTA($B$3:B78))</f>
        <v>76</v>
      </c>
      <c r="B78" s="1994">
        <v>3</v>
      </c>
      <c r="C78" s="1994" t="s">
        <v>25</v>
      </c>
      <c r="D78" s="1763" t="s">
        <v>119</v>
      </c>
      <c r="E78" s="1763" t="s">
        <v>1028</v>
      </c>
      <c r="F78" s="1764" t="s">
        <v>1353</v>
      </c>
      <c r="G78" s="1764" t="s">
        <v>18</v>
      </c>
      <c r="H78" s="1926">
        <v>17817</v>
      </c>
    </row>
    <row r="79" spans="1:8" x14ac:dyDescent="0.2">
      <c r="A79" s="1993">
        <f>IF(B79="","",COUNTA($B$3:B79))</f>
        <v>77</v>
      </c>
      <c r="B79" s="1994">
        <v>3</v>
      </c>
      <c r="C79" s="1994" t="s">
        <v>25</v>
      </c>
      <c r="D79" s="1763" t="s">
        <v>119</v>
      </c>
      <c r="E79" s="1763" t="s">
        <v>1028</v>
      </c>
      <c r="F79" s="1764" t="s">
        <v>1353</v>
      </c>
      <c r="G79" s="1764" t="s">
        <v>19</v>
      </c>
      <c r="H79" s="1926">
        <v>0</v>
      </c>
    </row>
    <row r="80" spans="1:8" x14ac:dyDescent="0.2">
      <c r="A80" s="1993">
        <f>IF(B80="","",COUNTA($B$3:B80))</f>
        <v>78</v>
      </c>
      <c r="B80" s="1994">
        <v>3</v>
      </c>
      <c r="C80" s="1994" t="s">
        <v>25</v>
      </c>
      <c r="D80" s="1763" t="s">
        <v>119</v>
      </c>
      <c r="E80" s="1763" t="s">
        <v>1028</v>
      </c>
      <c r="F80" s="1764" t="s">
        <v>1353</v>
      </c>
      <c r="G80" s="1764" t="s">
        <v>20</v>
      </c>
      <c r="H80" s="1926">
        <v>64.5</v>
      </c>
    </row>
    <row r="81" spans="1:8" x14ac:dyDescent="0.2">
      <c r="A81" s="1993">
        <f>IF(B81="","",COUNTA($B$3:B81))</f>
        <v>79</v>
      </c>
      <c r="B81" s="1994">
        <v>3</v>
      </c>
      <c r="C81" s="1994" t="s">
        <v>25</v>
      </c>
      <c r="D81" s="1763" t="s">
        <v>119</v>
      </c>
      <c r="E81" s="1763" t="s">
        <v>1028</v>
      </c>
      <c r="F81" s="1764" t="s">
        <v>117</v>
      </c>
      <c r="G81" s="1764" t="s">
        <v>18</v>
      </c>
      <c r="H81" s="1926">
        <v>54442.5</v>
      </c>
    </row>
    <row r="82" spans="1:8" x14ac:dyDescent="0.2">
      <c r="A82" s="1993">
        <f>IF(B82="","",COUNTA($B$3:B82))</f>
        <v>80</v>
      </c>
      <c r="B82" s="1994">
        <v>3</v>
      </c>
      <c r="C82" s="1994" t="s">
        <v>25</v>
      </c>
      <c r="D82" s="1763" t="s">
        <v>119</v>
      </c>
      <c r="E82" s="1763" t="s">
        <v>1028</v>
      </c>
      <c r="F82" s="1764" t="s">
        <v>117</v>
      </c>
      <c r="G82" s="1764" t="s">
        <v>19</v>
      </c>
      <c r="H82" s="1926">
        <v>0</v>
      </c>
    </row>
    <row r="83" spans="1:8" x14ac:dyDescent="0.2">
      <c r="A83" s="1993">
        <f>IF(B83="","",COUNTA($B$3:B83))</f>
        <v>81</v>
      </c>
      <c r="B83" s="1994">
        <v>3</v>
      </c>
      <c r="C83" s="1994" t="s">
        <v>25</v>
      </c>
      <c r="D83" s="1763" t="s">
        <v>119</v>
      </c>
      <c r="E83" s="1763" t="s">
        <v>1028</v>
      </c>
      <c r="F83" s="1764" t="s">
        <v>117</v>
      </c>
      <c r="G83" s="1764" t="s">
        <v>20</v>
      </c>
      <c r="H83" s="1926">
        <v>246</v>
      </c>
    </row>
    <row r="84" spans="1:8" x14ac:dyDescent="0.2">
      <c r="A84" s="1993">
        <f>IF(B84="","",COUNTA($B$3:B84))</f>
        <v>82</v>
      </c>
      <c r="B84" s="1994">
        <v>3</v>
      </c>
      <c r="C84" s="1994" t="s">
        <v>25</v>
      </c>
      <c r="D84" s="1763" t="s">
        <v>119</v>
      </c>
      <c r="E84" s="1763" t="s">
        <v>1028</v>
      </c>
      <c r="F84" s="1764" t="s">
        <v>322</v>
      </c>
      <c r="G84" s="1764" t="s">
        <v>18</v>
      </c>
      <c r="H84" s="1926">
        <v>30355.5</v>
      </c>
    </row>
    <row r="85" spans="1:8" x14ac:dyDescent="0.2">
      <c r="A85" s="1993">
        <f>IF(B85="","",COUNTA($B$3:B85))</f>
        <v>83</v>
      </c>
      <c r="B85" s="1994">
        <v>3</v>
      </c>
      <c r="C85" s="1994" t="s">
        <v>25</v>
      </c>
      <c r="D85" s="1763" t="s">
        <v>119</v>
      </c>
      <c r="E85" s="1763" t="s">
        <v>1028</v>
      </c>
      <c r="F85" s="1764" t="s">
        <v>322</v>
      </c>
      <c r="G85" s="1764" t="s">
        <v>19</v>
      </c>
      <c r="H85" s="1926">
        <v>0</v>
      </c>
    </row>
    <row r="86" spans="1:8" x14ac:dyDescent="0.2">
      <c r="A86" s="1993">
        <f>IF(B86="","",COUNTA($B$3:B86))</f>
        <v>84</v>
      </c>
      <c r="B86" s="1994">
        <v>3</v>
      </c>
      <c r="C86" s="1994" t="s">
        <v>25</v>
      </c>
      <c r="D86" s="1763" t="s">
        <v>119</v>
      </c>
      <c r="E86" s="1763" t="s">
        <v>1028</v>
      </c>
      <c r="F86" s="1764" t="s">
        <v>322</v>
      </c>
      <c r="G86" s="1764" t="s">
        <v>20</v>
      </c>
      <c r="H86" s="1926">
        <v>58.5</v>
      </c>
    </row>
    <row r="87" spans="1:8" x14ac:dyDescent="0.2">
      <c r="A87" s="1993">
        <f>IF(B87="","",COUNTA($B$3:B87))</f>
        <v>85</v>
      </c>
      <c r="B87" s="1994">
        <v>3</v>
      </c>
      <c r="C87" s="1994" t="s">
        <v>25</v>
      </c>
      <c r="D87" s="1763" t="s">
        <v>119</v>
      </c>
      <c r="E87" s="1763" t="s">
        <v>1028</v>
      </c>
      <c r="F87" s="1764" t="s">
        <v>541</v>
      </c>
      <c r="G87" s="1764" t="s">
        <v>18</v>
      </c>
      <c r="H87" s="1926">
        <v>45324</v>
      </c>
    </row>
    <row r="88" spans="1:8" x14ac:dyDescent="0.2">
      <c r="A88" s="1993">
        <f>IF(B88="","",COUNTA($B$3:B88))</f>
        <v>86</v>
      </c>
      <c r="B88" s="1994">
        <v>3</v>
      </c>
      <c r="C88" s="1994" t="s">
        <v>25</v>
      </c>
      <c r="D88" s="1763" t="s">
        <v>119</v>
      </c>
      <c r="E88" s="1763" t="s">
        <v>1028</v>
      </c>
      <c r="F88" s="1764" t="s">
        <v>541</v>
      </c>
      <c r="G88" s="1764" t="s">
        <v>19</v>
      </c>
      <c r="H88" s="1926">
        <v>0</v>
      </c>
    </row>
    <row r="89" spans="1:8" x14ac:dyDescent="0.2">
      <c r="A89" s="1993">
        <f>IF(B89="","",COUNTA($B$3:B89))</f>
        <v>87</v>
      </c>
      <c r="B89" s="1994">
        <v>3</v>
      </c>
      <c r="C89" s="1994" t="s">
        <v>25</v>
      </c>
      <c r="D89" s="1763" t="s">
        <v>119</v>
      </c>
      <c r="E89" s="1763" t="s">
        <v>1028</v>
      </c>
      <c r="F89" s="1764" t="s">
        <v>541</v>
      </c>
      <c r="G89" s="1764" t="s">
        <v>20</v>
      </c>
      <c r="H89" s="1926">
        <v>171</v>
      </c>
    </row>
    <row r="90" spans="1:8" x14ac:dyDescent="0.2">
      <c r="A90" s="1993">
        <f>IF(B90="","",COUNTA($B$3:B90))</f>
        <v>88</v>
      </c>
      <c r="B90" s="1994">
        <v>4</v>
      </c>
      <c r="C90" s="1994" t="s">
        <v>25</v>
      </c>
      <c r="D90" s="1763" t="s">
        <v>119</v>
      </c>
      <c r="E90" s="1763" t="s">
        <v>1028</v>
      </c>
      <c r="F90" s="1764" t="s">
        <v>109</v>
      </c>
      <c r="G90" s="1764" t="s">
        <v>18</v>
      </c>
      <c r="H90" s="1926">
        <v>78493.5</v>
      </c>
    </row>
    <row r="91" spans="1:8" x14ac:dyDescent="0.2">
      <c r="A91" s="1993">
        <f>IF(B91="","",COUNTA($B$3:B91))</f>
        <v>89</v>
      </c>
      <c r="B91" s="1994">
        <v>4</v>
      </c>
      <c r="C91" s="1994" t="s">
        <v>25</v>
      </c>
      <c r="D91" s="1763" t="s">
        <v>119</v>
      </c>
      <c r="E91" s="1763" t="s">
        <v>1028</v>
      </c>
      <c r="F91" s="1764" t="s">
        <v>109</v>
      </c>
      <c r="G91" s="1764" t="s">
        <v>19</v>
      </c>
      <c r="H91" s="1926">
        <v>0</v>
      </c>
    </row>
    <row r="92" spans="1:8" x14ac:dyDescent="0.2">
      <c r="A92" s="1993">
        <f>IF(B92="","",COUNTA($B$3:B92))</f>
        <v>90</v>
      </c>
      <c r="B92" s="1994">
        <v>4</v>
      </c>
      <c r="C92" s="1994" t="s">
        <v>25</v>
      </c>
      <c r="D92" s="1763" t="s">
        <v>119</v>
      </c>
      <c r="E92" s="1763" t="s">
        <v>1028</v>
      </c>
      <c r="F92" s="1764" t="s">
        <v>109</v>
      </c>
      <c r="G92" s="1764" t="s">
        <v>20</v>
      </c>
      <c r="H92" s="1926">
        <v>409.5</v>
      </c>
    </row>
    <row r="93" spans="1:8" x14ac:dyDescent="0.2">
      <c r="A93" s="1993">
        <f>IF(B93="","",COUNTA($B$3:B93))</f>
        <v>91</v>
      </c>
      <c r="B93" s="1994">
        <v>4</v>
      </c>
      <c r="C93" s="1994" t="s">
        <v>25</v>
      </c>
      <c r="D93" s="1763" t="s">
        <v>119</v>
      </c>
      <c r="E93" s="1763" t="s">
        <v>1028</v>
      </c>
      <c r="F93" s="1764" t="s">
        <v>129</v>
      </c>
      <c r="G93" s="1764" t="s">
        <v>18</v>
      </c>
      <c r="H93" s="1926">
        <v>9565.5</v>
      </c>
    </row>
    <row r="94" spans="1:8" x14ac:dyDescent="0.2">
      <c r="A94" s="1993">
        <f>IF(B94="","",COUNTA($B$3:B94))</f>
        <v>92</v>
      </c>
      <c r="B94" s="1994">
        <v>4</v>
      </c>
      <c r="C94" s="1994" t="s">
        <v>25</v>
      </c>
      <c r="D94" s="1763" t="s">
        <v>119</v>
      </c>
      <c r="E94" s="1763" t="s">
        <v>1028</v>
      </c>
      <c r="F94" s="1764" t="s">
        <v>129</v>
      </c>
      <c r="G94" s="1764" t="s">
        <v>19</v>
      </c>
      <c r="H94" s="1926">
        <v>0</v>
      </c>
    </row>
    <row r="95" spans="1:8" x14ac:dyDescent="0.2">
      <c r="A95" s="1993">
        <f>IF(B95="","",COUNTA($B$3:B95))</f>
        <v>93</v>
      </c>
      <c r="B95" s="1994">
        <v>4</v>
      </c>
      <c r="C95" s="1994" t="s">
        <v>25</v>
      </c>
      <c r="D95" s="1763" t="s">
        <v>119</v>
      </c>
      <c r="E95" s="1763" t="s">
        <v>1028</v>
      </c>
      <c r="F95" s="1764" t="s">
        <v>129</v>
      </c>
      <c r="G95" s="1764" t="s">
        <v>20</v>
      </c>
      <c r="H95" s="1926">
        <v>91.5</v>
      </c>
    </row>
    <row r="96" spans="1:8" x14ac:dyDescent="0.2">
      <c r="A96" s="1993">
        <f>IF(B96="","",COUNTA($B$3:B96))</f>
        <v>94</v>
      </c>
      <c r="B96" s="1994">
        <v>4</v>
      </c>
      <c r="C96" s="1994" t="s">
        <v>25</v>
      </c>
      <c r="D96" s="1763" t="s">
        <v>119</v>
      </c>
      <c r="E96" s="1763" t="s">
        <v>1028</v>
      </c>
      <c r="F96" s="1764" t="s">
        <v>322</v>
      </c>
      <c r="G96" s="1764" t="s">
        <v>18</v>
      </c>
      <c r="H96" s="1926">
        <v>23089.5</v>
      </c>
    </row>
    <row r="97" spans="1:8" x14ac:dyDescent="0.2">
      <c r="A97" s="1993">
        <f>IF(B97="","",COUNTA($B$3:B97))</f>
        <v>95</v>
      </c>
      <c r="B97" s="1994">
        <v>4</v>
      </c>
      <c r="C97" s="1994" t="s">
        <v>25</v>
      </c>
      <c r="D97" s="1763" t="s">
        <v>119</v>
      </c>
      <c r="E97" s="1763" t="s">
        <v>1028</v>
      </c>
      <c r="F97" s="1764" t="s">
        <v>322</v>
      </c>
      <c r="G97" s="1764" t="s">
        <v>19</v>
      </c>
      <c r="H97" s="1926">
        <v>0</v>
      </c>
    </row>
    <row r="98" spans="1:8" x14ac:dyDescent="0.2">
      <c r="A98" s="1993">
        <f>IF(B98="","",COUNTA($B$3:B98))</f>
        <v>96</v>
      </c>
      <c r="B98" s="1994">
        <v>4</v>
      </c>
      <c r="C98" s="1994" t="s">
        <v>25</v>
      </c>
      <c r="D98" s="1763" t="s">
        <v>119</v>
      </c>
      <c r="E98" s="1763" t="s">
        <v>1028</v>
      </c>
      <c r="F98" s="1764" t="s">
        <v>322</v>
      </c>
      <c r="G98" s="1764" t="s">
        <v>20</v>
      </c>
      <c r="H98" s="1926">
        <v>67.5</v>
      </c>
    </row>
    <row r="99" spans="1:8" x14ac:dyDescent="0.2">
      <c r="A99" s="1993">
        <f>IF(B99="","",COUNTA($B$3:B99))</f>
        <v>97</v>
      </c>
      <c r="B99" s="1994">
        <v>4</v>
      </c>
      <c r="C99" s="1994" t="s">
        <v>25</v>
      </c>
      <c r="D99" s="1763" t="s">
        <v>119</v>
      </c>
      <c r="E99" s="1763" t="s">
        <v>1028</v>
      </c>
      <c r="F99" s="1764" t="s">
        <v>117</v>
      </c>
      <c r="G99" s="1764" t="s">
        <v>18</v>
      </c>
      <c r="H99" s="1926">
        <v>25012.5</v>
      </c>
    </row>
    <row r="100" spans="1:8" x14ac:dyDescent="0.2">
      <c r="A100" s="1993">
        <f>IF(B100="","",COUNTA($B$3:B100))</f>
        <v>98</v>
      </c>
      <c r="B100" s="1994">
        <v>4</v>
      </c>
      <c r="C100" s="1994" t="s">
        <v>25</v>
      </c>
      <c r="D100" s="1763" t="s">
        <v>119</v>
      </c>
      <c r="E100" s="1763" t="s">
        <v>1028</v>
      </c>
      <c r="F100" s="1764" t="s">
        <v>117</v>
      </c>
      <c r="G100" s="1764" t="s">
        <v>19</v>
      </c>
      <c r="H100" s="1926">
        <v>0</v>
      </c>
    </row>
    <row r="101" spans="1:8" x14ac:dyDescent="0.2">
      <c r="A101" s="1993">
        <f>IF(B101="","",COUNTA($B$3:B101))</f>
        <v>99</v>
      </c>
      <c r="B101" s="1994">
        <v>4</v>
      </c>
      <c r="C101" s="1994" t="s">
        <v>25</v>
      </c>
      <c r="D101" s="1763" t="s">
        <v>119</v>
      </c>
      <c r="E101" s="1763" t="s">
        <v>1028</v>
      </c>
      <c r="F101" s="1764" t="s">
        <v>117</v>
      </c>
      <c r="G101" s="1764" t="s">
        <v>20</v>
      </c>
      <c r="H101" s="1926">
        <v>331.5</v>
      </c>
    </row>
    <row r="102" spans="1:8" x14ac:dyDescent="0.2">
      <c r="A102" s="1993">
        <f>IF(B102="","",COUNTA($B$3:B102))</f>
        <v>100</v>
      </c>
      <c r="B102" s="1994">
        <v>4</v>
      </c>
      <c r="C102" s="1994" t="s">
        <v>25</v>
      </c>
      <c r="D102" s="1763" t="s">
        <v>119</v>
      </c>
      <c r="E102" s="1763" t="s">
        <v>1028</v>
      </c>
      <c r="F102" s="1764" t="s">
        <v>541</v>
      </c>
      <c r="G102" s="1764" t="s">
        <v>18</v>
      </c>
      <c r="H102" s="1926">
        <v>26017.5</v>
      </c>
    </row>
    <row r="103" spans="1:8" x14ac:dyDescent="0.2">
      <c r="A103" s="1993">
        <f>IF(B103="","",COUNTA($B$3:B103))</f>
        <v>101</v>
      </c>
      <c r="B103" s="1994">
        <v>4</v>
      </c>
      <c r="C103" s="1994" t="s">
        <v>25</v>
      </c>
      <c r="D103" s="1763" t="s">
        <v>119</v>
      </c>
      <c r="E103" s="1763" t="s">
        <v>1028</v>
      </c>
      <c r="F103" s="1764" t="s">
        <v>541</v>
      </c>
      <c r="G103" s="1764" t="s">
        <v>19</v>
      </c>
      <c r="H103" s="1926">
        <v>0</v>
      </c>
    </row>
    <row r="104" spans="1:8" x14ac:dyDescent="0.2">
      <c r="A104" s="1993">
        <f>IF(B104="","",COUNTA($B$3:B104))</f>
        <v>102</v>
      </c>
      <c r="B104" s="1994">
        <v>4</v>
      </c>
      <c r="C104" s="1994" t="s">
        <v>25</v>
      </c>
      <c r="D104" s="1763" t="s">
        <v>119</v>
      </c>
      <c r="E104" s="1763" t="s">
        <v>1028</v>
      </c>
      <c r="F104" s="1764" t="s">
        <v>541</v>
      </c>
      <c r="G104" s="1764" t="s">
        <v>20</v>
      </c>
      <c r="H104" s="1926">
        <v>147</v>
      </c>
    </row>
    <row r="105" spans="1:8" x14ac:dyDescent="0.2">
      <c r="A105" s="1993">
        <f>IF(B105="","",COUNTA($B$3:B105))</f>
        <v>103</v>
      </c>
      <c r="B105" s="1994">
        <v>4</v>
      </c>
      <c r="C105" s="1994" t="s">
        <v>25</v>
      </c>
      <c r="D105" s="1763" t="s">
        <v>119</v>
      </c>
      <c r="E105" s="1763" t="s">
        <v>1028</v>
      </c>
      <c r="F105" s="1764" t="s">
        <v>1353</v>
      </c>
      <c r="G105" s="1764" t="s">
        <v>18</v>
      </c>
      <c r="H105" s="1926">
        <v>13810.5</v>
      </c>
    </row>
    <row r="106" spans="1:8" x14ac:dyDescent="0.2">
      <c r="A106" s="1993">
        <f>IF(B106="","",COUNTA($B$3:B106))</f>
        <v>104</v>
      </c>
      <c r="B106" s="1994">
        <v>4</v>
      </c>
      <c r="C106" s="1994" t="s">
        <v>25</v>
      </c>
      <c r="D106" s="1763" t="s">
        <v>119</v>
      </c>
      <c r="E106" s="1763" t="s">
        <v>1028</v>
      </c>
      <c r="F106" s="1764" t="s">
        <v>1353</v>
      </c>
      <c r="G106" s="1764" t="s">
        <v>19</v>
      </c>
      <c r="H106" s="1926">
        <v>0</v>
      </c>
    </row>
    <row r="107" spans="1:8" x14ac:dyDescent="0.2">
      <c r="A107" s="1993">
        <f>IF(B107="","",COUNTA($B$3:B107))</f>
        <v>105</v>
      </c>
      <c r="B107" s="1994">
        <v>4</v>
      </c>
      <c r="C107" s="1994" t="s">
        <v>25</v>
      </c>
      <c r="D107" s="1763" t="s">
        <v>119</v>
      </c>
      <c r="E107" s="1763" t="s">
        <v>1028</v>
      </c>
      <c r="F107" s="1764" t="s">
        <v>1353</v>
      </c>
      <c r="G107" s="1764" t="s">
        <v>20</v>
      </c>
      <c r="H107" s="1926">
        <v>30</v>
      </c>
    </row>
    <row r="108" spans="1:8" x14ac:dyDescent="0.2">
      <c r="A108" s="1993">
        <f>IF(B108="","",COUNTA($B$3:B108))</f>
        <v>106</v>
      </c>
      <c r="B108" s="1994">
        <v>4</v>
      </c>
      <c r="C108" s="1994" t="s">
        <v>25</v>
      </c>
      <c r="D108" s="1763" t="s">
        <v>119</v>
      </c>
      <c r="E108" s="1763" t="s">
        <v>1028</v>
      </c>
      <c r="F108" s="1764" t="s">
        <v>1363</v>
      </c>
      <c r="G108" s="1764" t="s">
        <v>18</v>
      </c>
      <c r="H108" s="1926">
        <v>15009</v>
      </c>
    </row>
    <row r="109" spans="1:8" x14ac:dyDescent="0.2">
      <c r="A109" s="1993">
        <f>IF(B109="","",COUNTA($B$3:B109))</f>
        <v>107</v>
      </c>
      <c r="B109" s="1994">
        <v>4</v>
      </c>
      <c r="C109" s="1994" t="s">
        <v>25</v>
      </c>
      <c r="D109" s="1763" t="s">
        <v>119</v>
      </c>
      <c r="E109" s="1763" t="s">
        <v>1028</v>
      </c>
      <c r="F109" s="1764" t="s">
        <v>1363</v>
      </c>
      <c r="G109" s="1764" t="s">
        <v>19</v>
      </c>
      <c r="H109" s="1926">
        <v>0</v>
      </c>
    </row>
    <row r="110" spans="1:8" x14ac:dyDescent="0.2">
      <c r="A110" s="1993">
        <f>IF(B110="","",COUNTA($B$3:B110))</f>
        <v>108</v>
      </c>
      <c r="B110" s="1994">
        <v>4</v>
      </c>
      <c r="C110" s="1994" t="s">
        <v>25</v>
      </c>
      <c r="D110" s="1763" t="s">
        <v>119</v>
      </c>
      <c r="E110" s="1763" t="s">
        <v>1028</v>
      </c>
      <c r="F110" s="1764" t="s">
        <v>1363</v>
      </c>
      <c r="G110" s="1764" t="s">
        <v>20</v>
      </c>
      <c r="H110" s="1926">
        <v>54</v>
      </c>
    </row>
    <row r="111" spans="1:8" x14ac:dyDescent="0.2">
      <c r="A111" s="1993">
        <f>IF(B111="","",COUNTA($B$3:B111))</f>
        <v>109</v>
      </c>
      <c r="B111" s="1994">
        <v>4</v>
      </c>
      <c r="C111" s="1994" t="s">
        <v>25</v>
      </c>
      <c r="D111" s="1763" t="s">
        <v>119</v>
      </c>
      <c r="E111" s="1763" t="s">
        <v>1028</v>
      </c>
      <c r="F111" s="1764" t="s">
        <v>1364</v>
      </c>
      <c r="G111" s="1764" t="s">
        <v>18</v>
      </c>
      <c r="H111" s="1926">
        <v>16030.5</v>
      </c>
    </row>
    <row r="112" spans="1:8" x14ac:dyDescent="0.2">
      <c r="A112" s="1993">
        <f>IF(B112="","",COUNTA($B$3:B112))</f>
        <v>110</v>
      </c>
      <c r="B112" s="1994">
        <v>4</v>
      </c>
      <c r="C112" s="1994" t="s">
        <v>25</v>
      </c>
      <c r="D112" s="1763" t="s">
        <v>119</v>
      </c>
      <c r="E112" s="1763" t="s">
        <v>1028</v>
      </c>
      <c r="F112" s="1764" t="s">
        <v>1364</v>
      </c>
      <c r="G112" s="1764" t="s">
        <v>19</v>
      </c>
      <c r="H112" s="1926">
        <v>0</v>
      </c>
    </row>
    <row r="113" spans="1:8" x14ac:dyDescent="0.2">
      <c r="A113" s="1993">
        <f>IF(B113="","",COUNTA($B$3:B113))</f>
        <v>111</v>
      </c>
      <c r="B113" s="1994">
        <v>4</v>
      </c>
      <c r="C113" s="1994" t="s">
        <v>25</v>
      </c>
      <c r="D113" s="1763" t="s">
        <v>119</v>
      </c>
      <c r="E113" s="1763" t="s">
        <v>1028</v>
      </c>
      <c r="F113" s="1764" t="s">
        <v>1364</v>
      </c>
      <c r="G113" s="1764" t="s">
        <v>20</v>
      </c>
      <c r="H113" s="1926">
        <v>84</v>
      </c>
    </row>
    <row r="114" spans="1:8" x14ac:dyDescent="0.2">
      <c r="A114" s="1993">
        <f>IF(B114="","",COUNTA($B$3:B114))</f>
        <v>112</v>
      </c>
      <c r="B114" s="1994">
        <v>4</v>
      </c>
      <c r="C114" s="1994" t="s">
        <v>25</v>
      </c>
      <c r="D114" s="1763" t="s">
        <v>116</v>
      </c>
      <c r="E114" s="1763" t="s">
        <v>140</v>
      </c>
      <c r="F114" s="1764" t="s">
        <v>117</v>
      </c>
      <c r="G114" s="1764" t="s">
        <v>18</v>
      </c>
      <c r="H114" s="1926">
        <v>25628.799999999999</v>
      </c>
    </row>
    <row r="115" spans="1:8" x14ac:dyDescent="0.2">
      <c r="A115" s="1993">
        <f>IF(B115="","",COUNTA($B$3:B115))</f>
        <v>113</v>
      </c>
      <c r="B115" s="1994">
        <v>4</v>
      </c>
      <c r="C115" s="1994" t="s">
        <v>25</v>
      </c>
      <c r="D115" s="1763" t="s">
        <v>116</v>
      </c>
      <c r="E115" s="1763" t="s">
        <v>140</v>
      </c>
      <c r="F115" s="1764" t="s">
        <v>117</v>
      </c>
      <c r="G115" s="1764" t="s">
        <v>19</v>
      </c>
      <c r="H115" s="1926">
        <v>0</v>
      </c>
    </row>
    <row r="116" spans="1:8" x14ac:dyDescent="0.2">
      <c r="A116" s="1993">
        <f>IF(B116="","",COUNTA($B$3:B116))</f>
        <v>114</v>
      </c>
      <c r="B116" s="1994">
        <v>4</v>
      </c>
      <c r="C116" s="1994" t="s">
        <v>25</v>
      </c>
      <c r="D116" s="1763" t="s">
        <v>116</v>
      </c>
      <c r="E116" s="1763" t="s">
        <v>140</v>
      </c>
      <c r="F116" s="1764" t="s">
        <v>117</v>
      </c>
      <c r="G116" s="1764" t="s">
        <v>20</v>
      </c>
      <c r="H116" s="1926">
        <v>835.2</v>
      </c>
    </row>
    <row r="117" spans="1:8" x14ac:dyDescent="0.2">
      <c r="A117" s="1993">
        <f>IF(B117="","",COUNTA($B$3:B117))</f>
        <v>115</v>
      </c>
      <c r="B117" s="1994">
        <v>4</v>
      </c>
      <c r="C117" s="1994" t="s">
        <v>25</v>
      </c>
      <c r="D117" s="1763" t="s">
        <v>116</v>
      </c>
      <c r="E117" s="1763" t="s">
        <v>140</v>
      </c>
      <c r="F117" s="1764" t="s">
        <v>1353</v>
      </c>
      <c r="G117" s="1764" t="s">
        <v>18</v>
      </c>
      <c r="H117" s="1926">
        <v>9072</v>
      </c>
    </row>
    <row r="118" spans="1:8" x14ac:dyDescent="0.2">
      <c r="A118" s="1993">
        <f>IF(B118="","",COUNTA($B$3:B118))</f>
        <v>116</v>
      </c>
      <c r="B118" s="1994">
        <v>4</v>
      </c>
      <c r="C118" s="1994" t="s">
        <v>25</v>
      </c>
      <c r="D118" s="1763" t="s">
        <v>116</v>
      </c>
      <c r="E118" s="1763" t="s">
        <v>140</v>
      </c>
      <c r="F118" s="1764" t="s">
        <v>1353</v>
      </c>
      <c r="G118" s="1764" t="s">
        <v>19</v>
      </c>
      <c r="H118" s="1926">
        <v>0</v>
      </c>
    </row>
    <row r="119" spans="1:8" x14ac:dyDescent="0.2">
      <c r="A119" s="1993">
        <f>IF(B119="","",COUNTA($B$3:B119))</f>
        <v>117</v>
      </c>
      <c r="B119" s="1994">
        <v>4</v>
      </c>
      <c r="C119" s="1994" t="s">
        <v>25</v>
      </c>
      <c r="D119" s="1763" t="s">
        <v>116</v>
      </c>
      <c r="E119" s="1763" t="s">
        <v>140</v>
      </c>
      <c r="F119" s="1764" t="s">
        <v>1353</v>
      </c>
      <c r="G119" s="1764" t="s">
        <v>20</v>
      </c>
      <c r="H119" s="1926">
        <v>270.39999999999998</v>
      </c>
    </row>
    <row r="120" spans="1:8" x14ac:dyDescent="0.2">
      <c r="A120" s="1993">
        <f>IF(B120="","",COUNTA($B$3:B120))</f>
        <v>118</v>
      </c>
      <c r="B120" s="1994">
        <v>4</v>
      </c>
      <c r="C120" s="1994" t="s">
        <v>25</v>
      </c>
      <c r="D120" s="1763" t="s">
        <v>116</v>
      </c>
      <c r="E120" s="1763" t="s">
        <v>140</v>
      </c>
      <c r="F120" s="1764" t="s">
        <v>129</v>
      </c>
      <c r="G120" s="1764" t="s">
        <v>18</v>
      </c>
      <c r="H120" s="1926">
        <v>347.2</v>
      </c>
    </row>
    <row r="121" spans="1:8" x14ac:dyDescent="0.2">
      <c r="A121" s="1993">
        <f>IF(B121="","",COUNTA($B$3:B121))</f>
        <v>119</v>
      </c>
      <c r="B121" s="1994">
        <v>4</v>
      </c>
      <c r="C121" s="1994" t="s">
        <v>25</v>
      </c>
      <c r="D121" s="1763" t="s">
        <v>116</v>
      </c>
      <c r="E121" s="1763" t="s">
        <v>140</v>
      </c>
      <c r="F121" s="1764" t="s">
        <v>129</v>
      </c>
      <c r="G121" s="1764" t="s">
        <v>19</v>
      </c>
      <c r="H121" s="1926">
        <v>0</v>
      </c>
    </row>
    <row r="122" spans="1:8" x14ac:dyDescent="0.2">
      <c r="A122" s="1993">
        <f>IF(B122="","",COUNTA($B$3:B122))</f>
        <v>120</v>
      </c>
      <c r="B122" s="1994">
        <v>4</v>
      </c>
      <c r="C122" s="1994" t="s">
        <v>25</v>
      </c>
      <c r="D122" s="1763" t="s">
        <v>116</v>
      </c>
      <c r="E122" s="1763" t="s">
        <v>140</v>
      </c>
      <c r="F122" s="1764" t="s">
        <v>129</v>
      </c>
      <c r="G122" s="1764" t="s">
        <v>20</v>
      </c>
      <c r="H122" s="1926">
        <v>6.4</v>
      </c>
    </row>
    <row r="123" spans="1:8" x14ac:dyDescent="0.2">
      <c r="A123" s="1993">
        <f>IF(B123="","",COUNTA($B$3:B123))</f>
        <v>121</v>
      </c>
      <c r="B123" s="1994">
        <v>4</v>
      </c>
      <c r="C123" s="1994" t="s">
        <v>25</v>
      </c>
      <c r="D123" s="1763" t="s">
        <v>116</v>
      </c>
      <c r="E123" s="1763" t="s">
        <v>140</v>
      </c>
      <c r="F123" s="1764" t="s">
        <v>109</v>
      </c>
      <c r="G123" s="1764" t="s">
        <v>18</v>
      </c>
      <c r="H123" s="1926">
        <v>56257.599999999999</v>
      </c>
    </row>
    <row r="124" spans="1:8" x14ac:dyDescent="0.2">
      <c r="A124" s="1993">
        <f>IF(B124="","",COUNTA($B$3:B124))</f>
        <v>122</v>
      </c>
      <c r="B124" s="1994">
        <v>4</v>
      </c>
      <c r="C124" s="1994" t="s">
        <v>25</v>
      </c>
      <c r="D124" s="1763" t="s">
        <v>116</v>
      </c>
      <c r="E124" s="1763" t="s">
        <v>140</v>
      </c>
      <c r="F124" s="1764" t="s">
        <v>109</v>
      </c>
      <c r="G124" s="1764" t="s">
        <v>19</v>
      </c>
      <c r="H124" s="1926">
        <v>0</v>
      </c>
    </row>
    <row r="125" spans="1:8" x14ac:dyDescent="0.2">
      <c r="A125" s="1993">
        <f>IF(B125="","",COUNTA($B$3:B125))</f>
        <v>123</v>
      </c>
      <c r="B125" s="1994">
        <v>4</v>
      </c>
      <c r="C125" s="1994" t="s">
        <v>25</v>
      </c>
      <c r="D125" s="1763" t="s">
        <v>116</v>
      </c>
      <c r="E125" s="1763" t="s">
        <v>140</v>
      </c>
      <c r="F125" s="1764" t="s">
        <v>109</v>
      </c>
      <c r="G125" s="1764" t="s">
        <v>20</v>
      </c>
      <c r="H125" s="1926">
        <v>13192</v>
      </c>
    </row>
    <row r="126" spans="1:8" x14ac:dyDescent="0.2">
      <c r="A126" s="1993">
        <f>IF(B126="","",COUNTA($B$3:B126))</f>
        <v>124</v>
      </c>
      <c r="B126" s="1994">
        <v>4</v>
      </c>
      <c r="C126" s="1994" t="s">
        <v>25</v>
      </c>
      <c r="D126" s="1763" t="s">
        <v>116</v>
      </c>
      <c r="E126" s="1763" t="s">
        <v>140</v>
      </c>
      <c r="F126" s="1764" t="s">
        <v>1365</v>
      </c>
      <c r="G126" s="1764" t="s">
        <v>18</v>
      </c>
      <c r="H126" s="1926">
        <v>44201.599999999999</v>
      </c>
    </row>
    <row r="127" spans="1:8" x14ac:dyDescent="0.2">
      <c r="A127" s="1993">
        <f>IF(B127="","",COUNTA($B$3:B127))</f>
        <v>125</v>
      </c>
      <c r="B127" s="1994">
        <v>4</v>
      </c>
      <c r="C127" s="1994" t="s">
        <v>25</v>
      </c>
      <c r="D127" s="1763" t="s">
        <v>116</v>
      </c>
      <c r="E127" s="1763" t="s">
        <v>140</v>
      </c>
      <c r="F127" s="1764" t="s">
        <v>1365</v>
      </c>
      <c r="G127" s="1764" t="s">
        <v>19</v>
      </c>
      <c r="H127" s="1926">
        <v>0</v>
      </c>
    </row>
    <row r="128" spans="1:8" x14ac:dyDescent="0.2">
      <c r="A128" s="1993">
        <f>IF(B128="","",COUNTA($B$3:B128))</f>
        <v>126</v>
      </c>
      <c r="B128" s="1994">
        <v>4</v>
      </c>
      <c r="C128" s="1994" t="s">
        <v>25</v>
      </c>
      <c r="D128" s="1763" t="s">
        <v>116</v>
      </c>
      <c r="E128" s="1763" t="s">
        <v>140</v>
      </c>
      <c r="F128" s="1764" t="s">
        <v>1365</v>
      </c>
      <c r="G128" s="1764" t="s">
        <v>20</v>
      </c>
      <c r="H128" s="1926">
        <v>2344</v>
      </c>
    </row>
    <row r="129" spans="1:8" x14ac:dyDescent="0.2">
      <c r="A129" s="1993">
        <f>IF(B129="","",COUNTA($B$3:B129))</f>
        <v>127</v>
      </c>
      <c r="B129" s="1994">
        <v>4</v>
      </c>
      <c r="C129" s="1994" t="s">
        <v>25</v>
      </c>
      <c r="D129" s="1763" t="s">
        <v>116</v>
      </c>
      <c r="E129" s="1763" t="s">
        <v>140</v>
      </c>
      <c r="F129" s="1764" t="s">
        <v>1366</v>
      </c>
      <c r="G129" s="1764" t="s">
        <v>18</v>
      </c>
      <c r="H129" s="1926">
        <v>5638.4</v>
      </c>
    </row>
    <row r="130" spans="1:8" x14ac:dyDescent="0.2">
      <c r="A130" s="1993">
        <f>IF(B130="","",COUNTA($B$3:B130))</f>
        <v>128</v>
      </c>
      <c r="B130" s="1994">
        <v>4</v>
      </c>
      <c r="C130" s="1994" t="s">
        <v>25</v>
      </c>
      <c r="D130" s="1763" t="s">
        <v>116</v>
      </c>
      <c r="E130" s="1763" t="s">
        <v>140</v>
      </c>
      <c r="F130" s="1764" t="s">
        <v>1366</v>
      </c>
      <c r="G130" s="1764" t="s">
        <v>19</v>
      </c>
      <c r="H130" s="1926">
        <v>0</v>
      </c>
    </row>
    <row r="131" spans="1:8" x14ac:dyDescent="0.2">
      <c r="A131" s="1993">
        <f>IF(B131="","",COUNTA($B$3:B131))</f>
        <v>129</v>
      </c>
      <c r="B131" s="1994">
        <v>4</v>
      </c>
      <c r="C131" s="1994" t="s">
        <v>25</v>
      </c>
      <c r="D131" s="1763" t="s">
        <v>116</v>
      </c>
      <c r="E131" s="1763" t="s">
        <v>140</v>
      </c>
      <c r="F131" s="1764" t="s">
        <v>1366</v>
      </c>
      <c r="G131" s="1764" t="s">
        <v>20</v>
      </c>
      <c r="H131" s="1926">
        <v>417.6</v>
      </c>
    </row>
    <row r="132" spans="1:8" x14ac:dyDescent="0.2">
      <c r="A132" s="1993">
        <f>IF(B132="","",COUNTA($B$3:B132))</f>
        <v>130</v>
      </c>
      <c r="B132" s="1994">
        <v>4</v>
      </c>
      <c r="C132" s="1994" t="s">
        <v>25</v>
      </c>
      <c r="D132" s="1763" t="s">
        <v>116</v>
      </c>
      <c r="E132" s="1763" t="s">
        <v>140</v>
      </c>
      <c r="F132" s="1764" t="s">
        <v>112</v>
      </c>
      <c r="G132" s="1764" t="s">
        <v>18</v>
      </c>
      <c r="H132" s="1926">
        <v>5236.8</v>
      </c>
    </row>
    <row r="133" spans="1:8" x14ac:dyDescent="0.2">
      <c r="A133" s="1993">
        <f>IF(B133="","",COUNTA($B$3:B133))</f>
        <v>131</v>
      </c>
      <c r="B133" s="1994">
        <v>4</v>
      </c>
      <c r="C133" s="1994" t="s">
        <v>25</v>
      </c>
      <c r="D133" s="1763" t="s">
        <v>116</v>
      </c>
      <c r="E133" s="1763" t="s">
        <v>140</v>
      </c>
      <c r="F133" s="1764" t="s">
        <v>112</v>
      </c>
      <c r="G133" s="1764" t="s">
        <v>19</v>
      </c>
      <c r="H133" s="1926">
        <v>0</v>
      </c>
    </row>
    <row r="134" spans="1:8" x14ac:dyDescent="0.2">
      <c r="A134" s="1993">
        <f>IF(B134="","",COUNTA($B$3:B134))</f>
        <v>132</v>
      </c>
      <c r="B134" s="1994">
        <v>4</v>
      </c>
      <c r="C134" s="1994" t="s">
        <v>25</v>
      </c>
      <c r="D134" s="1763" t="s">
        <v>116</v>
      </c>
      <c r="E134" s="1763" t="s">
        <v>140</v>
      </c>
      <c r="F134" s="1764" t="s">
        <v>112</v>
      </c>
      <c r="G134" s="1764" t="s">
        <v>20</v>
      </c>
      <c r="H134" s="1926">
        <v>284.8</v>
      </c>
    </row>
    <row r="135" spans="1:8" x14ac:dyDescent="0.2">
      <c r="A135" s="1993">
        <f>IF(B135="","",COUNTA($B$3:B135))</f>
        <v>133</v>
      </c>
      <c r="B135" s="1994">
        <v>4</v>
      </c>
      <c r="C135" s="1994" t="s">
        <v>25</v>
      </c>
      <c r="D135" s="1763" t="s">
        <v>116</v>
      </c>
      <c r="E135" s="1763" t="s">
        <v>140</v>
      </c>
      <c r="F135" s="1764" t="s">
        <v>113</v>
      </c>
      <c r="G135" s="1764" t="s">
        <v>18</v>
      </c>
      <c r="H135" s="1926">
        <v>36112</v>
      </c>
    </row>
    <row r="136" spans="1:8" x14ac:dyDescent="0.2">
      <c r="A136" s="1993">
        <f>IF(B136="","",COUNTA($B$3:B136))</f>
        <v>134</v>
      </c>
      <c r="B136" s="1994">
        <v>4</v>
      </c>
      <c r="C136" s="1994" t="s">
        <v>25</v>
      </c>
      <c r="D136" s="1763" t="s">
        <v>116</v>
      </c>
      <c r="E136" s="1763" t="s">
        <v>140</v>
      </c>
      <c r="F136" s="1764" t="s">
        <v>113</v>
      </c>
      <c r="G136" s="1764" t="s">
        <v>19</v>
      </c>
      <c r="H136" s="1926">
        <v>0</v>
      </c>
    </row>
    <row r="137" spans="1:8" x14ac:dyDescent="0.2">
      <c r="A137" s="1993">
        <f>IF(B137="","",COUNTA($B$3:B137))</f>
        <v>135</v>
      </c>
      <c r="B137" s="1994">
        <v>4</v>
      </c>
      <c r="C137" s="1994" t="s">
        <v>25</v>
      </c>
      <c r="D137" s="1763" t="s">
        <v>116</v>
      </c>
      <c r="E137" s="1763" t="s">
        <v>140</v>
      </c>
      <c r="F137" s="1764" t="s">
        <v>113</v>
      </c>
      <c r="G137" s="1764" t="s">
        <v>20</v>
      </c>
      <c r="H137" s="1926">
        <v>0</v>
      </c>
    </row>
    <row r="138" spans="1:8" x14ac:dyDescent="0.2">
      <c r="A138" s="1993">
        <f>IF(B138="","",COUNTA($B$3:B138))</f>
        <v>136</v>
      </c>
      <c r="B138" s="1994">
        <v>4</v>
      </c>
      <c r="C138" s="1994" t="s">
        <v>25</v>
      </c>
      <c r="D138" s="1763" t="s">
        <v>116</v>
      </c>
      <c r="E138" s="1763" t="s">
        <v>140</v>
      </c>
      <c r="F138" s="1764" t="s">
        <v>541</v>
      </c>
      <c r="G138" s="1764" t="s">
        <v>18</v>
      </c>
      <c r="H138" s="1926">
        <v>24347.200000000001</v>
      </c>
    </row>
    <row r="139" spans="1:8" x14ac:dyDescent="0.2">
      <c r="A139" s="1993">
        <f>IF(B139="","",COUNTA($B$3:B139))</f>
        <v>137</v>
      </c>
      <c r="B139" s="1994">
        <v>4</v>
      </c>
      <c r="C139" s="1994" t="s">
        <v>25</v>
      </c>
      <c r="D139" s="1763" t="s">
        <v>116</v>
      </c>
      <c r="E139" s="1763" t="s">
        <v>140</v>
      </c>
      <c r="F139" s="1764" t="s">
        <v>541</v>
      </c>
      <c r="G139" s="1764" t="s">
        <v>19</v>
      </c>
      <c r="H139" s="1926">
        <v>0</v>
      </c>
    </row>
    <row r="140" spans="1:8" x14ac:dyDescent="0.2">
      <c r="A140" s="1993">
        <f>IF(B140="","",COUNTA($B$3:B140))</f>
        <v>138</v>
      </c>
      <c r="B140" s="1994">
        <v>4</v>
      </c>
      <c r="C140" s="1994" t="s">
        <v>25</v>
      </c>
      <c r="D140" s="1763" t="s">
        <v>116</v>
      </c>
      <c r="E140" s="1763" t="s">
        <v>140</v>
      </c>
      <c r="F140" s="1764" t="s">
        <v>541</v>
      </c>
      <c r="G140" s="1764" t="s">
        <v>20</v>
      </c>
      <c r="H140" s="1926">
        <v>542.4</v>
      </c>
    </row>
    <row r="141" spans="1:8" x14ac:dyDescent="0.2">
      <c r="A141" s="1993">
        <f>IF(B141="","",COUNTA($B$3:B141))</f>
        <v>139</v>
      </c>
      <c r="B141" s="1994">
        <v>4</v>
      </c>
      <c r="C141" s="1995" t="s">
        <v>5</v>
      </c>
      <c r="D141" s="1763" t="s">
        <v>115</v>
      </c>
      <c r="E141" s="1763" t="s">
        <v>139</v>
      </c>
      <c r="F141" s="1764" t="s">
        <v>120</v>
      </c>
      <c r="G141" s="1764" t="s">
        <v>18</v>
      </c>
      <c r="H141" s="1926">
        <v>185617.44</v>
      </c>
    </row>
    <row r="142" spans="1:8" x14ac:dyDescent="0.2">
      <c r="A142" s="1993">
        <f>IF(B142="","",COUNTA($B$3:B142))</f>
        <v>140</v>
      </c>
      <c r="B142" s="1994">
        <v>4</v>
      </c>
      <c r="C142" s="1995" t="s">
        <v>5</v>
      </c>
      <c r="D142" s="1763" t="s">
        <v>115</v>
      </c>
      <c r="E142" s="1763" t="s">
        <v>139</v>
      </c>
      <c r="F142" s="1764" t="s">
        <v>120</v>
      </c>
      <c r="G142" s="1764" t="s">
        <v>19</v>
      </c>
      <c r="H142" s="1926">
        <v>4381.92</v>
      </c>
    </row>
    <row r="143" spans="1:8" x14ac:dyDescent="0.2">
      <c r="A143" s="1993">
        <f>IF(B143="","",COUNTA($B$3:B143))</f>
        <v>141</v>
      </c>
      <c r="B143" s="1994">
        <v>4</v>
      </c>
      <c r="C143" s="1995" t="s">
        <v>5</v>
      </c>
      <c r="D143" s="1763" t="s">
        <v>115</v>
      </c>
      <c r="E143" s="1763" t="s">
        <v>139</v>
      </c>
      <c r="F143" s="1764" t="s">
        <v>120</v>
      </c>
      <c r="G143" s="1764" t="s">
        <v>20</v>
      </c>
      <c r="H143" s="1926">
        <v>13489.92</v>
      </c>
    </row>
    <row r="144" spans="1:8" x14ac:dyDescent="0.2">
      <c r="A144" s="1993">
        <f>IF(B144="","",COUNTA($B$3:B144))</f>
        <v>142</v>
      </c>
      <c r="B144" s="1994">
        <v>4</v>
      </c>
      <c r="C144" s="1995" t="s">
        <v>5</v>
      </c>
      <c r="D144" s="1763" t="s">
        <v>115</v>
      </c>
      <c r="E144" s="1763" t="s">
        <v>139</v>
      </c>
      <c r="F144" s="1764" t="s">
        <v>146</v>
      </c>
      <c r="G144" s="1764" t="s">
        <v>18</v>
      </c>
      <c r="H144" s="1926">
        <v>512.64</v>
      </c>
    </row>
    <row r="145" spans="1:8" x14ac:dyDescent="0.2">
      <c r="A145" s="1993">
        <f>IF(B145="","",COUNTA($B$3:B145))</f>
        <v>143</v>
      </c>
      <c r="B145" s="1994">
        <v>4</v>
      </c>
      <c r="C145" s="1995" t="s">
        <v>5</v>
      </c>
      <c r="D145" s="1763" t="s">
        <v>115</v>
      </c>
      <c r="E145" s="1763" t="s">
        <v>139</v>
      </c>
      <c r="F145" s="1764" t="s">
        <v>146</v>
      </c>
      <c r="G145" s="1764" t="s">
        <v>19</v>
      </c>
      <c r="H145" s="1926">
        <v>0</v>
      </c>
    </row>
    <row r="146" spans="1:8" x14ac:dyDescent="0.2">
      <c r="A146" s="1993">
        <f>IF(B146="","",COUNTA($B$3:B146))</f>
        <v>144</v>
      </c>
      <c r="B146" s="1994">
        <v>4</v>
      </c>
      <c r="C146" s="1995" t="s">
        <v>5</v>
      </c>
      <c r="D146" s="1763" t="s">
        <v>115</v>
      </c>
      <c r="E146" s="1763" t="s">
        <v>139</v>
      </c>
      <c r="F146" s="1764" t="s">
        <v>146</v>
      </c>
      <c r="G146" s="1764" t="s">
        <v>20</v>
      </c>
      <c r="H146" s="1926">
        <v>17.28</v>
      </c>
    </row>
    <row r="147" spans="1:8" x14ac:dyDescent="0.2">
      <c r="A147" s="1993">
        <f>IF(B147="","",COUNTA($B$3:B147))</f>
        <v>145</v>
      </c>
      <c r="B147" s="1994">
        <v>4</v>
      </c>
      <c r="C147" s="1995" t="s">
        <v>5</v>
      </c>
      <c r="D147" s="1763" t="s">
        <v>115</v>
      </c>
      <c r="E147" s="1763" t="s">
        <v>139</v>
      </c>
      <c r="F147" s="1764" t="s">
        <v>1353</v>
      </c>
      <c r="G147" s="1764" t="s">
        <v>18</v>
      </c>
      <c r="H147" s="1926">
        <v>43824.959999999999</v>
      </c>
    </row>
    <row r="148" spans="1:8" x14ac:dyDescent="0.2">
      <c r="A148" s="1993">
        <f>IF(B148="","",COUNTA($B$3:B148))</f>
        <v>146</v>
      </c>
      <c r="B148" s="1994">
        <v>4</v>
      </c>
      <c r="C148" s="1995" t="s">
        <v>5</v>
      </c>
      <c r="D148" s="1763" t="s">
        <v>115</v>
      </c>
      <c r="E148" s="1763" t="s">
        <v>139</v>
      </c>
      <c r="F148" s="1764" t="s">
        <v>1353</v>
      </c>
      <c r="G148" s="1764" t="s">
        <v>19</v>
      </c>
      <c r="H148" s="1926">
        <v>0</v>
      </c>
    </row>
    <row r="149" spans="1:8" x14ac:dyDescent="0.2">
      <c r="A149" s="1993">
        <f>IF(B149="","",COUNTA($B$3:B149))</f>
        <v>147</v>
      </c>
      <c r="B149" s="1994">
        <v>4</v>
      </c>
      <c r="C149" s="1995" t="s">
        <v>5</v>
      </c>
      <c r="D149" s="1763" t="s">
        <v>115</v>
      </c>
      <c r="E149" s="1763" t="s">
        <v>139</v>
      </c>
      <c r="F149" s="1764" t="s">
        <v>1353</v>
      </c>
      <c r="G149" s="1764" t="s">
        <v>20</v>
      </c>
      <c r="H149" s="1926">
        <v>1977.12</v>
      </c>
    </row>
    <row r="150" spans="1:8" x14ac:dyDescent="0.2">
      <c r="A150" s="1993">
        <f>IF(B150="","",COUNTA($B$3:B150))</f>
        <v>148</v>
      </c>
      <c r="B150" s="1994">
        <v>4</v>
      </c>
      <c r="C150" s="1995" t="s">
        <v>5</v>
      </c>
      <c r="D150" s="1763" t="s">
        <v>115</v>
      </c>
      <c r="E150" s="1763" t="s">
        <v>139</v>
      </c>
      <c r="F150" s="1764" t="s">
        <v>541</v>
      </c>
      <c r="G150" s="1764" t="s">
        <v>18</v>
      </c>
      <c r="H150" s="1926">
        <v>55402.559999999998</v>
      </c>
    </row>
    <row r="151" spans="1:8" x14ac:dyDescent="0.2">
      <c r="A151" s="1993">
        <f>IF(B151="","",COUNTA($B$3:B151))</f>
        <v>149</v>
      </c>
      <c r="B151" s="1994">
        <v>4</v>
      </c>
      <c r="C151" s="1995" t="s">
        <v>5</v>
      </c>
      <c r="D151" s="1763" t="s">
        <v>115</v>
      </c>
      <c r="E151" s="1763" t="s">
        <v>139</v>
      </c>
      <c r="F151" s="1764" t="s">
        <v>541</v>
      </c>
      <c r="G151" s="1764" t="s">
        <v>19</v>
      </c>
      <c r="H151" s="1926">
        <v>1860.48</v>
      </c>
    </row>
    <row r="152" spans="1:8" x14ac:dyDescent="0.2">
      <c r="A152" s="1993">
        <f>IF(B152="","",COUNTA($B$3:B152))</f>
        <v>150</v>
      </c>
      <c r="B152" s="1994">
        <v>4</v>
      </c>
      <c r="C152" s="1995" t="s">
        <v>5</v>
      </c>
      <c r="D152" s="1763" t="s">
        <v>115</v>
      </c>
      <c r="E152" s="1763" t="s">
        <v>139</v>
      </c>
      <c r="F152" s="1764" t="s">
        <v>541</v>
      </c>
      <c r="G152" s="1764" t="s">
        <v>20</v>
      </c>
      <c r="H152" s="1926">
        <v>1339.2</v>
      </c>
    </row>
    <row r="153" spans="1:8" x14ac:dyDescent="0.2">
      <c r="A153" s="1993">
        <f>IF(B153="","",COUNTA($B$3:B153))</f>
        <v>151</v>
      </c>
      <c r="B153" s="1994">
        <v>4</v>
      </c>
      <c r="C153" s="1995" t="s">
        <v>5</v>
      </c>
      <c r="D153" s="1763" t="s">
        <v>115</v>
      </c>
      <c r="E153" s="1763" t="s">
        <v>139</v>
      </c>
      <c r="F153" s="1764" t="s">
        <v>113</v>
      </c>
      <c r="G153" s="1764" t="s">
        <v>18</v>
      </c>
      <c r="H153" s="1926">
        <v>97444.800000000003</v>
      </c>
    </row>
    <row r="154" spans="1:8" x14ac:dyDescent="0.2">
      <c r="A154" s="1993">
        <f>IF(B154="","",COUNTA($B$3:B154))</f>
        <v>152</v>
      </c>
      <c r="B154" s="1994">
        <v>4</v>
      </c>
      <c r="C154" s="1995" t="s">
        <v>5</v>
      </c>
      <c r="D154" s="1763" t="s">
        <v>115</v>
      </c>
      <c r="E154" s="1763" t="s">
        <v>139</v>
      </c>
      <c r="F154" s="1764" t="s">
        <v>113</v>
      </c>
      <c r="G154" s="1764" t="s">
        <v>19</v>
      </c>
      <c r="H154" s="1926">
        <v>0</v>
      </c>
    </row>
    <row r="155" spans="1:8" x14ac:dyDescent="0.2">
      <c r="A155" s="1993">
        <f>IF(B155="","",COUNTA($B$3:B155))</f>
        <v>153</v>
      </c>
      <c r="B155" s="1994">
        <v>4</v>
      </c>
      <c r="C155" s="1995" t="s">
        <v>5</v>
      </c>
      <c r="D155" s="1763" t="s">
        <v>115</v>
      </c>
      <c r="E155" s="1763" t="s">
        <v>139</v>
      </c>
      <c r="F155" s="1764" t="s">
        <v>113</v>
      </c>
      <c r="G155" s="1764" t="s">
        <v>20</v>
      </c>
      <c r="H155" s="1926">
        <v>0</v>
      </c>
    </row>
    <row r="156" spans="1:8" x14ac:dyDescent="0.2">
      <c r="A156" s="1993">
        <f>IF(B156="","",COUNTA($B$3:B156))</f>
        <v>154</v>
      </c>
      <c r="B156" s="1994">
        <v>4</v>
      </c>
      <c r="C156" s="1995" t="s">
        <v>5</v>
      </c>
      <c r="D156" s="1763" t="s">
        <v>115</v>
      </c>
      <c r="E156" s="1763" t="s">
        <v>139</v>
      </c>
      <c r="F156" s="1764" t="s">
        <v>1364</v>
      </c>
      <c r="G156" s="1764" t="s">
        <v>18</v>
      </c>
      <c r="H156" s="1926">
        <v>56000.160000000003</v>
      </c>
    </row>
    <row r="157" spans="1:8" x14ac:dyDescent="0.2">
      <c r="A157" s="1993">
        <f>IF(B157="","",COUNTA($B$3:B157))</f>
        <v>155</v>
      </c>
      <c r="B157" s="1994">
        <v>4</v>
      </c>
      <c r="C157" s="1995" t="s">
        <v>5</v>
      </c>
      <c r="D157" s="1763" t="s">
        <v>115</v>
      </c>
      <c r="E157" s="1763" t="s">
        <v>139</v>
      </c>
      <c r="F157" s="1764" t="s">
        <v>1364</v>
      </c>
      <c r="G157" s="1764" t="s">
        <v>19</v>
      </c>
      <c r="H157" s="1926">
        <v>1576.8</v>
      </c>
    </row>
    <row r="158" spans="1:8" x14ac:dyDescent="0.2">
      <c r="A158" s="1993">
        <f>IF(B158="","",COUNTA($B$3:B158))</f>
        <v>156</v>
      </c>
      <c r="B158" s="1994">
        <v>4</v>
      </c>
      <c r="C158" s="1995" t="s">
        <v>5</v>
      </c>
      <c r="D158" s="1763" t="s">
        <v>115</v>
      </c>
      <c r="E158" s="1763" t="s">
        <v>139</v>
      </c>
      <c r="F158" s="1764" t="s">
        <v>1364</v>
      </c>
      <c r="G158" s="1764" t="s">
        <v>20</v>
      </c>
      <c r="H158" s="1926">
        <v>1552.32</v>
      </c>
    </row>
    <row r="159" spans="1:8" x14ac:dyDescent="0.2">
      <c r="A159" s="1993">
        <f>IF(B159="","",COUNTA($B$3:B159))</f>
        <v>157</v>
      </c>
      <c r="B159" s="1994">
        <v>4</v>
      </c>
      <c r="C159" s="1995" t="s">
        <v>5</v>
      </c>
      <c r="D159" s="1763" t="s">
        <v>115</v>
      </c>
      <c r="E159" s="1763" t="s">
        <v>139</v>
      </c>
      <c r="F159" s="1764" t="s">
        <v>1363</v>
      </c>
      <c r="G159" s="1764" t="s">
        <v>18</v>
      </c>
      <c r="H159" s="1926">
        <v>9449.2800000000007</v>
      </c>
    </row>
    <row r="160" spans="1:8" x14ac:dyDescent="0.2">
      <c r="A160" s="1993">
        <f>IF(B160="","",COUNTA($B$3:B160))</f>
        <v>158</v>
      </c>
      <c r="B160" s="1994">
        <v>4</v>
      </c>
      <c r="C160" s="1995" t="s">
        <v>5</v>
      </c>
      <c r="D160" s="1763" t="s">
        <v>115</v>
      </c>
      <c r="E160" s="1763" t="s">
        <v>139</v>
      </c>
      <c r="F160" s="1764" t="s">
        <v>1363</v>
      </c>
      <c r="G160" s="1764" t="s">
        <v>19</v>
      </c>
      <c r="H160" s="1926">
        <v>403.2</v>
      </c>
    </row>
    <row r="161" spans="1:9" x14ac:dyDescent="0.2">
      <c r="A161" s="1993">
        <f>IF(B161="","",COUNTA($B$3:B161))</f>
        <v>159</v>
      </c>
      <c r="B161" s="1994">
        <v>4</v>
      </c>
      <c r="C161" s="1995" t="s">
        <v>5</v>
      </c>
      <c r="D161" s="1763" t="s">
        <v>115</v>
      </c>
      <c r="E161" s="1763" t="s">
        <v>139</v>
      </c>
      <c r="F161" s="1764" t="s">
        <v>1363</v>
      </c>
      <c r="G161" s="1764" t="s">
        <v>20</v>
      </c>
      <c r="H161" s="1926">
        <v>239.04</v>
      </c>
    </row>
    <row r="162" spans="1:9" x14ac:dyDescent="0.2">
      <c r="A162" s="1993">
        <f>IF(B162="","",COUNTA($B$3:B162))</f>
        <v>160</v>
      </c>
      <c r="B162" s="1994">
        <v>4</v>
      </c>
      <c r="C162" s="1995" t="s">
        <v>5</v>
      </c>
      <c r="D162" s="1763" t="s">
        <v>115</v>
      </c>
      <c r="E162" s="1763" t="s">
        <v>139</v>
      </c>
      <c r="F162" s="1764" t="s">
        <v>129</v>
      </c>
      <c r="G162" s="1764" t="s">
        <v>18</v>
      </c>
      <c r="H162" s="1926">
        <v>4180.32</v>
      </c>
    </row>
    <row r="163" spans="1:9" x14ac:dyDescent="0.2">
      <c r="A163" s="1993">
        <f>IF(B163="","",COUNTA($B$3:B163))</f>
        <v>161</v>
      </c>
      <c r="B163" s="1994">
        <v>4</v>
      </c>
      <c r="C163" s="1995" t="s">
        <v>5</v>
      </c>
      <c r="D163" s="1763" t="s">
        <v>115</v>
      </c>
      <c r="E163" s="1763" t="s">
        <v>139</v>
      </c>
      <c r="F163" s="1764" t="s">
        <v>129</v>
      </c>
      <c r="G163" s="1764" t="s">
        <v>19</v>
      </c>
      <c r="H163" s="1926">
        <v>86.4</v>
      </c>
    </row>
    <row r="164" spans="1:9" x14ac:dyDescent="0.2">
      <c r="A164" s="1993">
        <f>IF(B164="","",COUNTA($B$3:B164))</f>
        <v>162</v>
      </c>
      <c r="B164" s="1994">
        <v>4</v>
      </c>
      <c r="C164" s="1995" t="s">
        <v>5</v>
      </c>
      <c r="D164" s="1763" t="s">
        <v>115</v>
      </c>
      <c r="E164" s="1763" t="s">
        <v>139</v>
      </c>
      <c r="F164" s="1764" t="s">
        <v>129</v>
      </c>
      <c r="G164" s="1764" t="s">
        <v>20</v>
      </c>
      <c r="H164" s="1926">
        <v>116.64</v>
      </c>
    </row>
    <row r="165" spans="1:9" x14ac:dyDescent="0.2">
      <c r="A165" s="1993">
        <f>IF(B165="","",COUNTA($B$3:B165))</f>
        <v>163</v>
      </c>
      <c r="B165" s="1995">
        <v>5</v>
      </c>
      <c r="C165" s="1995" t="s">
        <v>5</v>
      </c>
      <c r="D165" s="1763" t="s">
        <v>115</v>
      </c>
      <c r="E165" s="1763" t="s">
        <v>139</v>
      </c>
      <c r="F165" s="1764" t="s">
        <v>120</v>
      </c>
      <c r="G165" s="1764" t="s">
        <v>18</v>
      </c>
      <c r="H165" s="1926">
        <v>158351.04000000001</v>
      </c>
    </row>
    <row r="166" spans="1:9" x14ac:dyDescent="0.2">
      <c r="A166" s="1993">
        <f>IF(B166="","",COUNTA($B$3:B166))</f>
        <v>164</v>
      </c>
      <c r="B166" s="1995">
        <v>5</v>
      </c>
      <c r="C166" s="1995" t="s">
        <v>5</v>
      </c>
      <c r="D166" s="1763" t="s">
        <v>115</v>
      </c>
      <c r="E166" s="1763" t="s">
        <v>139</v>
      </c>
      <c r="F166" s="1764" t="s">
        <v>120</v>
      </c>
      <c r="G166" s="1764" t="s">
        <v>19</v>
      </c>
      <c r="H166" s="1926">
        <v>5832</v>
      </c>
    </row>
    <row r="167" spans="1:9" x14ac:dyDescent="0.2">
      <c r="A167" s="1993">
        <f>IF(B167="","",COUNTA($B$3:B167))</f>
        <v>165</v>
      </c>
      <c r="B167" s="1995">
        <v>5</v>
      </c>
      <c r="C167" s="1995" t="s">
        <v>5</v>
      </c>
      <c r="D167" s="1763" t="s">
        <v>115</v>
      </c>
      <c r="E167" s="1763" t="s">
        <v>139</v>
      </c>
      <c r="F167" s="1764" t="s">
        <v>120</v>
      </c>
      <c r="G167" s="1764" t="s">
        <v>20</v>
      </c>
      <c r="H167" s="1926">
        <v>9708.48</v>
      </c>
    </row>
    <row r="168" spans="1:9" x14ac:dyDescent="0.2">
      <c r="A168" s="1993">
        <f>IF(B168="","",COUNTA($B$3:B168))</f>
        <v>166</v>
      </c>
      <c r="B168" s="1995">
        <v>5</v>
      </c>
      <c r="C168" s="1995" t="s">
        <v>5</v>
      </c>
      <c r="D168" s="1763" t="s">
        <v>115</v>
      </c>
      <c r="E168" s="1763" t="s">
        <v>139</v>
      </c>
      <c r="F168" s="1764" t="s">
        <v>1353</v>
      </c>
      <c r="G168" s="1764" t="s">
        <v>18</v>
      </c>
      <c r="H168" s="1926">
        <v>24756.48</v>
      </c>
    </row>
    <row r="169" spans="1:9" x14ac:dyDescent="0.2">
      <c r="A169" s="1993">
        <f>IF(B169="","",COUNTA($B$3:B169))</f>
        <v>167</v>
      </c>
      <c r="B169" s="1995">
        <v>5</v>
      </c>
      <c r="C169" s="1995" t="s">
        <v>5</v>
      </c>
      <c r="D169" s="1763" t="s">
        <v>115</v>
      </c>
      <c r="E169" s="1763" t="s">
        <v>139</v>
      </c>
      <c r="F169" s="1764" t="s">
        <v>1353</v>
      </c>
      <c r="G169" s="1764" t="s">
        <v>19</v>
      </c>
      <c r="H169" s="1926">
        <v>0</v>
      </c>
    </row>
    <row r="170" spans="1:9" x14ac:dyDescent="0.2">
      <c r="A170" s="1993">
        <f>IF(B170="","",COUNTA($B$3:B170))</f>
        <v>168</v>
      </c>
      <c r="B170" s="1995">
        <v>5</v>
      </c>
      <c r="C170" s="1995" t="s">
        <v>5</v>
      </c>
      <c r="D170" s="1763" t="s">
        <v>115</v>
      </c>
      <c r="E170" s="1763" t="s">
        <v>139</v>
      </c>
      <c r="F170" s="1764" t="s">
        <v>1353</v>
      </c>
      <c r="G170" s="1764" t="s">
        <v>20</v>
      </c>
      <c r="H170" s="1926">
        <v>1608.48</v>
      </c>
      <c r="I170" s="1764"/>
    </row>
    <row r="171" spans="1:9" x14ac:dyDescent="0.2">
      <c r="A171" s="1993">
        <f>IF(B171="","",COUNTA($B$3:B171))</f>
        <v>169</v>
      </c>
      <c r="B171" s="1995">
        <v>5</v>
      </c>
      <c r="C171" s="1995" t="s">
        <v>5</v>
      </c>
      <c r="D171" s="1763" t="s">
        <v>115</v>
      </c>
      <c r="E171" s="1763" t="s">
        <v>139</v>
      </c>
      <c r="F171" s="1764" t="s">
        <v>541</v>
      </c>
      <c r="G171" s="1764" t="s">
        <v>18</v>
      </c>
      <c r="H171" s="1926">
        <v>35650.080000000002</v>
      </c>
    </row>
    <row r="172" spans="1:9" x14ac:dyDescent="0.2">
      <c r="A172" s="1993">
        <f>IF(B172="","",COUNTA($B$3:B172))</f>
        <v>170</v>
      </c>
      <c r="B172" s="1995">
        <v>5</v>
      </c>
      <c r="C172" s="1995" t="s">
        <v>5</v>
      </c>
      <c r="D172" s="1763" t="s">
        <v>115</v>
      </c>
      <c r="E172" s="1763" t="s">
        <v>139</v>
      </c>
      <c r="F172" s="1764" t="s">
        <v>541</v>
      </c>
      <c r="G172" s="1764" t="s">
        <v>19</v>
      </c>
      <c r="H172" s="1926">
        <v>2206.08</v>
      </c>
    </row>
    <row r="173" spans="1:9" x14ac:dyDescent="0.2">
      <c r="A173" s="1993">
        <f>IF(B173="","",COUNTA($B$3:B173))</f>
        <v>171</v>
      </c>
      <c r="B173" s="1995">
        <v>5</v>
      </c>
      <c r="C173" s="1995" t="s">
        <v>5</v>
      </c>
      <c r="D173" s="1763" t="s">
        <v>115</v>
      </c>
      <c r="E173" s="1763" t="s">
        <v>139</v>
      </c>
      <c r="F173" s="1764" t="s">
        <v>541</v>
      </c>
      <c r="G173" s="1764" t="s">
        <v>20</v>
      </c>
      <c r="H173" s="1926">
        <v>1738.08</v>
      </c>
    </row>
    <row r="174" spans="1:9" x14ac:dyDescent="0.2">
      <c r="A174" s="1993">
        <f>IF(B174="","",COUNTA($B$3:B174))</f>
        <v>172</v>
      </c>
      <c r="B174" s="1995">
        <v>5</v>
      </c>
      <c r="C174" s="1995" t="s">
        <v>5</v>
      </c>
      <c r="D174" s="1763" t="s">
        <v>115</v>
      </c>
      <c r="E174" s="1763" t="s">
        <v>139</v>
      </c>
      <c r="F174" s="1764" t="s">
        <v>113</v>
      </c>
      <c r="G174" s="1764" t="s">
        <v>18</v>
      </c>
      <c r="H174" s="1926">
        <v>66680.639999999999</v>
      </c>
    </row>
    <row r="175" spans="1:9" x14ac:dyDescent="0.2">
      <c r="A175" s="1993">
        <f>IF(B175="","",COUNTA($B$3:B175))</f>
        <v>173</v>
      </c>
      <c r="B175" s="1995">
        <v>5</v>
      </c>
      <c r="C175" s="1995" t="s">
        <v>5</v>
      </c>
      <c r="D175" s="1763" t="s">
        <v>115</v>
      </c>
      <c r="E175" s="1763" t="s">
        <v>139</v>
      </c>
      <c r="F175" s="1764" t="s">
        <v>113</v>
      </c>
      <c r="G175" s="1764" t="s">
        <v>19</v>
      </c>
      <c r="H175" s="1926">
        <v>0</v>
      </c>
    </row>
    <row r="176" spans="1:9" x14ac:dyDescent="0.2">
      <c r="A176" s="1993">
        <f>IF(B176="","",COUNTA($B$3:B176))</f>
        <v>174</v>
      </c>
      <c r="B176" s="1995">
        <v>5</v>
      </c>
      <c r="C176" s="1995" t="s">
        <v>5</v>
      </c>
      <c r="D176" s="1763" t="s">
        <v>115</v>
      </c>
      <c r="E176" s="1763" t="s">
        <v>139</v>
      </c>
      <c r="F176" s="1764" t="s">
        <v>113</v>
      </c>
      <c r="G176" s="1764" t="s">
        <v>20</v>
      </c>
      <c r="H176" s="1926">
        <v>0</v>
      </c>
    </row>
    <row r="177" spans="1:8" x14ac:dyDescent="0.2">
      <c r="A177" s="1993">
        <f>IF(B177="","",COUNTA($B$3:B177))</f>
        <v>175</v>
      </c>
      <c r="B177" s="1995">
        <v>5</v>
      </c>
      <c r="C177" s="1995" t="s">
        <v>5</v>
      </c>
      <c r="D177" s="1763" t="s">
        <v>115</v>
      </c>
      <c r="E177" s="1763" t="s">
        <v>139</v>
      </c>
      <c r="F177" s="1764" t="s">
        <v>1364</v>
      </c>
      <c r="G177" s="1764" t="s">
        <v>18</v>
      </c>
      <c r="H177" s="1926">
        <v>42687.360000000001</v>
      </c>
    </row>
    <row r="178" spans="1:8" x14ac:dyDescent="0.2">
      <c r="A178" s="1993">
        <f>IF(B178="","",COUNTA($B$3:B178))</f>
        <v>176</v>
      </c>
      <c r="B178" s="1995">
        <v>5</v>
      </c>
      <c r="C178" s="1995" t="s">
        <v>5</v>
      </c>
      <c r="D178" s="1763" t="s">
        <v>115</v>
      </c>
      <c r="E178" s="1763" t="s">
        <v>139</v>
      </c>
      <c r="F178" s="1764" t="s">
        <v>1364</v>
      </c>
      <c r="G178" s="1764" t="s">
        <v>19</v>
      </c>
      <c r="H178" s="1926">
        <v>2862.72</v>
      </c>
    </row>
    <row r="179" spans="1:8" x14ac:dyDescent="0.2">
      <c r="A179" s="1993">
        <f>IF(B179="","",COUNTA($B$3:B179))</f>
        <v>177</v>
      </c>
      <c r="B179" s="1995">
        <v>5</v>
      </c>
      <c r="C179" s="1995" t="s">
        <v>5</v>
      </c>
      <c r="D179" s="1763" t="s">
        <v>115</v>
      </c>
      <c r="E179" s="1763" t="s">
        <v>139</v>
      </c>
      <c r="F179" s="1764" t="s">
        <v>1364</v>
      </c>
      <c r="G179" s="1764" t="s">
        <v>20</v>
      </c>
      <c r="H179" s="1926">
        <v>1795.68</v>
      </c>
    </row>
    <row r="180" spans="1:8" x14ac:dyDescent="0.2">
      <c r="A180" s="1993">
        <f>IF(B180="","",COUNTA($B$3:B180))</f>
        <v>178</v>
      </c>
      <c r="B180" s="1995">
        <v>5</v>
      </c>
      <c r="C180" s="1995" t="s">
        <v>5</v>
      </c>
      <c r="D180" s="1763" t="s">
        <v>115</v>
      </c>
      <c r="E180" s="1763" t="s">
        <v>139</v>
      </c>
      <c r="F180" s="1764" t="s">
        <v>1363</v>
      </c>
      <c r="G180" s="1764" t="s">
        <v>18</v>
      </c>
      <c r="H180" s="1926">
        <v>39143.519999999997</v>
      </c>
    </row>
    <row r="181" spans="1:8" x14ac:dyDescent="0.2">
      <c r="A181" s="1993">
        <f>IF(B181="","",COUNTA($B$3:B181))</f>
        <v>179</v>
      </c>
      <c r="B181" s="1995">
        <v>5</v>
      </c>
      <c r="C181" s="1995" t="s">
        <v>5</v>
      </c>
      <c r="D181" s="1763" t="s">
        <v>115</v>
      </c>
      <c r="E181" s="1763" t="s">
        <v>139</v>
      </c>
      <c r="F181" s="1764" t="s">
        <v>1363</v>
      </c>
      <c r="G181" s="1764" t="s">
        <v>19</v>
      </c>
      <c r="H181" s="1926">
        <v>1340.64</v>
      </c>
    </row>
    <row r="182" spans="1:8" x14ac:dyDescent="0.2">
      <c r="A182" s="1993">
        <f>IF(B182="","",COUNTA($B$3:B182))</f>
        <v>180</v>
      </c>
      <c r="B182" s="1995">
        <v>5</v>
      </c>
      <c r="C182" s="1995" t="s">
        <v>5</v>
      </c>
      <c r="D182" s="1763" t="s">
        <v>115</v>
      </c>
      <c r="E182" s="1763" t="s">
        <v>139</v>
      </c>
      <c r="F182" s="1764" t="s">
        <v>1363</v>
      </c>
      <c r="G182" s="1764" t="s">
        <v>20</v>
      </c>
      <c r="H182" s="1926">
        <v>1143.3599999999999</v>
      </c>
    </row>
    <row r="183" spans="1:8" x14ac:dyDescent="0.2">
      <c r="A183" s="1993">
        <f>IF(B183="","",COUNTA($B$3:B183))</f>
        <v>181</v>
      </c>
      <c r="B183" s="1995">
        <v>5</v>
      </c>
      <c r="C183" s="1995" t="s">
        <v>5</v>
      </c>
      <c r="D183" s="1763" t="s">
        <v>115</v>
      </c>
      <c r="E183" s="1763" t="s">
        <v>139</v>
      </c>
      <c r="F183" s="1764" t="s">
        <v>112</v>
      </c>
      <c r="G183" s="1764" t="s">
        <v>18</v>
      </c>
      <c r="H183" s="1926">
        <v>5083.2</v>
      </c>
    </row>
    <row r="184" spans="1:8" x14ac:dyDescent="0.2">
      <c r="A184" s="1993">
        <f>IF(B184="","",COUNTA($B$3:B184))</f>
        <v>182</v>
      </c>
      <c r="B184" s="1995">
        <v>5</v>
      </c>
      <c r="C184" s="1995" t="s">
        <v>5</v>
      </c>
      <c r="D184" s="1763" t="s">
        <v>115</v>
      </c>
      <c r="E184" s="1763" t="s">
        <v>139</v>
      </c>
      <c r="F184" s="1764" t="s">
        <v>112</v>
      </c>
      <c r="G184" s="1764" t="s">
        <v>19</v>
      </c>
      <c r="H184" s="1926">
        <v>86.4</v>
      </c>
    </row>
    <row r="185" spans="1:8" x14ac:dyDescent="0.2">
      <c r="A185" s="1993">
        <f>IF(B185="","",COUNTA($B$3:B185))</f>
        <v>183</v>
      </c>
      <c r="B185" s="1995">
        <v>5</v>
      </c>
      <c r="C185" s="1995" t="s">
        <v>5</v>
      </c>
      <c r="D185" s="1763" t="s">
        <v>115</v>
      </c>
      <c r="E185" s="1763" t="s">
        <v>139</v>
      </c>
      <c r="F185" s="1764" t="s">
        <v>112</v>
      </c>
      <c r="G185" s="1764" t="s">
        <v>20</v>
      </c>
      <c r="H185" s="1926">
        <v>223.2</v>
      </c>
    </row>
    <row r="186" spans="1:8" x14ac:dyDescent="0.2">
      <c r="A186" s="1993">
        <f>IF(B186="","",COUNTA($B$3:B186))</f>
        <v>184</v>
      </c>
      <c r="B186" s="1995">
        <v>5</v>
      </c>
      <c r="C186" s="1995" t="s">
        <v>5</v>
      </c>
      <c r="D186" s="1763" t="s">
        <v>115</v>
      </c>
      <c r="E186" s="1763" t="s">
        <v>139</v>
      </c>
      <c r="F186" s="1764" t="s">
        <v>129</v>
      </c>
      <c r="G186" s="1764" t="s">
        <v>18</v>
      </c>
      <c r="H186" s="1926">
        <v>19513.439999999999</v>
      </c>
    </row>
    <row r="187" spans="1:8" x14ac:dyDescent="0.2">
      <c r="A187" s="1993">
        <f>IF(B187="","",COUNTA($B$3:B187))</f>
        <v>185</v>
      </c>
      <c r="B187" s="1995">
        <v>5</v>
      </c>
      <c r="C187" s="1995" t="s">
        <v>5</v>
      </c>
      <c r="D187" s="1763" t="s">
        <v>115</v>
      </c>
      <c r="E187" s="1763" t="s">
        <v>139</v>
      </c>
      <c r="F187" s="1764" t="s">
        <v>129</v>
      </c>
      <c r="G187" s="1764" t="s">
        <v>19</v>
      </c>
      <c r="H187" s="1926">
        <v>802.08</v>
      </c>
    </row>
    <row r="188" spans="1:8" x14ac:dyDescent="0.2">
      <c r="A188" s="1993">
        <f>IF(B188="","",COUNTA($B$3:B188))</f>
        <v>186</v>
      </c>
      <c r="B188" s="1995">
        <v>5</v>
      </c>
      <c r="C188" s="1995" t="s">
        <v>5</v>
      </c>
      <c r="D188" s="1763" t="s">
        <v>115</v>
      </c>
      <c r="E188" s="1763" t="s">
        <v>139</v>
      </c>
      <c r="F188" s="1764" t="s">
        <v>129</v>
      </c>
      <c r="G188" s="1764" t="s">
        <v>20</v>
      </c>
      <c r="H188" s="1926">
        <v>1189.44</v>
      </c>
    </row>
    <row r="189" spans="1:8" x14ac:dyDescent="0.2">
      <c r="A189" s="1993">
        <f>IF(B189="","",COUNTA($B$3:B189))</f>
        <v>187</v>
      </c>
      <c r="B189" s="1995">
        <v>5</v>
      </c>
      <c r="C189" s="1995" t="s">
        <v>5</v>
      </c>
      <c r="D189" s="1763" t="s">
        <v>115</v>
      </c>
      <c r="E189" s="1763" t="s">
        <v>139</v>
      </c>
      <c r="F189" s="1764" t="s">
        <v>114</v>
      </c>
      <c r="G189" s="1764" t="s">
        <v>18</v>
      </c>
      <c r="H189" s="1926">
        <v>26894.880000000001</v>
      </c>
    </row>
    <row r="190" spans="1:8" x14ac:dyDescent="0.2">
      <c r="A190" s="1993">
        <f>IF(B190="","",COUNTA($B$3:B190))</f>
        <v>188</v>
      </c>
      <c r="B190" s="1995">
        <v>5</v>
      </c>
      <c r="C190" s="1995" t="s">
        <v>5</v>
      </c>
      <c r="D190" s="1763" t="s">
        <v>115</v>
      </c>
      <c r="E190" s="1763" t="s">
        <v>139</v>
      </c>
      <c r="F190" s="1764" t="s">
        <v>114</v>
      </c>
      <c r="G190" s="1764" t="s">
        <v>19</v>
      </c>
      <c r="H190" s="1926">
        <v>0</v>
      </c>
    </row>
    <row r="191" spans="1:8" x14ac:dyDescent="0.2">
      <c r="A191" s="1993">
        <f>IF(B191="","",COUNTA($B$3:B191))</f>
        <v>189</v>
      </c>
      <c r="B191" s="1995">
        <v>5</v>
      </c>
      <c r="C191" s="1995" t="s">
        <v>5</v>
      </c>
      <c r="D191" s="1763" t="s">
        <v>115</v>
      </c>
      <c r="E191" s="1763" t="s">
        <v>139</v>
      </c>
      <c r="F191" s="1764" t="s">
        <v>114</v>
      </c>
      <c r="G191" s="1764" t="s">
        <v>20</v>
      </c>
      <c r="H191" s="1926">
        <v>1753.92</v>
      </c>
    </row>
    <row r="192" spans="1:8" x14ac:dyDescent="0.2">
      <c r="A192" s="1993">
        <f>IF(B192="","",COUNTA($B$3:B192))</f>
        <v>190</v>
      </c>
      <c r="B192" s="1995">
        <v>5</v>
      </c>
      <c r="C192" s="1995" t="s">
        <v>5</v>
      </c>
      <c r="D192" s="1763" t="s">
        <v>115</v>
      </c>
      <c r="E192" s="1763" t="s">
        <v>139</v>
      </c>
      <c r="F192" s="1764" t="s">
        <v>128</v>
      </c>
      <c r="G192" s="1764" t="s">
        <v>18</v>
      </c>
      <c r="H192" s="1926">
        <v>3562.56</v>
      </c>
    </row>
    <row r="193" spans="1:8" x14ac:dyDescent="0.2">
      <c r="A193" s="1993">
        <f>IF(B193="","",COUNTA($B$3:B193))</f>
        <v>191</v>
      </c>
      <c r="B193" s="1995">
        <v>5</v>
      </c>
      <c r="C193" s="1995" t="s">
        <v>5</v>
      </c>
      <c r="D193" s="1763" t="s">
        <v>115</v>
      </c>
      <c r="E193" s="1763" t="s">
        <v>139</v>
      </c>
      <c r="F193" s="1764" t="s">
        <v>128</v>
      </c>
      <c r="G193" s="1764" t="s">
        <v>19</v>
      </c>
      <c r="H193" s="1926">
        <v>0</v>
      </c>
    </row>
    <row r="194" spans="1:8" x14ac:dyDescent="0.2">
      <c r="A194" s="1993">
        <f>IF(B194="","",COUNTA($B$3:B194))</f>
        <v>192</v>
      </c>
      <c r="B194" s="1995">
        <v>5</v>
      </c>
      <c r="C194" s="1995" t="s">
        <v>5</v>
      </c>
      <c r="D194" s="1763" t="s">
        <v>115</v>
      </c>
      <c r="E194" s="1763" t="s">
        <v>139</v>
      </c>
      <c r="F194" s="1764" t="s">
        <v>128</v>
      </c>
      <c r="G194" s="1764" t="s">
        <v>20</v>
      </c>
      <c r="H194" s="1926">
        <v>341.28</v>
      </c>
    </row>
    <row r="195" spans="1:8" x14ac:dyDescent="0.2">
      <c r="A195" s="1993">
        <f>IF(B195="","",COUNTA($B$3:B195))</f>
        <v>193</v>
      </c>
      <c r="B195" s="1995">
        <v>5</v>
      </c>
      <c r="C195" s="1995" t="s">
        <v>5</v>
      </c>
      <c r="D195" s="1763" t="s">
        <v>115</v>
      </c>
      <c r="E195" s="1763" t="s">
        <v>141</v>
      </c>
      <c r="F195" s="1764" t="s">
        <v>125</v>
      </c>
      <c r="G195" s="1764" t="s">
        <v>18</v>
      </c>
      <c r="H195" s="1926">
        <v>27587.52</v>
      </c>
    </row>
    <row r="196" spans="1:8" x14ac:dyDescent="0.2">
      <c r="A196" s="1993">
        <f>IF(B196="","",COUNTA($B$3:B196))</f>
        <v>194</v>
      </c>
      <c r="B196" s="1995">
        <v>5</v>
      </c>
      <c r="C196" s="1995" t="s">
        <v>5</v>
      </c>
      <c r="D196" s="1763" t="s">
        <v>115</v>
      </c>
      <c r="E196" s="1763" t="s">
        <v>141</v>
      </c>
      <c r="F196" s="1764" t="s">
        <v>125</v>
      </c>
      <c r="G196" s="1764" t="s">
        <v>19</v>
      </c>
      <c r="H196" s="1926">
        <v>0</v>
      </c>
    </row>
    <row r="197" spans="1:8" x14ac:dyDescent="0.2">
      <c r="A197" s="1993">
        <f>IF(B197="","",COUNTA($B$3:B197))</f>
        <v>195</v>
      </c>
      <c r="B197" s="1995">
        <v>5</v>
      </c>
      <c r="C197" s="1995" t="s">
        <v>5</v>
      </c>
      <c r="D197" s="1763" t="s">
        <v>115</v>
      </c>
      <c r="E197" s="1763" t="s">
        <v>141</v>
      </c>
      <c r="F197" s="1764" t="s">
        <v>125</v>
      </c>
      <c r="G197" s="1764" t="s">
        <v>20</v>
      </c>
      <c r="H197" s="1926">
        <v>519.84</v>
      </c>
    </row>
    <row r="198" spans="1:8" x14ac:dyDescent="0.2">
      <c r="A198" s="1993">
        <f>IF(B198="","",COUNTA($B$3:B198))</f>
        <v>196</v>
      </c>
      <c r="B198" s="1995">
        <v>5</v>
      </c>
      <c r="C198" s="1995" t="s">
        <v>5</v>
      </c>
      <c r="D198" s="1763" t="s">
        <v>115</v>
      </c>
      <c r="E198" s="1763" t="s">
        <v>141</v>
      </c>
      <c r="F198" s="1764" t="s">
        <v>1382</v>
      </c>
      <c r="G198" s="1764" t="s">
        <v>18</v>
      </c>
      <c r="H198" s="1926">
        <v>3006.72</v>
      </c>
    </row>
    <row r="199" spans="1:8" x14ac:dyDescent="0.2">
      <c r="A199" s="1993">
        <f>IF(B199="","",COUNTA($B$3:B199))</f>
        <v>197</v>
      </c>
      <c r="B199" s="1995">
        <v>5</v>
      </c>
      <c r="C199" s="1995" t="s">
        <v>5</v>
      </c>
      <c r="D199" s="1763" t="s">
        <v>115</v>
      </c>
      <c r="E199" s="1763" t="s">
        <v>141</v>
      </c>
      <c r="F199" s="1764" t="s">
        <v>1382</v>
      </c>
      <c r="G199" s="1764" t="s">
        <v>19</v>
      </c>
      <c r="H199" s="1926">
        <v>0</v>
      </c>
    </row>
    <row r="200" spans="1:8" x14ac:dyDescent="0.2">
      <c r="A200" s="1993">
        <f>IF(B200="","",COUNTA($B$3:B200))</f>
        <v>198</v>
      </c>
      <c r="B200" s="1995">
        <v>5</v>
      </c>
      <c r="C200" s="1995" t="s">
        <v>5</v>
      </c>
      <c r="D200" s="1763" t="s">
        <v>115</v>
      </c>
      <c r="E200" s="1763" t="s">
        <v>141</v>
      </c>
      <c r="F200" s="1764" t="s">
        <v>1382</v>
      </c>
      <c r="G200" s="1764" t="s">
        <v>20</v>
      </c>
      <c r="H200" s="1926">
        <v>76.319999999999993</v>
      </c>
    </row>
    <row r="201" spans="1:8" x14ac:dyDescent="0.2">
      <c r="A201" s="1993">
        <f>IF(B201="","",COUNTA($B$3:B201))</f>
        <v>199</v>
      </c>
      <c r="B201" s="1995">
        <v>5</v>
      </c>
      <c r="C201" s="1995" t="s">
        <v>5</v>
      </c>
      <c r="D201" s="1763" t="s">
        <v>115</v>
      </c>
      <c r="E201" s="1763" t="s">
        <v>141</v>
      </c>
      <c r="F201" s="1764" t="s">
        <v>129</v>
      </c>
      <c r="G201" s="1764" t="s">
        <v>18</v>
      </c>
      <c r="H201" s="1926">
        <v>3741.12</v>
      </c>
    </row>
    <row r="202" spans="1:8" x14ac:dyDescent="0.2">
      <c r="A202" s="1993">
        <f>IF(B202="","",COUNTA($B$3:B202))</f>
        <v>200</v>
      </c>
      <c r="B202" s="1995">
        <v>5</v>
      </c>
      <c r="C202" s="1995" t="s">
        <v>5</v>
      </c>
      <c r="D202" s="1763" t="s">
        <v>115</v>
      </c>
      <c r="E202" s="1763" t="s">
        <v>141</v>
      </c>
      <c r="F202" s="1764" t="s">
        <v>129</v>
      </c>
      <c r="G202" s="1764" t="s">
        <v>19</v>
      </c>
      <c r="H202" s="1926">
        <v>0</v>
      </c>
    </row>
    <row r="203" spans="1:8" x14ac:dyDescent="0.2">
      <c r="A203" s="1993">
        <f>IF(B203="","",COUNTA($B$3:B203))</f>
        <v>201</v>
      </c>
      <c r="B203" s="1995">
        <v>5</v>
      </c>
      <c r="C203" s="1995" t="s">
        <v>5</v>
      </c>
      <c r="D203" s="1763" t="s">
        <v>115</v>
      </c>
      <c r="E203" s="1763" t="s">
        <v>141</v>
      </c>
      <c r="F203" s="1764" t="s">
        <v>129</v>
      </c>
      <c r="G203" s="1764" t="s">
        <v>20</v>
      </c>
      <c r="H203" s="1926">
        <v>72</v>
      </c>
    </row>
    <row r="204" spans="1:8" x14ac:dyDescent="0.2">
      <c r="A204" s="1993">
        <f>IF(B204="","",COUNTA($B$3:B204))</f>
        <v>202</v>
      </c>
      <c r="B204" s="1995">
        <v>5</v>
      </c>
      <c r="C204" s="1994" t="s">
        <v>25</v>
      </c>
      <c r="D204" s="1763" t="s">
        <v>116</v>
      </c>
      <c r="E204" s="1763" t="s">
        <v>140</v>
      </c>
      <c r="F204" s="1764" t="s">
        <v>109</v>
      </c>
      <c r="G204" s="1764" t="s">
        <v>18</v>
      </c>
      <c r="H204" s="1926">
        <f>75995.2+112126.4</f>
        <v>188121.59999999998</v>
      </c>
    </row>
    <row r="205" spans="1:8" x14ac:dyDescent="0.2">
      <c r="A205" s="1993">
        <f>IF(B205="","",COUNTA($B$3:B205))</f>
        <v>203</v>
      </c>
      <c r="B205" s="1995">
        <v>5</v>
      </c>
      <c r="C205" s="1994" t="s">
        <v>25</v>
      </c>
      <c r="D205" s="1763" t="s">
        <v>116</v>
      </c>
      <c r="E205" s="1763" t="s">
        <v>140</v>
      </c>
      <c r="F205" s="1764" t="s">
        <v>109</v>
      </c>
      <c r="G205" s="1764" t="s">
        <v>19</v>
      </c>
      <c r="H205" s="1926">
        <v>0</v>
      </c>
    </row>
    <row r="206" spans="1:8" x14ac:dyDescent="0.2">
      <c r="A206" s="1993">
        <f>IF(B206="","",COUNTA($B$3:B206))</f>
        <v>204</v>
      </c>
      <c r="B206" s="1995">
        <v>5</v>
      </c>
      <c r="C206" s="1994" t="s">
        <v>25</v>
      </c>
      <c r="D206" s="1763" t="s">
        <v>116</v>
      </c>
      <c r="E206" s="1763" t="s">
        <v>140</v>
      </c>
      <c r="F206" s="1764" t="s">
        <v>109</v>
      </c>
      <c r="G206" s="1764" t="s">
        <v>20</v>
      </c>
      <c r="H206" s="1926">
        <f>4536+9668.8</f>
        <v>14204.8</v>
      </c>
    </row>
    <row r="207" spans="1:8" x14ac:dyDescent="0.2">
      <c r="A207" s="1993">
        <f>IF(B207="","",COUNTA($B$3:B207))</f>
        <v>205</v>
      </c>
      <c r="B207" s="1995">
        <v>5</v>
      </c>
      <c r="C207" s="1994" t="s">
        <v>25</v>
      </c>
      <c r="D207" s="1763" t="s">
        <v>116</v>
      </c>
      <c r="E207" s="1763" t="s">
        <v>140</v>
      </c>
      <c r="F207" s="1764" t="s">
        <v>129</v>
      </c>
      <c r="G207" s="1764" t="s">
        <v>18</v>
      </c>
      <c r="H207" s="1926">
        <f>3136+8750.4</f>
        <v>11886.4</v>
      </c>
    </row>
    <row r="208" spans="1:8" x14ac:dyDescent="0.2">
      <c r="A208" s="1993">
        <f>IF(B208="","",COUNTA($B$3:B208))</f>
        <v>206</v>
      </c>
      <c r="B208" s="1995">
        <v>5</v>
      </c>
      <c r="C208" s="1994" t="s">
        <v>25</v>
      </c>
      <c r="D208" s="1763" t="s">
        <v>116</v>
      </c>
      <c r="E208" s="1763" t="s">
        <v>140</v>
      </c>
      <c r="F208" s="1764" t="s">
        <v>129</v>
      </c>
      <c r="G208" s="1764" t="s">
        <v>19</v>
      </c>
      <c r="H208" s="1926">
        <v>0</v>
      </c>
    </row>
    <row r="209" spans="1:8" x14ac:dyDescent="0.2">
      <c r="A209" s="1993">
        <f>IF(B209="","",COUNTA($B$3:B209))</f>
        <v>207</v>
      </c>
      <c r="B209" s="1995">
        <v>5</v>
      </c>
      <c r="C209" s="1994" t="s">
        <v>25</v>
      </c>
      <c r="D209" s="1763" t="s">
        <v>116</v>
      </c>
      <c r="E209" s="1763" t="s">
        <v>140</v>
      </c>
      <c r="F209" s="1764" t="s">
        <v>129</v>
      </c>
      <c r="G209" s="1764" t="s">
        <v>20</v>
      </c>
      <c r="H209" s="1926">
        <f>128+665.6</f>
        <v>793.6</v>
      </c>
    </row>
    <row r="210" spans="1:8" x14ac:dyDescent="0.2">
      <c r="A210" s="1993">
        <f>IF(B210="","",COUNTA($B$3:B210))</f>
        <v>208</v>
      </c>
      <c r="B210" s="1995">
        <v>5</v>
      </c>
      <c r="C210" s="1994" t="s">
        <v>25</v>
      </c>
      <c r="D210" s="1763" t="s">
        <v>116</v>
      </c>
      <c r="E210" s="1763" t="s">
        <v>140</v>
      </c>
      <c r="F210" s="1764" t="s">
        <v>112</v>
      </c>
      <c r="G210" s="1764" t="s">
        <v>18</v>
      </c>
      <c r="H210" s="1926">
        <v>12752</v>
      </c>
    </row>
    <row r="211" spans="1:8" x14ac:dyDescent="0.2">
      <c r="A211" s="1993">
        <f>IF(B211="","",COUNTA($B$3:B211))</f>
        <v>209</v>
      </c>
      <c r="B211" s="1995">
        <v>5</v>
      </c>
      <c r="C211" s="1994" t="s">
        <v>25</v>
      </c>
      <c r="D211" s="1763" t="s">
        <v>116</v>
      </c>
      <c r="E211" s="1763" t="s">
        <v>140</v>
      </c>
      <c r="F211" s="1764" t="s">
        <v>112</v>
      </c>
      <c r="G211" s="1764" t="s">
        <v>19</v>
      </c>
      <c r="H211" s="1926">
        <v>0</v>
      </c>
    </row>
    <row r="212" spans="1:8" x14ac:dyDescent="0.2">
      <c r="A212" s="1993">
        <f>IF(B212="","",COUNTA($B$3:B212))</f>
        <v>210</v>
      </c>
      <c r="B212" s="1995">
        <v>5</v>
      </c>
      <c r="C212" s="1994" t="s">
        <v>25</v>
      </c>
      <c r="D212" s="1763" t="s">
        <v>116</v>
      </c>
      <c r="E212" s="1763" t="s">
        <v>140</v>
      </c>
      <c r="F212" s="1764" t="s">
        <v>112</v>
      </c>
      <c r="G212" s="1764" t="s">
        <v>20</v>
      </c>
      <c r="H212" s="1926">
        <v>920</v>
      </c>
    </row>
    <row r="213" spans="1:8" x14ac:dyDescent="0.2">
      <c r="A213" s="1993">
        <f>IF(B213="","",COUNTA($B$3:B213))</f>
        <v>211</v>
      </c>
      <c r="B213" s="1995">
        <v>5</v>
      </c>
      <c r="C213" s="1994" t="s">
        <v>25</v>
      </c>
      <c r="D213" s="1763" t="s">
        <v>116</v>
      </c>
      <c r="E213" s="1763" t="s">
        <v>140</v>
      </c>
      <c r="F213" s="1764" t="s">
        <v>117</v>
      </c>
      <c r="G213" s="1764" t="s">
        <v>18</v>
      </c>
      <c r="H213" s="1926">
        <f>4972.8+3572.8</f>
        <v>8545.6</v>
      </c>
    </row>
    <row r="214" spans="1:8" x14ac:dyDescent="0.2">
      <c r="A214" s="1993">
        <f>IF(B214="","",COUNTA($B$3:B214))</f>
        <v>212</v>
      </c>
      <c r="B214" s="1995">
        <v>5</v>
      </c>
      <c r="C214" s="1994" t="s">
        <v>25</v>
      </c>
      <c r="D214" s="1763" t="s">
        <v>116</v>
      </c>
      <c r="E214" s="1763" t="s">
        <v>140</v>
      </c>
      <c r="F214" s="1764" t="s">
        <v>117</v>
      </c>
      <c r="G214" s="1764" t="s">
        <v>19</v>
      </c>
      <c r="H214" s="1926">
        <v>0</v>
      </c>
    </row>
    <row r="215" spans="1:8" x14ac:dyDescent="0.2">
      <c r="A215" s="1993">
        <f>IF(B215="","",COUNTA($B$3:B215))</f>
        <v>213</v>
      </c>
      <c r="B215" s="1995">
        <v>5</v>
      </c>
      <c r="C215" s="1994" t="s">
        <v>25</v>
      </c>
      <c r="D215" s="1763" t="s">
        <v>116</v>
      </c>
      <c r="E215" s="1763" t="s">
        <v>140</v>
      </c>
      <c r="F215" s="1764" t="s">
        <v>117</v>
      </c>
      <c r="G215" s="1764" t="s">
        <v>20</v>
      </c>
      <c r="H215" s="1926">
        <f>406.4+145.6</f>
        <v>552</v>
      </c>
    </row>
    <row r="216" spans="1:8" x14ac:dyDescent="0.2">
      <c r="A216" s="1993">
        <f>IF(B216="","",COUNTA($B$3:B216))</f>
        <v>214</v>
      </c>
      <c r="B216" s="1995">
        <v>5</v>
      </c>
      <c r="C216" s="1994" t="s">
        <v>25</v>
      </c>
      <c r="D216" s="1763" t="s">
        <v>116</v>
      </c>
      <c r="E216" s="1763" t="s">
        <v>140</v>
      </c>
      <c r="F216" s="1764" t="s">
        <v>541</v>
      </c>
      <c r="G216" s="1764" t="s">
        <v>18</v>
      </c>
      <c r="H216" s="1926">
        <f>8035.2+438.4</f>
        <v>8473.6</v>
      </c>
    </row>
    <row r="217" spans="1:8" x14ac:dyDescent="0.2">
      <c r="A217" s="1993">
        <f>IF(B217="","",COUNTA($B$3:B217))</f>
        <v>215</v>
      </c>
      <c r="B217" s="1995">
        <v>5</v>
      </c>
      <c r="C217" s="1994" t="s">
        <v>25</v>
      </c>
      <c r="D217" s="1763" t="s">
        <v>116</v>
      </c>
      <c r="E217" s="1763" t="s">
        <v>140</v>
      </c>
      <c r="F217" s="1764" t="s">
        <v>541</v>
      </c>
      <c r="G217" s="1764" t="s">
        <v>19</v>
      </c>
      <c r="H217" s="1926">
        <v>0</v>
      </c>
    </row>
    <row r="218" spans="1:8" x14ac:dyDescent="0.2">
      <c r="A218" s="1993">
        <f>IF(B218="","",COUNTA($B$3:B218))</f>
        <v>216</v>
      </c>
      <c r="B218" s="1995">
        <v>5</v>
      </c>
      <c r="C218" s="1994" t="s">
        <v>25</v>
      </c>
      <c r="D218" s="1763" t="s">
        <v>116</v>
      </c>
      <c r="E218" s="1763" t="s">
        <v>140</v>
      </c>
      <c r="F218" s="1764" t="s">
        <v>541</v>
      </c>
      <c r="G218" s="1764" t="s">
        <v>20</v>
      </c>
      <c r="H218" s="1926">
        <f>387.2+80</f>
        <v>467.2</v>
      </c>
    </row>
    <row r="219" spans="1:8" x14ac:dyDescent="0.2">
      <c r="A219" s="1993">
        <f>IF(B219="","",COUNTA($B$3:B219))</f>
        <v>217</v>
      </c>
      <c r="B219" s="1995">
        <v>5</v>
      </c>
      <c r="C219" s="1994" t="s">
        <v>25</v>
      </c>
      <c r="D219" s="1763" t="s">
        <v>116</v>
      </c>
      <c r="E219" s="1763" t="s">
        <v>140</v>
      </c>
      <c r="F219" s="1764" t="s">
        <v>1353</v>
      </c>
      <c r="G219" s="1764" t="s">
        <v>18</v>
      </c>
      <c r="H219" s="1926">
        <v>13889.6</v>
      </c>
    </row>
    <row r="220" spans="1:8" x14ac:dyDescent="0.2">
      <c r="A220" s="1993">
        <f>IF(B220="","",COUNTA($B$3:B220))</f>
        <v>218</v>
      </c>
      <c r="B220" s="1995">
        <v>5</v>
      </c>
      <c r="C220" s="1994" t="s">
        <v>25</v>
      </c>
      <c r="D220" s="1763" t="s">
        <v>116</v>
      </c>
      <c r="E220" s="1763" t="s">
        <v>140</v>
      </c>
      <c r="F220" s="1764" t="s">
        <v>1353</v>
      </c>
      <c r="G220" s="1764" t="s">
        <v>19</v>
      </c>
      <c r="H220" s="1926">
        <v>0</v>
      </c>
    </row>
    <row r="221" spans="1:8" x14ac:dyDescent="0.2">
      <c r="A221" s="1993">
        <f>IF(B221="","",COUNTA($B$3:B221))</f>
        <v>219</v>
      </c>
      <c r="B221" s="1995">
        <v>5</v>
      </c>
      <c r="C221" s="1994" t="s">
        <v>25</v>
      </c>
      <c r="D221" s="1763" t="s">
        <v>116</v>
      </c>
      <c r="E221" s="1763" t="s">
        <v>140</v>
      </c>
      <c r="F221" s="1764" t="s">
        <v>1353</v>
      </c>
      <c r="G221" s="1764" t="s">
        <v>20</v>
      </c>
      <c r="H221" s="1926">
        <v>475.2</v>
      </c>
    </row>
    <row r="222" spans="1:8" x14ac:dyDescent="0.2">
      <c r="A222" s="1993">
        <f>IF(B222="","",COUNTA($B$3:B222))</f>
        <v>220</v>
      </c>
      <c r="B222" s="1995">
        <v>5</v>
      </c>
      <c r="C222" s="1994" t="s">
        <v>25</v>
      </c>
      <c r="D222" s="1763" t="s">
        <v>116</v>
      </c>
      <c r="E222" s="1763" t="s">
        <v>140</v>
      </c>
      <c r="F222" s="1764" t="s">
        <v>1365</v>
      </c>
      <c r="G222" s="1764" t="s">
        <v>18</v>
      </c>
      <c r="H222" s="1926">
        <f>10619.2+62278.4</f>
        <v>72897.600000000006</v>
      </c>
    </row>
    <row r="223" spans="1:8" x14ac:dyDescent="0.2">
      <c r="A223" s="1993">
        <f>IF(B223="","",COUNTA($B$3:B223))</f>
        <v>221</v>
      </c>
      <c r="B223" s="1995">
        <v>5</v>
      </c>
      <c r="C223" s="1994" t="s">
        <v>25</v>
      </c>
      <c r="D223" s="1763" t="s">
        <v>116</v>
      </c>
      <c r="E223" s="1763" t="s">
        <v>140</v>
      </c>
      <c r="F223" s="1764" t="s">
        <v>1365</v>
      </c>
      <c r="G223" s="1764" t="s">
        <v>19</v>
      </c>
      <c r="H223" s="1926">
        <v>0</v>
      </c>
    </row>
    <row r="224" spans="1:8" x14ac:dyDescent="0.2">
      <c r="A224" s="1993">
        <f>IF(B224="","",COUNTA($B$3:B224))</f>
        <v>222</v>
      </c>
      <c r="B224" s="1995">
        <v>5</v>
      </c>
      <c r="C224" s="1994" t="s">
        <v>25</v>
      </c>
      <c r="D224" s="1763" t="s">
        <v>116</v>
      </c>
      <c r="E224" s="1763" t="s">
        <v>140</v>
      </c>
      <c r="F224" s="1764" t="s">
        <v>1365</v>
      </c>
      <c r="G224" s="1764" t="s">
        <v>20</v>
      </c>
      <c r="H224" s="1926">
        <f>454.4+3384</f>
        <v>3838.4</v>
      </c>
    </row>
    <row r="225" spans="1:8" x14ac:dyDescent="0.2">
      <c r="A225" s="1993">
        <f>IF(B225="","",COUNTA($B$3:B225))</f>
        <v>223</v>
      </c>
      <c r="B225" s="1995">
        <v>5</v>
      </c>
      <c r="C225" s="1994" t="s">
        <v>25</v>
      </c>
      <c r="D225" s="1763" t="s">
        <v>116</v>
      </c>
      <c r="E225" s="1763" t="s">
        <v>140</v>
      </c>
      <c r="F225" s="1764" t="s">
        <v>1366</v>
      </c>
      <c r="G225" s="1764" t="s">
        <v>18</v>
      </c>
      <c r="H225" s="1926">
        <v>13280</v>
      </c>
    </row>
    <row r="226" spans="1:8" x14ac:dyDescent="0.2">
      <c r="A226" s="1993">
        <f>IF(B226="","",COUNTA($B$3:B226))</f>
        <v>224</v>
      </c>
      <c r="B226" s="1995">
        <v>5</v>
      </c>
      <c r="C226" s="1994" t="s">
        <v>25</v>
      </c>
      <c r="D226" s="1763" t="s">
        <v>116</v>
      </c>
      <c r="E226" s="1763" t="s">
        <v>140</v>
      </c>
      <c r="F226" s="1764" t="s">
        <v>1366</v>
      </c>
      <c r="G226" s="1764" t="s">
        <v>19</v>
      </c>
      <c r="H226" s="1926">
        <v>0</v>
      </c>
    </row>
    <row r="227" spans="1:8" x14ac:dyDescent="0.2">
      <c r="A227" s="1993">
        <f>IF(B227="","",COUNTA($B$3:B227))</f>
        <v>225</v>
      </c>
      <c r="B227" s="1995">
        <v>5</v>
      </c>
      <c r="C227" s="1994" t="s">
        <v>25</v>
      </c>
      <c r="D227" s="1763" t="s">
        <v>116</v>
      </c>
      <c r="E227" s="1763" t="s">
        <v>140</v>
      </c>
      <c r="F227" s="1764" t="s">
        <v>1366</v>
      </c>
      <c r="G227" s="1764" t="s">
        <v>20</v>
      </c>
      <c r="H227" s="1926">
        <v>667.2</v>
      </c>
    </row>
    <row r="228" spans="1:8" x14ac:dyDescent="0.2">
      <c r="A228" s="1993">
        <f>IF(B228="","",COUNTA($B$3:B228))</f>
        <v>226</v>
      </c>
      <c r="B228" s="1995">
        <v>5</v>
      </c>
      <c r="C228" s="1994" t="s">
        <v>25</v>
      </c>
      <c r="D228" s="1763" t="s">
        <v>116</v>
      </c>
      <c r="E228" s="1763" t="s">
        <v>140</v>
      </c>
      <c r="F228" s="1764" t="s">
        <v>113</v>
      </c>
      <c r="G228" s="1764" t="s">
        <v>18</v>
      </c>
      <c r="H228" s="1926">
        <v>43427.199999999997</v>
      </c>
    </row>
    <row r="229" spans="1:8" x14ac:dyDescent="0.2">
      <c r="A229" s="1993">
        <f>IF(B229="","",COUNTA($B$3:B229))</f>
        <v>227</v>
      </c>
      <c r="B229" s="1995">
        <v>5</v>
      </c>
      <c r="C229" s="1994" t="s">
        <v>25</v>
      </c>
      <c r="D229" s="1763" t="s">
        <v>116</v>
      </c>
      <c r="E229" s="1763" t="s">
        <v>140</v>
      </c>
      <c r="F229" s="1764" t="s">
        <v>113</v>
      </c>
      <c r="G229" s="1764" t="s">
        <v>19</v>
      </c>
      <c r="H229" s="1926">
        <v>0</v>
      </c>
    </row>
    <row r="230" spans="1:8" x14ac:dyDescent="0.2">
      <c r="A230" s="1993">
        <f>IF(B230="","",COUNTA($B$3:B230))</f>
        <v>228</v>
      </c>
      <c r="B230" s="1995">
        <v>5</v>
      </c>
      <c r="C230" s="1994" t="s">
        <v>25</v>
      </c>
      <c r="D230" s="1763" t="s">
        <v>116</v>
      </c>
      <c r="E230" s="1763" t="s">
        <v>140</v>
      </c>
      <c r="F230" s="1764" t="s">
        <v>113</v>
      </c>
      <c r="G230" s="1764" t="s">
        <v>20</v>
      </c>
      <c r="H230" s="1926">
        <v>0</v>
      </c>
    </row>
    <row r="231" spans="1:8" x14ac:dyDescent="0.2">
      <c r="A231" s="1993">
        <f>IF(B231="","",COUNTA($B$3:B231))</f>
        <v>229</v>
      </c>
      <c r="B231" s="1995">
        <v>5</v>
      </c>
      <c r="C231" s="1994" t="s">
        <v>25</v>
      </c>
      <c r="D231" s="1763" t="s">
        <v>116</v>
      </c>
      <c r="E231" s="1763" t="s">
        <v>140</v>
      </c>
      <c r="F231" s="1764" t="s">
        <v>1363</v>
      </c>
      <c r="G231" s="1764" t="s">
        <v>18</v>
      </c>
      <c r="H231" s="1926">
        <v>46681.599999999999</v>
      </c>
    </row>
    <row r="232" spans="1:8" x14ac:dyDescent="0.2">
      <c r="A232" s="1993">
        <f>IF(B232="","",COUNTA($B$3:B232))</f>
        <v>230</v>
      </c>
      <c r="B232" s="1995">
        <v>5</v>
      </c>
      <c r="C232" s="1994" t="s">
        <v>25</v>
      </c>
      <c r="D232" s="1763" t="s">
        <v>116</v>
      </c>
      <c r="E232" s="1763" t="s">
        <v>140</v>
      </c>
      <c r="F232" s="1764" t="s">
        <v>1363</v>
      </c>
      <c r="G232" s="1764" t="s">
        <v>19</v>
      </c>
      <c r="H232" s="1926">
        <v>0</v>
      </c>
    </row>
    <row r="233" spans="1:8" x14ac:dyDescent="0.2">
      <c r="A233" s="1993">
        <f>IF(B233="","",COUNTA($B$3:B233))</f>
        <v>231</v>
      </c>
      <c r="B233" s="1995">
        <v>5</v>
      </c>
      <c r="C233" s="1994" t="s">
        <v>25</v>
      </c>
      <c r="D233" s="1763" t="s">
        <v>116</v>
      </c>
      <c r="E233" s="1763" t="s">
        <v>140</v>
      </c>
      <c r="F233" s="1764" t="s">
        <v>1363</v>
      </c>
      <c r="G233" s="1764" t="s">
        <v>20</v>
      </c>
      <c r="H233" s="1926">
        <v>2129.6</v>
      </c>
    </row>
    <row r="234" spans="1:8" x14ac:dyDescent="0.2">
      <c r="A234" s="1993">
        <f>IF(B234="","",COUNTA($B$3:B234))</f>
        <v>232</v>
      </c>
      <c r="B234" s="1995">
        <v>5</v>
      </c>
      <c r="C234" s="1994" t="s">
        <v>25</v>
      </c>
      <c r="D234" s="1763" t="s">
        <v>116</v>
      </c>
      <c r="E234" s="1763" t="s">
        <v>140</v>
      </c>
      <c r="F234" s="1764" t="s">
        <v>146</v>
      </c>
      <c r="G234" s="1764" t="s">
        <v>18</v>
      </c>
      <c r="H234" s="1926">
        <v>14904</v>
      </c>
    </row>
    <row r="235" spans="1:8" x14ac:dyDescent="0.2">
      <c r="A235" s="1993">
        <f>IF(B235="","",COUNTA($B$3:B235))</f>
        <v>233</v>
      </c>
      <c r="B235" s="1995">
        <v>5</v>
      </c>
      <c r="C235" s="1994" t="s">
        <v>25</v>
      </c>
      <c r="D235" s="1763" t="s">
        <v>116</v>
      </c>
      <c r="E235" s="1763" t="s">
        <v>140</v>
      </c>
      <c r="F235" s="1764" t="s">
        <v>146</v>
      </c>
      <c r="G235" s="1764" t="s">
        <v>19</v>
      </c>
      <c r="H235" s="1926">
        <v>0</v>
      </c>
    </row>
    <row r="236" spans="1:8" x14ac:dyDescent="0.2">
      <c r="A236" s="1993">
        <f>IF(B236="","",COUNTA($B$3:B236))</f>
        <v>234</v>
      </c>
      <c r="B236" s="1995">
        <v>5</v>
      </c>
      <c r="C236" s="1994" t="s">
        <v>25</v>
      </c>
      <c r="D236" s="1763" t="s">
        <v>116</v>
      </c>
      <c r="E236" s="1763" t="s">
        <v>140</v>
      </c>
      <c r="F236" s="1764" t="s">
        <v>146</v>
      </c>
      <c r="G236" s="1764" t="s">
        <v>20</v>
      </c>
      <c r="H236" s="1926">
        <v>824</v>
      </c>
    </row>
    <row r="237" spans="1:8" x14ac:dyDescent="0.2">
      <c r="A237" s="1993">
        <f>IF(B237="","",COUNTA($B$3:B237))</f>
        <v>235</v>
      </c>
      <c r="B237" s="1995">
        <v>6</v>
      </c>
      <c r="C237" s="1994" t="s">
        <v>5</v>
      </c>
      <c r="D237" s="1763" t="s">
        <v>115</v>
      </c>
      <c r="E237" s="1763" t="s">
        <v>139</v>
      </c>
      <c r="F237" s="1764" t="s">
        <v>120</v>
      </c>
      <c r="G237" s="1764" t="s">
        <v>18</v>
      </c>
      <c r="H237" s="1926">
        <v>176797.44</v>
      </c>
    </row>
    <row r="238" spans="1:8" x14ac:dyDescent="0.2">
      <c r="A238" s="1993">
        <f>IF(B238="","",COUNTA($B$3:B238))</f>
        <v>236</v>
      </c>
      <c r="B238" s="1995">
        <v>6</v>
      </c>
      <c r="C238" s="1994" t="s">
        <v>5</v>
      </c>
      <c r="D238" s="1763" t="s">
        <v>115</v>
      </c>
      <c r="E238" s="1763" t="s">
        <v>139</v>
      </c>
      <c r="F238" s="1764" t="s">
        <v>120</v>
      </c>
      <c r="G238" s="1764" t="s">
        <v>19</v>
      </c>
      <c r="H238" s="1926">
        <v>4881.6000000000004</v>
      </c>
    </row>
    <row r="239" spans="1:8" x14ac:dyDescent="0.2">
      <c r="A239" s="1993">
        <f>IF(B239="","",COUNTA($B$3:B239))</f>
        <v>237</v>
      </c>
      <c r="B239" s="1995">
        <v>6</v>
      </c>
      <c r="C239" s="1994" t="s">
        <v>5</v>
      </c>
      <c r="D239" s="1763" t="s">
        <v>115</v>
      </c>
      <c r="E239" s="1763" t="s">
        <v>139</v>
      </c>
      <c r="F239" s="1764" t="s">
        <v>120</v>
      </c>
      <c r="G239" s="1764" t="s">
        <v>20</v>
      </c>
      <c r="H239" s="1926">
        <v>10303.200000000001</v>
      </c>
    </row>
    <row r="240" spans="1:8" x14ac:dyDescent="0.2">
      <c r="A240" s="1993">
        <f>IF(B240="","",COUNTA($B$3:B240))</f>
        <v>238</v>
      </c>
      <c r="B240" s="1995">
        <v>6</v>
      </c>
      <c r="C240" s="1994" t="s">
        <v>5</v>
      </c>
      <c r="D240" s="1763" t="s">
        <v>115</v>
      </c>
      <c r="E240" s="1763" t="s">
        <v>139</v>
      </c>
      <c r="F240" s="1764" t="s">
        <v>1353</v>
      </c>
      <c r="G240" s="1764" t="s">
        <v>18</v>
      </c>
      <c r="H240" s="1926">
        <v>21278.880000000001</v>
      </c>
    </row>
    <row r="241" spans="1:8" x14ac:dyDescent="0.2">
      <c r="A241" s="1993">
        <f>IF(B241="","",COUNTA($B$3:B241))</f>
        <v>239</v>
      </c>
      <c r="B241" s="1995">
        <v>6</v>
      </c>
      <c r="C241" s="1994" t="s">
        <v>5</v>
      </c>
      <c r="D241" s="1763" t="s">
        <v>115</v>
      </c>
      <c r="E241" s="1763" t="s">
        <v>139</v>
      </c>
      <c r="F241" s="1764" t="s">
        <v>1353</v>
      </c>
      <c r="G241" s="1764" t="s">
        <v>19</v>
      </c>
      <c r="H241" s="1926">
        <v>0</v>
      </c>
    </row>
    <row r="242" spans="1:8" x14ac:dyDescent="0.2">
      <c r="A242" s="1993">
        <f>IF(B242="","",COUNTA($B$3:B242))</f>
        <v>240</v>
      </c>
      <c r="B242" s="1995">
        <v>6</v>
      </c>
      <c r="C242" s="1994" t="s">
        <v>5</v>
      </c>
      <c r="D242" s="1763" t="s">
        <v>115</v>
      </c>
      <c r="E242" s="1763" t="s">
        <v>139</v>
      </c>
      <c r="F242" s="1764" t="s">
        <v>1353</v>
      </c>
      <c r="G242" s="1764" t="s">
        <v>20</v>
      </c>
      <c r="H242" s="1926">
        <v>1992.96</v>
      </c>
    </row>
    <row r="243" spans="1:8" x14ac:dyDescent="0.2">
      <c r="A243" s="1993">
        <f>IF(B243="","",COUNTA($B$3:B243))</f>
        <v>241</v>
      </c>
      <c r="B243" s="1995">
        <v>6</v>
      </c>
      <c r="C243" s="1994" t="s">
        <v>5</v>
      </c>
      <c r="D243" s="1763" t="s">
        <v>115</v>
      </c>
      <c r="E243" s="1763" t="s">
        <v>139</v>
      </c>
      <c r="F243" s="1764" t="s">
        <v>541</v>
      </c>
      <c r="G243" s="1764" t="s">
        <v>18</v>
      </c>
      <c r="H243" s="1926">
        <v>35169.120000000003</v>
      </c>
    </row>
    <row r="244" spans="1:8" x14ac:dyDescent="0.2">
      <c r="A244" s="1993">
        <f>IF(B244="","",COUNTA($B$3:B244))</f>
        <v>242</v>
      </c>
      <c r="B244" s="1995">
        <v>6</v>
      </c>
      <c r="C244" s="1994" t="s">
        <v>5</v>
      </c>
      <c r="D244" s="1763" t="s">
        <v>115</v>
      </c>
      <c r="E244" s="1763" t="s">
        <v>139</v>
      </c>
      <c r="F244" s="1764" t="s">
        <v>541</v>
      </c>
      <c r="G244" s="1764" t="s">
        <v>19</v>
      </c>
      <c r="H244" s="1926">
        <v>1516.32</v>
      </c>
    </row>
    <row r="245" spans="1:8" x14ac:dyDescent="0.2">
      <c r="A245" s="1993">
        <f>IF(B245="","",COUNTA($B$3:B245))</f>
        <v>243</v>
      </c>
      <c r="B245" s="1995">
        <v>6</v>
      </c>
      <c r="C245" s="1994" t="s">
        <v>5</v>
      </c>
      <c r="D245" s="1763" t="s">
        <v>115</v>
      </c>
      <c r="E245" s="1763" t="s">
        <v>139</v>
      </c>
      <c r="F245" s="1764" t="s">
        <v>541</v>
      </c>
      <c r="G245" s="1764" t="s">
        <v>20</v>
      </c>
      <c r="H245" s="1926">
        <v>1549.44</v>
      </c>
    </row>
    <row r="246" spans="1:8" x14ac:dyDescent="0.2">
      <c r="A246" s="1993">
        <f>IF(B246="","",COUNTA($B$3:B246))</f>
        <v>244</v>
      </c>
      <c r="B246" s="1995">
        <v>6</v>
      </c>
      <c r="C246" s="1994" t="s">
        <v>5</v>
      </c>
      <c r="D246" s="1763" t="s">
        <v>115</v>
      </c>
      <c r="E246" s="1763" t="s">
        <v>139</v>
      </c>
      <c r="F246" s="1764" t="s">
        <v>113</v>
      </c>
      <c r="G246" s="1764" t="s">
        <v>18</v>
      </c>
      <c r="H246" s="1926">
        <v>46586.879999999997</v>
      </c>
    </row>
    <row r="247" spans="1:8" x14ac:dyDescent="0.2">
      <c r="A247" s="1993">
        <f>IF(B247="","",COUNTA($B$3:B247))</f>
        <v>245</v>
      </c>
      <c r="B247" s="1995">
        <v>6</v>
      </c>
      <c r="C247" s="1994" t="s">
        <v>5</v>
      </c>
      <c r="D247" s="1763" t="s">
        <v>115</v>
      </c>
      <c r="E247" s="1763" t="s">
        <v>139</v>
      </c>
      <c r="F247" s="1764" t="s">
        <v>113</v>
      </c>
      <c r="G247" s="1764" t="s">
        <v>19</v>
      </c>
      <c r="H247" s="1926">
        <v>0</v>
      </c>
    </row>
    <row r="248" spans="1:8" x14ac:dyDescent="0.2">
      <c r="A248" s="1993">
        <f>IF(B248="","",COUNTA($B$3:B248))</f>
        <v>246</v>
      </c>
      <c r="B248" s="1995">
        <v>6</v>
      </c>
      <c r="C248" s="1994" t="s">
        <v>5</v>
      </c>
      <c r="D248" s="1763" t="s">
        <v>115</v>
      </c>
      <c r="E248" s="1763" t="s">
        <v>139</v>
      </c>
      <c r="F248" s="1764" t="s">
        <v>113</v>
      </c>
      <c r="G248" s="1764" t="s">
        <v>20</v>
      </c>
      <c r="H248" s="1926">
        <v>0</v>
      </c>
    </row>
    <row r="249" spans="1:8" x14ac:dyDescent="0.2">
      <c r="A249" s="1993">
        <f>IF(B249="","",COUNTA($B$3:B249))</f>
        <v>247</v>
      </c>
      <c r="B249" s="1995">
        <v>6</v>
      </c>
      <c r="C249" s="1994" t="s">
        <v>5</v>
      </c>
      <c r="D249" s="1763" t="s">
        <v>115</v>
      </c>
      <c r="E249" s="1763" t="s">
        <v>139</v>
      </c>
      <c r="F249" s="1764" t="s">
        <v>1364</v>
      </c>
      <c r="G249" s="1764" t="s">
        <v>18</v>
      </c>
      <c r="H249" s="1926">
        <v>27660.959999999999</v>
      </c>
    </row>
    <row r="250" spans="1:8" x14ac:dyDescent="0.2">
      <c r="A250" s="1993">
        <f>IF(B250="","",COUNTA($B$3:B250))</f>
        <v>248</v>
      </c>
      <c r="B250" s="1995">
        <v>6</v>
      </c>
      <c r="C250" s="1994" t="s">
        <v>5</v>
      </c>
      <c r="D250" s="1763" t="s">
        <v>115</v>
      </c>
      <c r="E250" s="1763" t="s">
        <v>139</v>
      </c>
      <c r="F250" s="1764" t="s">
        <v>1364</v>
      </c>
      <c r="G250" s="1764" t="s">
        <v>19</v>
      </c>
      <c r="H250" s="1926">
        <v>859.68</v>
      </c>
    </row>
    <row r="251" spans="1:8" x14ac:dyDescent="0.2">
      <c r="A251" s="1993">
        <f>IF(B251="","",COUNTA($B$3:B251))</f>
        <v>249</v>
      </c>
      <c r="B251" s="1995">
        <v>6</v>
      </c>
      <c r="C251" s="1994" t="s">
        <v>5</v>
      </c>
      <c r="D251" s="1763" t="s">
        <v>115</v>
      </c>
      <c r="E251" s="1763" t="s">
        <v>139</v>
      </c>
      <c r="F251" s="1764" t="s">
        <v>1364</v>
      </c>
      <c r="G251" s="1764" t="s">
        <v>20</v>
      </c>
      <c r="H251" s="1926">
        <v>943.2</v>
      </c>
    </row>
    <row r="252" spans="1:8" x14ac:dyDescent="0.2">
      <c r="A252" s="1993">
        <f>IF(B252="","",COUNTA($B$3:B252))</f>
        <v>250</v>
      </c>
      <c r="B252" s="1995">
        <v>6</v>
      </c>
      <c r="C252" s="1994" t="s">
        <v>5</v>
      </c>
      <c r="D252" s="1763" t="s">
        <v>115</v>
      </c>
      <c r="E252" s="1763" t="s">
        <v>139</v>
      </c>
      <c r="F252" s="1764" t="s">
        <v>1363</v>
      </c>
      <c r="G252" s="1764" t="s">
        <v>18</v>
      </c>
      <c r="H252" s="1926">
        <v>11888.64</v>
      </c>
    </row>
    <row r="253" spans="1:8" x14ac:dyDescent="0.2">
      <c r="A253" s="1993">
        <f>IF(B253="","",COUNTA($B$3:B253))</f>
        <v>251</v>
      </c>
      <c r="B253" s="1995">
        <v>6</v>
      </c>
      <c r="C253" s="1994" t="s">
        <v>5</v>
      </c>
      <c r="D253" s="1763" t="s">
        <v>115</v>
      </c>
      <c r="E253" s="1763" t="s">
        <v>139</v>
      </c>
      <c r="F253" s="1764" t="s">
        <v>1363</v>
      </c>
      <c r="G253" s="1764" t="s">
        <v>19</v>
      </c>
      <c r="H253" s="1926">
        <v>303.83999999999997</v>
      </c>
    </row>
    <row r="254" spans="1:8" x14ac:dyDescent="0.2">
      <c r="A254" s="1993">
        <f>IF(B254="","",COUNTA($B$3:B254))</f>
        <v>252</v>
      </c>
      <c r="B254" s="1995">
        <v>6</v>
      </c>
      <c r="C254" s="1994" t="s">
        <v>5</v>
      </c>
      <c r="D254" s="1763" t="s">
        <v>115</v>
      </c>
      <c r="E254" s="1763" t="s">
        <v>139</v>
      </c>
      <c r="F254" s="1764" t="s">
        <v>1363</v>
      </c>
      <c r="G254" s="1764" t="s">
        <v>20</v>
      </c>
      <c r="H254" s="1926">
        <v>440.64</v>
      </c>
    </row>
    <row r="255" spans="1:8" x14ac:dyDescent="0.2">
      <c r="A255" s="1993">
        <f>IF(B255="","",COUNTA($B$3:B255))</f>
        <v>253</v>
      </c>
      <c r="B255" s="1995">
        <v>6</v>
      </c>
      <c r="C255" s="1994" t="s">
        <v>5</v>
      </c>
      <c r="D255" s="1763" t="s">
        <v>115</v>
      </c>
      <c r="E255" s="1763" t="s">
        <v>139</v>
      </c>
      <c r="F255" s="1764" t="s">
        <v>112</v>
      </c>
      <c r="G255" s="1764" t="s">
        <v>18</v>
      </c>
      <c r="H255" s="1926">
        <v>26334.720000000001</v>
      </c>
    </row>
    <row r="256" spans="1:8" x14ac:dyDescent="0.2">
      <c r="A256" s="1993">
        <f>IF(B256="","",COUNTA($B$3:B256))</f>
        <v>254</v>
      </c>
      <c r="B256" s="1995">
        <v>6</v>
      </c>
      <c r="C256" s="1994" t="s">
        <v>5</v>
      </c>
      <c r="D256" s="1763" t="s">
        <v>115</v>
      </c>
      <c r="E256" s="1763" t="s">
        <v>139</v>
      </c>
      <c r="F256" s="1764" t="s">
        <v>112</v>
      </c>
      <c r="G256" s="1764" t="s">
        <v>19</v>
      </c>
      <c r="H256" s="1926">
        <v>617.76</v>
      </c>
    </row>
    <row r="257" spans="1:8" x14ac:dyDescent="0.2">
      <c r="A257" s="1993">
        <f>IF(B257="","",COUNTA($B$3:B257))</f>
        <v>255</v>
      </c>
      <c r="B257" s="1995">
        <v>6</v>
      </c>
      <c r="C257" s="1994" t="s">
        <v>5</v>
      </c>
      <c r="D257" s="1763" t="s">
        <v>115</v>
      </c>
      <c r="E257" s="1763" t="s">
        <v>139</v>
      </c>
      <c r="F257" s="1764" t="s">
        <v>112</v>
      </c>
      <c r="G257" s="1764" t="s">
        <v>20</v>
      </c>
      <c r="H257" s="1926">
        <v>1029.5999999999999</v>
      </c>
    </row>
    <row r="258" spans="1:8" x14ac:dyDescent="0.2">
      <c r="A258" s="1993">
        <f>IF(B258="","",COUNTA($B$3:B258))</f>
        <v>256</v>
      </c>
      <c r="B258" s="1995">
        <v>6</v>
      </c>
      <c r="C258" s="1994" t="s">
        <v>5</v>
      </c>
      <c r="D258" s="1763" t="s">
        <v>115</v>
      </c>
      <c r="E258" s="1763" t="s">
        <v>139</v>
      </c>
      <c r="F258" s="1764" t="s">
        <v>129</v>
      </c>
      <c r="G258" s="1764" t="s">
        <v>18</v>
      </c>
      <c r="H258" s="1926">
        <v>25525.439999999999</v>
      </c>
    </row>
    <row r="259" spans="1:8" x14ac:dyDescent="0.2">
      <c r="A259" s="1993">
        <f>IF(B259="","",COUNTA($B$3:B259))</f>
        <v>257</v>
      </c>
      <c r="B259" s="1995">
        <v>6</v>
      </c>
      <c r="C259" s="1994" t="s">
        <v>5</v>
      </c>
      <c r="D259" s="1763" t="s">
        <v>115</v>
      </c>
      <c r="E259" s="1763" t="s">
        <v>139</v>
      </c>
      <c r="F259" s="1764" t="s">
        <v>129</v>
      </c>
      <c r="G259" s="1764" t="s">
        <v>19</v>
      </c>
      <c r="H259" s="1926">
        <v>1085.76</v>
      </c>
    </row>
    <row r="260" spans="1:8" x14ac:dyDescent="0.2">
      <c r="A260" s="1993">
        <f>IF(B260="","",COUNTA($B$3:B260))</f>
        <v>258</v>
      </c>
      <c r="B260" s="1995">
        <v>6</v>
      </c>
      <c r="C260" s="1994" t="s">
        <v>5</v>
      </c>
      <c r="D260" s="1763" t="s">
        <v>115</v>
      </c>
      <c r="E260" s="1763" t="s">
        <v>139</v>
      </c>
      <c r="F260" s="1764" t="s">
        <v>129</v>
      </c>
      <c r="G260" s="1764" t="s">
        <v>20</v>
      </c>
      <c r="H260" s="1926">
        <v>876.96</v>
      </c>
    </row>
    <row r="261" spans="1:8" x14ac:dyDescent="0.2">
      <c r="A261" s="1993">
        <f>IF(B261="","",COUNTA($B$3:B261))</f>
        <v>259</v>
      </c>
      <c r="B261" s="1995">
        <v>6</v>
      </c>
      <c r="C261" s="1994" t="s">
        <v>5</v>
      </c>
      <c r="D261" s="1763" t="s">
        <v>115</v>
      </c>
      <c r="E261" s="1763" t="s">
        <v>139</v>
      </c>
      <c r="F261" s="1764" t="s">
        <v>114</v>
      </c>
      <c r="G261" s="1764" t="s">
        <v>18</v>
      </c>
      <c r="H261" s="1926">
        <v>8169.12</v>
      </c>
    </row>
    <row r="262" spans="1:8" x14ac:dyDescent="0.2">
      <c r="A262" s="1993">
        <f>IF(B262="","",COUNTA($B$3:B262))</f>
        <v>260</v>
      </c>
      <c r="B262" s="1995">
        <v>6</v>
      </c>
      <c r="C262" s="1994" t="s">
        <v>5</v>
      </c>
      <c r="D262" s="1763" t="s">
        <v>115</v>
      </c>
      <c r="E262" s="1763" t="s">
        <v>139</v>
      </c>
      <c r="F262" s="1764" t="s">
        <v>114</v>
      </c>
      <c r="G262" s="1764" t="s">
        <v>19</v>
      </c>
      <c r="H262" s="1926">
        <v>0</v>
      </c>
    </row>
    <row r="263" spans="1:8" x14ac:dyDescent="0.2">
      <c r="A263" s="1993">
        <f>IF(B263="","",COUNTA($B$3:B263))</f>
        <v>261</v>
      </c>
      <c r="B263" s="1995">
        <v>6</v>
      </c>
      <c r="C263" s="1994" t="s">
        <v>5</v>
      </c>
      <c r="D263" s="1763" t="s">
        <v>115</v>
      </c>
      <c r="E263" s="1763" t="s">
        <v>139</v>
      </c>
      <c r="F263" s="1764" t="s">
        <v>114</v>
      </c>
      <c r="G263" s="1764" t="s">
        <v>20</v>
      </c>
      <c r="H263" s="1926">
        <v>527.04</v>
      </c>
    </row>
    <row r="264" spans="1:8" x14ac:dyDescent="0.2">
      <c r="A264" s="1993">
        <f>IF(B264="","",COUNTA($B$3:B264))</f>
        <v>262</v>
      </c>
      <c r="B264" s="1995">
        <v>6</v>
      </c>
      <c r="C264" s="1994" t="s">
        <v>5</v>
      </c>
      <c r="D264" s="1763" t="s">
        <v>115</v>
      </c>
      <c r="E264" s="1763" t="s">
        <v>139</v>
      </c>
      <c r="F264" s="1764" t="s">
        <v>146</v>
      </c>
      <c r="G264" s="1764" t="s">
        <v>18</v>
      </c>
      <c r="H264" s="1972">
        <v>14191.2</v>
      </c>
    </row>
    <row r="265" spans="1:8" x14ac:dyDescent="0.2">
      <c r="A265" s="1993">
        <f>IF(B265="","",COUNTA($B$3:B265))</f>
        <v>263</v>
      </c>
      <c r="B265" s="1995">
        <v>6</v>
      </c>
      <c r="C265" s="1994" t="s">
        <v>5</v>
      </c>
      <c r="D265" s="1763" t="s">
        <v>115</v>
      </c>
      <c r="E265" s="1763" t="s">
        <v>139</v>
      </c>
      <c r="F265" s="1764" t="s">
        <v>146</v>
      </c>
      <c r="G265" s="1764" t="s">
        <v>19</v>
      </c>
      <c r="H265" s="1972">
        <v>0</v>
      </c>
    </row>
    <row r="266" spans="1:8" x14ac:dyDescent="0.2">
      <c r="A266" s="1993">
        <f>IF(B266="","",COUNTA($B$3:B266))</f>
        <v>264</v>
      </c>
      <c r="B266" s="1995">
        <v>6</v>
      </c>
      <c r="C266" s="1994" t="s">
        <v>5</v>
      </c>
      <c r="D266" s="1763" t="s">
        <v>115</v>
      </c>
      <c r="E266" s="1763" t="s">
        <v>139</v>
      </c>
      <c r="F266" s="1764" t="s">
        <v>146</v>
      </c>
      <c r="G266" s="1764" t="s">
        <v>20</v>
      </c>
      <c r="H266" s="1972">
        <v>672.48</v>
      </c>
    </row>
    <row r="267" spans="1:8" x14ac:dyDescent="0.2">
      <c r="A267" s="1993">
        <f>IF(B267="","",COUNTA($B$3:B267))</f>
        <v>265</v>
      </c>
      <c r="B267" s="1995">
        <v>6</v>
      </c>
      <c r="C267" s="1994" t="s">
        <v>5</v>
      </c>
      <c r="D267" s="1763" t="s">
        <v>115</v>
      </c>
      <c r="E267" s="1763" t="s">
        <v>141</v>
      </c>
      <c r="F267" s="1764" t="s">
        <v>1353</v>
      </c>
      <c r="G267" s="1764" t="s">
        <v>18</v>
      </c>
      <c r="H267" s="1926">
        <v>8652.9599999999991</v>
      </c>
    </row>
    <row r="268" spans="1:8" x14ac:dyDescent="0.2">
      <c r="A268" s="1993">
        <f>IF(B268="","",COUNTA($B$3:B268))</f>
        <v>266</v>
      </c>
      <c r="B268" s="1995">
        <v>6</v>
      </c>
      <c r="C268" s="1994" t="s">
        <v>5</v>
      </c>
      <c r="D268" s="1763" t="s">
        <v>115</v>
      </c>
      <c r="E268" s="1763" t="s">
        <v>141</v>
      </c>
      <c r="F268" s="1764" t="s">
        <v>1353</v>
      </c>
      <c r="G268" s="1764" t="s">
        <v>19</v>
      </c>
      <c r="H268" s="1926">
        <v>0</v>
      </c>
    </row>
    <row r="269" spans="1:8" x14ac:dyDescent="0.2">
      <c r="A269" s="1993">
        <f>IF(B269="","",COUNTA($B$3:B269))</f>
        <v>267</v>
      </c>
      <c r="B269" s="1995">
        <v>6</v>
      </c>
      <c r="C269" s="1994" t="s">
        <v>5</v>
      </c>
      <c r="D269" s="1763" t="s">
        <v>115</v>
      </c>
      <c r="E269" s="1763" t="s">
        <v>141</v>
      </c>
      <c r="F269" s="1764" t="s">
        <v>1353</v>
      </c>
      <c r="G269" s="1764" t="s">
        <v>20</v>
      </c>
      <c r="H269" s="1926">
        <v>152.63999999999999</v>
      </c>
    </row>
    <row r="270" spans="1:8" x14ac:dyDescent="0.2">
      <c r="A270" s="1993">
        <f>IF(B270="","",COUNTA($B$3:B270))</f>
        <v>268</v>
      </c>
      <c r="B270" s="1995">
        <v>6</v>
      </c>
      <c r="C270" s="1994" t="s">
        <v>5</v>
      </c>
      <c r="D270" s="1763" t="s">
        <v>115</v>
      </c>
      <c r="E270" s="1763" t="s">
        <v>141</v>
      </c>
      <c r="F270" s="1764" t="s">
        <v>1382</v>
      </c>
      <c r="G270" s="1764" t="s">
        <v>18</v>
      </c>
      <c r="H270" s="1926">
        <v>31423.68</v>
      </c>
    </row>
    <row r="271" spans="1:8" x14ac:dyDescent="0.2">
      <c r="A271" s="1993">
        <f>IF(B271="","",COUNTA($B$3:B271))</f>
        <v>269</v>
      </c>
      <c r="B271" s="1995">
        <v>6</v>
      </c>
      <c r="C271" s="1994" t="s">
        <v>5</v>
      </c>
      <c r="D271" s="1763" t="s">
        <v>115</v>
      </c>
      <c r="E271" s="1763" t="s">
        <v>141</v>
      </c>
      <c r="F271" s="1764" t="s">
        <v>1382</v>
      </c>
      <c r="G271" s="1764" t="s">
        <v>19</v>
      </c>
      <c r="H271" s="1926">
        <v>0</v>
      </c>
    </row>
    <row r="272" spans="1:8" x14ac:dyDescent="0.2">
      <c r="A272" s="1993">
        <f>IF(B272="","",COUNTA($B$3:B272))</f>
        <v>270</v>
      </c>
      <c r="B272" s="1995">
        <v>6</v>
      </c>
      <c r="C272" s="1994" t="s">
        <v>5</v>
      </c>
      <c r="D272" s="1763" t="s">
        <v>115</v>
      </c>
      <c r="E272" s="1763" t="s">
        <v>141</v>
      </c>
      <c r="F272" s="1764" t="s">
        <v>1382</v>
      </c>
      <c r="G272" s="1764" t="s">
        <v>20</v>
      </c>
      <c r="H272" s="1926">
        <v>760.32</v>
      </c>
    </row>
    <row r="273" spans="1:8" x14ac:dyDescent="0.2">
      <c r="A273" s="1993">
        <f>IF(B273="","",COUNTA($B$3:B273))</f>
        <v>271</v>
      </c>
      <c r="B273" s="1995">
        <v>6</v>
      </c>
      <c r="C273" s="1994" t="s">
        <v>5</v>
      </c>
      <c r="D273" s="1763" t="s">
        <v>115</v>
      </c>
      <c r="E273" s="1763" t="s">
        <v>141</v>
      </c>
      <c r="F273" s="1764" t="s">
        <v>109</v>
      </c>
      <c r="G273" s="1764" t="s">
        <v>18</v>
      </c>
      <c r="H273" s="1926">
        <v>16007.04</v>
      </c>
    </row>
    <row r="274" spans="1:8" x14ac:dyDescent="0.2">
      <c r="A274" s="1993">
        <f>IF(B274="","",COUNTA($B$3:B274))</f>
        <v>272</v>
      </c>
      <c r="B274" s="1995">
        <v>6</v>
      </c>
      <c r="C274" s="1994" t="s">
        <v>5</v>
      </c>
      <c r="D274" s="1763" t="s">
        <v>115</v>
      </c>
      <c r="E274" s="1763" t="s">
        <v>141</v>
      </c>
      <c r="F274" s="1764" t="s">
        <v>109</v>
      </c>
      <c r="G274" s="1764" t="s">
        <v>19</v>
      </c>
      <c r="H274" s="1926">
        <v>0</v>
      </c>
    </row>
    <row r="275" spans="1:8" x14ac:dyDescent="0.2">
      <c r="A275" s="1993">
        <f>IF(B275="","",COUNTA($B$3:B275))</f>
        <v>273</v>
      </c>
      <c r="B275" s="1995">
        <v>6</v>
      </c>
      <c r="C275" s="1994" t="s">
        <v>5</v>
      </c>
      <c r="D275" s="1763" t="s">
        <v>115</v>
      </c>
      <c r="E275" s="1763" t="s">
        <v>141</v>
      </c>
      <c r="F275" s="1764" t="s">
        <v>109</v>
      </c>
      <c r="G275" s="1764" t="s">
        <v>20</v>
      </c>
      <c r="H275" s="1926">
        <v>456.48</v>
      </c>
    </row>
    <row r="276" spans="1:8" x14ac:dyDescent="0.2">
      <c r="A276" s="1993">
        <f>IF(B276="","",COUNTA($B$3:B276))</f>
        <v>274</v>
      </c>
      <c r="B276" s="1995">
        <v>6</v>
      </c>
      <c r="C276" s="1994" t="s">
        <v>25</v>
      </c>
      <c r="D276" s="1763" t="s">
        <v>116</v>
      </c>
      <c r="E276" s="1763" t="s">
        <v>140</v>
      </c>
      <c r="F276" s="1764" t="s">
        <v>109</v>
      </c>
      <c r="G276" s="1764" t="s">
        <v>18</v>
      </c>
      <c r="H276" s="1926">
        <v>92777.600000000006</v>
      </c>
    </row>
    <row r="277" spans="1:8" x14ac:dyDescent="0.2">
      <c r="A277" s="1993">
        <f>IF(B277="","",COUNTA($B$3:B277))</f>
        <v>275</v>
      </c>
      <c r="B277" s="1995">
        <v>6</v>
      </c>
      <c r="C277" s="1994" t="s">
        <v>25</v>
      </c>
      <c r="D277" s="1763" t="s">
        <v>116</v>
      </c>
      <c r="E277" s="1763" t="s">
        <v>140</v>
      </c>
      <c r="F277" s="1764" t="s">
        <v>109</v>
      </c>
      <c r="G277" s="1764" t="s">
        <v>19</v>
      </c>
      <c r="H277" s="1926">
        <v>0</v>
      </c>
    </row>
    <row r="278" spans="1:8" x14ac:dyDescent="0.2">
      <c r="A278" s="1993">
        <f>IF(B278="","",COUNTA($B$3:B278))</f>
        <v>276</v>
      </c>
      <c r="B278" s="1995">
        <v>6</v>
      </c>
      <c r="C278" s="1994" t="s">
        <v>25</v>
      </c>
      <c r="D278" s="1763" t="s">
        <v>116</v>
      </c>
      <c r="E278" s="1763" t="s">
        <v>140</v>
      </c>
      <c r="F278" s="1764" t="s">
        <v>109</v>
      </c>
      <c r="G278" s="1764" t="s">
        <v>20</v>
      </c>
      <c r="H278" s="1926">
        <v>9334.4</v>
      </c>
    </row>
    <row r="279" spans="1:8" x14ac:dyDescent="0.2">
      <c r="A279" s="1993">
        <f>IF(B279="","",COUNTA($B$3:B279))</f>
        <v>277</v>
      </c>
      <c r="B279" s="1995">
        <v>6</v>
      </c>
      <c r="C279" s="1994" t="s">
        <v>25</v>
      </c>
      <c r="D279" s="1763" t="s">
        <v>116</v>
      </c>
      <c r="E279" s="1763" t="s">
        <v>140</v>
      </c>
      <c r="F279" s="1764" t="s">
        <v>129</v>
      </c>
      <c r="G279" s="1764" t="s">
        <v>18</v>
      </c>
      <c r="H279" s="1926">
        <v>3388.8</v>
      </c>
    </row>
    <row r="280" spans="1:8" x14ac:dyDescent="0.2">
      <c r="A280" s="1993">
        <f>IF(B280="","",COUNTA($B$3:B280))</f>
        <v>278</v>
      </c>
      <c r="B280" s="1995">
        <v>6</v>
      </c>
      <c r="C280" s="1994" t="s">
        <v>25</v>
      </c>
      <c r="D280" s="1763" t="s">
        <v>116</v>
      </c>
      <c r="E280" s="1763" t="s">
        <v>140</v>
      </c>
      <c r="F280" s="1764" t="s">
        <v>129</v>
      </c>
      <c r="G280" s="1764" t="s">
        <v>19</v>
      </c>
      <c r="H280" s="1926">
        <v>0</v>
      </c>
    </row>
    <row r="281" spans="1:8" x14ac:dyDescent="0.2">
      <c r="A281" s="1993">
        <f>IF(B281="","",COUNTA($B$3:B281))</f>
        <v>279</v>
      </c>
      <c r="B281" s="1995">
        <v>6</v>
      </c>
      <c r="C281" s="1994" t="s">
        <v>25</v>
      </c>
      <c r="D281" s="1763" t="s">
        <v>116</v>
      </c>
      <c r="E281" s="1763" t="s">
        <v>140</v>
      </c>
      <c r="F281" s="1764" t="s">
        <v>129</v>
      </c>
      <c r="G281" s="1764" t="s">
        <v>20</v>
      </c>
      <c r="H281" s="1926">
        <v>179.2</v>
      </c>
    </row>
    <row r="282" spans="1:8" x14ac:dyDescent="0.2">
      <c r="A282" s="1993">
        <f>IF(B282="","",COUNTA($B$3:B282))</f>
        <v>280</v>
      </c>
      <c r="B282" s="1995">
        <v>6</v>
      </c>
      <c r="C282" s="1994" t="s">
        <v>25</v>
      </c>
      <c r="D282" s="1763" t="s">
        <v>116</v>
      </c>
      <c r="E282" s="1763" t="s">
        <v>140</v>
      </c>
      <c r="F282" s="1764" t="s">
        <v>1363</v>
      </c>
      <c r="G282" s="1764" t="s">
        <v>18</v>
      </c>
      <c r="H282" s="1926">
        <v>11126.4</v>
      </c>
    </row>
    <row r="283" spans="1:8" x14ac:dyDescent="0.2">
      <c r="A283" s="1993">
        <f>IF(B283="","",COUNTA($B$3:B283))</f>
        <v>281</v>
      </c>
      <c r="B283" s="1995">
        <v>6</v>
      </c>
      <c r="C283" s="1994" t="s">
        <v>25</v>
      </c>
      <c r="D283" s="1763" t="s">
        <v>116</v>
      </c>
      <c r="E283" s="1763" t="s">
        <v>140</v>
      </c>
      <c r="F283" s="1764" t="s">
        <v>1363</v>
      </c>
      <c r="G283" s="1764" t="s">
        <v>19</v>
      </c>
      <c r="H283" s="1926">
        <v>0</v>
      </c>
    </row>
    <row r="284" spans="1:8" x14ac:dyDescent="0.2">
      <c r="A284" s="1993">
        <f>IF(B284="","",COUNTA($B$3:B284))</f>
        <v>282</v>
      </c>
      <c r="B284" s="1995">
        <v>6</v>
      </c>
      <c r="C284" s="1994" t="s">
        <v>25</v>
      </c>
      <c r="D284" s="1763" t="s">
        <v>116</v>
      </c>
      <c r="E284" s="1763" t="s">
        <v>140</v>
      </c>
      <c r="F284" s="1764" t="s">
        <v>1363</v>
      </c>
      <c r="G284" s="1764" t="s">
        <v>20</v>
      </c>
      <c r="H284" s="1926">
        <v>785.6</v>
      </c>
    </row>
    <row r="285" spans="1:8" x14ac:dyDescent="0.2">
      <c r="A285" s="1993">
        <f>IF(B285="","",COUNTA($B$3:B285))</f>
        <v>283</v>
      </c>
      <c r="B285" s="1995">
        <v>6</v>
      </c>
      <c r="C285" s="1994" t="s">
        <v>25</v>
      </c>
      <c r="D285" s="1763" t="s">
        <v>116</v>
      </c>
      <c r="E285" s="1763" t="s">
        <v>140</v>
      </c>
      <c r="F285" s="1764" t="s">
        <v>117</v>
      </c>
      <c r="G285" s="1764" t="s">
        <v>18</v>
      </c>
      <c r="H285" s="1926">
        <v>17403.2</v>
      </c>
    </row>
    <row r="286" spans="1:8" x14ac:dyDescent="0.2">
      <c r="A286" s="1993">
        <f>IF(B286="","",COUNTA($B$3:B286))</f>
        <v>284</v>
      </c>
      <c r="B286" s="1995">
        <v>6</v>
      </c>
      <c r="C286" s="1994" t="s">
        <v>25</v>
      </c>
      <c r="D286" s="1763" t="s">
        <v>116</v>
      </c>
      <c r="E286" s="1763" t="s">
        <v>140</v>
      </c>
      <c r="F286" s="1764" t="s">
        <v>117</v>
      </c>
      <c r="G286" s="1764" t="s">
        <v>19</v>
      </c>
      <c r="H286" s="1926">
        <v>0</v>
      </c>
    </row>
    <row r="287" spans="1:8" x14ac:dyDescent="0.2">
      <c r="A287" s="1993">
        <f>IF(B287="","",COUNTA($B$3:B287))</f>
        <v>285</v>
      </c>
      <c r="B287" s="1995">
        <v>6</v>
      </c>
      <c r="C287" s="1994" t="s">
        <v>25</v>
      </c>
      <c r="D287" s="1763" t="s">
        <v>116</v>
      </c>
      <c r="E287" s="1763" t="s">
        <v>140</v>
      </c>
      <c r="F287" s="1764" t="s">
        <v>117</v>
      </c>
      <c r="G287" s="1764" t="s">
        <v>20</v>
      </c>
      <c r="H287" s="1926">
        <v>966.4</v>
      </c>
    </row>
    <row r="288" spans="1:8" x14ac:dyDescent="0.2">
      <c r="A288" s="1993">
        <f>IF(B288="","",COUNTA($B$3:B288))</f>
        <v>286</v>
      </c>
      <c r="B288" s="1995">
        <v>6</v>
      </c>
      <c r="C288" s="1994" t="s">
        <v>25</v>
      </c>
      <c r="D288" s="1763" t="s">
        <v>116</v>
      </c>
      <c r="E288" s="1763" t="s">
        <v>140</v>
      </c>
      <c r="F288" s="1764" t="s">
        <v>1353</v>
      </c>
      <c r="G288" s="1764" t="s">
        <v>18</v>
      </c>
      <c r="H288" s="1926">
        <v>18683.2</v>
      </c>
    </row>
    <row r="289" spans="1:8" x14ac:dyDescent="0.2">
      <c r="A289" s="1993">
        <f>IF(B289="","",COUNTA($B$3:B289))</f>
        <v>287</v>
      </c>
      <c r="B289" s="1995">
        <v>6</v>
      </c>
      <c r="C289" s="1994" t="s">
        <v>25</v>
      </c>
      <c r="D289" s="1763" t="s">
        <v>116</v>
      </c>
      <c r="E289" s="1763" t="s">
        <v>140</v>
      </c>
      <c r="F289" s="1764" t="s">
        <v>1353</v>
      </c>
      <c r="G289" s="1764" t="s">
        <v>19</v>
      </c>
      <c r="H289" s="1926">
        <v>0</v>
      </c>
    </row>
    <row r="290" spans="1:8" x14ac:dyDescent="0.2">
      <c r="A290" s="1993">
        <f>IF(B290="","",COUNTA($B$3:B290))</f>
        <v>288</v>
      </c>
      <c r="B290" s="1995">
        <v>6</v>
      </c>
      <c r="C290" s="1994" t="s">
        <v>25</v>
      </c>
      <c r="D290" s="1763" t="s">
        <v>116</v>
      </c>
      <c r="E290" s="1763" t="s">
        <v>140</v>
      </c>
      <c r="F290" s="1764" t="s">
        <v>1353</v>
      </c>
      <c r="G290" s="1764" t="s">
        <v>20</v>
      </c>
      <c r="H290" s="1926">
        <v>996.8</v>
      </c>
    </row>
    <row r="291" spans="1:8" x14ac:dyDescent="0.2">
      <c r="A291" s="1993">
        <f>IF(B291="","",COUNTA($B$3:B291))</f>
        <v>289</v>
      </c>
      <c r="B291" s="1995">
        <v>6</v>
      </c>
      <c r="C291" s="1994" t="s">
        <v>25</v>
      </c>
      <c r="D291" s="1763" t="s">
        <v>116</v>
      </c>
      <c r="E291" s="1763" t="s">
        <v>140</v>
      </c>
      <c r="F291" s="1764" t="s">
        <v>1365</v>
      </c>
      <c r="G291" s="1764" t="s">
        <v>18</v>
      </c>
      <c r="H291" s="1926">
        <v>61971.199999999997</v>
      </c>
    </row>
    <row r="292" spans="1:8" x14ac:dyDescent="0.2">
      <c r="A292" s="1993">
        <f>IF(B292="","",COUNTA($B$3:B292))</f>
        <v>290</v>
      </c>
      <c r="B292" s="1995">
        <v>6</v>
      </c>
      <c r="C292" s="1994" t="s">
        <v>25</v>
      </c>
      <c r="D292" s="1763" t="s">
        <v>116</v>
      </c>
      <c r="E292" s="1763" t="s">
        <v>140</v>
      </c>
      <c r="F292" s="1764" t="s">
        <v>1365</v>
      </c>
      <c r="G292" s="1764" t="s">
        <v>19</v>
      </c>
      <c r="H292" s="1926">
        <v>0</v>
      </c>
    </row>
    <row r="293" spans="1:8" x14ac:dyDescent="0.2">
      <c r="A293" s="1993">
        <f>IF(B293="","",COUNTA($B$3:B293))</f>
        <v>291</v>
      </c>
      <c r="B293" s="1995">
        <v>6</v>
      </c>
      <c r="C293" s="1994" t="s">
        <v>25</v>
      </c>
      <c r="D293" s="1763" t="s">
        <v>116</v>
      </c>
      <c r="E293" s="1763" t="s">
        <v>140</v>
      </c>
      <c r="F293" s="1764" t="s">
        <v>1365</v>
      </c>
      <c r="G293" s="1764" t="s">
        <v>20</v>
      </c>
      <c r="H293" s="1926">
        <v>4073.6</v>
      </c>
    </row>
    <row r="294" spans="1:8" x14ac:dyDescent="0.2">
      <c r="A294" s="1993">
        <f>IF(B294="","",COUNTA($B$3:B294))</f>
        <v>292</v>
      </c>
      <c r="B294" s="1995">
        <v>6</v>
      </c>
      <c r="C294" s="1994" t="s">
        <v>25</v>
      </c>
      <c r="D294" s="1763" t="s">
        <v>116</v>
      </c>
      <c r="E294" s="1763" t="s">
        <v>140</v>
      </c>
      <c r="F294" s="1764" t="s">
        <v>1366</v>
      </c>
      <c r="G294" s="1764" t="s">
        <v>18</v>
      </c>
      <c r="H294" s="1926">
        <v>21702.400000000001</v>
      </c>
    </row>
    <row r="295" spans="1:8" x14ac:dyDescent="0.2">
      <c r="A295" s="1993">
        <f>IF(B295="","",COUNTA($B$3:B295))</f>
        <v>293</v>
      </c>
      <c r="B295" s="1995">
        <v>6</v>
      </c>
      <c r="C295" s="1994" t="s">
        <v>25</v>
      </c>
      <c r="D295" s="1763" t="s">
        <v>116</v>
      </c>
      <c r="E295" s="1763" t="s">
        <v>140</v>
      </c>
      <c r="F295" s="1764" t="s">
        <v>1366</v>
      </c>
      <c r="G295" s="1764" t="s">
        <v>19</v>
      </c>
      <c r="H295" s="1926">
        <v>0</v>
      </c>
    </row>
    <row r="296" spans="1:8" x14ac:dyDescent="0.2">
      <c r="A296" s="1993">
        <f>IF(B296="","",COUNTA($B$3:B296))</f>
        <v>294</v>
      </c>
      <c r="B296" s="1995">
        <v>6</v>
      </c>
      <c r="C296" s="1994" t="s">
        <v>25</v>
      </c>
      <c r="D296" s="1763" t="s">
        <v>116</v>
      </c>
      <c r="E296" s="1763" t="s">
        <v>140</v>
      </c>
      <c r="F296" s="1764" t="s">
        <v>1366</v>
      </c>
      <c r="G296" s="1764" t="s">
        <v>20</v>
      </c>
      <c r="H296" s="1926">
        <v>1161.5999999999999</v>
      </c>
    </row>
    <row r="297" spans="1:8" x14ac:dyDescent="0.2">
      <c r="A297" s="1993">
        <f>IF(B297="","",COUNTA($B$3:B297))</f>
        <v>295</v>
      </c>
      <c r="B297" s="1995">
        <v>6</v>
      </c>
      <c r="C297" s="1994" t="s">
        <v>25</v>
      </c>
      <c r="D297" s="1763" t="s">
        <v>116</v>
      </c>
      <c r="E297" s="1763" t="s">
        <v>140</v>
      </c>
      <c r="F297" s="1764" t="s">
        <v>541</v>
      </c>
      <c r="G297" s="1764" t="s">
        <v>18</v>
      </c>
      <c r="H297" s="1926">
        <v>39804.800000000003</v>
      </c>
    </row>
    <row r="298" spans="1:8" x14ac:dyDescent="0.2">
      <c r="A298" s="1993">
        <f>IF(B298="","",COUNTA($B$3:B298))</f>
        <v>296</v>
      </c>
      <c r="B298" s="1995">
        <v>6</v>
      </c>
      <c r="C298" s="1994" t="s">
        <v>25</v>
      </c>
      <c r="D298" s="1763" t="s">
        <v>116</v>
      </c>
      <c r="E298" s="1763" t="s">
        <v>140</v>
      </c>
      <c r="F298" s="1764" t="s">
        <v>541</v>
      </c>
      <c r="G298" s="1764" t="s">
        <v>19</v>
      </c>
      <c r="H298" s="1926">
        <v>0</v>
      </c>
    </row>
    <row r="299" spans="1:8" x14ac:dyDescent="0.2">
      <c r="A299" s="1993">
        <f>IF(B299="","",COUNTA($B$3:B299))</f>
        <v>297</v>
      </c>
      <c r="B299" s="1995">
        <v>6</v>
      </c>
      <c r="C299" s="1994" t="s">
        <v>25</v>
      </c>
      <c r="D299" s="1763" t="s">
        <v>116</v>
      </c>
      <c r="E299" s="1763" t="s">
        <v>140</v>
      </c>
      <c r="F299" s="1764" t="s">
        <v>541</v>
      </c>
      <c r="G299" s="1764" t="s">
        <v>20</v>
      </c>
      <c r="H299" s="1926">
        <v>1792</v>
      </c>
    </row>
    <row r="300" spans="1:8" x14ac:dyDescent="0.2">
      <c r="A300" s="1993">
        <f>IF(B300="","",COUNTA($B$3:B300))</f>
        <v>298</v>
      </c>
      <c r="B300" s="1995">
        <v>6</v>
      </c>
      <c r="C300" s="1994" t="s">
        <v>25</v>
      </c>
      <c r="D300" s="1763" t="s">
        <v>116</v>
      </c>
      <c r="E300" s="1763" t="s">
        <v>140</v>
      </c>
      <c r="F300" s="1764" t="s">
        <v>113</v>
      </c>
      <c r="G300" s="1764" t="s">
        <v>18</v>
      </c>
      <c r="H300" s="1926">
        <v>37968</v>
      </c>
    </row>
    <row r="301" spans="1:8" x14ac:dyDescent="0.2">
      <c r="A301" s="1993">
        <f>IF(B301="","",COUNTA($B$3:B301))</f>
        <v>299</v>
      </c>
      <c r="B301" s="1995">
        <v>6</v>
      </c>
      <c r="C301" s="1994" t="s">
        <v>25</v>
      </c>
      <c r="D301" s="1763" t="s">
        <v>116</v>
      </c>
      <c r="E301" s="1763" t="s">
        <v>140</v>
      </c>
      <c r="F301" s="1764" t="s">
        <v>113</v>
      </c>
      <c r="G301" s="1764" t="s">
        <v>19</v>
      </c>
      <c r="H301" s="1926">
        <v>0</v>
      </c>
    </row>
    <row r="302" spans="1:8" x14ac:dyDescent="0.2">
      <c r="A302" s="1993">
        <f>IF(B302="","",COUNTA($B$3:B302))</f>
        <v>300</v>
      </c>
      <c r="B302" s="1995">
        <v>6</v>
      </c>
      <c r="C302" s="1994" t="s">
        <v>25</v>
      </c>
      <c r="D302" s="1763" t="s">
        <v>116</v>
      </c>
      <c r="E302" s="1763" t="s">
        <v>140</v>
      </c>
      <c r="F302" s="1764" t="s">
        <v>113</v>
      </c>
      <c r="G302" s="1764" t="s">
        <v>20</v>
      </c>
      <c r="H302" s="1926">
        <v>0</v>
      </c>
    </row>
    <row r="303" spans="1:8" x14ac:dyDescent="0.2">
      <c r="A303" s="1993">
        <f>IF(B303="","",COUNTA($B$3:B303))</f>
        <v>301</v>
      </c>
      <c r="B303" s="1995">
        <v>6</v>
      </c>
      <c r="C303" s="1994" t="s">
        <v>25</v>
      </c>
      <c r="D303" s="1763" t="s">
        <v>116</v>
      </c>
      <c r="E303" s="1763" t="s">
        <v>140</v>
      </c>
      <c r="F303" s="1764" t="s">
        <v>146</v>
      </c>
      <c r="G303" s="1764" t="s">
        <v>18</v>
      </c>
      <c r="H303" s="1926">
        <v>7086.4</v>
      </c>
    </row>
    <row r="304" spans="1:8" x14ac:dyDescent="0.2">
      <c r="A304" s="1993">
        <f>IF(B304="","",COUNTA($B$3:B304))</f>
        <v>302</v>
      </c>
      <c r="B304" s="1995">
        <v>6</v>
      </c>
      <c r="C304" s="1994" t="s">
        <v>25</v>
      </c>
      <c r="D304" s="1763" t="s">
        <v>116</v>
      </c>
      <c r="E304" s="1763" t="s">
        <v>140</v>
      </c>
      <c r="F304" s="1764" t="s">
        <v>146</v>
      </c>
      <c r="G304" s="1764" t="s">
        <v>19</v>
      </c>
      <c r="H304" s="1926">
        <v>0</v>
      </c>
    </row>
    <row r="305" spans="1:8" x14ac:dyDescent="0.2">
      <c r="A305" s="1993">
        <f>IF(B305="","",COUNTA($B$3:B305))</f>
        <v>303</v>
      </c>
      <c r="B305" s="1995">
        <v>6</v>
      </c>
      <c r="C305" s="1994" t="s">
        <v>25</v>
      </c>
      <c r="D305" s="1763" t="s">
        <v>116</v>
      </c>
      <c r="E305" s="1763" t="s">
        <v>140</v>
      </c>
      <c r="F305" s="1764" t="s">
        <v>146</v>
      </c>
      <c r="G305" s="1764" t="s">
        <v>20</v>
      </c>
      <c r="H305" s="1926">
        <v>635.20000000000005</v>
      </c>
    </row>
    <row r="306" spans="1:8" x14ac:dyDescent="0.2">
      <c r="A306" s="1993">
        <f>IF(B306="","",COUNTA($B$3:B306))</f>
        <v>304</v>
      </c>
      <c r="B306" s="1995">
        <v>6</v>
      </c>
      <c r="C306" s="1994" t="s">
        <v>25</v>
      </c>
      <c r="D306" s="1763" t="s">
        <v>116</v>
      </c>
      <c r="E306" s="1763" t="s">
        <v>140</v>
      </c>
      <c r="F306" s="1764" t="s">
        <v>1389</v>
      </c>
      <c r="G306" s="1764" t="s">
        <v>18</v>
      </c>
      <c r="H306" s="1926">
        <v>20960</v>
      </c>
    </row>
    <row r="307" spans="1:8" x14ac:dyDescent="0.2">
      <c r="A307" s="1993">
        <f>IF(B307="","",COUNTA($B$3:B307))</f>
        <v>305</v>
      </c>
      <c r="B307" s="1995">
        <v>6</v>
      </c>
      <c r="C307" s="1994" t="s">
        <v>25</v>
      </c>
      <c r="D307" s="1763" t="s">
        <v>116</v>
      </c>
      <c r="E307" s="1763" t="s">
        <v>140</v>
      </c>
      <c r="F307" s="1764" t="s">
        <v>1389</v>
      </c>
      <c r="G307" s="1764" t="s">
        <v>19</v>
      </c>
      <c r="H307" s="1926">
        <v>0</v>
      </c>
    </row>
    <row r="308" spans="1:8" x14ac:dyDescent="0.2">
      <c r="A308" s="1993">
        <f>IF(B308="","",COUNTA($B$3:B308))</f>
        <v>306</v>
      </c>
      <c r="B308" s="1995">
        <v>6</v>
      </c>
      <c r="C308" s="1994" t="s">
        <v>25</v>
      </c>
      <c r="D308" s="1763" t="s">
        <v>116</v>
      </c>
      <c r="E308" s="1763" t="s">
        <v>140</v>
      </c>
      <c r="F308" s="1764" t="s">
        <v>1389</v>
      </c>
      <c r="G308" s="1764" t="s">
        <v>20</v>
      </c>
      <c r="H308" s="1926">
        <v>1108.8</v>
      </c>
    </row>
    <row r="309" spans="1:8" x14ac:dyDescent="0.2">
      <c r="A309" s="1993">
        <f>IF(B309="","",COUNTA($B$3:B309))</f>
        <v>307</v>
      </c>
      <c r="B309" s="1995">
        <v>6</v>
      </c>
      <c r="C309" s="1994" t="s">
        <v>25</v>
      </c>
      <c r="D309" s="1763" t="s">
        <v>116</v>
      </c>
      <c r="E309" s="1763" t="s">
        <v>141</v>
      </c>
      <c r="F309" s="1764" t="s">
        <v>109</v>
      </c>
      <c r="G309" s="1764" t="s">
        <v>18</v>
      </c>
      <c r="H309" s="1926">
        <v>24246.400000000001</v>
      </c>
    </row>
    <row r="310" spans="1:8" x14ac:dyDescent="0.2">
      <c r="A310" s="1993">
        <f>IF(B310="","",COUNTA($B$3:B310))</f>
        <v>308</v>
      </c>
      <c r="B310" s="1995">
        <v>6</v>
      </c>
      <c r="C310" s="1994" t="s">
        <v>25</v>
      </c>
      <c r="D310" s="1763" t="s">
        <v>116</v>
      </c>
      <c r="E310" s="1763" t="s">
        <v>141</v>
      </c>
      <c r="F310" s="1764" t="s">
        <v>109</v>
      </c>
      <c r="G310" s="1764" t="s">
        <v>19</v>
      </c>
      <c r="H310" s="1926">
        <v>0</v>
      </c>
    </row>
    <row r="311" spans="1:8" x14ac:dyDescent="0.2">
      <c r="A311" s="1993">
        <f>IF(B311="","",COUNTA($B$3:B311))</f>
        <v>309</v>
      </c>
      <c r="B311" s="1995">
        <v>6</v>
      </c>
      <c r="C311" s="1994" t="s">
        <v>25</v>
      </c>
      <c r="D311" s="1763" t="s">
        <v>116</v>
      </c>
      <c r="E311" s="1763" t="s">
        <v>141</v>
      </c>
      <c r="F311" s="1764" t="s">
        <v>109</v>
      </c>
      <c r="G311" s="1764" t="s">
        <v>20</v>
      </c>
      <c r="H311" s="1926">
        <v>505.6</v>
      </c>
    </row>
    <row r="312" spans="1:8" x14ac:dyDescent="0.2">
      <c r="A312" s="1993">
        <f>IF(B312="","",COUNTA($B$3:B312))</f>
        <v>310</v>
      </c>
      <c r="B312" s="1995">
        <v>6</v>
      </c>
      <c r="C312" s="1994" t="s">
        <v>25</v>
      </c>
      <c r="D312" s="1763" t="s">
        <v>116</v>
      </c>
      <c r="E312" s="1763" t="s">
        <v>141</v>
      </c>
      <c r="F312" s="1764" t="s">
        <v>1353</v>
      </c>
      <c r="G312" s="1764" t="s">
        <v>18</v>
      </c>
      <c r="H312" s="1926">
        <v>16392</v>
      </c>
    </row>
    <row r="313" spans="1:8" x14ac:dyDescent="0.2">
      <c r="A313" s="1993">
        <f>IF(B313="","",COUNTA($B$3:B313))</f>
        <v>311</v>
      </c>
      <c r="B313" s="1995">
        <v>6</v>
      </c>
      <c r="C313" s="1994" t="s">
        <v>25</v>
      </c>
      <c r="D313" s="1763" t="s">
        <v>116</v>
      </c>
      <c r="E313" s="1763" t="s">
        <v>141</v>
      </c>
      <c r="F313" s="1764" t="s">
        <v>1353</v>
      </c>
      <c r="G313" s="1764" t="s">
        <v>19</v>
      </c>
      <c r="H313" s="1926">
        <v>0</v>
      </c>
    </row>
    <row r="314" spans="1:8" x14ac:dyDescent="0.2">
      <c r="A314" s="1993">
        <f>IF(B314="","",COUNTA($B$3:B314))</f>
        <v>312</v>
      </c>
      <c r="B314" s="1995">
        <v>6</v>
      </c>
      <c r="C314" s="1994" t="s">
        <v>25</v>
      </c>
      <c r="D314" s="1763" t="s">
        <v>116</v>
      </c>
      <c r="E314" s="1763" t="s">
        <v>141</v>
      </c>
      <c r="F314" s="1764" t="s">
        <v>1353</v>
      </c>
      <c r="G314" s="1764" t="s">
        <v>20</v>
      </c>
      <c r="H314" s="1926">
        <v>185.6</v>
      </c>
    </row>
    <row r="315" spans="1:8" x14ac:dyDescent="0.2">
      <c r="A315" s="1993">
        <f>IF(B315="","",COUNTA($B$3:B315))</f>
        <v>313</v>
      </c>
      <c r="B315" s="1995">
        <v>6</v>
      </c>
      <c r="C315" s="1994" t="s">
        <v>25</v>
      </c>
      <c r="D315" s="1763" t="s">
        <v>116</v>
      </c>
      <c r="E315" s="1763" t="s">
        <v>141</v>
      </c>
      <c r="F315" s="1764" t="s">
        <v>117</v>
      </c>
      <c r="G315" s="1764" t="s">
        <v>18</v>
      </c>
      <c r="H315" s="1926">
        <v>6236.8</v>
      </c>
    </row>
    <row r="316" spans="1:8" x14ac:dyDescent="0.2">
      <c r="A316" s="1993">
        <f>IF(B316="","",COUNTA($B$3:B316))</f>
        <v>314</v>
      </c>
      <c r="B316" s="1995">
        <v>6</v>
      </c>
      <c r="C316" s="1994" t="s">
        <v>25</v>
      </c>
      <c r="D316" s="1763" t="s">
        <v>116</v>
      </c>
      <c r="E316" s="1763" t="s">
        <v>141</v>
      </c>
      <c r="F316" s="1764" t="s">
        <v>117</v>
      </c>
      <c r="G316" s="1764" t="s">
        <v>19</v>
      </c>
      <c r="H316" s="1926">
        <v>0</v>
      </c>
    </row>
    <row r="317" spans="1:8" x14ac:dyDescent="0.2">
      <c r="A317" s="1993">
        <f>IF(B317="","",COUNTA($B$3:B317))</f>
        <v>315</v>
      </c>
      <c r="B317" s="1995">
        <v>6</v>
      </c>
      <c r="C317" s="1994" t="s">
        <v>25</v>
      </c>
      <c r="D317" s="1763" t="s">
        <v>116</v>
      </c>
      <c r="E317" s="1763" t="s">
        <v>141</v>
      </c>
      <c r="F317" s="1764" t="s">
        <v>117</v>
      </c>
      <c r="G317" s="1764" t="s">
        <v>20</v>
      </c>
      <c r="H317" s="1926">
        <v>91.2</v>
      </c>
    </row>
    <row r="318" spans="1:8" x14ac:dyDescent="0.2">
      <c r="A318" s="1993">
        <f>IF(B318="","",COUNTA($B$3:B318))</f>
        <v>316</v>
      </c>
      <c r="B318" s="1995">
        <v>6</v>
      </c>
      <c r="C318" s="1994" t="s">
        <v>25</v>
      </c>
      <c r="D318" s="1763" t="s">
        <v>116</v>
      </c>
      <c r="E318" s="1763" t="s">
        <v>141</v>
      </c>
      <c r="F318" s="1764" t="s">
        <v>1365</v>
      </c>
      <c r="G318" s="1764" t="s">
        <v>18</v>
      </c>
      <c r="H318" s="1926">
        <v>28852.799999999999</v>
      </c>
    </row>
    <row r="319" spans="1:8" x14ac:dyDescent="0.2">
      <c r="A319" s="1993">
        <f>IF(B319="","",COUNTA($B$3:B319))</f>
        <v>317</v>
      </c>
      <c r="B319" s="1995">
        <v>6</v>
      </c>
      <c r="C319" s="1994" t="s">
        <v>25</v>
      </c>
      <c r="D319" s="1763" t="s">
        <v>116</v>
      </c>
      <c r="E319" s="1763" t="s">
        <v>141</v>
      </c>
      <c r="F319" s="1764" t="s">
        <v>1365</v>
      </c>
      <c r="G319" s="1764" t="s">
        <v>19</v>
      </c>
      <c r="H319" s="1926">
        <v>0</v>
      </c>
    </row>
    <row r="320" spans="1:8" x14ac:dyDescent="0.2">
      <c r="A320" s="1993">
        <f>IF(B320="","",COUNTA($B$3:B320))</f>
        <v>318</v>
      </c>
      <c r="B320" s="1995">
        <v>6</v>
      </c>
      <c r="C320" s="1994" t="s">
        <v>25</v>
      </c>
      <c r="D320" s="1763" t="s">
        <v>116</v>
      </c>
      <c r="E320" s="1763" t="s">
        <v>141</v>
      </c>
      <c r="F320" s="1764" t="s">
        <v>1365</v>
      </c>
      <c r="G320" s="1764" t="s">
        <v>20</v>
      </c>
      <c r="H320" s="1926">
        <v>422.4</v>
      </c>
    </row>
    <row r="321" spans="1:8" x14ac:dyDescent="0.2">
      <c r="A321" s="1993">
        <f>IF(B321="","",COUNTA($B$3:B321))</f>
        <v>319</v>
      </c>
      <c r="B321" s="1995">
        <v>6</v>
      </c>
      <c r="C321" s="1994" t="s">
        <v>25</v>
      </c>
      <c r="D321" s="1763" t="s">
        <v>119</v>
      </c>
      <c r="E321" s="1763" t="s">
        <v>1028</v>
      </c>
      <c r="F321" s="1764" t="s">
        <v>109</v>
      </c>
      <c r="G321" s="1764" t="s">
        <v>18</v>
      </c>
      <c r="H321" s="2456">
        <v>2784</v>
      </c>
    </row>
    <row r="322" spans="1:8" x14ac:dyDescent="0.2">
      <c r="A322" s="1993">
        <f>IF(B322="","",COUNTA($B$3:B322))</f>
        <v>320</v>
      </c>
      <c r="B322" s="1995">
        <v>6</v>
      </c>
      <c r="C322" s="1994" t="s">
        <v>25</v>
      </c>
      <c r="D322" s="1763" t="s">
        <v>119</v>
      </c>
      <c r="E322" s="1763" t="s">
        <v>1028</v>
      </c>
      <c r="F322" s="1764" t="s">
        <v>109</v>
      </c>
      <c r="G322" s="1764" t="s">
        <v>19</v>
      </c>
      <c r="H322" s="1926">
        <v>0</v>
      </c>
    </row>
    <row r="323" spans="1:8" x14ac:dyDescent="0.2">
      <c r="A323" s="1993">
        <f>IF(B323="","",COUNTA($B$3:B323))</f>
        <v>321</v>
      </c>
      <c r="B323" s="1995">
        <v>6</v>
      </c>
      <c r="C323" s="1994" t="s">
        <v>25</v>
      </c>
      <c r="D323" s="1763" t="s">
        <v>119</v>
      </c>
      <c r="E323" s="1763" t="s">
        <v>1028</v>
      </c>
      <c r="F323" s="1764" t="s">
        <v>109</v>
      </c>
      <c r="G323" s="1764" t="s">
        <v>20</v>
      </c>
      <c r="H323" s="1926">
        <v>161</v>
      </c>
    </row>
    <row r="324" spans="1:8" x14ac:dyDescent="0.2">
      <c r="A324" s="1993">
        <f>IF(B324="","",COUNTA($B$3:B324))</f>
        <v>322</v>
      </c>
      <c r="B324" s="1995">
        <v>6</v>
      </c>
      <c r="C324" s="1994" t="s">
        <v>25</v>
      </c>
      <c r="D324" s="1763" t="s">
        <v>119</v>
      </c>
      <c r="E324" s="1763" t="s">
        <v>1028</v>
      </c>
      <c r="F324" s="1764" t="s">
        <v>1363</v>
      </c>
      <c r="G324" s="1764" t="s">
        <v>18</v>
      </c>
      <c r="H324" s="1926">
        <v>2688</v>
      </c>
    </row>
    <row r="325" spans="1:8" x14ac:dyDescent="0.2">
      <c r="A325" s="1993">
        <f>IF(B325="","",COUNTA($B$3:B325))</f>
        <v>323</v>
      </c>
      <c r="B325" s="1995">
        <v>6</v>
      </c>
      <c r="C325" s="1994" t="s">
        <v>25</v>
      </c>
      <c r="D325" s="1763" t="s">
        <v>119</v>
      </c>
      <c r="E325" s="1763" t="s">
        <v>1028</v>
      </c>
      <c r="F325" s="1764" t="s">
        <v>1363</v>
      </c>
      <c r="G325" s="1764" t="s">
        <v>19</v>
      </c>
      <c r="H325" s="1926">
        <v>0</v>
      </c>
    </row>
    <row r="326" spans="1:8" x14ac:dyDescent="0.2">
      <c r="A326" s="1993">
        <f>IF(B326="","",COUNTA($B$3:B326))</f>
        <v>324</v>
      </c>
      <c r="B326" s="1995">
        <v>6</v>
      </c>
      <c r="C326" s="1994" t="s">
        <v>25</v>
      </c>
      <c r="D326" s="1763" t="s">
        <v>119</v>
      </c>
      <c r="E326" s="1763" t="s">
        <v>1028</v>
      </c>
      <c r="F326" s="1764" t="s">
        <v>1363</v>
      </c>
      <c r="G326" s="1764" t="s">
        <v>20</v>
      </c>
      <c r="H326" s="1926">
        <v>37</v>
      </c>
    </row>
    <row r="327" spans="1:8" x14ac:dyDescent="0.2">
      <c r="A327" s="1993">
        <f>IF(B327="","",COUNTA($B$3:B327))</f>
        <v>325</v>
      </c>
      <c r="B327" s="1994">
        <v>7</v>
      </c>
      <c r="C327" s="1994" t="s">
        <v>5</v>
      </c>
      <c r="D327" s="1763" t="s">
        <v>115</v>
      </c>
      <c r="E327" s="1763" t="s">
        <v>139</v>
      </c>
      <c r="F327" s="1764" t="s">
        <v>120</v>
      </c>
      <c r="G327" s="1764" t="s">
        <v>18</v>
      </c>
      <c r="H327" s="1926">
        <v>246669.12</v>
      </c>
    </row>
    <row r="328" spans="1:8" x14ac:dyDescent="0.2">
      <c r="A328" s="1993">
        <f>IF(B328="","",COUNTA($B$3:B328))</f>
        <v>326</v>
      </c>
      <c r="B328" s="1994">
        <v>7</v>
      </c>
      <c r="C328" s="1994" t="s">
        <v>5</v>
      </c>
      <c r="D328" s="1763" t="s">
        <v>115</v>
      </c>
      <c r="E328" s="1763" t="s">
        <v>139</v>
      </c>
      <c r="F328" s="1764" t="s">
        <v>120</v>
      </c>
      <c r="G328" s="1764" t="s">
        <v>19</v>
      </c>
      <c r="H328" s="1926">
        <v>8822.8799999999992</v>
      </c>
    </row>
    <row r="329" spans="1:8" x14ac:dyDescent="0.2">
      <c r="A329" s="1993">
        <f>IF(B329="","",COUNTA($B$3:B329))</f>
        <v>327</v>
      </c>
      <c r="B329" s="1994">
        <v>7</v>
      </c>
      <c r="C329" s="1994" t="s">
        <v>5</v>
      </c>
      <c r="D329" s="1763" t="s">
        <v>115</v>
      </c>
      <c r="E329" s="1763" t="s">
        <v>139</v>
      </c>
      <c r="F329" s="1764" t="s">
        <v>120</v>
      </c>
      <c r="G329" s="1764" t="s">
        <v>20</v>
      </c>
      <c r="H329" s="1926">
        <v>8447.0400000000009</v>
      </c>
    </row>
    <row r="330" spans="1:8" x14ac:dyDescent="0.2">
      <c r="A330" s="1993">
        <f>IF(B330="","",COUNTA($B$3:B330))</f>
        <v>328</v>
      </c>
      <c r="B330" s="1994">
        <v>7</v>
      </c>
      <c r="C330" s="1994" t="s">
        <v>5</v>
      </c>
      <c r="D330" s="1763" t="s">
        <v>115</v>
      </c>
      <c r="E330" s="1763" t="s">
        <v>139</v>
      </c>
      <c r="F330" s="1764" t="s">
        <v>1353</v>
      </c>
      <c r="G330" s="1764" t="s">
        <v>18</v>
      </c>
      <c r="H330" s="1926">
        <v>29619.360000000001</v>
      </c>
    </row>
    <row r="331" spans="1:8" x14ac:dyDescent="0.2">
      <c r="A331" s="1993">
        <f>IF(B331="","",COUNTA($B$3:B331))</f>
        <v>329</v>
      </c>
      <c r="B331" s="1994">
        <v>7</v>
      </c>
      <c r="C331" s="1994" t="s">
        <v>5</v>
      </c>
      <c r="D331" s="1763" t="s">
        <v>115</v>
      </c>
      <c r="E331" s="1763" t="s">
        <v>139</v>
      </c>
      <c r="F331" s="1764" t="s">
        <v>1353</v>
      </c>
      <c r="G331" s="1764" t="s">
        <v>19</v>
      </c>
      <c r="H331" s="1926">
        <v>0</v>
      </c>
    </row>
    <row r="332" spans="1:8" x14ac:dyDescent="0.2">
      <c r="A332" s="1993">
        <f>IF(B332="","",COUNTA($B$3:B332))</f>
        <v>330</v>
      </c>
      <c r="B332" s="1994">
        <v>7</v>
      </c>
      <c r="C332" s="1994" t="s">
        <v>5</v>
      </c>
      <c r="D332" s="1763" t="s">
        <v>115</v>
      </c>
      <c r="E332" s="1763" t="s">
        <v>139</v>
      </c>
      <c r="F332" s="1764" t="s">
        <v>1353</v>
      </c>
      <c r="G332" s="1764" t="s">
        <v>20</v>
      </c>
      <c r="H332" s="1926">
        <v>2316.96</v>
      </c>
    </row>
    <row r="333" spans="1:8" x14ac:dyDescent="0.2">
      <c r="A333" s="1993">
        <f>IF(B333="","",COUNTA($B$3:B333))</f>
        <v>331</v>
      </c>
      <c r="B333" s="1994">
        <v>7</v>
      </c>
      <c r="C333" s="1994" t="s">
        <v>5</v>
      </c>
      <c r="D333" s="1763" t="s">
        <v>115</v>
      </c>
      <c r="E333" s="1763" t="s">
        <v>139</v>
      </c>
      <c r="F333" s="1764" t="s">
        <v>541</v>
      </c>
      <c r="G333" s="1764" t="s">
        <v>18</v>
      </c>
      <c r="H333" s="1926">
        <v>49396.32</v>
      </c>
    </row>
    <row r="334" spans="1:8" x14ac:dyDescent="0.2">
      <c r="A334" s="1993">
        <f>IF(B334="","",COUNTA($B$3:B334))</f>
        <v>332</v>
      </c>
      <c r="B334" s="1994">
        <v>7</v>
      </c>
      <c r="C334" s="1994" t="s">
        <v>5</v>
      </c>
      <c r="D334" s="1763" t="s">
        <v>115</v>
      </c>
      <c r="E334" s="1763" t="s">
        <v>139</v>
      </c>
      <c r="F334" s="1764" t="s">
        <v>541</v>
      </c>
      <c r="G334" s="1764" t="s">
        <v>19</v>
      </c>
      <c r="H334" s="1926">
        <v>2946.24</v>
      </c>
    </row>
    <row r="335" spans="1:8" x14ac:dyDescent="0.2">
      <c r="A335" s="1993">
        <f>IF(B335="","",COUNTA($B$3:B335))</f>
        <v>333</v>
      </c>
      <c r="B335" s="1994">
        <v>7</v>
      </c>
      <c r="C335" s="1994" t="s">
        <v>5</v>
      </c>
      <c r="D335" s="1763" t="s">
        <v>115</v>
      </c>
      <c r="E335" s="1763" t="s">
        <v>139</v>
      </c>
      <c r="F335" s="1764" t="s">
        <v>541</v>
      </c>
      <c r="G335" s="1764" t="s">
        <v>20</v>
      </c>
      <c r="H335" s="1926">
        <v>1982.88</v>
      </c>
    </row>
    <row r="336" spans="1:8" x14ac:dyDescent="0.2">
      <c r="A336" s="1993">
        <f>IF(B336="","",COUNTA($B$3:B336))</f>
        <v>334</v>
      </c>
      <c r="B336" s="1994">
        <v>7</v>
      </c>
      <c r="C336" s="1994" t="s">
        <v>5</v>
      </c>
      <c r="D336" s="1763" t="s">
        <v>115</v>
      </c>
      <c r="E336" s="1763" t="s">
        <v>139</v>
      </c>
      <c r="F336" s="1764" t="s">
        <v>1389</v>
      </c>
      <c r="G336" s="1764" t="s">
        <v>18</v>
      </c>
      <c r="H336" s="1926">
        <v>38151.360000000001</v>
      </c>
    </row>
    <row r="337" spans="1:8" x14ac:dyDescent="0.2">
      <c r="A337" s="1993">
        <f>IF(B337="","",COUNTA($B$3:B337))</f>
        <v>335</v>
      </c>
      <c r="B337" s="1994">
        <v>7</v>
      </c>
      <c r="C337" s="1994" t="s">
        <v>5</v>
      </c>
      <c r="D337" s="1763" t="s">
        <v>115</v>
      </c>
      <c r="E337" s="1763" t="s">
        <v>139</v>
      </c>
      <c r="F337" s="1764" t="s">
        <v>1389</v>
      </c>
      <c r="G337" s="1764" t="s">
        <v>19</v>
      </c>
      <c r="H337" s="1926">
        <v>1814.4</v>
      </c>
    </row>
    <row r="338" spans="1:8" x14ac:dyDescent="0.2">
      <c r="A338" s="1993">
        <f>IF(B338="","",COUNTA($B$3:B338))</f>
        <v>336</v>
      </c>
      <c r="B338" s="1994">
        <v>7</v>
      </c>
      <c r="C338" s="1994" t="s">
        <v>5</v>
      </c>
      <c r="D338" s="1763" t="s">
        <v>115</v>
      </c>
      <c r="E338" s="1763" t="s">
        <v>139</v>
      </c>
      <c r="F338" s="1764" t="s">
        <v>1389</v>
      </c>
      <c r="G338" s="1764" t="s">
        <v>20</v>
      </c>
      <c r="H338" s="1926">
        <v>1742.4</v>
      </c>
    </row>
    <row r="339" spans="1:8" x14ac:dyDescent="0.2">
      <c r="A339" s="1993">
        <f>IF(B339="","",COUNTA($B$3:B339))</f>
        <v>337</v>
      </c>
      <c r="B339" s="1994">
        <v>7</v>
      </c>
      <c r="C339" s="1994" t="s">
        <v>5</v>
      </c>
      <c r="D339" s="1763" t="s">
        <v>115</v>
      </c>
      <c r="E339" s="1763" t="s">
        <v>139</v>
      </c>
      <c r="F339" s="1764" t="s">
        <v>1364</v>
      </c>
      <c r="G339" s="1764" t="s">
        <v>18</v>
      </c>
      <c r="H339" s="1926">
        <v>55349.279999999999</v>
      </c>
    </row>
    <row r="340" spans="1:8" x14ac:dyDescent="0.2">
      <c r="A340" s="1993">
        <f>IF(B340="","",COUNTA($B$3:B340))</f>
        <v>338</v>
      </c>
      <c r="B340" s="1994">
        <v>7</v>
      </c>
      <c r="C340" s="1994" t="s">
        <v>5</v>
      </c>
      <c r="D340" s="1763" t="s">
        <v>115</v>
      </c>
      <c r="E340" s="1763" t="s">
        <v>139</v>
      </c>
      <c r="F340" s="1764" t="s">
        <v>1364</v>
      </c>
      <c r="G340" s="1764" t="s">
        <v>19</v>
      </c>
      <c r="H340" s="1926">
        <v>2592</v>
      </c>
    </row>
    <row r="341" spans="1:8" x14ac:dyDescent="0.2">
      <c r="A341" s="1993">
        <f>IF(B341="","",COUNTA($B$3:B341))</f>
        <v>339</v>
      </c>
      <c r="B341" s="1994">
        <v>7</v>
      </c>
      <c r="C341" s="1994" t="s">
        <v>5</v>
      </c>
      <c r="D341" s="1763" t="s">
        <v>115</v>
      </c>
      <c r="E341" s="1763" t="s">
        <v>139</v>
      </c>
      <c r="F341" s="1764" t="s">
        <v>1364</v>
      </c>
      <c r="G341" s="1764" t="s">
        <v>20</v>
      </c>
      <c r="H341" s="1926">
        <v>2134.08</v>
      </c>
    </row>
    <row r="342" spans="1:8" x14ac:dyDescent="0.2">
      <c r="A342" s="1993">
        <f>IF(B342="","",COUNTA($B$3:B342))</f>
        <v>340</v>
      </c>
      <c r="B342" s="1994">
        <v>7</v>
      </c>
      <c r="C342" s="1994" t="s">
        <v>5</v>
      </c>
      <c r="D342" s="1763" t="s">
        <v>115</v>
      </c>
      <c r="E342" s="1763" t="s">
        <v>139</v>
      </c>
      <c r="F342" s="1764" t="s">
        <v>128</v>
      </c>
      <c r="G342" s="1764" t="s">
        <v>18</v>
      </c>
      <c r="H342" s="1926">
        <v>3867.84</v>
      </c>
    </row>
    <row r="343" spans="1:8" x14ac:dyDescent="0.2">
      <c r="A343" s="1993">
        <f>IF(B343="","",COUNTA($B$3:B343))</f>
        <v>341</v>
      </c>
      <c r="B343" s="1994">
        <v>7</v>
      </c>
      <c r="C343" s="1994" t="s">
        <v>5</v>
      </c>
      <c r="D343" s="1763" t="s">
        <v>115</v>
      </c>
      <c r="E343" s="1763" t="s">
        <v>139</v>
      </c>
      <c r="F343" s="1764" t="s">
        <v>128</v>
      </c>
      <c r="G343" s="1764" t="s">
        <v>19</v>
      </c>
      <c r="H343" s="1926">
        <v>129.6</v>
      </c>
    </row>
    <row r="344" spans="1:8" x14ac:dyDescent="0.2">
      <c r="A344" s="1993">
        <f>IF(B344="","",COUNTA($B$3:B344))</f>
        <v>342</v>
      </c>
      <c r="B344" s="1994">
        <v>7</v>
      </c>
      <c r="C344" s="1994" t="s">
        <v>5</v>
      </c>
      <c r="D344" s="1763" t="s">
        <v>115</v>
      </c>
      <c r="E344" s="1763" t="s">
        <v>139</v>
      </c>
      <c r="F344" s="1764" t="s">
        <v>128</v>
      </c>
      <c r="G344" s="1764" t="s">
        <v>20</v>
      </c>
      <c r="H344" s="1926">
        <v>112.32</v>
      </c>
    </row>
    <row r="345" spans="1:8" x14ac:dyDescent="0.2">
      <c r="A345" s="1993">
        <f>IF(B345="","",COUNTA($B$3:B345))</f>
        <v>343</v>
      </c>
      <c r="B345" s="1994">
        <v>7</v>
      </c>
      <c r="C345" s="1994" t="s">
        <v>5</v>
      </c>
      <c r="D345" s="1763" t="s">
        <v>115</v>
      </c>
      <c r="E345" s="1763" t="s">
        <v>139</v>
      </c>
      <c r="F345" s="1764" t="s">
        <v>129</v>
      </c>
      <c r="G345" s="1764" t="s">
        <v>18</v>
      </c>
      <c r="H345" s="1926">
        <v>17193.599999999999</v>
      </c>
    </row>
    <row r="346" spans="1:8" x14ac:dyDescent="0.2">
      <c r="A346" s="1993">
        <f>IF(B346="","",COUNTA($B$3:B346))</f>
        <v>344</v>
      </c>
      <c r="B346" s="1994">
        <v>7</v>
      </c>
      <c r="C346" s="1994" t="s">
        <v>5</v>
      </c>
      <c r="D346" s="1763" t="s">
        <v>115</v>
      </c>
      <c r="E346" s="1763" t="s">
        <v>139</v>
      </c>
      <c r="F346" s="1764" t="s">
        <v>129</v>
      </c>
      <c r="G346" s="1764" t="s">
        <v>19</v>
      </c>
      <c r="H346" s="1926">
        <v>973.44</v>
      </c>
    </row>
    <row r="347" spans="1:8" x14ac:dyDescent="0.2">
      <c r="A347" s="1993">
        <f>IF(B347="","",COUNTA($B$3:B347))</f>
        <v>345</v>
      </c>
      <c r="B347" s="1994">
        <v>7</v>
      </c>
      <c r="C347" s="1994" t="s">
        <v>5</v>
      </c>
      <c r="D347" s="1763" t="s">
        <v>115</v>
      </c>
      <c r="E347" s="1763" t="s">
        <v>139</v>
      </c>
      <c r="F347" s="1764" t="s">
        <v>129</v>
      </c>
      <c r="G347" s="1764" t="s">
        <v>20</v>
      </c>
      <c r="H347" s="1926">
        <v>640.79999999999995</v>
      </c>
    </row>
    <row r="348" spans="1:8" x14ac:dyDescent="0.2">
      <c r="A348" s="1993">
        <f>IF(B348="","",COUNTA($B$3:B348))</f>
        <v>346</v>
      </c>
      <c r="B348" s="1994">
        <v>7</v>
      </c>
      <c r="C348" s="1994" t="s">
        <v>5</v>
      </c>
      <c r="D348" s="1763" t="s">
        <v>115</v>
      </c>
      <c r="E348" s="1763" t="s">
        <v>139</v>
      </c>
      <c r="F348" s="1764" t="s">
        <v>114</v>
      </c>
      <c r="G348" s="1764" t="s">
        <v>18</v>
      </c>
      <c r="H348" s="1926">
        <v>4644</v>
      </c>
    </row>
    <row r="349" spans="1:8" x14ac:dyDescent="0.2">
      <c r="A349" s="1993">
        <f>IF(B349="","",COUNTA($B$3:B349))</f>
        <v>347</v>
      </c>
      <c r="B349" s="1994">
        <v>7</v>
      </c>
      <c r="C349" s="1994" t="s">
        <v>5</v>
      </c>
      <c r="D349" s="1763" t="s">
        <v>115</v>
      </c>
      <c r="E349" s="1763" t="s">
        <v>139</v>
      </c>
      <c r="F349" s="1764" t="s">
        <v>114</v>
      </c>
      <c r="G349" s="1764" t="s">
        <v>19</v>
      </c>
      <c r="H349" s="1926">
        <v>0</v>
      </c>
    </row>
    <row r="350" spans="1:8" x14ac:dyDescent="0.2">
      <c r="A350" s="1993">
        <f>IF(B350="","",COUNTA($B$3:B350))</f>
        <v>348</v>
      </c>
      <c r="B350" s="1994">
        <v>7</v>
      </c>
      <c r="C350" s="1994" t="s">
        <v>5</v>
      </c>
      <c r="D350" s="1763" t="s">
        <v>115</v>
      </c>
      <c r="E350" s="1763" t="s">
        <v>139</v>
      </c>
      <c r="F350" s="1764" t="s">
        <v>114</v>
      </c>
      <c r="G350" s="1764" t="s">
        <v>20</v>
      </c>
      <c r="H350" s="1926">
        <v>267.83999999999997</v>
      </c>
    </row>
    <row r="351" spans="1:8" x14ac:dyDescent="0.2">
      <c r="A351" s="1993">
        <f>IF(B351="","",COUNTA($B$3:B351))</f>
        <v>349</v>
      </c>
      <c r="B351" s="1994">
        <v>7</v>
      </c>
      <c r="C351" s="1994" t="s">
        <v>5</v>
      </c>
      <c r="D351" s="1763" t="s">
        <v>115</v>
      </c>
      <c r="E351" s="1763" t="s">
        <v>139</v>
      </c>
      <c r="F351" s="1764" t="s">
        <v>146</v>
      </c>
      <c r="G351" s="1764" t="s">
        <v>18</v>
      </c>
      <c r="H351" s="1926">
        <v>14273.28</v>
      </c>
    </row>
    <row r="352" spans="1:8" x14ac:dyDescent="0.2">
      <c r="A352" s="1993">
        <f>IF(B352="","",COUNTA($B$3:B352))</f>
        <v>350</v>
      </c>
      <c r="B352" s="1994">
        <v>7</v>
      </c>
      <c r="C352" s="1994" t="s">
        <v>5</v>
      </c>
      <c r="D352" s="1763" t="s">
        <v>115</v>
      </c>
      <c r="E352" s="1763" t="s">
        <v>139</v>
      </c>
      <c r="F352" s="1764" t="s">
        <v>146</v>
      </c>
      <c r="G352" s="1764" t="s">
        <v>19</v>
      </c>
      <c r="H352" s="1926">
        <v>0</v>
      </c>
    </row>
    <row r="353" spans="1:8" x14ac:dyDescent="0.2">
      <c r="A353" s="1993">
        <f>IF(B353="","",COUNTA($B$3:B353))</f>
        <v>351</v>
      </c>
      <c r="B353" s="1994">
        <v>7</v>
      </c>
      <c r="C353" s="1994" t="s">
        <v>5</v>
      </c>
      <c r="D353" s="1763" t="s">
        <v>115</v>
      </c>
      <c r="E353" s="1763" t="s">
        <v>139</v>
      </c>
      <c r="F353" s="1764" t="s">
        <v>146</v>
      </c>
      <c r="G353" s="1764" t="s">
        <v>20</v>
      </c>
      <c r="H353" s="1926">
        <v>1357.92</v>
      </c>
    </row>
    <row r="354" spans="1:8" x14ac:dyDescent="0.2">
      <c r="A354" s="1993">
        <f>IF(B354="","",COUNTA($B$3:B354))</f>
        <v>352</v>
      </c>
      <c r="B354" s="1994">
        <v>7</v>
      </c>
      <c r="C354" s="1994" t="s">
        <v>25</v>
      </c>
      <c r="D354" s="1763" t="s">
        <v>119</v>
      </c>
      <c r="E354" s="1763" t="s">
        <v>1028</v>
      </c>
      <c r="F354" s="1764" t="s">
        <v>1353</v>
      </c>
      <c r="G354" s="1764" t="s">
        <v>18</v>
      </c>
      <c r="H354" s="1926">
        <v>12798</v>
      </c>
    </row>
    <row r="355" spans="1:8" x14ac:dyDescent="0.2">
      <c r="A355" s="1993">
        <f>IF(B355="","",COUNTA($B$3:B355))</f>
        <v>353</v>
      </c>
      <c r="B355" s="1994">
        <v>7</v>
      </c>
      <c r="C355" s="1994" t="s">
        <v>25</v>
      </c>
      <c r="D355" s="1763" t="s">
        <v>119</v>
      </c>
      <c r="E355" s="1763" t="s">
        <v>1028</v>
      </c>
      <c r="F355" s="1764" t="s">
        <v>1353</v>
      </c>
      <c r="G355" s="1764" t="s">
        <v>19</v>
      </c>
      <c r="H355" s="1926">
        <v>0</v>
      </c>
    </row>
    <row r="356" spans="1:8" x14ac:dyDescent="0.2">
      <c r="A356" s="1993">
        <f>IF(B356="","",COUNTA($B$3:B356))</f>
        <v>354</v>
      </c>
      <c r="B356" s="1994">
        <v>7</v>
      </c>
      <c r="C356" s="1994" t="s">
        <v>25</v>
      </c>
      <c r="D356" s="1763" t="s">
        <v>119</v>
      </c>
      <c r="E356" s="1763" t="s">
        <v>1028</v>
      </c>
      <c r="F356" s="1764" t="s">
        <v>1353</v>
      </c>
      <c r="G356" s="1764" t="s">
        <v>20</v>
      </c>
      <c r="H356" s="1926">
        <v>61.5</v>
      </c>
    </row>
    <row r="357" spans="1:8" x14ac:dyDescent="0.2">
      <c r="A357" s="1993">
        <f>IF(B357="","",COUNTA($B$3:B357))</f>
        <v>355</v>
      </c>
      <c r="B357" s="1994">
        <v>7</v>
      </c>
      <c r="C357" s="1994" t="s">
        <v>25</v>
      </c>
      <c r="D357" s="1763" t="s">
        <v>119</v>
      </c>
      <c r="E357" s="1763" t="s">
        <v>1028</v>
      </c>
      <c r="F357" s="1764" t="s">
        <v>146</v>
      </c>
      <c r="G357" s="1764" t="s">
        <v>18</v>
      </c>
      <c r="H357" s="1926">
        <v>6015</v>
      </c>
    </row>
    <row r="358" spans="1:8" x14ac:dyDescent="0.2">
      <c r="A358" s="1993">
        <f>IF(B358="","",COUNTA($B$3:B358))</f>
        <v>356</v>
      </c>
      <c r="B358" s="1994">
        <v>7</v>
      </c>
      <c r="C358" s="1994" t="s">
        <v>25</v>
      </c>
      <c r="D358" s="1763" t="s">
        <v>119</v>
      </c>
      <c r="E358" s="1763" t="s">
        <v>1028</v>
      </c>
      <c r="F358" s="1764" t="s">
        <v>146</v>
      </c>
      <c r="G358" s="1764" t="s">
        <v>19</v>
      </c>
      <c r="H358" s="1926">
        <v>0</v>
      </c>
    </row>
    <row r="359" spans="1:8" x14ac:dyDescent="0.2">
      <c r="A359" s="1993">
        <f>IF(B359="","",COUNTA($B$3:B359))</f>
        <v>357</v>
      </c>
      <c r="B359" s="1994">
        <v>7</v>
      </c>
      <c r="C359" s="1994" t="s">
        <v>25</v>
      </c>
      <c r="D359" s="1763" t="s">
        <v>119</v>
      </c>
      <c r="E359" s="1763" t="s">
        <v>1028</v>
      </c>
      <c r="F359" s="1764" t="s">
        <v>146</v>
      </c>
      <c r="G359" s="1764" t="s">
        <v>20</v>
      </c>
      <c r="H359" s="1926">
        <v>46.5</v>
      </c>
    </row>
    <row r="360" spans="1:8" x14ac:dyDescent="0.2">
      <c r="A360" s="1993">
        <f>IF(B360="","",COUNTA($B$3:B360))</f>
        <v>358</v>
      </c>
      <c r="B360" s="1994">
        <v>7</v>
      </c>
      <c r="C360" s="1994" t="s">
        <v>25</v>
      </c>
      <c r="D360" s="1763" t="s">
        <v>119</v>
      </c>
      <c r="E360" s="1763" t="s">
        <v>1028</v>
      </c>
      <c r="F360" s="1764" t="s">
        <v>129</v>
      </c>
      <c r="G360" s="1764" t="s">
        <v>18</v>
      </c>
      <c r="H360" s="1926">
        <v>44280</v>
      </c>
    </row>
    <row r="361" spans="1:8" x14ac:dyDescent="0.2">
      <c r="A361" s="1993">
        <f>IF(B361="","",COUNTA($B$3:B361))</f>
        <v>359</v>
      </c>
      <c r="B361" s="1994">
        <v>7</v>
      </c>
      <c r="C361" s="1994" t="s">
        <v>25</v>
      </c>
      <c r="D361" s="1763" t="s">
        <v>119</v>
      </c>
      <c r="E361" s="1763" t="s">
        <v>1028</v>
      </c>
      <c r="F361" s="1764" t="s">
        <v>129</v>
      </c>
      <c r="G361" s="1764" t="s">
        <v>19</v>
      </c>
      <c r="H361" s="1926">
        <v>0</v>
      </c>
    </row>
    <row r="362" spans="1:8" x14ac:dyDescent="0.2">
      <c r="A362" s="1993">
        <f>IF(B362="","",COUNTA($B$3:B362))</f>
        <v>360</v>
      </c>
      <c r="B362" s="1994">
        <v>7</v>
      </c>
      <c r="C362" s="1994" t="s">
        <v>25</v>
      </c>
      <c r="D362" s="1763" t="s">
        <v>119</v>
      </c>
      <c r="E362" s="1763" t="s">
        <v>1028</v>
      </c>
      <c r="F362" s="1764" t="s">
        <v>129</v>
      </c>
      <c r="G362" s="1764" t="s">
        <v>20</v>
      </c>
      <c r="H362" s="1926">
        <v>277.5</v>
      </c>
    </row>
    <row r="363" spans="1:8" x14ac:dyDescent="0.2">
      <c r="A363" s="1993">
        <f>IF(B363="","",COUNTA($B$3:B363))</f>
        <v>361</v>
      </c>
      <c r="B363" s="1994">
        <v>7</v>
      </c>
      <c r="C363" s="1994" t="s">
        <v>25</v>
      </c>
      <c r="D363" s="1763" t="s">
        <v>119</v>
      </c>
      <c r="E363" s="1763" t="s">
        <v>1028</v>
      </c>
      <c r="F363" s="1764" t="s">
        <v>1365</v>
      </c>
      <c r="G363" s="1764" t="s">
        <v>18</v>
      </c>
      <c r="H363" s="1926">
        <v>33048</v>
      </c>
    </row>
    <row r="364" spans="1:8" x14ac:dyDescent="0.2">
      <c r="A364" s="1993">
        <f>IF(B364="","",COUNTA($B$3:B364))</f>
        <v>362</v>
      </c>
      <c r="B364" s="1994">
        <v>7</v>
      </c>
      <c r="C364" s="1994" t="s">
        <v>25</v>
      </c>
      <c r="D364" s="1763" t="s">
        <v>119</v>
      </c>
      <c r="E364" s="1763" t="s">
        <v>1028</v>
      </c>
      <c r="F364" s="1764" t="s">
        <v>1365</v>
      </c>
      <c r="G364" s="1764" t="s">
        <v>19</v>
      </c>
      <c r="H364" s="1926">
        <v>0</v>
      </c>
    </row>
    <row r="365" spans="1:8" x14ac:dyDescent="0.2">
      <c r="A365" s="1993">
        <f>IF(B365="","",COUNTA($B$3:B365))</f>
        <v>363</v>
      </c>
      <c r="B365" s="1994">
        <v>7</v>
      </c>
      <c r="C365" s="1994" t="s">
        <v>25</v>
      </c>
      <c r="D365" s="1763" t="s">
        <v>119</v>
      </c>
      <c r="E365" s="1763" t="s">
        <v>1028</v>
      </c>
      <c r="F365" s="1764" t="s">
        <v>1365</v>
      </c>
      <c r="G365" s="1764" t="s">
        <v>20</v>
      </c>
      <c r="H365" s="1926">
        <v>162</v>
      </c>
    </row>
    <row r="366" spans="1:8" x14ac:dyDescent="0.2">
      <c r="A366" s="1993">
        <f>IF(B366="","",COUNTA($B$3:B366))</f>
        <v>364</v>
      </c>
      <c r="B366" s="1994">
        <v>7</v>
      </c>
      <c r="C366" s="1994" t="s">
        <v>25</v>
      </c>
      <c r="D366" s="1763" t="s">
        <v>119</v>
      </c>
      <c r="E366" s="1763" t="s">
        <v>1028</v>
      </c>
      <c r="F366" s="1764" t="s">
        <v>117</v>
      </c>
      <c r="G366" s="1764" t="s">
        <v>18</v>
      </c>
      <c r="H366" s="1926">
        <v>41955</v>
      </c>
    </row>
    <row r="367" spans="1:8" x14ac:dyDescent="0.2">
      <c r="A367" s="1993">
        <f>IF(B367="","",COUNTA($B$3:B367))</f>
        <v>365</v>
      </c>
      <c r="B367" s="1994">
        <v>7</v>
      </c>
      <c r="C367" s="1994" t="s">
        <v>25</v>
      </c>
      <c r="D367" s="1763" t="s">
        <v>119</v>
      </c>
      <c r="E367" s="1763" t="s">
        <v>1028</v>
      </c>
      <c r="F367" s="1764" t="s">
        <v>117</v>
      </c>
      <c r="G367" s="1764" t="s">
        <v>19</v>
      </c>
      <c r="H367" s="1926">
        <v>0</v>
      </c>
    </row>
    <row r="368" spans="1:8" x14ac:dyDescent="0.2">
      <c r="A368" s="1993">
        <f>IF(B368="","",COUNTA($B$3:B368))</f>
        <v>366</v>
      </c>
      <c r="B368" s="1994">
        <v>7</v>
      </c>
      <c r="C368" s="1994" t="s">
        <v>25</v>
      </c>
      <c r="D368" s="1763" t="s">
        <v>119</v>
      </c>
      <c r="E368" s="1763" t="s">
        <v>1028</v>
      </c>
      <c r="F368" s="1764" t="s">
        <v>117</v>
      </c>
      <c r="G368" s="1764" t="s">
        <v>20</v>
      </c>
      <c r="H368" s="1926">
        <v>484.5</v>
      </c>
    </row>
    <row r="369" spans="1:8" x14ac:dyDescent="0.2">
      <c r="A369" s="1993">
        <f>IF(B369="","",COUNTA($B$3:B369))</f>
        <v>367</v>
      </c>
      <c r="B369" s="1994">
        <v>7</v>
      </c>
      <c r="C369" s="1994" t="s">
        <v>25</v>
      </c>
      <c r="D369" s="1763" t="s">
        <v>119</v>
      </c>
      <c r="E369" s="1763" t="s">
        <v>1028</v>
      </c>
      <c r="F369" s="1764" t="s">
        <v>1364</v>
      </c>
      <c r="G369" s="1764" t="s">
        <v>18</v>
      </c>
      <c r="H369" s="1926">
        <v>10815</v>
      </c>
    </row>
    <row r="370" spans="1:8" x14ac:dyDescent="0.2">
      <c r="A370" s="1993">
        <f>IF(B370="","",COUNTA($B$3:B370))</f>
        <v>368</v>
      </c>
      <c r="B370" s="1994">
        <v>7</v>
      </c>
      <c r="C370" s="1994" t="s">
        <v>25</v>
      </c>
      <c r="D370" s="1763" t="s">
        <v>119</v>
      </c>
      <c r="E370" s="1763" t="s">
        <v>1028</v>
      </c>
      <c r="F370" s="1764" t="s">
        <v>1364</v>
      </c>
      <c r="G370" s="1764" t="s">
        <v>19</v>
      </c>
      <c r="H370" s="1926">
        <v>0</v>
      </c>
    </row>
    <row r="371" spans="1:8" x14ac:dyDescent="0.2">
      <c r="A371" s="1993">
        <f>IF(B371="","",COUNTA($B$3:B371))</f>
        <v>369</v>
      </c>
      <c r="B371" s="1994">
        <v>7</v>
      </c>
      <c r="C371" s="1994" t="s">
        <v>25</v>
      </c>
      <c r="D371" s="1763" t="s">
        <v>119</v>
      </c>
      <c r="E371" s="1763" t="s">
        <v>1028</v>
      </c>
      <c r="F371" s="1764" t="s">
        <v>1364</v>
      </c>
      <c r="G371" s="1764" t="s">
        <v>20</v>
      </c>
      <c r="H371" s="1926">
        <v>25.5</v>
      </c>
    </row>
    <row r="372" spans="1:8" x14ac:dyDescent="0.2">
      <c r="A372" s="1993">
        <f>IF(B372="","",COUNTA($B$3:B372))</f>
        <v>370</v>
      </c>
      <c r="B372" s="1994">
        <v>7</v>
      </c>
      <c r="C372" s="1994" t="s">
        <v>25</v>
      </c>
      <c r="D372" s="1763" t="s">
        <v>119</v>
      </c>
      <c r="E372" s="1763" t="s">
        <v>1028</v>
      </c>
      <c r="F372" s="1764" t="s">
        <v>322</v>
      </c>
      <c r="G372" s="1764" t="s">
        <v>18</v>
      </c>
      <c r="H372" s="1926">
        <v>47070</v>
      </c>
    </row>
    <row r="373" spans="1:8" x14ac:dyDescent="0.2">
      <c r="A373" s="1993">
        <f>IF(B373="","",COUNTA($B$3:B373))</f>
        <v>371</v>
      </c>
      <c r="B373" s="1994">
        <v>7</v>
      </c>
      <c r="C373" s="1994" t="s">
        <v>25</v>
      </c>
      <c r="D373" s="1763" t="s">
        <v>119</v>
      </c>
      <c r="E373" s="1763" t="s">
        <v>1028</v>
      </c>
      <c r="F373" s="1764" t="s">
        <v>322</v>
      </c>
      <c r="G373" s="1764" t="s">
        <v>19</v>
      </c>
      <c r="H373" s="1926">
        <v>0</v>
      </c>
    </row>
    <row r="374" spans="1:8" x14ac:dyDescent="0.2">
      <c r="A374" s="1993">
        <f>IF(B374="","",COUNTA($B$3:B374))</f>
        <v>372</v>
      </c>
      <c r="B374" s="1994">
        <v>7</v>
      </c>
      <c r="C374" s="1994" t="s">
        <v>25</v>
      </c>
      <c r="D374" s="1763" t="s">
        <v>119</v>
      </c>
      <c r="E374" s="1763" t="s">
        <v>1028</v>
      </c>
      <c r="F374" s="1764" t="s">
        <v>322</v>
      </c>
      <c r="G374" s="1764" t="s">
        <v>20</v>
      </c>
      <c r="H374" s="1926">
        <v>972</v>
      </c>
    </row>
    <row r="375" spans="1:8" x14ac:dyDescent="0.2">
      <c r="A375" s="1993">
        <f>IF(B375="","",COUNTA($B$3:B375))</f>
        <v>373</v>
      </c>
      <c r="B375" s="1994">
        <v>7</v>
      </c>
      <c r="C375" s="1994" t="s">
        <v>25</v>
      </c>
      <c r="D375" s="1763" t="s">
        <v>119</v>
      </c>
      <c r="E375" s="1763" t="s">
        <v>1028</v>
      </c>
      <c r="F375" s="1764" t="s">
        <v>1389</v>
      </c>
      <c r="G375" s="1764" t="s">
        <v>18</v>
      </c>
      <c r="H375" s="1926">
        <v>26700</v>
      </c>
    </row>
    <row r="376" spans="1:8" x14ac:dyDescent="0.2">
      <c r="A376" s="1993">
        <f>IF(B376="","",COUNTA($B$3:B376))</f>
        <v>374</v>
      </c>
      <c r="B376" s="1994">
        <v>7</v>
      </c>
      <c r="C376" s="1994" t="s">
        <v>25</v>
      </c>
      <c r="D376" s="1763" t="s">
        <v>119</v>
      </c>
      <c r="E376" s="1763" t="s">
        <v>1028</v>
      </c>
      <c r="F376" s="1764" t="s">
        <v>1389</v>
      </c>
      <c r="G376" s="1764" t="s">
        <v>19</v>
      </c>
      <c r="H376" s="1926">
        <v>0</v>
      </c>
    </row>
    <row r="377" spans="1:8" x14ac:dyDescent="0.2">
      <c r="A377" s="1993">
        <f>IF(B377="","",COUNTA($B$3:B377))</f>
        <v>375</v>
      </c>
      <c r="B377" s="1994">
        <v>7</v>
      </c>
      <c r="C377" s="1994" t="s">
        <v>25</v>
      </c>
      <c r="D377" s="1763" t="s">
        <v>119</v>
      </c>
      <c r="E377" s="1763" t="s">
        <v>1028</v>
      </c>
      <c r="F377" s="1764" t="s">
        <v>1389</v>
      </c>
      <c r="G377" s="1764" t="s">
        <v>20</v>
      </c>
      <c r="H377" s="1926">
        <v>100.5</v>
      </c>
    </row>
    <row r="378" spans="1:8" x14ac:dyDescent="0.2">
      <c r="A378" s="1993">
        <f>IF(B378="","",COUNTA($B$3:B378))</f>
        <v>376</v>
      </c>
      <c r="B378" s="1994">
        <v>7</v>
      </c>
      <c r="C378" s="1994" t="s">
        <v>25</v>
      </c>
      <c r="D378" s="1763" t="s">
        <v>119</v>
      </c>
      <c r="E378" s="1763" t="s">
        <v>1028</v>
      </c>
      <c r="F378" s="1764" t="s">
        <v>109</v>
      </c>
      <c r="G378" s="1764" t="s">
        <v>18</v>
      </c>
      <c r="H378" s="1926">
        <v>166327.5</v>
      </c>
    </row>
    <row r="379" spans="1:8" x14ac:dyDescent="0.2">
      <c r="A379" s="1993">
        <f>IF(B379="","",COUNTA($B$3:B379))</f>
        <v>377</v>
      </c>
      <c r="B379" s="1994">
        <v>7</v>
      </c>
      <c r="C379" s="1994" t="s">
        <v>25</v>
      </c>
      <c r="D379" s="1763" t="s">
        <v>119</v>
      </c>
      <c r="E379" s="1763" t="s">
        <v>1028</v>
      </c>
      <c r="F379" s="1764" t="s">
        <v>109</v>
      </c>
      <c r="G379" s="1764" t="s">
        <v>19</v>
      </c>
      <c r="H379" s="1926">
        <v>0</v>
      </c>
    </row>
    <row r="380" spans="1:8" x14ac:dyDescent="0.2">
      <c r="A380" s="1993">
        <f>IF(B380="","",COUNTA($B$3:B380))</f>
        <v>378</v>
      </c>
      <c r="B380" s="1994">
        <v>7</v>
      </c>
      <c r="C380" s="1994" t="s">
        <v>25</v>
      </c>
      <c r="D380" s="1763" t="s">
        <v>119</v>
      </c>
      <c r="E380" s="1763" t="s">
        <v>1028</v>
      </c>
      <c r="F380" s="1764" t="s">
        <v>109</v>
      </c>
      <c r="G380" s="1764" t="s">
        <v>20</v>
      </c>
      <c r="H380" s="1926">
        <v>1345.5</v>
      </c>
    </row>
    <row r="381" spans="1:8" x14ac:dyDescent="0.2">
      <c r="A381" s="1993">
        <f>IF(B381="","",COUNTA($B$3:B381))</f>
        <v>379</v>
      </c>
      <c r="B381" s="1994">
        <v>7</v>
      </c>
      <c r="C381" s="1994" t="s">
        <v>25</v>
      </c>
      <c r="D381" s="1763" t="s">
        <v>119</v>
      </c>
      <c r="E381" s="1763" t="s">
        <v>1028</v>
      </c>
      <c r="F381" s="1764" t="s">
        <v>541</v>
      </c>
      <c r="G381" s="1764" t="s">
        <v>18</v>
      </c>
      <c r="H381" s="1926">
        <v>2992.5</v>
      </c>
    </row>
    <row r="382" spans="1:8" x14ac:dyDescent="0.2">
      <c r="A382" s="1993">
        <f>IF(B382="","",COUNTA($B$3:B382))</f>
        <v>380</v>
      </c>
      <c r="B382" s="1994">
        <v>7</v>
      </c>
      <c r="C382" s="1994" t="s">
        <v>25</v>
      </c>
      <c r="D382" s="1763" t="s">
        <v>119</v>
      </c>
      <c r="E382" s="1763" t="s">
        <v>1028</v>
      </c>
      <c r="F382" s="1764" t="s">
        <v>541</v>
      </c>
      <c r="G382" s="1764" t="s">
        <v>19</v>
      </c>
      <c r="H382" s="1926">
        <v>0</v>
      </c>
    </row>
    <row r="383" spans="1:8" x14ac:dyDescent="0.2">
      <c r="A383" s="1993">
        <f>IF(B383="","",COUNTA($B$3:B383))</f>
        <v>381</v>
      </c>
      <c r="B383" s="1994">
        <v>7</v>
      </c>
      <c r="C383" s="1994" t="s">
        <v>25</v>
      </c>
      <c r="D383" s="1763" t="s">
        <v>119</v>
      </c>
      <c r="E383" s="1763" t="s">
        <v>1028</v>
      </c>
      <c r="F383" s="1764" t="s">
        <v>541</v>
      </c>
      <c r="G383" s="1764" t="s">
        <v>20</v>
      </c>
      <c r="H383" s="1926">
        <v>19.5</v>
      </c>
    </row>
    <row r="384" spans="1:8" x14ac:dyDescent="0.2">
      <c r="A384" s="1993">
        <f>IF(B384="","",COUNTA($B$3:B384))</f>
        <v>382</v>
      </c>
      <c r="B384" s="1994">
        <v>7</v>
      </c>
      <c r="C384" s="1994" t="s">
        <v>25</v>
      </c>
      <c r="D384" s="1763" t="s">
        <v>119</v>
      </c>
      <c r="E384" s="1763" t="s">
        <v>1028</v>
      </c>
      <c r="F384" s="1764" t="s">
        <v>1363</v>
      </c>
      <c r="G384" s="1764" t="s">
        <v>18</v>
      </c>
      <c r="H384" s="1926">
        <v>42298.5</v>
      </c>
    </row>
    <row r="385" spans="1:8" x14ac:dyDescent="0.2">
      <c r="A385" s="1993">
        <f>IF(B385="","",COUNTA($B$3:B385))</f>
        <v>383</v>
      </c>
      <c r="B385" s="1994">
        <v>7</v>
      </c>
      <c r="C385" s="1994" t="s">
        <v>25</v>
      </c>
      <c r="D385" s="1763" t="s">
        <v>119</v>
      </c>
      <c r="E385" s="1763" t="s">
        <v>1028</v>
      </c>
      <c r="F385" s="1764" t="s">
        <v>1363</v>
      </c>
      <c r="G385" s="1764" t="s">
        <v>19</v>
      </c>
      <c r="H385" s="1926">
        <v>0</v>
      </c>
    </row>
    <row r="386" spans="1:8" x14ac:dyDescent="0.2">
      <c r="A386" s="1993">
        <f>IF(B386="","",COUNTA($B$3:B386))</f>
        <v>384</v>
      </c>
      <c r="B386" s="1994">
        <v>7</v>
      </c>
      <c r="C386" s="1994" t="s">
        <v>25</v>
      </c>
      <c r="D386" s="1763" t="s">
        <v>119</v>
      </c>
      <c r="E386" s="1763" t="s">
        <v>1028</v>
      </c>
      <c r="F386" s="1764" t="s">
        <v>1363</v>
      </c>
      <c r="G386" s="1764" t="s">
        <v>20</v>
      </c>
      <c r="H386" s="1926">
        <v>312</v>
      </c>
    </row>
    <row r="387" spans="1:8" x14ac:dyDescent="0.2">
      <c r="A387" s="1993">
        <f>IF(B387="","",COUNTA($B$3:B387))</f>
        <v>385</v>
      </c>
      <c r="B387" s="1994">
        <v>7</v>
      </c>
      <c r="C387" s="1994" t="s">
        <v>25</v>
      </c>
      <c r="D387" s="1763" t="s">
        <v>119</v>
      </c>
      <c r="E387" s="1763" t="s">
        <v>329</v>
      </c>
      <c r="F387" s="1764" t="s">
        <v>322</v>
      </c>
      <c r="G387" s="1764" t="s">
        <v>18</v>
      </c>
      <c r="H387" s="1926">
        <v>0</v>
      </c>
    </row>
    <row r="388" spans="1:8" x14ac:dyDescent="0.2">
      <c r="A388" s="1993">
        <f>IF(B388="","",COUNTA($B$3:B388))</f>
        <v>386</v>
      </c>
      <c r="B388" s="1994">
        <v>7</v>
      </c>
      <c r="C388" s="1994" t="s">
        <v>25</v>
      </c>
      <c r="D388" s="1763" t="s">
        <v>119</v>
      </c>
      <c r="E388" s="1763" t="s">
        <v>329</v>
      </c>
      <c r="F388" s="1764" t="s">
        <v>322</v>
      </c>
      <c r="G388" s="1764" t="s">
        <v>19</v>
      </c>
      <c r="H388" s="1926">
        <v>0</v>
      </c>
    </row>
    <row r="389" spans="1:8" x14ac:dyDescent="0.2">
      <c r="A389" s="1993">
        <f>IF(B389="","",COUNTA($B$3:B389))</f>
        <v>387</v>
      </c>
      <c r="B389" s="1994">
        <v>7</v>
      </c>
      <c r="C389" s="1994" t="s">
        <v>25</v>
      </c>
      <c r="D389" s="1763" t="s">
        <v>119</v>
      </c>
      <c r="E389" s="1763" t="s">
        <v>329</v>
      </c>
      <c r="F389" s="1764" t="s">
        <v>322</v>
      </c>
      <c r="G389" s="1764" t="s">
        <v>20</v>
      </c>
      <c r="H389" s="1926">
        <v>249</v>
      </c>
    </row>
    <row r="390" spans="1:8" x14ac:dyDescent="0.2">
      <c r="A390" s="1993">
        <f>IF(B390="","",COUNTA($B$3:B390))</f>
        <v>388</v>
      </c>
      <c r="B390" s="1994">
        <v>8</v>
      </c>
      <c r="C390" s="1994" t="s">
        <v>5</v>
      </c>
      <c r="D390" s="1763" t="s">
        <v>115</v>
      </c>
      <c r="E390" s="1763" t="s">
        <v>139</v>
      </c>
      <c r="F390" s="1764" t="s">
        <v>120</v>
      </c>
      <c r="G390" s="1764" t="s">
        <v>18</v>
      </c>
      <c r="H390" s="1926">
        <v>265487.03999999998</v>
      </c>
    </row>
    <row r="391" spans="1:8" x14ac:dyDescent="0.2">
      <c r="A391" s="1993">
        <f>IF(B391="","",COUNTA($B$3:B391))</f>
        <v>389</v>
      </c>
      <c r="B391" s="1994">
        <v>8</v>
      </c>
      <c r="C391" s="1994" t="s">
        <v>5</v>
      </c>
      <c r="D391" s="1763" t="s">
        <v>115</v>
      </c>
      <c r="E391" s="1763" t="s">
        <v>139</v>
      </c>
      <c r="F391" s="1764" t="s">
        <v>120</v>
      </c>
      <c r="G391" s="1764" t="s">
        <v>19</v>
      </c>
      <c r="H391" s="1926">
        <v>8382.24</v>
      </c>
    </row>
    <row r="392" spans="1:8" x14ac:dyDescent="0.2">
      <c r="A392" s="1993">
        <f>IF(B392="","",COUNTA($B$3:B392))</f>
        <v>390</v>
      </c>
      <c r="B392" s="1994">
        <v>8</v>
      </c>
      <c r="C392" s="1994" t="s">
        <v>5</v>
      </c>
      <c r="D392" s="1763" t="s">
        <v>115</v>
      </c>
      <c r="E392" s="1763" t="s">
        <v>139</v>
      </c>
      <c r="F392" s="1764" t="s">
        <v>120</v>
      </c>
      <c r="G392" s="1764" t="s">
        <v>20</v>
      </c>
      <c r="H392" s="1926">
        <v>11282.4</v>
      </c>
    </row>
    <row r="393" spans="1:8" x14ac:dyDescent="0.2">
      <c r="A393" s="1993">
        <f>IF(B393="","",COUNTA($B$3:B393))</f>
        <v>391</v>
      </c>
      <c r="B393" s="1994">
        <v>8</v>
      </c>
      <c r="C393" s="1994" t="s">
        <v>5</v>
      </c>
      <c r="D393" s="1763" t="s">
        <v>115</v>
      </c>
      <c r="E393" s="1763" t="s">
        <v>139</v>
      </c>
      <c r="F393" s="1764" t="s">
        <v>146</v>
      </c>
      <c r="G393" s="1764" t="s">
        <v>18</v>
      </c>
      <c r="H393" s="1926">
        <v>11859.84</v>
      </c>
    </row>
    <row r="394" spans="1:8" x14ac:dyDescent="0.2">
      <c r="A394" s="1993">
        <f>IF(B394="","",COUNTA($B$3:B394))</f>
        <v>392</v>
      </c>
      <c r="B394" s="1994">
        <v>8</v>
      </c>
      <c r="C394" s="1994" t="s">
        <v>5</v>
      </c>
      <c r="D394" s="1763" t="s">
        <v>115</v>
      </c>
      <c r="E394" s="1763" t="s">
        <v>139</v>
      </c>
      <c r="F394" s="1764" t="s">
        <v>146</v>
      </c>
      <c r="G394" s="1764" t="s">
        <v>19</v>
      </c>
      <c r="H394" s="1926">
        <v>0</v>
      </c>
    </row>
    <row r="395" spans="1:8" x14ac:dyDescent="0.2">
      <c r="A395" s="1993">
        <f>IF(B395="","",COUNTA($B$3:B395))</f>
        <v>393</v>
      </c>
      <c r="B395" s="1994">
        <v>8</v>
      </c>
      <c r="C395" s="1994" t="s">
        <v>5</v>
      </c>
      <c r="D395" s="1763" t="s">
        <v>115</v>
      </c>
      <c r="E395" s="1763" t="s">
        <v>139</v>
      </c>
      <c r="F395" s="1764" t="s">
        <v>146</v>
      </c>
      <c r="G395" s="1764" t="s">
        <v>20</v>
      </c>
      <c r="H395" s="1926">
        <v>537.12</v>
      </c>
    </row>
    <row r="396" spans="1:8" x14ac:dyDescent="0.2">
      <c r="A396" s="1993">
        <f>IF(B396="","",COUNTA($B$3:B396))</f>
        <v>394</v>
      </c>
      <c r="B396" s="1994">
        <v>8</v>
      </c>
      <c r="C396" s="1994" t="s">
        <v>5</v>
      </c>
      <c r="D396" s="1763" t="s">
        <v>115</v>
      </c>
      <c r="E396" s="1763" t="s">
        <v>139</v>
      </c>
      <c r="F396" s="1764" t="s">
        <v>1353</v>
      </c>
      <c r="G396" s="1764" t="s">
        <v>18</v>
      </c>
      <c r="H396" s="1926">
        <v>26475.84</v>
      </c>
    </row>
    <row r="397" spans="1:8" x14ac:dyDescent="0.2">
      <c r="A397" s="1993">
        <f>IF(B397="","",COUNTA($B$3:B397))</f>
        <v>395</v>
      </c>
      <c r="B397" s="1994">
        <v>8</v>
      </c>
      <c r="C397" s="1994" t="s">
        <v>5</v>
      </c>
      <c r="D397" s="1763" t="s">
        <v>115</v>
      </c>
      <c r="E397" s="1763" t="s">
        <v>139</v>
      </c>
      <c r="F397" s="1764" t="s">
        <v>1353</v>
      </c>
      <c r="G397" s="1764" t="s">
        <v>19</v>
      </c>
      <c r="H397" s="1926">
        <v>0</v>
      </c>
    </row>
    <row r="398" spans="1:8" x14ac:dyDescent="0.2">
      <c r="A398" s="1993">
        <f>IF(B398="","",COUNTA($B$3:B398))</f>
        <v>396</v>
      </c>
      <c r="B398" s="1994">
        <v>8</v>
      </c>
      <c r="C398" s="1994" t="s">
        <v>5</v>
      </c>
      <c r="D398" s="1763" t="s">
        <v>115</v>
      </c>
      <c r="E398" s="1763" t="s">
        <v>139</v>
      </c>
      <c r="F398" s="1764" t="s">
        <v>1353</v>
      </c>
      <c r="G398" s="1764" t="s">
        <v>20</v>
      </c>
      <c r="H398" s="1926">
        <v>1601.28</v>
      </c>
    </row>
    <row r="399" spans="1:8" x14ac:dyDescent="0.2">
      <c r="A399" s="1993">
        <f>IF(B399="","",COUNTA($B$3:B399))</f>
        <v>397</v>
      </c>
      <c r="B399" s="1994">
        <v>8</v>
      </c>
      <c r="C399" s="1994" t="s">
        <v>5</v>
      </c>
      <c r="D399" s="1763" t="s">
        <v>115</v>
      </c>
      <c r="E399" s="1763" t="s">
        <v>139</v>
      </c>
      <c r="F399" s="1764" t="s">
        <v>541</v>
      </c>
      <c r="G399" s="1764" t="s">
        <v>18</v>
      </c>
      <c r="H399" s="1926">
        <v>42547.68</v>
      </c>
    </row>
    <row r="400" spans="1:8" x14ac:dyDescent="0.2">
      <c r="A400" s="1993">
        <f>IF(B400="","",COUNTA($B$3:B400))</f>
        <v>398</v>
      </c>
      <c r="B400" s="1994">
        <v>8</v>
      </c>
      <c r="C400" s="1994" t="s">
        <v>5</v>
      </c>
      <c r="D400" s="1763" t="s">
        <v>115</v>
      </c>
      <c r="E400" s="1763" t="s">
        <v>139</v>
      </c>
      <c r="F400" s="1764" t="s">
        <v>541</v>
      </c>
      <c r="G400" s="1764" t="s">
        <v>19</v>
      </c>
      <c r="H400" s="1926">
        <v>1573.92</v>
      </c>
    </row>
    <row r="401" spans="1:14" x14ac:dyDescent="0.2">
      <c r="A401" s="1993">
        <f>IF(B401="","",COUNTA($B$3:B401))</f>
        <v>399</v>
      </c>
      <c r="B401" s="1994">
        <v>8</v>
      </c>
      <c r="C401" s="1994" t="s">
        <v>5</v>
      </c>
      <c r="D401" s="1763" t="s">
        <v>115</v>
      </c>
      <c r="E401" s="1763" t="s">
        <v>139</v>
      </c>
      <c r="F401" s="1764" t="s">
        <v>541</v>
      </c>
      <c r="G401" s="1764" t="s">
        <v>20</v>
      </c>
      <c r="H401" s="1926">
        <v>1431.36</v>
      </c>
    </row>
    <row r="402" spans="1:14" x14ac:dyDescent="0.2">
      <c r="A402" s="1993">
        <f>IF(B402="","",COUNTA($B$3:B402))</f>
        <v>400</v>
      </c>
      <c r="B402" s="1994">
        <v>8</v>
      </c>
      <c r="C402" s="1994" t="s">
        <v>5</v>
      </c>
      <c r="D402" s="1763" t="s">
        <v>115</v>
      </c>
      <c r="E402" s="1763" t="s">
        <v>139</v>
      </c>
      <c r="F402" s="1764" t="s">
        <v>1389</v>
      </c>
      <c r="G402" s="1764" t="s">
        <v>18</v>
      </c>
      <c r="H402" s="1926">
        <v>28461.599999999999</v>
      </c>
      <c r="J402"/>
      <c r="K402"/>
      <c r="L402"/>
      <c r="M402"/>
      <c r="N402"/>
    </row>
    <row r="403" spans="1:14" x14ac:dyDescent="0.2">
      <c r="A403" s="1993">
        <f>IF(B403="","",COUNTA($B$3:B403))</f>
        <v>401</v>
      </c>
      <c r="B403" s="1994">
        <v>8</v>
      </c>
      <c r="C403" s="1994" t="s">
        <v>5</v>
      </c>
      <c r="D403" s="1763" t="s">
        <v>115</v>
      </c>
      <c r="E403" s="1763" t="s">
        <v>139</v>
      </c>
      <c r="F403" s="1764" t="s">
        <v>1389</v>
      </c>
      <c r="G403" s="1764" t="s">
        <v>19</v>
      </c>
      <c r="H403" s="1926">
        <v>897.12</v>
      </c>
      <c r="J403"/>
      <c r="K403"/>
      <c r="L403"/>
      <c r="M403"/>
      <c r="N403"/>
    </row>
    <row r="404" spans="1:14" x14ac:dyDescent="0.2">
      <c r="A404" s="1993">
        <f>IF(B404="","",COUNTA($B$3:B404))</f>
        <v>402</v>
      </c>
      <c r="B404" s="1994">
        <v>8</v>
      </c>
      <c r="C404" s="1994" t="s">
        <v>5</v>
      </c>
      <c r="D404" s="1763" t="s">
        <v>115</v>
      </c>
      <c r="E404" s="1763" t="s">
        <v>139</v>
      </c>
      <c r="F404" s="1764" t="s">
        <v>1389</v>
      </c>
      <c r="G404" s="1764" t="s">
        <v>20</v>
      </c>
      <c r="H404" s="1926">
        <v>951.84</v>
      </c>
      <c r="J404"/>
      <c r="K404"/>
      <c r="L404"/>
      <c r="M404"/>
      <c r="N404"/>
    </row>
    <row r="405" spans="1:14" x14ac:dyDescent="0.2">
      <c r="A405" s="1993">
        <f>IF(B405="","",COUNTA($B$3:B405))</f>
        <v>403</v>
      </c>
      <c r="B405" s="1994">
        <v>8</v>
      </c>
      <c r="C405" s="1994" t="s">
        <v>5</v>
      </c>
      <c r="D405" s="1763" t="s">
        <v>115</v>
      </c>
      <c r="E405" s="1763" t="s">
        <v>139</v>
      </c>
      <c r="F405" s="1764" t="s">
        <v>1364</v>
      </c>
      <c r="G405" s="1764" t="s">
        <v>18</v>
      </c>
      <c r="H405" s="1926">
        <v>27357.119999999999</v>
      </c>
      <c r="J405"/>
      <c r="K405"/>
      <c r="L405"/>
      <c r="M405"/>
      <c r="N405"/>
    </row>
    <row r="406" spans="1:14" x14ac:dyDescent="0.2">
      <c r="A406" s="1993">
        <f>IF(B406="","",COUNTA($B$3:B406))</f>
        <v>404</v>
      </c>
      <c r="B406" s="1994">
        <v>8</v>
      </c>
      <c r="C406" s="1994" t="s">
        <v>5</v>
      </c>
      <c r="D406" s="1763" t="s">
        <v>115</v>
      </c>
      <c r="E406" s="1763" t="s">
        <v>139</v>
      </c>
      <c r="F406" s="1764" t="s">
        <v>1364</v>
      </c>
      <c r="G406" s="1764" t="s">
        <v>19</v>
      </c>
      <c r="H406" s="1926">
        <v>1208.1600000000001</v>
      </c>
      <c r="J406"/>
      <c r="K406"/>
      <c r="L406"/>
      <c r="M406"/>
      <c r="N406"/>
    </row>
    <row r="407" spans="1:14" x14ac:dyDescent="0.2">
      <c r="A407" s="1993">
        <f>IF(B407="","",COUNTA($B$3:B407))</f>
        <v>405</v>
      </c>
      <c r="B407" s="1994">
        <v>8</v>
      </c>
      <c r="C407" s="1994" t="s">
        <v>5</v>
      </c>
      <c r="D407" s="1763" t="s">
        <v>115</v>
      </c>
      <c r="E407" s="1763" t="s">
        <v>139</v>
      </c>
      <c r="F407" s="1764" t="s">
        <v>1364</v>
      </c>
      <c r="G407" s="1764" t="s">
        <v>20</v>
      </c>
      <c r="H407" s="1926">
        <v>639.36</v>
      </c>
      <c r="J407"/>
      <c r="K407"/>
      <c r="L407"/>
      <c r="M407"/>
      <c r="N407"/>
    </row>
    <row r="408" spans="1:14" x14ac:dyDescent="0.2">
      <c r="A408" s="1993">
        <f>IF(B408="","",COUNTA($B$3:B408))</f>
        <v>406</v>
      </c>
      <c r="B408" s="1994">
        <v>8</v>
      </c>
      <c r="C408" s="1994" t="s">
        <v>5</v>
      </c>
      <c r="D408" s="1763" t="s">
        <v>115</v>
      </c>
      <c r="E408" s="1763" t="s">
        <v>139</v>
      </c>
      <c r="F408" s="1764" t="s">
        <v>113</v>
      </c>
      <c r="G408" s="1764" t="s">
        <v>18</v>
      </c>
      <c r="H408" s="1926">
        <v>30614.400000000001</v>
      </c>
      <c r="J408"/>
      <c r="K408"/>
      <c r="L408"/>
      <c r="M408"/>
      <c r="N408"/>
    </row>
    <row r="409" spans="1:14" x14ac:dyDescent="0.2">
      <c r="A409" s="1993">
        <f>IF(B409="","",COUNTA($B$3:B409))</f>
        <v>407</v>
      </c>
      <c r="B409" s="1994">
        <v>8</v>
      </c>
      <c r="C409" s="1994" t="s">
        <v>5</v>
      </c>
      <c r="D409" s="1763" t="s">
        <v>115</v>
      </c>
      <c r="E409" s="1763" t="s">
        <v>139</v>
      </c>
      <c r="F409" s="1764" t="s">
        <v>113</v>
      </c>
      <c r="G409" s="1764" t="s">
        <v>19</v>
      </c>
      <c r="H409" s="1926">
        <v>0</v>
      </c>
      <c r="J409"/>
      <c r="K409"/>
      <c r="L409"/>
      <c r="M409"/>
      <c r="N409"/>
    </row>
    <row r="410" spans="1:14" x14ac:dyDescent="0.2">
      <c r="A410" s="1993">
        <f>IF(B410="","",COUNTA($B$3:B410))</f>
        <v>408</v>
      </c>
      <c r="B410" s="1994">
        <v>8</v>
      </c>
      <c r="C410" s="1994" t="s">
        <v>5</v>
      </c>
      <c r="D410" s="1763" t="s">
        <v>115</v>
      </c>
      <c r="E410" s="1763" t="s">
        <v>139</v>
      </c>
      <c r="F410" s="1764" t="s">
        <v>113</v>
      </c>
      <c r="G410" s="1764" t="s">
        <v>20</v>
      </c>
      <c r="H410" s="1926">
        <v>0</v>
      </c>
      <c r="J410"/>
      <c r="K410"/>
      <c r="L410"/>
      <c r="M410"/>
      <c r="N410"/>
    </row>
    <row r="411" spans="1:14" x14ac:dyDescent="0.2">
      <c r="A411" s="1993">
        <f>IF(B411="","",COUNTA($B$3:B411))</f>
        <v>409</v>
      </c>
      <c r="B411" s="1994">
        <v>8</v>
      </c>
      <c r="C411" s="1994" t="s">
        <v>5</v>
      </c>
      <c r="D411" s="1763" t="s">
        <v>115</v>
      </c>
      <c r="E411" s="1763" t="s">
        <v>139</v>
      </c>
      <c r="F411" s="1764" t="s">
        <v>112</v>
      </c>
      <c r="G411" s="1764" t="s">
        <v>18</v>
      </c>
      <c r="H411" s="1926">
        <v>5948.64</v>
      </c>
      <c r="J411"/>
      <c r="K411"/>
      <c r="L411"/>
      <c r="M411"/>
      <c r="N411"/>
    </row>
    <row r="412" spans="1:14" x14ac:dyDescent="0.2">
      <c r="A412" s="1993">
        <f>IF(B412="","",COUNTA($B$3:B412))</f>
        <v>410</v>
      </c>
      <c r="B412" s="1994">
        <v>8</v>
      </c>
      <c r="C412" s="1994" t="s">
        <v>5</v>
      </c>
      <c r="D412" s="1763" t="s">
        <v>115</v>
      </c>
      <c r="E412" s="1763" t="s">
        <v>139</v>
      </c>
      <c r="F412" s="1764" t="s">
        <v>112</v>
      </c>
      <c r="G412" s="1764" t="s">
        <v>19</v>
      </c>
      <c r="H412" s="1926">
        <v>144</v>
      </c>
      <c r="J412"/>
      <c r="K412"/>
      <c r="L412"/>
      <c r="M412"/>
      <c r="N412"/>
    </row>
    <row r="413" spans="1:14" x14ac:dyDescent="0.2">
      <c r="A413" s="1993">
        <f>IF(B413="","",COUNTA($B$3:B413))</f>
        <v>411</v>
      </c>
      <c r="B413" s="1994">
        <v>8</v>
      </c>
      <c r="C413" s="1994" t="s">
        <v>5</v>
      </c>
      <c r="D413" s="1763" t="s">
        <v>115</v>
      </c>
      <c r="E413" s="1763" t="s">
        <v>139</v>
      </c>
      <c r="F413" s="1764" t="s">
        <v>112</v>
      </c>
      <c r="G413" s="1764" t="s">
        <v>20</v>
      </c>
      <c r="H413" s="1926">
        <v>171.36</v>
      </c>
      <c r="J413"/>
      <c r="K413"/>
      <c r="L413"/>
      <c r="M413"/>
      <c r="N413"/>
    </row>
    <row r="414" spans="1:14" x14ac:dyDescent="0.2">
      <c r="A414" s="1993">
        <f>IF(B414="","",COUNTA($B$3:B414))</f>
        <v>412</v>
      </c>
      <c r="B414" s="1994">
        <v>8</v>
      </c>
      <c r="C414" s="1994" t="s">
        <v>5</v>
      </c>
      <c r="D414" s="1763" t="s">
        <v>115</v>
      </c>
      <c r="E414" s="1763" t="s">
        <v>139</v>
      </c>
      <c r="F414" s="1764" t="s">
        <v>129</v>
      </c>
      <c r="G414" s="1764" t="s">
        <v>18</v>
      </c>
      <c r="H414" s="1926">
        <v>6609.6</v>
      </c>
      <c r="J414"/>
      <c r="K414"/>
      <c r="L414"/>
      <c r="M414"/>
      <c r="N414"/>
    </row>
    <row r="415" spans="1:14" x14ac:dyDescent="0.2">
      <c r="A415" s="1993">
        <f>IF(B415="","",COUNTA($B$3:B415))</f>
        <v>413</v>
      </c>
      <c r="B415" s="1994">
        <v>8</v>
      </c>
      <c r="C415" s="1994" t="s">
        <v>5</v>
      </c>
      <c r="D415" s="1763" t="s">
        <v>115</v>
      </c>
      <c r="E415" s="1763" t="s">
        <v>139</v>
      </c>
      <c r="F415" s="1764" t="s">
        <v>129</v>
      </c>
      <c r="G415" s="1764" t="s">
        <v>19</v>
      </c>
      <c r="H415" s="1926">
        <v>345.6</v>
      </c>
      <c r="J415"/>
      <c r="K415"/>
      <c r="L415"/>
      <c r="M415"/>
      <c r="N415"/>
    </row>
    <row r="416" spans="1:14" x14ac:dyDescent="0.2">
      <c r="A416" s="1993">
        <f>IF(B416="","",COUNTA($B$3:B416))</f>
        <v>414</v>
      </c>
      <c r="B416" s="1994">
        <v>8</v>
      </c>
      <c r="C416" s="1994" t="s">
        <v>5</v>
      </c>
      <c r="D416" s="1763" t="s">
        <v>115</v>
      </c>
      <c r="E416" s="1763" t="s">
        <v>139</v>
      </c>
      <c r="F416" s="1764" t="s">
        <v>129</v>
      </c>
      <c r="G416" s="1764" t="s">
        <v>20</v>
      </c>
      <c r="H416" s="1926">
        <v>253.44</v>
      </c>
      <c r="J416"/>
      <c r="K416"/>
      <c r="L416"/>
      <c r="M416"/>
      <c r="N416"/>
    </row>
    <row r="417" spans="1:14" x14ac:dyDescent="0.2">
      <c r="A417" s="1993">
        <f>IF(B417="","",COUNTA($B$3:B417))</f>
        <v>415</v>
      </c>
      <c r="B417" s="1994">
        <v>8</v>
      </c>
      <c r="C417" s="1994" t="s">
        <v>5</v>
      </c>
      <c r="D417" s="1763" t="s">
        <v>115</v>
      </c>
      <c r="E417" s="1763" t="s">
        <v>139</v>
      </c>
      <c r="F417" s="1764" t="s">
        <v>114</v>
      </c>
      <c r="G417" s="1764" t="s">
        <v>18</v>
      </c>
      <c r="H417" s="1926">
        <v>4281.12</v>
      </c>
      <c r="J417"/>
      <c r="K417"/>
      <c r="L417"/>
      <c r="M417"/>
      <c r="N417"/>
    </row>
    <row r="418" spans="1:14" x14ac:dyDescent="0.2">
      <c r="A418" s="1993">
        <f>IF(B418="","",COUNTA($B$3:B418))</f>
        <v>416</v>
      </c>
      <c r="B418" s="1994">
        <v>8</v>
      </c>
      <c r="C418" s="1994" t="s">
        <v>5</v>
      </c>
      <c r="D418" s="1763" t="s">
        <v>115</v>
      </c>
      <c r="E418" s="1763" t="s">
        <v>139</v>
      </c>
      <c r="F418" s="1764" t="s">
        <v>114</v>
      </c>
      <c r="G418" s="1764" t="s">
        <v>19</v>
      </c>
      <c r="H418" s="1926">
        <v>0</v>
      </c>
      <c r="J418"/>
      <c r="K418"/>
      <c r="L418"/>
      <c r="M418"/>
      <c r="N418"/>
    </row>
    <row r="419" spans="1:14" x14ac:dyDescent="0.2">
      <c r="A419" s="1993">
        <f>IF(B419="","",COUNTA($B$3:B419))</f>
        <v>417</v>
      </c>
      <c r="B419" s="1994">
        <v>8</v>
      </c>
      <c r="C419" s="1994" t="s">
        <v>5</v>
      </c>
      <c r="D419" s="1763" t="s">
        <v>115</v>
      </c>
      <c r="E419" s="1763" t="s">
        <v>139</v>
      </c>
      <c r="F419" s="1764" t="s">
        <v>114</v>
      </c>
      <c r="G419" s="1764" t="s">
        <v>20</v>
      </c>
      <c r="H419" s="1926">
        <v>214.56</v>
      </c>
      <c r="J419"/>
      <c r="K419"/>
      <c r="L419"/>
      <c r="M419"/>
      <c r="N419"/>
    </row>
    <row r="420" spans="1:14" x14ac:dyDescent="0.2">
      <c r="A420" s="1993">
        <f>IF(B420="","",COUNTA($B$3:B420))</f>
        <v>418</v>
      </c>
      <c r="B420" s="1994">
        <v>8</v>
      </c>
      <c r="C420" s="1994" t="s">
        <v>5</v>
      </c>
      <c r="D420" s="1763" t="s">
        <v>115</v>
      </c>
      <c r="E420" s="1763" t="s">
        <v>139</v>
      </c>
      <c r="F420" s="1764" t="s">
        <v>1363</v>
      </c>
      <c r="G420" s="1764" t="s">
        <v>18</v>
      </c>
      <c r="H420" s="1926">
        <v>5103.3599999999997</v>
      </c>
      <c r="J420"/>
      <c r="K420"/>
      <c r="L420"/>
      <c r="M420"/>
      <c r="N420"/>
    </row>
    <row r="421" spans="1:14" x14ac:dyDescent="0.2">
      <c r="A421" s="1993">
        <f>IF(B421="","",COUNTA($B$3:B421))</f>
        <v>419</v>
      </c>
      <c r="B421" s="1994">
        <v>8</v>
      </c>
      <c r="C421" s="1994" t="s">
        <v>5</v>
      </c>
      <c r="D421" s="1763" t="s">
        <v>115</v>
      </c>
      <c r="E421" s="1763" t="s">
        <v>139</v>
      </c>
      <c r="F421" s="1764" t="s">
        <v>1363</v>
      </c>
      <c r="G421" s="1764" t="s">
        <v>19</v>
      </c>
      <c r="H421" s="1926">
        <v>259.2</v>
      </c>
      <c r="J421"/>
      <c r="K421"/>
      <c r="L421"/>
      <c r="M421"/>
      <c r="N421"/>
    </row>
    <row r="422" spans="1:14" x14ac:dyDescent="0.2">
      <c r="A422" s="1993">
        <f>IF(B422="","",COUNTA($B$3:B422))</f>
        <v>420</v>
      </c>
      <c r="B422" s="1994">
        <v>8</v>
      </c>
      <c r="C422" s="1994" t="s">
        <v>5</v>
      </c>
      <c r="D422" s="1763" t="s">
        <v>115</v>
      </c>
      <c r="E422" s="1763" t="s">
        <v>139</v>
      </c>
      <c r="F422" s="1764" t="s">
        <v>1363</v>
      </c>
      <c r="G422" s="1764" t="s">
        <v>20</v>
      </c>
      <c r="H422" s="1926">
        <v>95.04</v>
      </c>
      <c r="J422"/>
      <c r="K422"/>
      <c r="L422"/>
      <c r="M422"/>
      <c r="N422"/>
    </row>
    <row r="423" spans="1:14" x14ac:dyDescent="0.2">
      <c r="A423" s="1993">
        <f>IF(B423="","",COUNTA($B$3:B423))</f>
        <v>421</v>
      </c>
      <c r="B423" s="1994">
        <v>8</v>
      </c>
      <c r="C423" s="1994" t="s">
        <v>25</v>
      </c>
      <c r="D423" s="1763" t="s">
        <v>119</v>
      </c>
      <c r="E423" s="1763" t="s">
        <v>1028</v>
      </c>
      <c r="F423" s="1764" t="s">
        <v>129</v>
      </c>
      <c r="G423" s="1764" t="s">
        <v>18</v>
      </c>
      <c r="H423" s="1926">
        <v>4509</v>
      </c>
      <c r="J423"/>
      <c r="K423"/>
      <c r="L423"/>
      <c r="M423"/>
      <c r="N423"/>
    </row>
    <row r="424" spans="1:14" x14ac:dyDescent="0.2">
      <c r="A424" s="1993">
        <f>IF(B424="","",COUNTA($B$3:B424))</f>
        <v>422</v>
      </c>
      <c r="B424" s="1994">
        <v>8</v>
      </c>
      <c r="C424" s="1994" t="s">
        <v>25</v>
      </c>
      <c r="D424" s="1763" t="s">
        <v>119</v>
      </c>
      <c r="E424" s="1763" t="s">
        <v>1028</v>
      </c>
      <c r="F424" s="1764" t="s">
        <v>129</v>
      </c>
      <c r="G424" s="1764" t="s">
        <v>19</v>
      </c>
      <c r="H424" s="1926">
        <v>0</v>
      </c>
      <c r="J424"/>
      <c r="K424"/>
      <c r="L424"/>
      <c r="M424"/>
      <c r="N424"/>
    </row>
    <row r="425" spans="1:14" x14ac:dyDescent="0.2">
      <c r="A425" s="1993">
        <f>IF(B425="","",COUNTA($B$3:B425))</f>
        <v>423</v>
      </c>
      <c r="B425" s="1994">
        <v>8</v>
      </c>
      <c r="C425" s="1994" t="s">
        <v>25</v>
      </c>
      <c r="D425" s="1763" t="s">
        <v>119</v>
      </c>
      <c r="E425" s="1763" t="s">
        <v>1028</v>
      </c>
      <c r="F425" s="1764" t="s">
        <v>129</v>
      </c>
      <c r="G425" s="1764" t="s">
        <v>20</v>
      </c>
      <c r="H425" s="1926">
        <v>774</v>
      </c>
    </row>
    <row r="426" spans="1:14" x14ac:dyDescent="0.2">
      <c r="A426" s="1993">
        <f>IF(B426="","",COUNTA($B$3:B426))</f>
        <v>424</v>
      </c>
      <c r="B426" s="1994">
        <v>8</v>
      </c>
      <c r="C426" s="1994" t="s">
        <v>25</v>
      </c>
      <c r="D426" s="1763" t="s">
        <v>119</v>
      </c>
      <c r="E426" s="1763" t="s">
        <v>1028</v>
      </c>
      <c r="F426" s="1764" t="s">
        <v>117</v>
      </c>
      <c r="G426" s="1764" t="s">
        <v>18</v>
      </c>
      <c r="H426" s="1926">
        <v>5017.5</v>
      </c>
    </row>
    <row r="427" spans="1:14" x14ac:dyDescent="0.2">
      <c r="A427" s="1993">
        <f>IF(B427="","",COUNTA($B$3:B427))</f>
        <v>425</v>
      </c>
      <c r="B427" s="1994">
        <v>8</v>
      </c>
      <c r="C427" s="1994" t="s">
        <v>25</v>
      </c>
      <c r="D427" s="1763" t="s">
        <v>119</v>
      </c>
      <c r="E427" s="1763" t="s">
        <v>1028</v>
      </c>
      <c r="F427" s="1764" t="s">
        <v>117</v>
      </c>
      <c r="G427" s="1764" t="s">
        <v>19</v>
      </c>
      <c r="H427" s="1926">
        <v>0</v>
      </c>
    </row>
    <row r="428" spans="1:14" x14ac:dyDescent="0.2">
      <c r="A428" s="1993">
        <f>IF(B428="","",COUNTA($B$3:B428))</f>
        <v>426</v>
      </c>
      <c r="B428" s="1994">
        <v>8</v>
      </c>
      <c r="C428" s="1994" t="s">
        <v>25</v>
      </c>
      <c r="D428" s="1763" t="s">
        <v>119</v>
      </c>
      <c r="E428" s="1763" t="s">
        <v>1028</v>
      </c>
      <c r="F428" s="1764" t="s">
        <v>117</v>
      </c>
      <c r="G428" s="1764" t="s">
        <v>20</v>
      </c>
      <c r="H428" s="1926">
        <v>16.5</v>
      </c>
    </row>
    <row r="429" spans="1:14" x14ac:dyDescent="0.2">
      <c r="A429" s="1993">
        <f>IF(B429="","",COUNTA($B$3:B429))</f>
        <v>427</v>
      </c>
      <c r="B429" s="1994">
        <v>8</v>
      </c>
      <c r="C429" s="1994" t="s">
        <v>25</v>
      </c>
      <c r="D429" s="1763" t="s">
        <v>119</v>
      </c>
      <c r="E429" s="1763" t="s">
        <v>1028</v>
      </c>
      <c r="F429" s="1764" t="s">
        <v>109</v>
      </c>
      <c r="G429" s="1764" t="s">
        <v>18</v>
      </c>
      <c r="H429" s="1926">
        <v>24255</v>
      </c>
    </row>
    <row r="430" spans="1:14" x14ac:dyDescent="0.2">
      <c r="A430" s="1993">
        <f>IF(B430="","",COUNTA($B$3:B430))</f>
        <v>428</v>
      </c>
      <c r="B430" s="1994">
        <v>8</v>
      </c>
      <c r="C430" s="1994" t="s">
        <v>25</v>
      </c>
      <c r="D430" s="1763" t="s">
        <v>119</v>
      </c>
      <c r="E430" s="1763" t="s">
        <v>1028</v>
      </c>
      <c r="F430" s="1764" t="s">
        <v>109</v>
      </c>
      <c r="G430" s="1764" t="s">
        <v>19</v>
      </c>
      <c r="H430" s="1926">
        <v>0</v>
      </c>
    </row>
    <row r="431" spans="1:14" x14ac:dyDescent="0.2">
      <c r="A431" s="1993">
        <f>IF(B431="","",COUNTA($B$3:B431))</f>
        <v>429</v>
      </c>
      <c r="B431" s="1994">
        <v>8</v>
      </c>
      <c r="C431" s="1994" t="s">
        <v>25</v>
      </c>
      <c r="D431" s="1763" t="s">
        <v>119</v>
      </c>
      <c r="E431" s="1763" t="s">
        <v>1028</v>
      </c>
      <c r="F431" s="1764" t="s">
        <v>109</v>
      </c>
      <c r="G431" s="1764" t="s">
        <v>20</v>
      </c>
      <c r="H431" s="1926">
        <v>210</v>
      </c>
    </row>
    <row r="432" spans="1:14" x14ac:dyDescent="0.2">
      <c r="A432" s="1993">
        <f>IF(B432="","",COUNTA($B$3:B432))</f>
        <v>430</v>
      </c>
      <c r="B432" s="1994">
        <v>8</v>
      </c>
      <c r="C432" s="1994" t="s">
        <v>25</v>
      </c>
      <c r="D432" s="1763" t="s">
        <v>119</v>
      </c>
      <c r="E432" s="1763" t="s">
        <v>1028</v>
      </c>
      <c r="F432" s="1764" t="s">
        <v>322</v>
      </c>
      <c r="G432" s="1764" t="s">
        <v>18</v>
      </c>
      <c r="H432" s="1926">
        <v>26482.5</v>
      </c>
    </row>
    <row r="433" spans="1:8" x14ac:dyDescent="0.2">
      <c r="A433" s="1993">
        <f>IF(B433="","",COUNTA($B$3:B433))</f>
        <v>431</v>
      </c>
      <c r="B433" s="1994">
        <v>8</v>
      </c>
      <c r="C433" s="1994" t="s">
        <v>25</v>
      </c>
      <c r="D433" s="1763" t="s">
        <v>119</v>
      </c>
      <c r="E433" s="1763" t="s">
        <v>1028</v>
      </c>
      <c r="F433" s="1764" t="s">
        <v>322</v>
      </c>
      <c r="G433" s="1764" t="s">
        <v>19</v>
      </c>
      <c r="H433" s="1926">
        <v>0</v>
      </c>
    </row>
    <row r="434" spans="1:8" x14ac:dyDescent="0.2">
      <c r="A434" s="1993">
        <f>IF(B434="","",COUNTA($B$3:B434))</f>
        <v>432</v>
      </c>
      <c r="B434" s="1994">
        <v>8</v>
      </c>
      <c r="C434" s="1994" t="s">
        <v>25</v>
      </c>
      <c r="D434" s="1763" t="s">
        <v>119</v>
      </c>
      <c r="E434" s="1763" t="s">
        <v>1028</v>
      </c>
      <c r="F434" s="1764" t="s">
        <v>322</v>
      </c>
      <c r="G434" s="1764" t="s">
        <v>20</v>
      </c>
      <c r="H434" s="1926">
        <v>204</v>
      </c>
    </row>
    <row r="435" spans="1:8" x14ac:dyDescent="0.2">
      <c r="A435" s="1993">
        <f>IF(B435="","",COUNTA($B$3:B435))</f>
        <v>433</v>
      </c>
      <c r="B435" s="1994">
        <v>8</v>
      </c>
      <c r="C435" s="1994" t="s">
        <v>25</v>
      </c>
      <c r="D435" s="1763" t="s">
        <v>119</v>
      </c>
      <c r="E435" s="1763" t="s">
        <v>329</v>
      </c>
      <c r="F435" s="1764" t="s">
        <v>1353</v>
      </c>
      <c r="G435" s="1764" t="s">
        <v>18</v>
      </c>
      <c r="H435" s="1926">
        <v>9087</v>
      </c>
    </row>
    <row r="436" spans="1:8" x14ac:dyDescent="0.2">
      <c r="A436" s="1993">
        <f>IF(B436="","",COUNTA($B$3:B436))</f>
        <v>434</v>
      </c>
      <c r="B436" s="1994">
        <v>8</v>
      </c>
      <c r="C436" s="1994" t="s">
        <v>25</v>
      </c>
      <c r="D436" s="1763" t="s">
        <v>119</v>
      </c>
      <c r="E436" s="1763" t="s">
        <v>329</v>
      </c>
      <c r="F436" s="1764" t="s">
        <v>1353</v>
      </c>
      <c r="G436" s="1764" t="s">
        <v>19</v>
      </c>
      <c r="H436" s="1926">
        <v>0</v>
      </c>
    </row>
    <row r="437" spans="1:8" x14ac:dyDescent="0.2">
      <c r="A437" s="1993">
        <f>IF(B437="","",COUNTA($B$3:B437))</f>
        <v>435</v>
      </c>
      <c r="B437" s="1994">
        <v>8</v>
      </c>
      <c r="C437" s="1994" t="s">
        <v>25</v>
      </c>
      <c r="D437" s="1763" t="s">
        <v>119</v>
      </c>
      <c r="E437" s="1763" t="s">
        <v>329</v>
      </c>
      <c r="F437" s="1764" t="s">
        <v>1353</v>
      </c>
      <c r="G437" s="1764" t="s">
        <v>20</v>
      </c>
      <c r="H437" s="1926">
        <v>231</v>
      </c>
    </row>
    <row r="438" spans="1:8" x14ac:dyDescent="0.2">
      <c r="A438" s="1993">
        <f>IF(B438="","",COUNTA($B$3:B438))</f>
        <v>436</v>
      </c>
      <c r="B438" s="1994">
        <v>8</v>
      </c>
      <c r="C438" s="1994" t="s">
        <v>25</v>
      </c>
      <c r="D438" s="1763" t="s">
        <v>119</v>
      </c>
      <c r="E438" s="1763" t="s">
        <v>329</v>
      </c>
      <c r="F438" s="1764" t="s">
        <v>129</v>
      </c>
      <c r="G438" s="1764" t="s">
        <v>18</v>
      </c>
      <c r="H438" s="1926">
        <v>13858.5</v>
      </c>
    </row>
    <row r="439" spans="1:8" x14ac:dyDescent="0.2">
      <c r="A439" s="1993">
        <f>IF(B439="","",COUNTA($B$3:B439))</f>
        <v>437</v>
      </c>
      <c r="B439" s="1994">
        <v>8</v>
      </c>
      <c r="C439" s="1994" t="s">
        <v>25</v>
      </c>
      <c r="D439" s="1763" t="s">
        <v>119</v>
      </c>
      <c r="E439" s="1763" t="s">
        <v>329</v>
      </c>
      <c r="F439" s="1764" t="s">
        <v>129</v>
      </c>
      <c r="G439" s="1764" t="s">
        <v>19</v>
      </c>
      <c r="H439" s="1926">
        <v>0</v>
      </c>
    </row>
    <row r="440" spans="1:8" x14ac:dyDescent="0.2">
      <c r="A440" s="1993">
        <f>IF(B440="","",COUNTA($B$3:B440))</f>
        <v>438</v>
      </c>
      <c r="B440" s="1994">
        <v>8</v>
      </c>
      <c r="C440" s="1994" t="s">
        <v>25</v>
      </c>
      <c r="D440" s="1763" t="s">
        <v>119</v>
      </c>
      <c r="E440" s="1763" t="s">
        <v>329</v>
      </c>
      <c r="F440" s="1764" t="s">
        <v>129</v>
      </c>
      <c r="G440" s="1764" t="s">
        <v>20</v>
      </c>
      <c r="H440" s="1926">
        <v>781.5</v>
      </c>
    </row>
    <row r="441" spans="1:8" x14ac:dyDescent="0.2">
      <c r="A441" s="1993">
        <f>IF(B441="","",COUNTA($B$3:B441))</f>
        <v>439</v>
      </c>
      <c r="B441" s="1994">
        <v>8</v>
      </c>
      <c r="C441" s="1994" t="s">
        <v>25</v>
      </c>
      <c r="D441" s="1763" t="s">
        <v>119</v>
      </c>
      <c r="E441" s="1763" t="s">
        <v>329</v>
      </c>
      <c r="F441" s="1764" t="s">
        <v>117</v>
      </c>
      <c r="G441" s="1764" t="s">
        <v>18</v>
      </c>
      <c r="H441" s="1926">
        <v>19188</v>
      </c>
    </row>
    <row r="442" spans="1:8" x14ac:dyDescent="0.2">
      <c r="A442" s="1993">
        <f>IF(B442="","",COUNTA($B$3:B442))</f>
        <v>440</v>
      </c>
      <c r="B442" s="1994">
        <v>8</v>
      </c>
      <c r="C442" s="1994" t="s">
        <v>25</v>
      </c>
      <c r="D442" s="1763" t="s">
        <v>119</v>
      </c>
      <c r="E442" s="1763" t="s">
        <v>329</v>
      </c>
      <c r="F442" s="1764" t="s">
        <v>117</v>
      </c>
      <c r="G442" s="1764" t="s">
        <v>19</v>
      </c>
      <c r="H442" s="1926">
        <v>0</v>
      </c>
    </row>
    <row r="443" spans="1:8" x14ac:dyDescent="0.2">
      <c r="A443" s="1993">
        <f>IF(B443="","",COUNTA($B$3:B443))</f>
        <v>441</v>
      </c>
      <c r="B443" s="1994">
        <v>8</v>
      </c>
      <c r="C443" s="1994" t="s">
        <v>25</v>
      </c>
      <c r="D443" s="1763" t="s">
        <v>119</v>
      </c>
      <c r="E443" s="1763" t="s">
        <v>329</v>
      </c>
      <c r="F443" s="1764" t="s">
        <v>117</v>
      </c>
      <c r="G443" s="1764" t="s">
        <v>20</v>
      </c>
      <c r="H443" s="1926">
        <v>847.5</v>
      </c>
    </row>
    <row r="444" spans="1:8" x14ac:dyDescent="0.2">
      <c r="A444" s="1993">
        <f>IF(B444="","",COUNTA($B$3:B444))</f>
        <v>442</v>
      </c>
      <c r="B444" s="1994">
        <v>8</v>
      </c>
      <c r="C444" s="1994" t="s">
        <v>25</v>
      </c>
      <c r="D444" s="1763" t="s">
        <v>119</v>
      </c>
      <c r="E444" s="1763" t="s">
        <v>329</v>
      </c>
      <c r="F444" s="1764" t="s">
        <v>109</v>
      </c>
      <c r="G444" s="1764" t="s">
        <v>18</v>
      </c>
      <c r="H444" s="1926">
        <v>58252.5</v>
      </c>
    </row>
    <row r="445" spans="1:8" x14ac:dyDescent="0.2">
      <c r="A445" s="1993">
        <f>IF(B445="","",COUNTA($B$3:B445))</f>
        <v>443</v>
      </c>
      <c r="B445" s="1994">
        <v>8</v>
      </c>
      <c r="C445" s="1994" t="s">
        <v>25</v>
      </c>
      <c r="D445" s="1763" t="s">
        <v>119</v>
      </c>
      <c r="E445" s="1763" t="s">
        <v>329</v>
      </c>
      <c r="F445" s="1764" t="s">
        <v>109</v>
      </c>
      <c r="G445" s="1764" t="s">
        <v>19</v>
      </c>
      <c r="H445" s="1926">
        <v>0</v>
      </c>
    </row>
    <row r="446" spans="1:8" x14ac:dyDescent="0.2">
      <c r="A446" s="1993">
        <f>IF(B446="","",COUNTA($B$3:B446))</f>
        <v>444</v>
      </c>
      <c r="B446" s="1994">
        <v>8</v>
      </c>
      <c r="C446" s="1994" t="s">
        <v>25</v>
      </c>
      <c r="D446" s="1763" t="s">
        <v>119</v>
      </c>
      <c r="E446" s="1763" t="s">
        <v>329</v>
      </c>
      <c r="F446" s="1764" t="s">
        <v>109</v>
      </c>
      <c r="G446" s="1764" t="s">
        <v>20</v>
      </c>
      <c r="H446" s="1926">
        <v>2070</v>
      </c>
    </row>
    <row r="447" spans="1:8" x14ac:dyDescent="0.2">
      <c r="A447" s="1993">
        <f>IF(B447="","",COUNTA($B$3:B447))</f>
        <v>445</v>
      </c>
      <c r="B447" s="1994">
        <v>8</v>
      </c>
      <c r="C447" s="1994" t="s">
        <v>25</v>
      </c>
      <c r="D447" s="1763" t="s">
        <v>119</v>
      </c>
      <c r="E447" s="1763" t="s">
        <v>329</v>
      </c>
      <c r="F447" s="1764" t="s">
        <v>322</v>
      </c>
      <c r="G447" s="1764" t="s">
        <v>18</v>
      </c>
      <c r="H447" s="1926">
        <v>7492.5</v>
      </c>
    </row>
    <row r="448" spans="1:8" x14ac:dyDescent="0.2">
      <c r="A448" s="1993">
        <f>IF(B448="","",COUNTA($B$3:B448))</f>
        <v>446</v>
      </c>
      <c r="B448" s="1994">
        <v>8</v>
      </c>
      <c r="C448" s="1994" t="s">
        <v>25</v>
      </c>
      <c r="D448" s="1763" t="s">
        <v>119</v>
      </c>
      <c r="E448" s="1763" t="s">
        <v>329</v>
      </c>
      <c r="F448" s="1764" t="s">
        <v>322</v>
      </c>
      <c r="G448" s="1764" t="s">
        <v>19</v>
      </c>
      <c r="H448" s="1926">
        <v>0</v>
      </c>
    </row>
    <row r="449" spans="1:8" x14ac:dyDescent="0.2">
      <c r="A449" s="1993">
        <f>IF(B449="","",COUNTA($B$3:B449))</f>
        <v>447</v>
      </c>
      <c r="B449" s="1994">
        <v>8</v>
      </c>
      <c r="C449" s="1994" t="s">
        <v>25</v>
      </c>
      <c r="D449" s="1763" t="s">
        <v>119</v>
      </c>
      <c r="E449" s="1763" t="s">
        <v>329</v>
      </c>
      <c r="F449" s="1764" t="s">
        <v>322</v>
      </c>
      <c r="G449" s="1764" t="s">
        <v>20</v>
      </c>
      <c r="H449" s="1926">
        <v>969</v>
      </c>
    </row>
    <row r="450" spans="1:8" x14ac:dyDescent="0.2">
      <c r="A450" s="1993">
        <f>IF(B450="","",COUNTA($B$3:B450))</f>
        <v>448</v>
      </c>
      <c r="B450" s="1994">
        <v>8</v>
      </c>
      <c r="C450" s="1994" t="s">
        <v>25</v>
      </c>
      <c r="D450" s="1763" t="s">
        <v>116</v>
      </c>
      <c r="E450" s="1763" t="s">
        <v>140</v>
      </c>
      <c r="F450" s="1764" t="s">
        <v>1353</v>
      </c>
      <c r="G450" s="1764" t="s">
        <v>18</v>
      </c>
      <c r="H450" s="1926">
        <v>27444.799999999999</v>
      </c>
    </row>
    <row r="451" spans="1:8" x14ac:dyDescent="0.2">
      <c r="A451" s="1993">
        <f>IF(B451="","",COUNTA($B$3:B451))</f>
        <v>449</v>
      </c>
      <c r="B451" s="1994">
        <v>8</v>
      </c>
      <c r="C451" s="1994" t="s">
        <v>25</v>
      </c>
      <c r="D451" s="1763" t="s">
        <v>116</v>
      </c>
      <c r="E451" s="1763" t="s">
        <v>140</v>
      </c>
      <c r="F451" s="1764" t="s">
        <v>1353</v>
      </c>
      <c r="G451" s="1764" t="s">
        <v>19</v>
      </c>
      <c r="H451" s="1926">
        <v>0</v>
      </c>
    </row>
    <row r="452" spans="1:8" x14ac:dyDescent="0.2">
      <c r="A452" s="1993">
        <f>IF(B452="","",COUNTA($B$3:B452))</f>
        <v>450</v>
      </c>
      <c r="B452" s="1994">
        <v>8</v>
      </c>
      <c r="C452" s="1994" t="s">
        <v>25</v>
      </c>
      <c r="D452" s="1763" t="s">
        <v>116</v>
      </c>
      <c r="E452" s="1763" t="s">
        <v>140</v>
      </c>
      <c r="F452" s="1764" t="s">
        <v>1353</v>
      </c>
      <c r="G452" s="1764" t="s">
        <v>20</v>
      </c>
      <c r="H452" s="1926">
        <v>1505.6</v>
      </c>
    </row>
    <row r="453" spans="1:8" x14ac:dyDescent="0.2">
      <c r="A453" s="1993">
        <f>IF(B453="","",COUNTA($B$3:B453))</f>
        <v>451</v>
      </c>
      <c r="B453" s="1994">
        <v>8</v>
      </c>
      <c r="C453" s="1994" t="s">
        <v>25</v>
      </c>
      <c r="D453" s="1763" t="s">
        <v>116</v>
      </c>
      <c r="E453" s="1763" t="s">
        <v>140</v>
      </c>
      <c r="F453" s="1764" t="s">
        <v>146</v>
      </c>
      <c r="G453" s="1764" t="s">
        <v>18</v>
      </c>
      <c r="H453" s="1926">
        <v>5833.6</v>
      </c>
    </row>
    <row r="454" spans="1:8" x14ac:dyDescent="0.2">
      <c r="A454" s="1993">
        <f>IF(B454="","",COUNTA($B$3:B454))</f>
        <v>452</v>
      </c>
      <c r="B454" s="1994">
        <v>8</v>
      </c>
      <c r="C454" s="1994" t="s">
        <v>25</v>
      </c>
      <c r="D454" s="1763" t="s">
        <v>116</v>
      </c>
      <c r="E454" s="1763" t="s">
        <v>140</v>
      </c>
      <c r="F454" s="1764" t="s">
        <v>146</v>
      </c>
      <c r="G454" s="1764" t="s">
        <v>19</v>
      </c>
      <c r="H454" s="1926">
        <v>0</v>
      </c>
    </row>
    <row r="455" spans="1:8" x14ac:dyDescent="0.2">
      <c r="A455" s="1993">
        <f>IF(B455="","",COUNTA($B$3:B455))</f>
        <v>453</v>
      </c>
      <c r="B455" s="1994">
        <v>8</v>
      </c>
      <c r="C455" s="1994" t="s">
        <v>25</v>
      </c>
      <c r="D455" s="1763" t="s">
        <v>116</v>
      </c>
      <c r="E455" s="1763" t="s">
        <v>140</v>
      </c>
      <c r="F455" s="1764" t="s">
        <v>146</v>
      </c>
      <c r="G455" s="1764" t="s">
        <v>20</v>
      </c>
      <c r="H455" s="1926">
        <v>366.4</v>
      </c>
    </row>
    <row r="456" spans="1:8" x14ac:dyDescent="0.2">
      <c r="A456" s="1993">
        <f>IF(B456="","",COUNTA($B$3:B456))</f>
        <v>454</v>
      </c>
      <c r="B456" s="1994">
        <v>8</v>
      </c>
      <c r="C456" s="1994" t="s">
        <v>25</v>
      </c>
      <c r="D456" s="1763" t="s">
        <v>116</v>
      </c>
      <c r="E456" s="1763" t="s">
        <v>140</v>
      </c>
      <c r="F456" s="1764" t="s">
        <v>112</v>
      </c>
      <c r="G456" s="1764" t="s">
        <v>18</v>
      </c>
      <c r="H456" s="1926">
        <v>9057.6</v>
      </c>
    </row>
    <row r="457" spans="1:8" x14ac:dyDescent="0.2">
      <c r="A457" s="1993">
        <f>IF(B457="","",COUNTA($B$3:B457))</f>
        <v>455</v>
      </c>
      <c r="B457" s="1994">
        <v>8</v>
      </c>
      <c r="C457" s="1994" t="s">
        <v>25</v>
      </c>
      <c r="D457" s="1763" t="s">
        <v>116</v>
      </c>
      <c r="E457" s="1763" t="s">
        <v>140</v>
      </c>
      <c r="F457" s="1764" t="s">
        <v>112</v>
      </c>
      <c r="G457" s="1764" t="s">
        <v>19</v>
      </c>
      <c r="H457" s="1926">
        <v>0</v>
      </c>
    </row>
    <row r="458" spans="1:8" x14ac:dyDescent="0.2">
      <c r="A458" s="1993">
        <f>IF(B458="","",COUNTA($B$3:B458))</f>
        <v>456</v>
      </c>
      <c r="B458" s="1994">
        <v>8</v>
      </c>
      <c r="C458" s="1994" t="s">
        <v>25</v>
      </c>
      <c r="D458" s="1763" t="s">
        <v>116</v>
      </c>
      <c r="E458" s="1763" t="s">
        <v>140</v>
      </c>
      <c r="F458" s="1764" t="s">
        <v>112</v>
      </c>
      <c r="G458" s="1764" t="s">
        <v>20</v>
      </c>
      <c r="H458" s="1926">
        <v>296</v>
      </c>
    </row>
    <row r="459" spans="1:8" x14ac:dyDescent="0.2">
      <c r="A459" s="1993">
        <f>IF(B459="","",COUNTA($B$3:B459))</f>
        <v>457</v>
      </c>
      <c r="B459" s="1994">
        <v>8</v>
      </c>
      <c r="C459" s="1994" t="s">
        <v>25</v>
      </c>
      <c r="D459" s="1763" t="s">
        <v>116</v>
      </c>
      <c r="E459" s="1763" t="s">
        <v>140</v>
      </c>
      <c r="F459" s="1764" t="s">
        <v>129</v>
      </c>
      <c r="G459" s="1764" t="s">
        <v>18</v>
      </c>
      <c r="H459" s="1926">
        <v>7814.4</v>
      </c>
    </row>
    <row r="460" spans="1:8" x14ac:dyDescent="0.2">
      <c r="A460" s="1993">
        <f>IF(B460="","",COUNTA($B$3:B460))</f>
        <v>458</v>
      </c>
      <c r="B460" s="1994">
        <v>8</v>
      </c>
      <c r="C460" s="1994" t="s">
        <v>25</v>
      </c>
      <c r="D460" s="1763" t="s">
        <v>116</v>
      </c>
      <c r="E460" s="1763" t="s">
        <v>140</v>
      </c>
      <c r="F460" s="1764" t="s">
        <v>129</v>
      </c>
      <c r="G460" s="1764" t="s">
        <v>19</v>
      </c>
      <c r="H460" s="1926">
        <v>0</v>
      </c>
    </row>
    <row r="461" spans="1:8" x14ac:dyDescent="0.2">
      <c r="A461" s="1993">
        <f>IF(B461="","",COUNTA($B$3:B461))</f>
        <v>459</v>
      </c>
      <c r="B461" s="1994">
        <v>8</v>
      </c>
      <c r="C461" s="1994" t="s">
        <v>25</v>
      </c>
      <c r="D461" s="1763" t="s">
        <v>116</v>
      </c>
      <c r="E461" s="1763" t="s">
        <v>140</v>
      </c>
      <c r="F461" s="1764" t="s">
        <v>129</v>
      </c>
      <c r="G461" s="1764" t="s">
        <v>20</v>
      </c>
      <c r="H461" s="1926">
        <v>347.2</v>
      </c>
    </row>
    <row r="462" spans="1:8" x14ac:dyDescent="0.2">
      <c r="A462" s="1993">
        <f>IF(B462="","",COUNTA($B$3:B462))</f>
        <v>460</v>
      </c>
      <c r="B462" s="1994">
        <v>8</v>
      </c>
      <c r="C462" s="1994" t="s">
        <v>25</v>
      </c>
      <c r="D462" s="1763" t="s">
        <v>116</v>
      </c>
      <c r="E462" s="1763" t="s">
        <v>140</v>
      </c>
      <c r="F462" s="1764" t="s">
        <v>117</v>
      </c>
      <c r="G462" s="1764" t="s">
        <v>18</v>
      </c>
      <c r="H462" s="1926">
        <v>30073.599999999999</v>
      </c>
    </row>
    <row r="463" spans="1:8" x14ac:dyDescent="0.2">
      <c r="A463" s="1993">
        <f>IF(B463="","",COUNTA($B$3:B463))</f>
        <v>461</v>
      </c>
      <c r="B463" s="1994">
        <v>8</v>
      </c>
      <c r="C463" s="1994" t="s">
        <v>25</v>
      </c>
      <c r="D463" s="1763" t="s">
        <v>116</v>
      </c>
      <c r="E463" s="1763" t="s">
        <v>140</v>
      </c>
      <c r="F463" s="1764" t="s">
        <v>117</v>
      </c>
      <c r="G463" s="1764" t="s">
        <v>19</v>
      </c>
      <c r="H463" s="1926">
        <v>0</v>
      </c>
    </row>
    <row r="464" spans="1:8" x14ac:dyDescent="0.2">
      <c r="A464" s="1993">
        <f>IF(B464="","",COUNTA($B$3:B464))</f>
        <v>462</v>
      </c>
      <c r="B464" s="1994">
        <v>8</v>
      </c>
      <c r="C464" s="1994" t="s">
        <v>25</v>
      </c>
      <c r="D464" s="1763" t="s">
        <v>116</v>
      </c>
      <c r="E464" s="1763" t="s">
        <v>140</v>
      </c>
      <c r="F464" s="1764" t="s">
        <v>117</v>
      </c>
      <c r="G464" s="1764" t="s">
        <v>20</v>
      </c>
      <c r="H464" s="1926">
        <v>2105.6</v>
      </c>
    </row>
    <row r="465" spans="1:8" x14ac:dyDescent="0.2">
      <c r="A465" s="1993">
        <f>IF(B465="","",COUNTA($B$3:B465))</f>
        <v>463</v>
      </c>
      <c r="B465" s="1994">
        <v>8</v>
      </c>
      <c r="C465" s="1994" t="s">
        <v>25</v>
      </c>
      <c r="D465" s="1763" t="s">
        <v>116</v>
      </c>
      <c r="E465" s="1763" t="s">
        <v>140</v>
      </c>
      <c r="F465" s="1764" t="s">
        <v>109</v>
      </c>
      <c r="G465" s="1764" t="s">
        <v>18</v>
      </c>
      <c r="H465" s="1926">
        <v>69662.399999999994</v>
      </c>
    </row>
    <row r="466" spans="1:8" x14ac:dyDescent="0.2">
      <c r="A466" s="1993">
        <f>IF(B466="","",COUNTA($B$3:B466))</f>
        <v>464</v>
      </c>
      <c r="B466" s="1994">
        <v>8</v>
      </c>
      <c r="C466" s="1994" t="s">
        <v>25</v>
      </c>
      <c r="D466" s="1763" t="s">
        <v>116</v>
      </c>
      <c r="E466" s="1763" t="s">
        <v>140</v>
      </c>
      <c r="F466" s="1764" t="s">
        <v>109</v>
      </c>
      <c r="G466" s="1764" t="s">
        <v>19</v>
      </c>
      <c r="H466" s="1926">
        <v>0</v>
      </c>
    </row>
    <row r="467" spans="1:8" x14ac:dyDescent="0.2">
      <c r="A467" s="1993">
        <f>IF(B467="","",COUNTA($B$3:B467))</f>
        <v>465</v>
      </c>
      <c r="B467" s="1994">
        <v>8</v>
      </c>
      <c r="C467" s="1994" t="s">
        <v>25</v>
      </c>
      <c r="D467" s="1763" t="s">
        <v>116</v>
      </c>
      <c r="E467" s="1763" t="s">
        <v>140</v>
      </c>
      <c r="F467" s="1764" t="s">
        <v>109</v>
      </c>
      <c r="G467" s="1764" t="s">
        <v>20</v>
      </c>
      <c r="H467" s="1926">
        <v>6953.6</v>
      </c>
    </row>
    <row r="468" spans="1:8" x14ac:dyDescent="0.2">
      <c r="A468" s="1993">
        <f>IF(B468="","",COUNTA($B$3:B468))</f>
        <v>466</v>
      </c>
      <c r="B468" s="1994">
        <v>8</v>
      </c>
      <c r="C468" s="1994" t="s">
        <v>25</v>
      </c>
      <c r="D468" s="1763" t="s">
        <v>116</v>
      </c>
      <c r="E468" s="1763" t="s">
        <v>140</v>
      </c>
      <c r="F468" s="1764" t="s">
        <v>1389</v>
      </c>
      <c r="G468" s="1764" t="s">
        <v>18</v>
      </c>
      <c r="H468" s="1926">
        <v>16961.599999999999</v>
      </c>
    </row>
    <row r="469" spans="1:8" x14ac:dyDescent="0.2">
      <c r="A469" s="1993">
        <f>IF(B469="","",COUNTA($B$3:B469))</f>
        <v>467</v>
      </c>
      <c r="B469" s="1994">
        <v>8</v>
      </c>
      <c r="C469" s="1994" t="s">
        <v>25</v>
      </c>
      <c r="D469" s="1763" t="s">
        <v>116</v>
      </c>
      <c r="E469" s="1763" t="s">
        <v>140</v>
      </c>
      <c r="F469" s="1764" t="s">
        <v>1389</v>
      </c>
      <c r="G469" s="1764" t="s">
        <v>19</v>
      </c>
      <c r="H469" s="1926">
        <v>0</v>
      </c>
    </row>
    <row r="470" spans="1:8" x14ac:dyDescent="0.2">
      <c r="A470" s="1993">
        <f>IF(B470="","",COUNTA($B$3:B470))</f>
        <v>468</v>
      </c>
      <c r="B470" s="1994">
        <v>8</v>
      </c>
      <c r="C470" s="1994" t="s">
        <v>25</v>
      </c>
      <c r="D470" s="1763" t="s">
        <v>116</v>
      </c>
      <c r="E470" s="1763" t="s">
        <v>140</v>
      </c>
      <c r="F470" s="1764" t="s">
        <v>1389</v>
      </c>
      <c r="G470" s="1764" t="s">
        <v>20</v>
      </c>
      <c r="H470" s="1926">
        <v>822.4</v>
      </c>
    </row>
    <row r="471" spans="1:8" x14ac:dyDescent="0.2">
      <c r="A471" s="1993">
        <f>IF(B471="","",COUNTA($B$3:B471))</f>
        <v>469</v>
      </c>
      <c r="B471" s="1994">
        <v>8</v>
      </c>
      <c r="C471" s="1994" t="s">
        <v>25</v>
      </c>
      <c r="D471" s="1763" t="s">
        <v>116</v>
      </c>
      <c r="E471" s="1763" t="s">
        <v>140</v>
      </c>
      <c r="F471" s="1764" t="s">
        <v>541</v>
      </c>
      <c r="G471" s="1764" t="s">
        <v>18</v>
      </c>
      <c r="H471" s="1926">
        <v>26257.599999999999</v>
      </c>
    </row>
    <row r="472" spans="1:8" x14ac:dyDescent="0.2">
      <c r="A472" s="1993">
        <f>IF(B472="","",COUNTA($B$3:B472))</f>
        <v>470</v>
      </c>
      <c r="B472" s="1994">
        <v>8</v>
      </c>
      <c r="C472" s="1994" t="s">
        <v>25</v>
      </c>
      <c r="D472" s="1763" t="s">
        <v>116</v>
      </c>
      <c r="E472" s="1763" t="s">
        <v>140</v>
      </c>
      <c r="F472" s="1764" t="s">
        <v>541</v>
      </c>
      <c r="G472" s="1764" t="s">
        <v>19</v>
      </c>
      <c r="H472" s="1926">
        <v>0</v>
      </c>
    </row>
    <row r="473" spans="1:8" x14ac:dyDescent="0.2">
      <c r="A473" s="1993">
        <f>IF(B473="","",COUNTA($B$3:B473))</f>
        <v>471</v>
      </c>
      <c r="B473" s="1994">
        <v>8</v>
      </c>
      <c r="C473" s="1994" t="s">
        <v>25</v>
      </c>
      <c r="D473" s="1763" t="s">
        <v>116</v>
      </c>
      <c r="E473" s="1763" t="s">
        <v>140</v>
      </c>
      <c r="F473" s="1764" t="s">
        <v>541</v>
      </c>
      <c r="G473" s="1764" t="s">
        <v>20</v>
      </c>
      <c r="H473" s="1926">
        <v>1403.2</v>
      </c>
    </row>
    <row r="474" spans="1:8" x14ac:dyDescent="0.2">
      <c r="A474" s="1993">
        <f>IF(B474="","",COUNTA($B$3:B474))</f>
        <v>472</v>
      </c>
      <c r="B474" s="1994">
        <v>8</v>
      </c>
      <c r="C474" s="1994" t="s">
        <v>25</v>
      </c>
      <c r="D474" s="1763" t="s">
        <v>116</v>
      </c>
      <c r="E474" s="1763" t="s">
        <v>140</v>
      </c>
      <c r="F474" s="1764" t="s">
        <v>1365</v>
      </c>
      <c r="G474" s="1764" t="s">
        <v>18</v>
      </c>
      <c r="H474" s="1926">
        <v>31990.400000000001</v>
      </c>
    </row>
    <row r="475" spans="1:8" x14ac:dyDescent="0.2">
      <c r="A475" s="1993">
        <f>IF(B475="","",COUNTA($B$3:B475))</f>
        <v>473</v>
      </c>
      <c r="B475" s="1994">
        <v>8</v>
      </c>
      <c r="C475" s="1994" t="s">
        <v>25</v>
      </c>
      <c r="D475" s="1763" t="s">
        <v>116</v>
      </c>
      <c r="E475" s="1763" t="s">
        <v>140</v>
      </c>
      <c r="F475" s="1764" t="s">
        <v>1365</v>
      </c>
      <c r="G475" s="1764" t="s">
        <v>19</v>
      </c>
      <c r="H475" s="1926">
        <v>0</v>
      </c>
    </row>
    <row r="476" spans="1:8" x14ac:dyDescent="0.2">
      <c r="A476" s="1993">
        <f>IF(B476="","",COUNTA($B$3:B476))</f>
        <v>474</v>
      </c>
      <c r="B476" s="1994">
        <v>8</v>
      </c>
      <c r="C476" s="1994" t="s">
        <v>25</v>
      </c>
      <c r="D476" s="1763" t="s">
        <v>116</v>
      </c>
      <c r="E476" s="1763" t="s">
        <v>140</v>
      </c>
      <c r="F476" s="1764" t="s">
        <v>1365</v>
      </c>
      <c r="G476" s="1764" t="s">
        <v>20</v>
      </c>
      <c r="H476" s="1926">
        <v>2328</v>
      </c>
    </row>
    <row r="477" spans="1:8" x14ac:dyDescent="0.2">
      <c r="A477" s="1993">
        <f>IF(B477="","",COUNTA($B$3:B477))</f>
        <v>475</v>
      </c>
      <c r="B477" s="1994">
        <v>8</v>
      </c>
      <c r="C477" s="1994" t="s">
        <v>25</v>
      </c>
      <c r="D477" s="1763" t="s">
        <v>116</v>
      </c>
      <c r="E477" s="1763" t="s">
        <v>140</v>
      </c>
      <c r="F477" s="1764" t="s">
        <v>1366</v>
      </c>
      <c r="G477" s="1764" t="s">
        <v>18</v>
      </c>
      <c r="H477" s="1926">
        <v>27633.599999999999</v>
      </c>
    </row>
    <row r="478" spans="1:8" x14ac:dyDescent="0.2">
      <c r="A478" s="1993">
        <f>IF(B478="","",COUNTA($B$3:B478))</f>
        <v>476</v>
      </c>
      <c r="B478" s="1994">
        <v>8</v>
      </c>
      <c r="C478" s="1994" t="s">
        <v>25</v>
      </c>
      <c r="D478" s="1763" t="s">
        <v>116</v>
      </c>
      <c r="E478" s="1763" t="s">
        <v>140</v>
      </c>
      <c r="F478" s="1764" t="s">
        <v>1366</v>
      </c>
      <c r="G478" s="1764" t="s">
        <v>19</v>
      </c>
      <c r="H478" s="1926">
        <v>0</v>
      </c>
    </row>
    <row r="479" spans="1:8" x14ac:dyDescent="0.2">
      <c r="A479" s="1993">
        <f>IF(B479="","",COUNTA($B$3:B479))</f>
        <v>477</v>
      </c>
      <c r="B479" s="1994">
        <v>8</v>
      </c>
      <c r="C479" s="1994" t="s">
        <v>25</v>
      </c>
      <c r="D479" s="1763" t="s">
        <v>116</v>
      </c>
      <c r="E479" s="1763" t="s">
        <v>140</v>
      </c>
      <c r="F479" s="1764" t="s">
        <v>1366</v>
      </c>
      <c r="G479" s="1764" t="s">
        <v>20</v>
      </c>
      <c r="H479" s="1926">
        <v>1553.6</v>
      </c>
    </row>
    <row r="480" spans="1:8" x14ac:dyDescent="0.2">
      <c r="A480" s="1993" t="str">
        <f>IF(B480="","",COUNTA($B$3:B480))</f>
        <v/>
      </c>
      <c r="B480" s="1994"/>
      <c r="C480" s="1994"/>
      <c r="D480" s="1763"/>
      <c r="E480" s="1763"/>
      <c r="F480" s="1764"/>
      <c r="G480" s="1764"/>
      <c r="H480" s="1926"/>
    </row>
    <row r="481" spans="1:8" x14ac:dyDescent="0.2">
      <c r="A481" s="1993" t="str">
        <f>IF(B481="","",COUNTA($B$3:B481))</f>
        <v/>
      </c>
      <c r="B481" s="1994"/>
      <c r="C481" s="1994"/>
      <c r="D481" s="1763"/>
      <c r="E481" s="1763"/>
      <c r="F481" s="1764"/>
      <c r="G481" s="1764"/>
      <c r="H481" s="1926"/>
    </row>
    <row r="482" spans="1:8" x14ac:dyDescent="0.2">
      <c r="A482" s="1993" t="str">
        <f>IF(B482="","",COUNTA($B$3:B482))</f>
        <v/>
      </c>
      <c r="B482" s="1994"/>
      <c r="C482" s="1994"/>
      <c r="D482" s="1763"/>
      <c r="E482" s="1763"/>
      <c r="F482" s="1764"/>
      <c r="G482" s="1764"/>
      <c r="H482" s="1926"/>
    </row>
    <row r="483" spans="1:8" x14ac:dyDescent="0.2">
      <c r="A483" s="1993" t="str">
        <f>IF(B483="","",COUNTA($B$3:B483))</f>
        <v/>
      </c>
      <c r="B483" s="1994"/>
      <c r="C483" s="1994"/>
      <c r="D483" s="1763"/>
      <c r="E483" s="1763"/>
      <c r="F483" s="1764"/>
      <c r="G483" s="1764"/>
      <c r="H483" s="1926"/>
    </row>
    <row r="484" spans="1:8" x14ac:dyDescent="0.2">
      <c r="A484" s="1993" t="str">
        <f>IF(B484="","",COUNTA($B$3:B484))</f>
        <v/>
      </c>
      <c r="B484" s="1994"/>
      <c r="C484" s="1994"/>
      <c r="D484" s="1763"/>
      <c r="E484" s="1763"/>
      <c r="F484" s="1764"/>
      <c r="G484" s="1764"/>
      <c r="H484" s="1926"/>
    </row>
    <row r="485" spans="1:8" x14ac:dyDescent="0.2">
      <c r="A485" s="1993" t="str">
        <f>IF(B485="","",COUNTA($B$3:B485))</f>
        <v/>
      </c>
      <c r="B485" s="1994"/>
      <c r="C485" s="1994"/>
      <c r="D485" s="1763"/>
      <c r="E485" s="1763"/>
      <c r="F485" s="1764"/>
      <c r="G485" s="1764"/>
      <c r="H485" s="1926"/>
    </row>
    <row r="486" spans="1:8" x14ac:dyDescent="0.2">
      <c r="A486" s="1993" t="str">
        <f>IF(B486="","",COUNTA($B$3:B486))</f>
        <v/>
      </c>
      <c r="B486" s="1994"/>
      <c r="C486" s="1994"/>
      <c r="D486" s="1763"/>
      <c r="E486" s="1763"/>
      <c r="F486" s="1764"/>
      <c r="G486" s="1764"/>
      <c r="H486" s="1926"/>
    </row>
    <row r="487" spans="1:8" x14ac:dyDescent="0.2">
      <c r="A487" s="1993" t="str">
        <f>IF(B487="","",COUNTA($B$3:B487))</f>
        <v/>
      </c>
      <c r="B487" s="1994"/>
      <c r="C487" s="1994"/>
      <c r="D487" s="1763"/>
      <c r="E487" s="1763"/>
      <c r="F487" s="1764"/>
      <c r="G487" s="1764"/>
      <c r="H487" s="1926"/>
    </row>
    <row r="488" spans="1:8" x14ac:dyDescent="0.2">
      <c r="A488" s="1993" t="str">
        <f>IF(B488="","",COUNTA($B$3:B488))</f>
        <v/>
      </c>
      <c r="B488" s="1994"/>
      <c r="C488" s="1994"/>
      <c r="D488" s="1763"/>
      <c r="E488" s="1763"/>
      <c r="F488" s="1764"/>
      <c r="G488" s="1764"/>
      <c r="H488" s="1926"/>
    </row>
    <row r="489" spans="1:8" x14ac:dyDescent="0.2">
      <c r="A489" s="1993" t="str">
        <f>IF(B489="","",COUNTA($B$3:B489))</f>
        <v/>
      </c>
      <c r="B489" s="1994"/>
      <c r="C489" s="1994"/>
      <c r="D489" s="1763"/>
      <c r="E489" s="1763"/>
      <c r="F489" s="1764"/>
      <c r="G489" s="1764"/>
      <c r="H489" s="1926"/>
    </row>
    <row r="490" spans="1:8" x14ac:dyDescent="0.2">
      <c r="A490" s="1993" t="str">
        <f>IF(B490="","",COUNTA($B$3:B490))</f>
        <v/>
      </c>
      <c r="B490" s="1994"/>
      <c r="C490" s="1994"/>
      <c r="D490" s="1763"/>
      <c r="E490" s="1763"/>
      <c r="F490" s="1764"/>
      <c r="G490" s="1764"/>
      <c r="H490" s="1926"/>
    </row>
    <row r="491" spans="1:8" x14ac:dyDescent="0.2">
      <c r="A491" s="1993" t="str">
        <f>IF(B491="","",COUNTA($B$3:B491))</f>
        <v/>
      </c>
      <c r="B491" s="1994"/>
      <c r="C491" s="1994"/>
      <c r="D491" s="1763"/>
      <c r="E491" s="1763"/>
      <c r="F491" s="1764"/>
      <c r="G491" s="1764"/>
      <c r="H491" s="1926"/>
    </row>
    <row r="492" spans="1:8" x14ac:dyDescent="0.2">
      <c r="A492" s="1993" t="str">
        <f>IF(B492="","",COUNTA($B$3:B492))</f>
        <v/>
      </c>
      <c r="B492" s="1994"/>
      <c r="C492" s="1994"/>
      <c r="D492" s="1763"/>
      <c r="E492" s="1763"/>
      <c r="F492" s="1764"/>
      <c r="G492" s="1764"/>
      <c r="H492" s="1926"/>
    </row>
    <row r="493" spans="1:8" x14ac:dyDescent="0.2">
      <c r="A493" s="1993" t="str">
        <f>IF(B493="","",COUNTA($B$3:B493))</f>
        <v/>
      </c>
      <c r="B493" s="1994"/>
      <c r="C493" s="1994"/>
      <c r="D493" s="1763"/>
      <c r="E493" s="1763"/>
      <c r="F493" s="1764"/>
      <c r="G493" s="1764"/>
      <c r="H493" s="1926"/>
    </row>
    <row r="494" spans="1:8" x14ac:dyDescent="0.2">
      <c r="A494" s="1993" t="str">
        <f>IF(B494="","",COUNTA($B$3:B494))</f>
        <v/>
      </c>
      <c r="B494" s="1994"/>
      <c r="C494" s="1994"/>
      <c r="D494" s="1763"/>
      <c r="E494" s="1763"/>
      <c r="F494" s="1764"/>
      <c r="G494" s="1764"/>
      <c r="H494" s="1926"/>
    </row>
    <row r="495" spans="1:8" x14ac:dyDescent="0.2">
      <c r="A495" s="1993" t="str">
        <f>IF(B495="","",COUNTA($B$3:B495))</f>
        <v/>
      </c>
      <c r="B495" s="1994"/>
      <c r="C495" s="1994"/>
      <c r="D495" s="1763"/>
      <c r="E495" s="1763"/>
      <c r="F495" s="1764"/>
      <c r="G495" s="1764"/>
      <c r="H495" s="1926"/>
    </row>
    <row r="496" spans="1:8" x14ac:dyDescent="0.2">
      <c r="A496" s="1993" t="str">
        <f>IF(B496="","",COUNTA($B$3:B496))</f>
        <v/>
      </c>
      <c r="B496" s="1994"/>
      <c r="C496" s="1994"/>
      <c r="D496" s="1763"/>
      <c r="E496" s="1763"/>
      <c r="F496" s="1764"/>
      <c r="G496" s="1764"/>
      <c r="H496" s="1926"/>
    </row>
    <row r="497" spans="1:8" x14ac:dyDescent="0.2">
      <c r="A497" s="1993" t="str">
        <f>IF(B497="","",COUNTA($B$3:B497))</f>
        <v/>
      </c>
      <c r="B497" s="1994"/>
      <c r="C497" s="1994"/>
      <c r="D497" s="1763"/>
      <c r="E497" s="1763"/>
      <c r="F497" s="1764"/>
      <c r="G497" s="1764"/>
      <c r="H497" s="1926"/>
    </row>
    <row r="498" spans="1:8" x14ac:dyDescent="0.2">
      <c r="A498" s="1993" t="str">
        <f>IF(B498="","",COUNTA($B$3:B498))</f>
        <v/>
      </c>
      <c r="B498" s="1994"/>
      <c r="C498" s="1994"/>
      <c r="D498" s="1763"/>
      <c r="E498" s="1763"/>
      <c r="F498" s="1764"/>
      <c r="G498" s="1764"/>
      <c r="H498" s="1926"/>
    </row>
    <row r="499" spans="1:8" x14ac:dyDescent="0.2">
      <c r="A499" s="1993" t="str">
        <f>IF(B499="","",COUNTA($B$3:B499))</f>
        <v/>
      </c>
      <c r="B499" s="1994"/>
      <c r="C499" s="1994"/>
      <c r="D499" s="1763"/>
      <c r="E499" s="1763"/>
      <c r="F499" s="1764"/>
      <c r="G499" s="1764"/>
      <c r="H499" s="1926"/>
    </row>
    <row r="500" spans="1:8" x14ac:dyDescent="0.2">
      <c r="A500" s="1993" t="str">
        <f>IF(B500="","",COUNTA($B$3:B500))</f>
        <v/>
      </c>
      <c r="B500" s="1994"/>
      <c r="C500" s="1994"/>
      <c r="D500" s="1763"/>
      <c r="E500" s="1763"/>
      <c r="F500" s="1764"/>
      <c r="G500" s="1764"/>
      <c r="H500" s="1926"/>
    </row>
    <row r="501" spans="1:8" x14ac:dyDescent="0.2">
      <c r="A501" s="1993" t="str">
        <f>IF(B501="","",COUNTA($B$3:B501))</f>
        <v/>
      </c>
      <c r="B501" s="1994"/>
      <c r="C501" s="1994"/>
      <c r="D501" s="1763"/>
      <c r="E501" s="1763"/>
      <c r="F501" s="1764"/>
      <c r="G501" s="1764"/>
      <c r="H501" s="1926"/>
    </row>
    <row r="502" spans="1:8" x14ac:dyDescent="0.2">
      <c r="A502" s="1993" t="str">
        <f>IF(B502="","",COUNTA($B$3:B502))</f>
        <v/>
      </c>
      <c r="B502" s="1994"/>
      <c r="C502" s="1994"/>
      <c r="D502" s="1763"/>
      <c r="E502" s="1763"/>
      <c r="F502" s="1764"/>
      <c r="G502" s="1764"/>
      <c r="H502" s="1926"/>
    </row>
    <row r="503" spans="1:8" x14ac:dyDescent="0.2">
      <c r="A503" s="1993" t="str">
        <f>IF(B503="","",COUNTA($B$3:B503))</f>
        <v/>
      </c>
      <c r="B503" s="1994"/>
      <c r="C503" s="1994"/>
      <c r="D503" s="1763"/>
      <c r="E503" s="1763"/>
      <c r="F503" s="1764"/>
      <c r="G503" s="1764"/>
      <c r="H503" s="1926"/>
    </row>
    <row r="504" spans="1:8" x14ac:dyDescent="0.2">
      <c r="A504" s="1993" t="str">
        <f>IF(B504="","",COUNTA($B$3:B504))</f>
        <v/>
      </c>
      <c r="B504" s="1994"/>
      <c r="C504" s="1994"/>
      <c r="D504" s="1763"/>
      <c r="E504" s="1763"/>
      <c r="F504" s="1764"/>
      <c r="G504" s="1764"/>
      <c r="H504" s="1926"/>
    </row>
    <row r="505" spans="1:8" x14ac:dyDescent="0.2">
      <c r="A505" s="1993" t="str">
        <f>IF(B505="","",COUNTA($B$3:B505))</f>
        <v/>
      </c>
      <c r="B505" s="1994"/>
      <c r="C505" s="1994"/>
      <c r="D505" s="1763"/>
      <c r="E505" s="1763"/>
      <c r="F505" s="1764"/>
      <c r="G505" s="1764"/>
      <c r="H505" s="1926"/>
    </row>
    <row r="506" spans="1:8" x14ac:dyDescent="0.2">
      <c r="A506" s="1993" t="str">
        <f>IF(B506="","",COUNTA($B$3:B506))</f>
        <v/>
      </c>
      <c r="B506" s="1994"/>
      <c r="C506" s="1994"/>
      <c r="D506" s="1763"/>
      <c r="E506" s="1763"/>
      <c r="F506" s="1764"/>
      <c r="G506" s="1764"/>
      <c r="H506" s="1926"/>
    </row>
    <row r="507" spans="1:8" x14ac:dyDescent="0.2">
      <c r="A507" s="1993" t="str">
        <f>IF(B507="","",COUNTA($B$3:B507))</f>
        <v/>
      </c>
      <c r="B507" s="1994"/>
      <c r="C507" s="1994"/>
      <c r="D507" s="1763"/>
      <c r="E507" s="1763"/>
      <c r="F507" s="1764"/>
      <c r="G507" s="1764"/>
      <c r="H507" s="1926"/>
    </row>
    <row r="508" spans="1:8" x14ac:dyDescent="0.2">
      <c r="A508" s="1993" t="str">
        <f>IF(B508="","",COUNTA($B$3:B508))</f>
        <v/>
      </c>
      <c r="B508" s="1994"/>
      <c r="C508" s="1994"/>
      <c r="D508" s="1763"/>
      <c r="E508" s="1763"/>
      <c r="F508" s="1764"/>
      <c r="G508" s="1764"/>
      <c r="H508" s="1926"/>
    </row>
    <row r="509" spans="1:8" x14ac:dyDescent="0.2">
      <c r="A509" s="1993" t="str">
        <f>IF(B509="","",COUNTA($B$3:B509))</f>
        <v/>
      </c>
      <c r="B509" s="1994"/>
      <c r="C509" s="1994"/>
      <c r="D509" s="1763"/>
      <c r="E509" s="1763"/>
      <c r="F509" s="1764"/>
      <c r="G509" s="1764"/>
      <c r="H509" s="1926"/>
    </row>
    <row r="510" spans="1:8" x14ac:dyDescent="0.2">
      <c r="A510" s="1993" t="str">
        <f>IF(B510="","",COUNTA($B$3:B510))</f>
        <v/>
      </c>
      <c r="B510" s="1994"/>
      <c r="C510" s="1994"/>
      <c r="D510" s="1763"/>
      <c r="E510" s="1763"/>
      <c r="F510" s="1764"/>
      <c r="G510" s="1764"/>
      <c r="H510" s="1926"/>
    </row>
    <row r="511" spans="1:8" x14ac:dyDescent="0.2">
      <c r="A511" s="1993" t="str">
        <f>IF(B511="","",COUNTA($B$3:B511))</f>
        <v/>
      </c>
      <c r="B511" s="1994"/>
      <c r="C511" s="1994"/>
      <c r="D511" s="1763"/>
      <c r="E511" s="1763"/>
      <c r="F511" s="1764"/>
      <c r="G511" s="1764"/>
      <c r="H511" s="1926"/>
    </row>
    <row r="512" spans="1:8" x14ac:dyDescent="0.2">
      <c r="A512" s="1993" t="str">
        <f>IF(B512="","",COUNTA($B$3:B512))</f>
        <v/>
      </c>
      <c r="B512" s="1994"/>
      <c r="C512" s="1994"/>
      <c r="D512" s="1763"/>
      <c r="E512" s="1763"/>
      <c r="F512" s="1764"/>
      <c r="G512" s="1764"/>
      <c r="H512" s="1926"/>
    </row>
    <row r="513" spans="1:8" x14ac:dyDescent="0.2">
      <c r="A513" s="1993" t="str">
        <f>IF(B513="","",COUNTA($B$3:B513))</f>
        <v/>
      </c>
      <c r="B513" s="1994"/>
      <c r="C513" s="1994"/>
      <c r="D513" s="1763"/>
      <c r="E513" s="1763"/>
      <c r="F513" s="1764"/>
      <c r="G513" s="1764"/>
      <c r="H513" s="1926"/>
    </row>
    <row r="514" spans="1:8" x14ac:dyDescent="0.2">
      <c r="A514" s="1993" t="str">
        <f>IF(B514="","",COUNTA($B$3:B514))</f>
        <v/>
      </c>
      <c r="B514" s="1994"/>
      <c r="C514" s="1994"/>
      <c r="D514" s="1763"/>
      <c r="E514" s="1763"/>
      <c r="F514" s="1764"/>
      <c r="G514" s="1764"/>
      <c r="H514" s="1926"/>
    </row>
    <row r="515" spans="1:8" x14ac:dyDescent="0.2">
      <c r="A515" s="1993" t="str">
        <f>IF(B515="","",COUNTA($B$3:B515))</f>
        <v/>
      </c>
      <c r="B515" s="1994"/>
      <c r="C515" s="1994"/>
      <c r="D515" s="1763"/>
      <c r="E515" s="1763"/>
      <c r="F515" s="1764"/>
      <c r="G515" s="1764"/>
      <c r="H515" s="1926"/>
    </row>
    <row r="516" spans="1:8" x14ac:dyDescent="0.2">
      <c r="A516" s="1993" t="str">
        <f>IF(B516="","",COUNTA($B$3:B516))</f>
        <v/>
      </c>
      <c r="B516" s="1994"/>
      <c r="C516" s="1994"/>
      <c r="D516" s="1763"/>
      <c r="E516" s="1763"/>
      <c r="F516" s="1764"/>
      <c r="G516" s="1764"/>
      <c r="H516" s="1926"/>
    </row>
    <row r="517" spans="1:8" x14ac:dyDescent="0.2">
      <c r="A517" s="1993" t="str">
        <f>IF(B517="","",COUNTA($B$3:B517))</f>
        <v/>
      </c>
      <c r="B517" s="1994"/>
      <c r="C517" s="1994"/>
      <c r="D517" s="1763"/>
      <c r="E517" s="1763"/>
      <c r="F517" s="1764"/>
      <c r="G517" s="1764"/>
      <c r="H517" s="1926"/>
    </row>
    <row r="518" spans="1:8" x14ac:dyDescent="0.2">
      <c r="A518" s="1993" t="str">
        <f>IF(B518="","",COUNTA($B$3:B518))</f>
        <v/>
      </c>
      <c r="B518" s="1994"/>
      <c r="C518" s="1994"/>
      <c r="D518" s="1763"/>
      <c r="E518" s="1763"/>
      <c r="F518" s="1764"/>
      <c r="G518" s="1764"/>
      <c r="H518" s="1926"/>
    </row>
    <row r="519" spans="1:8" x14ac:dyDescent="0.2">
      <c r="A519" s="1993" t="str">
        <f>IF(B519="","",COUNTA($B$3:B519))</f>
        <v/>
      </c>
      <c r="B519" s="1994"/>
      <c r="C519" s="1994"/>
      <c r="D519" s="1763"/>
      <c r="E519" s="1763"/>
      <c r="F519" s="1764"/>
      <c r="G519" s="1764"/>
      <c r="H519" s="1926"/>
    </row>
    <row r="520" spans="1:8" x14ac:dyDescent="0.2">
      <c r="A520" s="1993" t="str">
        <f>IF(B520="","",COUNTA($B$3:B520))</f>
        <v/>
      </c>
      <c r="B520" s="1994"/>
      <c r="C520" s="1994"/>
      <c r="D520" s="1763"/>
      <c r="E520" s="1763"/>
      <c r="F520" s="1764"/>
      <c r="G520" s="1764"/>
      <c r="H520" s="1926"/>
    </row>
    <row r="521" spans="1:8" x14ac:dyDescent="0.2">
      <c r="A521" s="1993" t="str">
        <f>IF(B521="","",COUNTA($B$3:B521))</f>
        <v/>
      </c>
      <c r="B521" s="1994"/>
      <c r="C521" s="1994"/>
      <c r="D521" s="1763"/>
      <c r="E521" s="1763"/>
      <c r="F521" s="1764"/>
      <c r="G521" s="1764"/>
      <c r="H521" s="1926"/>
    </row>
    <row r="522" spans="1:8" x14ac:dyDescent="0.2">
      <c r="A522" s="1993" t="str">
        <f>IF(B522="","",COUNTA($B$3:B522))</f>
        <v/>
      </c>
      <c r="B522" s="1994"/>
      <c r="C522" s="1994"/>
      <c r="D522" s="1763"/>
      <c r="E522" s="1763"/>
      <c r="F522" s="1764"/>
      <c r="G522" s="1764"/>
      <c r="H522" s="1926"/>
    </row>
    <row r="523" spans="1:8" x14ac:dyDescent="0.2">
      <c r="A523" s="1993" t="str">
        <f>IF(B523="","",COUNTA($B$3:B523))</f>
        <v/>
      </c>
      <c r="B523" s="1994"/>
      <c r="C523" s="1994"/>
      <c r="D523" s="1763"/>
      <c r="E523" s="1763"/>
      <c r="F523" s="1764"/>
      <c r="G523" s="1764"/>
      <c r="H523" s="1926"/>
    </row>
    <row r="524" spans="1:8" x14ac:dyDescent="0.2">
      <c r="A524" s="1993" t="str">
        <f>IF(B524="","",COUNTA($B$3:B524))</f>
        <v/>
      </c>
      <c r="B524" s="1994"/>
      <c r="C524" s="1994"/>
      <c r="D524" s="1763"/>
      <c r="E524" s="1763"/>
      <c r="F524" s="1764"/>
      <c r="G524" s="1764"/>
      <c r="H524" s="1926"/>
    </row>
    <row r="525" spans="1:8" x14ac:dyDescent="0.2">
      <c r="A525" s="1993" t="str">
        <f>IF(B525="","",COUNTA($B$3:B525))</f>
        <v/>
      </c>
      <c r="B525" s="1994"/>
      <c r="C525" s="1994"/>
      <c r="D525" s="1763"/>
      <c r="E525" s="1763"/>
      <c r="F525" s="1764"/>
      <c r="G525" s="1764"/>
      <c r="H525" s="1926"/>
    </row>
    <row r="526" spans="1:8" x14ac:dyDescent="0.2">
      <c r="A526" s="1993" t="str">
        <f>IF(B526="","",COUNTA($B$3:B526))</f>
        <v/>
      </c>
      <c r="B526" s="1994"/>
      <c r="C526" s="1994"/>
      <c r="D526" s="1763"/>
      <c r="E526" s="1763"/>
      <c r="F526" s="1764"/>
      <c r="G526" s="1764"/>
      <c r="H526" s="1926"/>
    </row>
    <row r="527" spans="1:8" x14ac:dyDescent="0.2">
      <c r="A527" s="1993" t="str">
        <f>IF(B527="","",COUNTA($B$3:B527))</f>
        <v/>
      </c>
      <c r="B527" s="1994"/>
      <c r="C527" s="1994"/>
      <c r="D527" s="1763"/>
      <c r="E527" s="1763"/>
      <c r="F527" s="1764"/>
      <c r="G527" s="1764"/>
      <c r="H527" s="1926"/>
    </row>
    <row r="528" spans="1:8" x14ac:dyDescent="0.2">
      <c r="A528" s="1993" t="str">
        <f>IF(B528="","",COUNTA($B$3:B528))</f>
        <v/>
      </c>
      <c r="B528" s="1994"/>
      <c r="C528" s="1994"/>
      <c r="D528" s="1763"/>
      <c r="E528" s="1763"/>
      <c r="F528" s="1764"/>
      <c r="G528" s="1764"/>
      <c r="H528" s="1926"/>
    </row>
    <row r="529" spans="1:14" x14ac:dyDescent="0.2">
      <c r="A529" s="1993" t="str">
        <f>IF(B529="","",COUNTA($B$3:B529))</f>
        <v/>
      </c>
      <c r="B529" s="1994"/>
      <c r="C529" s="1994"/>
      <c r="D529" s="1763"/>
      <c r="E529" s="1763"/>
      <c r="F529" s="1764"/>
      <c r="G529" s="1764"/>
      <c r="H529" s="1926"/>
    </row>
    <row r="530" spans="1:14" x14ac:dyDescent="0.2">
      <c r="A530" s="1993" t="str">
        <f>IF(B530="","",COUNTA($B$3:B530))</f>
        <v/>
      </c>
      <c r="B530" s="1994"/>
      <c r="C530" s="1994"/>
      <c r="D530" s="1763"/>
      <c r="E530" s="1763"/>
      <c r="F530" s="1764"/>
      <c r="G530" s="1764"/>
      <c r="H530" s="1926"/>
    </row>
    <row r="531" spans="1:14" x14ac:dyDescent="0.2">
      <c r="A531" s="1993" t="str">
        <f>IF(B531="","",COUNTA($B$3:B531))</f>
        <v/>
      </c>
      <c r="B531" s="1994"/>
      <c r="C531" s="1994"/>
      <c r="D531" s="1763"/>
      <c r="E531" s="1763"/>
      <c r="F531" s="1764"/>
      <c r="G531" s="1764"/>
      <c r="H531" s="1926"/>
      <c r="J531"/>
      <c r="K531"/>
      <c r="L531"/>
      <c r="M531"/>
      <c r="N531"/>
    </row>
    <row r="532" spans="1:14" x14ac:dyDescent="0.2">
      <c r="A532" s="1993" t="str">
        <f>IF(B532="","",COUNTA($B$3:B532))</f>
        <v/>
      </c>
      <c r="B532" s="1994"/>
      <c r="C532" s="1994"/>
      <c r="D532" s="1763"/>
      <c r="E532" s="1763"/>
      <c r="F532" s="1764"/>
      <c r="G532" s="1764"/>
      <c r="H532" s="1926"/>
      <c r="J532"/>
      <c r="K532"/>
      <c r="L532"/>
      <c r="M532"/>
      <c r="N532"/>
    </row>
    <row r="533" spans="1:14" x14ac:dyDescent="0.2">
      <c r="A533" s="1993" t="str">
        <f>IF(B533="","",COUNTA($B$3:B533))</f>
        <v/>
      </c>
      <c r="B533" s="1994"/>
      <c r="C533" s="1994"/>
      <c r="D533" s="1763"/>
      <c r="E533" s="1763"/>
      <c r="F533" s="1764"/>
      <c r="G533" s="1764"/>
      <c r="H533" s="1926"/>
      <c r="J533"/>
      <c r="K533"/>
      <c r="L533"/>
      <c r="M533"/>
      <c r="N533"/>
    </row>
    <row r="534" spans="1:14" x14ac:dyDescent="0.2">
      <c r="A534" s="1993" t="str">
        <f>IF(B534="","",COUNTA($B$3:B534))</f>
        <v/>
      </c>
      <c r="B534" s="1994"/>
      <c r="C534" s="1994"/>
      <c r="D534" s="1763"/>
      <c r="E534" s="1763"/>
      <c r="F534" s="1764"/>
      <c r="G534" s="1764"/>
      <c r="H534" s="1926"/>
      <c r="J534"/>
      <c r="K534"/>
      <c r="L534"/>
      <c r="M534"/>
      <c r="N534"/>
    </row>
    <row r="535" spans="1:14" x14ac:dyDescent="0.2">
      <c r="A535" s="1993" t="str">
        <f>IF(B535="","",COUNTA($B$3:B535))</f>
        <v/>
      </c>
      <c r="B535" s="1994"/>
      <c r="C535" s="1994"/>
      <c r="D535" s="1763"/>
      <c r="E535" s="1763"/>
      <c r="F535" s="1764"/>
      <c r="G535" s="1764"/>
      <c r="H535" s="1926"/>
      <c r="J535"/>
      <c r="K535"/>
      <c r="L535"/>
      <c r="M535"/>
      <c r="N535"/>
    </row>
    <row r="536" spans="1:14" x14ac:dyDescent="0.2">
      <c r="A536" s="1993" t="str">
        <f>IF(B536="","",COUNTA($B$3:B536))</f>
        <v/>
      </c>
      <c r="B536" s="1994"/>
      <c r="C536" s="1994"/>
      <c r="D536" s="1763"/>
      <c r="E536" s="1763"/>
      <c r="F536" s="1764"/>
      <c r="G536" s="1764"/>
      <c r="H536" s="1926"/>
      <c r="J536"/>
      <c r="K536"/>
      <c r="L536"/>
      <c r="M536"/>
      <c r="N536"/>
    </row>
    <row r="537" spans="1:14" x14ac:dyDescent="0.2">
      <c r="A537" s="1993" t="str">
        <f>IF(B537="","",COUNTA($B$3:B537))</f>
        <v/>
      </c>
      <c r="B537" s="1994"/>
      <c r="C537" s="1994"/>
      <c r="D537" s="1763"/>
      <c r="E537" s="1763"/>
      <c r="F537" s="1764"/>
      <c r="G537" s="1764"/>
      <c r="H537" s="1926"/>
      <c r="J537"/>
      <c r="K537"/>
      <c r="L537"/>
      <c r="M537"/>
      <c r="N537"/>
    </row>
    <row r="538" spans="1:14" x14ac:dyDescent="0.2">
      <c r="A538" s="1993" t="str">
        <f>IF(B538="","",COUNTA($B$3:B538))</f>
        <v/>
      </c>
      <c r="B538" s="1994"/>
      <c r="C538" s="1994"/>
      <c r="D538" s="1763"/>
      <c r="E538" s="1763"/>
      <c r="F538" s="1764"/>
      <c r="G538" s="1764"/>
      <c r="H538" s="1926"/>
      <c r="J538"/>
      <c r="K538"/>
      <c r="L538"/>
      <c r="M538"/>
      <c r="N538"/>
    </row>
    <row r="539" spans="1:14" x14ac:dyDescent="0.2">
      <c r="A539" s="1993" t="str">
        <f>IF(B539="","",COUNTA($B$3:B539))</f>
        <v/>
      </c>
      <c r="B539" s="1994"/>
      <c r="C539" s="1994"/>
      <c r="D539" s="1763"/>
      <c r="E539" s="1763"/>
      <c r="F539" s="1764"/>
      <c r="G539" s="1764"/>
      <c r="H539" s="1926"/>
      <c r="J539"/>
      <c r="K539"/>
      <c r="L539"/>
      <c r="M539"/>
      <c r="N539"/>
    </row>
    <row r="540" spans="1:14" x14ac:dyDescent="0.2">
      <c r="A540" s="1993" t="str">
        <f>IF(B540="","",COUNTA($B$3:B540))</f>
        <v/>
      </c>
      <c r="B540" s="1994"/>
      <c r="C540" s="1994"/>
      <c r="D540" s="1763"/>
      <c r="E540" s="1763"/>
      <c r="F540" s="1764"/>
      <c r="G540" s="1764"/>
      <c r="H540" s="1926"/>
      <c r="J540"/>
      <c r="K540"/>
      <c r="L540"/>
      <c r="M540"/>
      <c r="N540"/>
    </row>
    <row r="541" spans="1:14" x14ac:dyDescent="0.2">
      <c r="A541" s="1993" t="str">
        <f>IF(B541="","",COUNTA($B$3:B541))</f>
        <v/>
      </c>
      <c r="B541" s="1994"/>
      <c r="C541" s="1994"/>
      <c r="D541" s="1763"/>
      <c r="E541" s="1763"/>
      <c r="F541" s="1764"/>
      <c r="G541" s="1764"/>
      <c r="H541" s="1926"/>
      <c r="J541"/>
      <c r="K541"/>
      <c r="L541"/>
      <c r="M541"/>
      <c r="N541"/>
    </row>
    <row r="542" spans="1:14" x14ac:dyDescent="0.2">
      <c r="A542" s="1993" t="str">
        <f>IF(B542="","",COUNTA($B$3:B542))</f>
        <v/>
      </c>
      <c r="B542" s="1994"/>
      <c r="C542" s="1994"/>
      <c r="D542" s="1763"/>
      <c r="E542" s="1763"/>
      <c r="F542" s="1764"/>
      <c r="G542" s="1764"/>
      <c r="H542" s="1926"/>
      <c r="J542"/>
      <c r="K542"/>
      <c r="L542"/>
      <c r="M542"/>
      <c r="N542"/>
    </row>
    <row r="543" spans="1:14" x14ac:dyDescent="0.2">
      <c r="A543" s="1993" t="str">
        <f>IF(B543="","",COUNTA($B$3:B543))</f>
        <v/>
      </c>
      <c r="B543" s="1994"/>
      <c r="C543" s="1994"/>
      <c r="D543" s="1763"/>
      <c r="E543" s="1763"/>
      <c r="F543" s="1764"/>
      <c r="G543" s="1764"/>
      <c r="H543" s="1926"/>
      <c r="J543"/>
      <c r="K543"/>
      <c r="L543"/>
      <c r="M543"/>
      <c r="N543"/>
    </row>
    <row r="544" spans="1:14" x14ac:dyDescent="0.2">
      <c r="A544" s="1993" t="str">
        <f>IF(B544="","",COUNTA($B$3:B544))</f>
        <v/>
      </c>
      <c r="B544" s="1994"/>
      <c r="C544" s="1994"/>
      <c r="D544" s="1763"/>
      <c r="E544" s="1763"/>
      <c r="F544" s="1764"/>
      <c r="G544" s="1764"/>
      <c r="H544" s="1926"/>
      <c r="J544"/>
      <c r="K544"/>
      <c r="L544"/>
      <c r="M544"/>
      <c r="N544"/>
    </row>
    <row r="545" spans="1:14" x14ac:dyDescent="0.2">
      <c r="A545" s="1993" t="str">
        <f>IF(B545="","",COUNTA($B$3:B545))</f>
        <v/>
      </c>
      <c r="B545" s="1994"/>
      <c r="C545" s="1994"/>
      <c r="D545" s="1763"/>
      <c r="E545" s="1763"/>
      <c r="F545" s="1764"/>
      <c r="G545" s="1764"/>
      <c r="H545" s="1926"/>
      <c r="J545"/>
      <c r="K545"/>
      <c r="L545"/>
      <c r="M545"/>
      <c r="N545"/>
    </row>
    <row r="546" spans="1:14" x14ac:dyDescent="0.2">
      <c r="A546" s="1993" t="str">
        <f>IF(B546="","",COUNTA($B$3:B546))</f>
        <v/>
      </c>
      <c r="B546" s="1994"/>
      <c r="C546" s="1994"/>
      <c r="D546" s="1763"/>
      <c r="E546" s="1763"/>
      <c r="F546" s="1764"/>
      <c r="G546" s="1764"/>
      <c r="H546" s="1926"/>
      <c r="J546"/>
      <c r="K546"/>
      <c r="L546"/>
      <c r="M546"/>
      <c r="N546"/>
    </row>
    <row r="547" spans="1:14" x14ac:dyDescent="0.2">
      <c r="A547" s="1993" t="str">
        <f>IF(B547="","",COUNTA($B$3:B547))</f>
        <v/>
      </c>
      <c r="B547" s="1994"/>
      <c r="C547" s="1994"/>
      <c r="D547" s="1763"/>
      <c r="E547" s="1763"/>
      <c r="F547" s="1764"/>
      <c r="G547" s="1764"/>
      <c r="H547" s="1926"/>
    </row>
    <row r="548" spans="1:14" x14ac:dyDescent="0.2">
      <c r="A548" s="1993" t="str">
        <f>IF(B548="","",COUNTA($B$3:B548))</f>
        <v/>
      </c>
      <c r="B548" s="1994"/>
      <c r="C548" s="1994"/>
      <c r="D548" s="1763"/>
      <c r="E548" s="1763"/>
      <c r="F548" s="1764"/>
      <c r="G548" s="1764"/>
      <c r="H548" s="1926"/>
    </row>
    <row r="549" spans="1:14" x14ac:dyDescent="0.2">
      <c r="A549" s="1993" t="str">
        <f>IF(B549="","",COUNTA($B$3:B549))</f>
        <v/>
      </c>
      <c r="B549" s="1994"/>
      <c r="C549" s="1994"/>
      <c r="D549" s="1763"/>
      <c r="E549" s="1763"/>
      <c r="F549" s="1764"/>
      <c r="G549" s="1764"/>
      <c r="H549" s="1926"/>
    </row>
    <row r="550" spans="1:14" x14ac:dyDescent="0.2">
      <c r="A550" s="1993" t="str">
        <f>IF(B550="","",COUNTA($B$3:B550))</f>
        <v/>
      </c>
      <c r="B550" s="1994"/>
      <c r="C550" s="1994"/>
      <c r="D550" s="1763"/>
      <c r="E550" s="1763"/>
      <c r="F550" s="1764"/>
      <c r="G550" s="1764"/>
      <c r="H550" s="1926"/>
    </row>
    <row r="551" spans="1:14" x14ac:dyDescent="0.2">
      <c r="A551" s="1993" t="str">
        <f>IF(B551="","",COUNTA($B$3:B551))</f>
        <v/>
      </c>
      <c r="B551" s="1994"/>
      <c r="C551" s="1994"/>
      <c r="D551" s="1763"/>
      <c r="E551" s="1763"/>
      <c r="F551" s="1764"/>
      <c r="G551" s="1764"/>
      <c r="H551" s="1926"/>
    </row>
    <row r="552" spans="1:14" x14ac:dyDescent="0.2">
      <c r="A552" s="1993" t="str">
        <f>IF(B552="","",COUNTA($B$3:B552))</f>
        <v/>
      </c>
      <c r="B552" s="1994"/>
      <c r="C552" s="1994"/>
      <c r="D552" s="1763"/>
      <c r="E552" s="1763"/>
      <c r="F552" s="1764"/>
      <c r="G552" s="1764"/>
      <c r="H552" s="1926"/>
    </row>
    <row r="553" spans="1:14" x14ac:dyDescent="0.2">
      <c r="A553" s="1993" t="str">
        <f>IF(B553="","",COUNTA($B$3:B553))</f>
        <v/>
      </c>
      <c r="B553" s="1994"/>
      <c r="C553" s="1994"/>
      <c r="D553" s="1763"/>
      <c r="E553" s="1763"/>
      <c r="F553" s="1764"/>
      <c r="G553" s="1764"/>
      <c r="H553" s="1926"/>
    </row>
    <row r="554" spans="1:14" x14ac:dyDescent="0.2">
      <c r="A554" s="1993" t="str">
        <f>IF(B554="","",COUNTA($B$3:B973))</f>
        <v/>
      </c>
      <c r="B554" s="1994"/>
      <c r="C554" s="1995"/>
      <c r="D554" s="1765"/>
      <c r="E554" s="1765"/>
      <c r="F554" s="1766"/>
      <c r="G554" s="1766"/>
      <c r="H554" s="1926"/>
    </row>
    <row r="555" spans="1:14" x14ac:dyDescent="0.2">
      <c r="A555" s="1993" t="str">
        <f>IF(B555="","",COUNTA($B$3:B555))</f>
        <v/>
      </c>
      <c r="B555" s="1994"/>
      <c r="C555" s="1994"/>
      <c r="D555" s="1763"/>
      <c r="E555" s="1763"/>
      <c r="F555" s="1764"/>
      <c r="G555" s="1764"/>
      <c r="H555" s="1926"/>
    </row>
    <row r="556" spans="1:14" x14ac:dyDescent="0.2">
      <c r="A556" s="1993" t="str">
        <f>IF(B556="","",COUNTA($B$3:B556))</f>
        <v/>
      </c>
      <c r="B556" s="1994"/>
      <c r="C556" s="1994"/>
      <c r="D556" s="1763"/>
      <c r="E556" s="1763"/>
      <c r="F556" s="1764"/>
      <c r="G556" s="1764"/>
      <c r="H556" s="1926"/>
    </row>
    <row r="557" spans="1:14" x14ac:dyDescent="0.2">
      <c r="A557" s="1993" t="str">
        <f>IF(B557="","",COUNTA($B$3:B557))</f>
        <v/>
      </c>
      <c r="B557" s="1994"/>
      <c r="C557" s="1994"/>
      <c r="D557" s="1763"/>
      <c r="E557" s="1763"/>
      <c r="F557" s="1764"/>
      <c r="G557" s="1764"/>
      <c r="H557" s="1926"/>
    </row>
    <row r="558" spans="1:14" x14ac:dyDescent="0.2">
      <c r="A558" s="1993" t="str">
        <f>IF(B558="","",COUNTA($B$3:B558))</f>
        <v/>
      </c>
      <c r="B558" s="1994"/>
      <c r="C558" s="1994"/>
      <c r="D558" s="1763"/>
      <c r="E558" s="1763"/>
      <c r="F558" s="1764"/>
      <c r="G558" s="1764"/>
      <c r="H558" s="1926"/>
    </row>
    <row r="559" spans="1:14" x14ac:dyDescent="0.2">
      <c r="A559" s="1993" t="str">
        <f>IF(B559="","",COUNTA($B$3:B559))</f>
        <v/>
      </c>
      <c r="B559" s="1994"/>
      <c r="C559" s="1994"/>
      <c r="D559" s="1763"/>
      <c r="E559" s="1763"/>
      <c r="F559" s="1764"/>
      <c r="G559" s="1764"/>
      <c r="H559" s="1926"/>
    </row>
    <row r="560" spans="1:14" x14ac:dyDescent="0.2">
      <c r="A560" s="1993" t="str">
        <f>IF(B560="","",COUNTA($B$3:B560))</f>
        <v/>
      </c>
      <c r="B560" s="1994"/>
      <c r="C560" s="1994"/>
      <c r="D560" s="1763"/>
      <c r="E560" s="1763"/>
      <c r="F560" s="1764"/>
      <c r="G560" s="1764"/>
      <c r="H560" s="1926"/>
    </row>
    <row r="561" spans="1:8" x14ac:dyDescent="0.2">
      <c r="A561" s="1993" t="str">
        <f>IF(B561="","",COUNTA($B$3:B561))</f>
        <v/>
      </c>
      <c r="B561" s="1994"/>
      <c r="C561" s="1994"/>
      <c r="D561" s="1763"/>
      <c r="E561" s="1763"/>
      <c r="F561" s="1764"/>
      <c r="G561" s="1764"/>
      <c r="H561" s="1926"/>
    </row>
    <row r="562" spans="1:8" x14ac:dyDescent="0.2">
      <c r="A562" s="1993" t="str">
        <f>IF(B562="","",COUNTA($B$3:B562))</f>
        <v/>
      </c>
      <c r="B562" s="1994"/>
      <c r="C562" s="1994"/>
      <c r="D562" s="1763"/>
      <c r="E562" s="1763"/>
      <c r="F562" s="1764"/>
      <c r="G562" s="1764"/>
      <c r="H562" s="1926"/>
    </row>
    <row r="563" spans="1:8" x14ac:dyDescent="0.2">
      <c r="A563" s="1993" t="str">
        <f>IF(B563="","",COUNTA($B$3:B563))</f>
        <v/>
      </c>
      <c r="B563" s="1994"/>
      <c r="C563" s="1994"/>
      <c r="D563" s="1763"/>
      <c r="E563" s="1763"/>
      <c r="F563" s="1764"/>
      <c r="G563" s="1764"/>
      <c r="H563" s="1926"/>
    </row>
    <row r="564" spans="1:8" x14ac:dyDescent="0.2">
      <c r="A564" s="1993" t="str">
        <f>IF(B564="","",COUNTA($B$3:B564))</f>
        <v/>
      </c>
      <c r="B564" s="1994"/>
      <c r="C564" s="1994"/>
      <c r="D564" s="1763"/>
      <c r="E564" s="1763"/>
      <c r="F564" s="1764"/>
      <c r="G564" s="1764"/>
      <c r="H564" s="1926"/>
    </row>
    <row r="565" spans="1:8" x14ac:dyDescent="0.2">
      <c r="A565" s="1993" t="str">
        <f>IF(B565="","",COUNTA($B$3:B565))</f>
        <v/>
      </c>
      <c r="B565" s="1994"/>
      <c r="C565" s="1994"/>
      <c r="D565" s="1763"/>
      <c r="E565" s="1763"/>
      <c r="F565" s="1764"/>
      <c r="G565" s="1764"/>
      <c r="H565" s="1926"/>
    </row>
    <row r="566" spans="1:8" x14ac:dyDescent="0.2">
      <c r="A566" s="1993" t="str">
        <f>IF(B566="","",COUNTA($B$3:B566))</f>
        <v/>
      </c>
      <c r="B566" s="1994"/>
      <c r="C566" s="1994"/>
      <c r="D566" s="1763"/>
      <c r="E566" s="1763"/>
      <c r="F566" s="1764"/>
      <c r="G566" s="1764"/>
      <c r="H566" s="1926"/>
    </row>
    <row r="567" spans="1:8" x14ac:dyDescent="0.2">
      <c r="A567" s="1993" t="str">
        <f>IF(B567="","",COUNTA($B$3:B567))</f>
        <v/>
      </c>
      <c r="B567" s="1994"/>
      <c r="C567" s="1994"/>
      <c r="D567" s="1763"/>
      <c r="E567" s="1763"/>
      <c r="F567" s="1764"/>
      <c r="G567" s="1764"/>
      <c r="H567" s="1926"/>
    </row>
    <row r="568" spans="1:8" x14ac:dyDescent="0.2">
      <c r="A568" s="1993" t="str">
        <f>IF(B568="","",COUNTA($B$3:B568))</f>
        <v/>
      </c>
      <c r="B568" s="1994"/>
      <c r="C568" s="1994"/>
      <c r="D568" s="1763"/>
      <c r="E568" s="1763"/>
      <c r="F568" s="1764"/>
      <c r="G568" s="1764"/>
      <c r="H568" s="1926"/>
    </row>
    <row r="569" spans="1:8" x14ac:dyDescent="0.2">
      <c r="A569" s="1993" t="str">
        <f>IF(B569="","",COUNTA($B$3:B569))</f>
        <v/>
      </c>
      <c r="B569" s="1994"/>
      <c r="C569" s="1994"/>
      <c r="D569" s="1763"/>
      <c r="E569" s="1763"/>
      <c r="F569" s="1764"/>
      <c r="G569" s="1764"/>
      <c r="H569" s="1926"/>
    </row>
    <row r="570" spans="1:8" x14ac:dyDescent="0.2">
      <c r="A570" s="1993" t="str">
        <f>IF(B570="","",COUNTA($B$3:B570))</f>
        <v/>
      </c>
      <c r="B570" s="1994"/>
      <c r="C570" s="1994"/>
      <c r="D570" s="1763"/>
      <c r="E570" s="1763"/>
      <c r="F570" s="1764"/>
      <c r="G570" s="1764"/>
      <c r="H570" s="1926"/>
    </row>
    <row r="571" spans="1:8" x14ac:dyDescent="0.2">
      <c r="A571" s="1993" t="str">
        <f>IF(B571="","",COUNTA($B$3:B571))</f>
        <v/>
      </c>
      <c r="B571" s="1994"/>
      <c r="C571" s="1994"/>
      <c r="D571" s="1763"/>
      <c r="E571" s="1763"/>
      <c r="F571" s="1764"/>
      <c r="G571" s="1764"/>
      <c r="H571" s="1926"/>
    </row>
    <row r="572" spans="1:8" x14ac:dyDescent="0.2">
      <c r="A572" s="1993" t="str">
        <f>IF(B572="","",COUNTA($B$3:B572))</f>
        <v/>
      </c>
      <c r="B572" s="1994"/>
      <c r="C572" s="1994"/>
      <c r="D572" s="1763"/>
      <c r="E572" s="1763"/>
      <c r="F572" s="1764"/>
      <c r="G572" s="1764"/>
      <c r="H572" s="1926"/>
    </row>
    <row r="573" spans="1:8" x14ac:dyDescent="0.2">
      <c r="A573" s="1993" t="str">
        <f>IF(B573="","",COUNTA($B$3:B573))</f>
        <v/>
      </c>
      <c r="B573" s="1994"/>
      <c r="C573" s="1994"/>
      <c r="D573" s="1763"/>
      <c r="E573" s="1763"/>
      <c r="F573" s="1764"/>
      <c r="G573" s="1764"/>
      <c r="H573" s="1926"/>
    </row>
    <row r="574" spans="1:8" x14ac:dyDescent="0.2">
      <c r="A574" s="1993" t="str">
        <f>IF(B574="","",COUNTA($B$3:B574))</f>
        <v/>
      </c>
      <c r="B574" s="1994"/>
      <c r="C574" s="1994"/>
      <c r="D574" s="1763"/>
      <c r="E574" s="1763"/>
      <c r="F574" s="1764"/>
      <c r="G574" s="1764"/>
      <c r="H574" s="1926"/>
    </row>
    <row r="575" spans="1:8" x14ac:dyDescent="0.2">
      <c r="A575" s="1993" t="str">
        <f>IF(B575="","",COUNTA($B$3:B575))</f>
        <v/>
      </c>
      <c r="B575" s="1994"/>
      <c r="C575" s="1994"/>
      <c r="D575" s="1763"/>
      <c r="E575" s="1763"/>
      <c r="F575" s="1766"/>
      <c r="G575" s="1764"/>
      <c r="H575" s="1926"/>
    </row>
    <row r="576" spans="1:8" x14ac:dyDescent="0.2">
      <c r="A576" s="1993" t="str">
        <f>IF(B576="","",COUNTA($B$3:B576))</f>
        <v/>
      </c>
      <c r="B576" s="1994"/>
      <c r="C576" s="1994"/>
      <c r="D576" s="1763"/>
      <c r="E576" s="1763"/>
      <c r="F576" s="1764"/>
      <c r="G576" s="1764"/>
      <c r="H576" s="1926"/>
    </row>
    <row r="577" spans="1:8" x14ac:dyDescent="0.2">
      <c r="A577" s="1993" t="str">
        <f>IF(B577="","",COUNTA($B$3:B577))</f>
        <v/>
      </c>
      <c r="B577" s="1994"/>
      <c r="C577" s="1994"/>
      <c r="D577" s="1763"/>
      <c r="E577" s="1763"/>
      <c r="F577" s="1764"/>
      <c r="G577" s="1764"/>
      <c r="H577" s="1926"/>
    </row>
    <row r="578" spans="1:8" x14ac:dyDescent="0.2">
      <c r="A578" s="2026" t="str">
        <f>IF(B578="","",COUNTA($B$3:B973))</f>
        <v/>
      </c>
      <c r="B578" s="1994"/>
      <c r="C578" s="1995"/>
      <c r="D578" s="1765"/>
      <c r="E578" s="1763"/>
      <c r="F578" s="1764"/>
      <c r="G578" s="1764"/>
      <c r="H578" s="2027"/>
    </row>
    <row r="579" spans="1:8" x14ac:dyDescent="0.2">
      <c r="A579" s="1993" t="str">
        <f>IF(B579="","",COUNTA($B$3:B579))</f>
        <v/>
      </c>
      <c r="B579" s="1994"/>
      <c r="C579" s="1994"/>
      <c r="D579" s="1763"/>
      <c r="E579" s="1763"/>
      <c r="F579" s="1764"/>
      <c r="G579" s="1764"/>
      <c r="H579" s="1926"/>
    </row>
    <row r="580" spans="1:8" x14ac:dyDescent="0.2">
      <c r="A580" s="1993" t="str">
        <f>IF(B580="","",COUNTA($B$3:B580))</f>
        <v/>
      </c>
      <c r="B580" s="1994"/>
      <c r="C580" s="1994"/>
      <c r="D580" s="1763"/>
      <c r="E580" s="1763"/>
      <c r="F580" s="1764"/>
      <c r="G580" s="1764"/>
      <c r="H580" s="1926"/>
    </row>
    <row r="581" spans="1:8" x14ac:dyDescent="0.2">
      <c r="A581" s="1993" t="str">
        <f>IF(B581="","",COUNTA($B$3:B973))</f>
        <v/>
      </c>
      <c r="B581" s="1994"/>
      <c r="C581" s="1994"/>
      <c r="D581" s="1763"/>
      <c r="E581" s="1763"/>
      <c r="F581" s="1764"/>
      <c r="G581" s="1764"/>
      <c r="H581" s="1926"/>
    </row>
    <row r="582" spans="1:8" x14ac:dyDescent="0.2">
      <c r="A582" s="1993" t="str">
        <f>IF(B582="","",COUNTA($B$3:B582))</f>
        <v/>
      </c>
      <c r="B582" s="1994"/>
      <c r="C582" s="1994"/>
      <c r="D582" s="1763"/>
      <c r="E582" s="1763"/>
      <c r="F582" s="1764"/>
      <c r="G582" s="1764"/>
      <c r="H582" s="1926"/>
    </row>
    <row r="583" spans="1:8" x14ac:dyDescent="0.2">
      <c r="A583" s="1993" t="str">
        <f>IF(B583="","",COUNTA($B$3:B583))</f>
        <v/>
      </c>
      <c r="B583" s="1994"/>
      <c r="C583" s="1994"/>
      <c r="D583" s="1763"/>
      <c r="E583" s="1763"/>
      <c r="F583" s="1764"/>
      <c r="G583" s="1764"/>
      <c r="H583" s="1926"/>
    </row>
    <row r="584" spans="1:8" x14ac:dyDescent="0.2">
      <c r="A584" s="1993" t="str">
        <f>IF(B584="","",COUNTA($B$3:B584))</f>
        <v/>
      </c>
      <c r="B584" s="1994"/>
      <c r="C584" s="1994"/>
      <c r="D584" s="1763"/>
      <c r="E584" s="1763"/>
      <c r="F584" s="1764"/>
      <c r="G584" s="1764"/>
      <c r="H584" s="1926"/>
    </row>
    <row r="585" spans="1:8" x14ac:dyDescent="0.2">
      <c r="A585" s="1993" t="str">
        <f>IF(B585="","",COUNTA($B$3:B585))</f>
        <v/>
      </c>
      <c r="B585" s="1994"/>
      <c r="C585" s="1994"/>
      <c r="D585" s="1763"/>
      <c r="E585" s="1763"/>
      <c r="F585" s="1764"/>
      <c r="G585" s="1764"/>
      <c r="H585" s="1926"/>
    </row>
    <row r="586" spans="1:8" x14ac:dyDescent="0.2">
      <c r="A586" s="1993" t="str">
        <f>IF(B586="","",COUNTA($B$3:B586))</f>
        <v/>
      </c>
      <c r="B586" s="1994"/>
      <c r="C586" s="1994"/>
      <c r="D586" s="1763"/>
      <c r="E586" s="1763"/>
      <c r="F586" s="1764"/>
      <c r="G586" s="1764"/>
      <c r="H586" s="1926"/>
    </row>
    <row r="587" spans="1:8" x14ac:dyDescent="0.2">
      <c r="A587" s="1993" t="str">
        <f>IF(B587="","",COUNTA($B$3:B587))</f>
        <v/>
      </c>
      <c r="B587" s="1994"/>
      <c r="C587" s="1994"/>
      <c r="D587" s="1763"/>
      <c r="E587" s="1763"/>
      <c r="F587" s="1764"/>
      <c r="G587" s="1764"/>
      <c r="H587" s="1926"/>
    </row>
    <row r="588" spans="1:8" x14ac:dyDescent="0.2">
      <c r="A588" s="1993" t="str">
        <f>IF(B588="","",COUNTA($B$3:B588))</f>
        <v/>
      </c>
      <c r="B588" s="1994"/>
      <c r="C588" s="1994"/>
      <c r="D588" s="1763"/>
      <c r="E588" s="1763"/>
      <c r="F588" s="1764"/>
      <c r="G588" s="1764"/>
      <c r="H588" s="1926"/>
    </row>
    <row r="589" spans="1:8" x14ac:dyDescent="0.2">
      <c r="A589" s="1993" t="str">
        <f>IF(B589="","",COUNTA($B$3:B589))</f>
        <v/>
      </c>
      <c r="B589" s="1994"/>
      <c r="C589" s="1994"/>
      <c r="D589" s="1763"/>
      <c r="E589" s="1763"/>
      <c r="F589" s="1764"/>
      <c r="G589" s="1764"/>
      <c r="H589" s="1926"/>
    </row>
    <row r="590" spans="1:8" x14ac:dyDescent="0.2">
      <c r="A590" s="1993" t="str">
        <f>IF(B590="","",COUNTA($B$3:B590))</f>
        <v/>
      </c>
      <c r="B590" s="1994"/>
      <c r="C590" s="1994"/>
      <c r="D590" s="1763"/>
      <c r="E590" s="1763"/>
      <c r="F590" s="1764"/>
      <c r="G590" s="1764"/>
      <c r="H590" s="1926"/>
    </row>
    <row r="591" spans="1:8" x14ac:dyDescent="0.2">
      <c r="A591" s="1993" t="str">
        <f>IF(B591="","",COUNTA($B$3:B591))</f>
        <v/>
      </c>
      <c r="B591" s="1994"/>
      <c r="C591" s="1994"/>
      <c r="D591" s="1763"/>
      <c r="E591" s="1763"/>
      <c r="F591" s="1764"/>
      <c r="G591" s="1764"/>
      <c r="H591" s="1926"/>
    </row>
    <row r="592" spans="1:8" x14ac:dyDescent="0.2">
      <c r="A592" s="1993" t="str">
        <f>IF(B592="","",COUNTA($B$3:B592))</f>
        <v/>
      </c>
      <c r="B592" s="1994"/>
      <c r="C592" s="1994"/>
      <c r="D592" s="1763"/>
      <c r="E592" s="1763"/>
      <c r="F592" s="1764"/>
      <c r="G592" s="1764"/>
      <c r="H592" s="1926"/>
    </row>
    <row r="593" spans="1:8" x14ac:dyDescent="0.2">
      <c r="A593" s="1993" t="str">
        <f>IF(B593="","",COUNTA($B$3:B593))</f>
        <v/>
      </c>
      <c r="B593" s="1994"/>
      <c r="C593" s="1994"/>
      <c r="D593" s="1763"/>
      <c r="E593" s="1763"/>
      <c r="F593" s="1764"/>
      <c r="G593" s="1764"/>
      <c r="H593" s="1926"/>
    </row>
    <row r="594" spans="1:8" x14ac:dyDescent="0.2">
      <c r="A594" s="1993" t="str">
        <f>IF(B594="","",COUNTA($B$3:B594))</f>
        <v/>
      </c>
      <c r="B594" s="1994"/>
      <c r="C594" s="1994"/>
      <c r="D594" s="1763"/>
      <c r="E594" s="1763"/>
      <c r="F594" s="1764"/>
      <c r="G594" s="1764"/>
      <c r="H594" s="1926"/>
    </row>
    <row r="595" spans="1:8" x14ac:dyDescent="0.2">
      <c r="A595" s="1993" t="str">
        <f>IF(B595="","",COUNTA($B$3:B595))</f>
        <v/>
      </c>
      <c r="B595" s="1994"/>
      <c r="C595" s="1994"/>
      <c r="D595" s="1763"/>
      <c r="E595" s="1763"/>
      <c r="F595" s="1764"/>
      <c r="G595" s="1764"/>
      <c r="H595" s="1926"/>
    </row>
    <row r="596" spans="1:8" x14ac:dyDescent="0.2">
      <c r="A596" s="2026" t="str">
        <f>IF(B596="","",COUNTA($B$3:B973))</f>
        <v/>
      </c>
      <c r="B596" s="1994"/>
      <c r="C596" s="1995"/>
      <c r="D596" s="1765"/>
      <c r="E596" s="1765"/>
      <c r="F596" s="1764"/>
      <c r="G596" s="1766"/>
      <c r="H596" s="2027"/>
    </row>
    <row r="597" spans="1:8" x14ac:dyDescent="0.2">
      <c r="A597" s="1993" t="str">
        <f>IF(B597="","",COUNTA($B$3:B597))</f>
        <v/>
      </c>
      <c r="B597" s="1994"/>
      <c r="C597" s="1994"/>
      <c r="D597" s="1763"/>
      <c r="E597" s="1763"/>
      <c r="F597" s="1764"/>
      <c r="G597" s="1764"/>
      <c r="H597" s="1926"/>
    </row>
    <row r="598" spans="1:8" x14ac:dyDescent="0.2">
      <c r="A598" s="1993" t="str">
        <f>IF(B598="","",COUNTA($B$3:B598))</f>
        <v/>
      </c>
      <c r="B598" s="1994"/>
      <c r="C598" s="1994"/>
      <c r="D598" s="1763"/>
      <c r="E598" s="1763"/>
      <c r="F598" s="1764"/>
      <c r="G598" s="1764"/>
      <c r="H598" s="1926"/>
    </row>
    <row r="599" spans="1:8" x14ac:dyDescent="0.2">
      <c r="A599" s="1993" t="str">
        <f>IF(B599="","",COUNTA($B$3:B599))</f>
        <v/>
      </c>
      <c r="B599" s="1994"/>
      <c r="C599" s="1994"/>
      <c r="D599" s="1763"/>
      <c r="E599" s="1763"/>
      <c r="F599" s="1764"/>
      <c r="G599" s="1764"/>
      <c r="H599" s="1926"/>
    </row>
    <row r="600" spans="1:8" x14ac:dyDescent="0.2">
      <c r="A600" s="1993" t="str">
        <f>IF(B600="","",COUNTA($B$3:B600))</f>
        <v/>
      </c>
      <c r="B600" s="1994"/>
      <c r="C600" s="1994"/>
      <c r="D600" s="1763"/>
      <c r="E600" s="1763"/>
      <c r="F600" s="1764"/>
      <c r="G600" s="1764"/>
      <c r="H600" s="1926"/>
    </row>
    <row r="601" spans="1:8" x14ac:dyDescent="0.2">
      <c r="A601" s="1993" t="str">
        <f>IF(B601="","",COUNTA($B$3:B601))</f>
        <v/>
      </c>
      <c r="B601" s="1994"/>
      <c r="C601" s="1994"/>
      <c r="D601" s="1763"/>
      <c r="E601" s="1763"/>
      <c r="F601" s="1764"/>
      <c r="G601" s="1764"/>
      <c r="H601" s="1926"/>
    </row>
    <row r="602" spans="1:8" x14ac:dyDescent="0.2">
      <c r="A602" s="1993" t="str">
        <f>IF(B602="","",COUNTA($B$3:B602))</f>
        <v/>
      </c>
      <c r="B602" s="1994"/>
      <c r="C602" s="1994"/>
      <c r="D602" s="1763"/>
      <c r="E602" s="1763"/>
      <c r="F602" s="1764"/>
      <c r="G602" s="1764"/>
      <c r="H602" s="1926"/>
    </row>
    <row r="603" spans="1:8" x14ac:dyDescent="0.2">
      <c r="A603" s="1993" t="str">
        <f>IF(B603="","",COUNTA($B$3:B603))</f>
        <v/>
      </c>
      <c r="B603" s="1994"/>
      <c r="C603" s="1994"/>
      <c r="D603" s="1763"/>
      <c r="E603" s="1763"/>
      <c r="F603" s="1764"/>
      <c r="G603" s="1764"/>
      <c r="H603" s="1926"/>
    </row>
    <row r="604" spans="1:8" x14ac:dyDescent="0.2">
      <c r="A604" s="1993" t="str">
        <f>IF(B604="","",COUNTA($B$3:B604))</f>
        <v/>
      </c>
      <c r="B604" s="1994"/>
      <c r="C604" s="1994"/>
      <c r="D604" s="1763"/>
      <c r="E604" s="1763"/>
      <c r="F604" s="1764"/>
      <c r="G604" s="1764"/>
      <c r="H604" s="1926"/>
    </row>
    <row r="605" spans="1:8" x14ac:dyDescent="0.2">
      <c r="A605" s="1993" t="str">
        <f>IF(B605="","",COUNTA($B$3:B605))</f>
        <v/>
      </c>
      <c r="B605" s="1994"/>
      <c r="C605" s="1994"/>
      <c r="D605" s="1763"/>
      <c r="E605" s="1763"/>
      <c r="F605" s="1764"/>
      <c r="G605" s="1764"/>
      <c r="H605" s="1926"/>
    </row>
    <row r="606" spans="1:8" x14ac:dyDescent="0.2">
      <c r="A606" s="1993" t="str">
        <f>IF(B606="","",COUNTA($B$3:B606))</f>
        <v/>
      </c>
      <c r="B606" s="1994"/>
      <c r="C606" s="1994"/>
      <c r="D606" s="1763"/>
      <c r="E606" s="1763"/>
      <c r="F606" s="1764"/>
      <c r="G606" s="1764"/>
      <c r="H606" s="1926"/>
    </row>
    <row r="607" spans="1:8" x14ac:dyDescent="0.2">
      <c r="A607" s="1993" t="str">
        <f>IF(B607="","",COUNTA($B$3:B607))</f>
        <v/>
      </c>
      <c r="B607" s="1994"/>
      <c r="C607" s="1994"/>
      <c r="D607" s="1763"/>
      <c r="E607" s="1763"/>
      <c r="F607" s="1764"/>
      <c r="G607" s="1764"/>
      <c r="H607" s="1926"/>
    </row>
    <row r="608" spans="1:8" x14ac:dyDescent="0.2">
      <c r="A608" s="2026" t="str">
        <f>IF(B608="","",COUNTA($B$3:B973))</f>
        <v/>
      </c>
      <c r="B608" s="1994"/>
      <c r="C608" s="1995"/>
      <c r="D608" s="1765"/>
      <c r="E608" s="1765"/>
      <c r="F608" s="1766"/>
      <c r="G608" s="1766"/>
      <c r="H608" s="2027"/>
    </row>
    <row r="609" spans="1:8" x14ac:dyDescent="0.2">
      <c r="A609" s="1993" t="str">
        <f>IF(B609="","",COUNTA($B$3:B609))</f>
        <v/>
      </c>
      <c r="B609" s="1994"/>
      <c r="C609" s="1994"/>
      <c r="D609" s="1763"/>
      <c r="E609" s="1763"/>
      <c r="F609" s="1764"/>
      <c r="G609" s="1764"/>
      <c r="H609" s="1926"/>
    </row>
    <row r="610" spans="1:8" x14ac:dyDescent="0.2">
      <c r="A610" s="1993" t="str">
        <f>IF(B610="","",COUNTA($B$3:B610))</f>
        <v/>
      </c>
      <c r="B610" s="1994"/>
      <c r="C610" s="1994"/>
      <c r="D610" s="1763"/>
      <c r="E610" s="1763"/>
      <c r="F610" s="1764"/>
      <c r="G610" s="1764"/>
      <c r="H610" s="1926"/>
    </row>
    <row r="611" spans="1:8" x14ac:dyDescent="0.2">
      <c r="A611" s="1993" t="str">
        <f>IF(B611="","",COUNTA($B$3:B611))</f>
        <v/>
      </c>
      <c r="B611" s="1994"/>
      <c r="C611" s="1994"/>
      <c r="D611" s="1763"/>
      <c r="E611" s="1763"/>
      <c r="F611" s="1764"/>
      <c r="G611" s="1764"/>
      <c r="H611" s="1926"/>
    </row>
    <row r="612" spans="1:8" x14ac:dyDescent="0.2">
      <c r="A612" s="1993" t="str">
        <f>IF(B612="","",COUNTA($B$3:B612))</f>
        <v/>
      </c>
      <c r="B612" s="1994"/>
      <c r="C612" s="1994"/>
      <c r="D612" s="1763"/>
      <c r="E612" s="1763"/>
      <c r="F612" s="1764"/>
      <c r="G612" s="1764"/>
      <c r="H612" s="1926"/>
    </row>
    <row r="613" spans="1:8" x14ac:dyDescent="0.2">
      <c r="A613" s="1993" t="str">
        <f>IF(B613="","",COUNTA($B$3:B613))</f>
        <v/>
      </c>
      <c r="B613" s="1994"/>
      <c r="C613" s="1994"/>
      <c r="D613" s="1763"/>
      <c r="E613" s="1763"/>
      <c r="F613" s="1764"/>
      <c r="G613" s="1764"/>
      <c r="H613" s="1926"/>
    </row>
    <row r="614" spans="1:8" x14ac:dyDescent="0.2">
      <c r="A614" s="1993" t="str">
        <f>IF(B614="","",COUNTA($B$3:B614))</f>
        <v/>
      </c>
      <c r="B614" s="1994"/>
      <c r="C614" s="1994"/>
      <c r="D614" s="1763"/>
      <c r="E614" s="1763"/>
      <c r="F614" s="1764"/>
      <c r="G614" s="1764"/>
      <c r="H614" s="1926"/>
    </row>
    <row r="615" spans="1:8" x14ac:dyDescent="0.2">
      <c r="A615" s="1993" t="str">
        <f>IF(B615="","",COUNTA($B$3:B615))</f>
        <v/>
      </c>
      <c r="B615" s="1994"/>
      <c r="C615" s="1994"/>
      <c r="D615" s="1763"/>
      <c r="E615" s="1763"/>
      <c r="F615" s="1764"/>
      <c r="G615" s="1764"/>
      <c r="H615" s="1926"/>
    </row>
    <row r="616" spans="1:8" x14ac:dyDescent="0.2">
      <c r="A616" s="1993" t="str">
        <f>IF(B616="","",COUNTA($B$3:B616))</f>
        <v/>
      </c>
      <c r="B616" s="1994"/>
      <c r="C616" s="1994"/>
      <c r="D616" s="1763"/>
      <c r="E616" s="1763"/>
      <c r="F616" s="1764"/>
      <c r="G616" s="1764"/>
      <c r="H616" s="1926"/>
    </row>
    <row r="617" spans="1:8" x14ac:dyDescent="0.2">
      <c r="A617" s="1993" t="str">
        <f>IF(B617="","",COUNTA($B$3:B617))</f>
        <v/>
      </c>
      <c r="B617" s="1994"/>
      <c r="C617" s="1994"/>
      <c r="D617" s="1763"/>
      <c r="E617" s="1763"/>
      <c r="F617" s="1764"/>
      <c r="G617" s="1764"/>
      <c r="H617" s="1926"/>
    </row>
    <row r="618" spans="1:8" x14ac:dyDescent="0.2">
      <c r="A618" s="1993" t="str">
        <f>IF(B618="","",COUNTA($B$3:B618))</f>
        <v/>
      </c>
      <c r="B618" s="1994"/>
      <c r="C618" s="1994"/>
      <c r="D618" s="1763"/>
      <c r="E618" s="1763"/>
      <c r="F618" s="1764"/>
      <c r="G618" s="1764"/>
      <c r="H618" s="1926"/>
    </row>
    <row r="619" spans="1:8" x14ac:dyDescent="0.2">
      <c r="A619" s="1993" t="str">
        <f>IF(B619="","",COUNTA($B$3:B619))</f>
        <v/>
      </c>
      <c r="B619" s="1994"/>
      <c r="C619" s="1994"/>
      <c r="D619" s="1763"/>
      <c r="E619" s="1763"/>
      <c r="F619" s="1764"/>
      <c r="G619" s="1764"/>
      <c r="H619" s="1926"/>
    </row>
    <row r="620" spans="1:8" x14ac:dyDescent="0.2">
      <c r="A620" s="1993" t="str">
        <f>IF(B620="","",COUNTA($B$3:B620))</f>
        <v/>
      </c>
      <c r="B620" s="1994"/>
      <c r="C620" s="1994"/>
      <c r="D620" s="1763"/>
      <c r="E620" s="1763"/>
      <c r="F620" s="1764"/>
      <c r="G620" s="1764"/>
      <c r="H620" s="1926"/>
    </row>
    <row r="621" spans="1:8" x14ac:dyDescent="0.2">
      <c r="A621" s="1993" t="str">
        <f>IF(B621="","",COUNTA($B$3:B621))</f>
        <v/>
      </c>
      <c r="B621" s="1994"/>
      <c r="C621" s="1994"/>
      <c r="D621" s="1763"/>
      <c r="E621" s="1763"/>
      <c r="F621" s="1764"/>
      <c r="G621" s="1764"/>
      <c r="H621" s="1926"/>
    </row>
    <row r="622" spans="1:8" x14ac:dyDescent="0.2">
      <c r="A622" s="1993" t="str">
        <f>IF(B622="","",COUNTA($B$3:B622))</f>
        <v/>
      </c>
      <c r="B622" s="1994"/>
      <c r="C622" s="1994"/>
      <c r="D622" s="1763"/>
      <c r="E622" s="1763"/>
      <c r="F622" s="1764"/>
      <c r="G622" s="1764"/>
      <c r="H622" s="1926"/>
    </row>
    <row r="623" spans="1:8" x14ac:dyDescent="0.2">
      <c r="A623" s="2026" t="str">
        <f>IF(B623="","",COUNTA($B$3:B973))</f>
        <v/>
      </c>
      <c r="B623" s="1994"/>
      <c r="C623" s="1995"/>
      <c r="D623" s="1765"/>
      <c r="E623" s="1765"/>
      <c r="F623" s="1766"/>
      <c r="G623" s="1766"/>
      <c r="H623" s="2027"/>
    </row>
    <row r="624" spans="1:8" x14ac:dyDescent="0.2">
      <c r="A624" s="1993" t="str">
        <f>IF(B624="","",COUNTA($B$3:B624))</f>
        <v/>
      </c>
      <c r="B624" s="1994"/>
      <c r="C624" s="1994"/>
      <c r="D624" s="1763"/>
      <c r="E624" s="1763"/>
      <c r="F624" s="1764"/>
      <c r="G624" s="1764"/>
      <c r="H624" s="1926"/>
    </row>
    <row r="625" spans="1:8" x14ac:dyDescent="0.2">
      <c r="A625" s="1993" t="str">
        <f>IF(B625="","",COUNTA($B$3:B625))</f>
        <v/>
      </c>
      <c r="B625" s="1994"/>
      <c r="C625" s="1994"/>
      <c r="D625" s="1763"/>
      <c r="E625" s="1763"/>
      <c r="F625" s="1764"/>
      <c r="G625" s="1764"/>
      <c r="H625" s="1926"/>
    </row>
    <row r="626" spans="1:8" x14ac:dyDescent="0.2">
      <c r="A626" s="1993" t="str">
        <f>IF(B626="","",COUNTA($B$3:B626))</f>
        <v/>
      </c>
      <c r="B626" s="1994"/>
      <c r="C626" s="1994"/>
      <c r="D626" s="1763"/>
      <c r="E626" s="1763"/>
      <c r="F626" s="1764"/>
      <c r="G626" s="1764"/>
      <c r="H626" s="1926"/>
    </row>
    <row r="627" spans="1:8" x14ac:dyDescent="0.2">
      <c r="A627" s="1993" t="str">
        <f>IF(B627="","",COUNTA($B$3:B627))</f>
        <v/>
      </c>
      <c r="B627" s="1994"/>
      <c r="C627" s="1994"/>
      <c r="D627" s="1763"/>
      <c r="E627" s="1763"/>
      <c r="F627" s="1764"/>
      <c r="G627" s="1764"/>
      <c r="H627" s="1926"/>
    </row>
    <row r="628" spans="1:8" x14ac:dyDescent="0.2">
      <c r="A628" s="1993" t="str">
        <f>IF(B628="","",COUNTA($B$3:B628))</f>
        <v/>
      </c>
      <c r="B628" s="1994"/>
      <c r="C628" s="1994"/>
      <c r="D628" s="1763"/>
      <c r="E628" s="1763"/>
      <c r="F628" s="1764"/>
      <c r="G628" s="1764"/>
      <c r="H628" s="1926"/>
    </row>
    <row r="629" spans="1:8" x14ac:dyDescent="0.2">
      <c r="A629" s="1993" t="str">
        <f>IF(B629="","",COUNTA($B$3:B629))</f>
        <v/>
      </c>
      <c r="B629" s="1994"/>
      <c r="C629" s="1994"/>
      <c r="D629" s="1763"/>
      <c r="E629" s="1763"/>
      <c r="F629" s="1764"/>
      <c r="G629" s="1764"/>
      <c r="H629" s="1926"/>
    </row>
    <row r="630" spans="1:8" x14ac:dyDescent="0.2">
      <c r="A630" s="1993" t="str">
        <f>IF(B630="","",COUNTA($B$3:B630))</f>
        <v/>
      </c>
      <c r="B630" s="1994"/>
      <c r="C630" s="1994"/>
      <c r="D630" s="1763"/>
      <c r="E630" s="1763"/>
      <c r="F630" s="1764"/>
      <c r="G630" s="1764"/>
      <c r="H630" s="1926"/>
    </row>
    <row r="631" spans="1:8" x14ac:dyDescent="0.2">
      <c r="A631" s="1993" t="str">
        <f>IF(B631="","",COUNTA($B$3:B631))</f>
        <v/>
      </c>
      <c r="B631" s="1994"/>
      <c r="C631" s="1994"/>
      <c r="D631" s="1763"/>
      <c r="E631" s="1763"/>
      <c r="F631" s="1764"/>
      <c r="G631" s="1764"/>
      <c r="H631" s="1926"/>
    </row>
    <row r="632" spans="1:8" x14ac:dyDescent="0.2">
      <c r="A632" s="1993" t="str">
        <f>IF(B632="","",COUNTA($B$3:B632))</f>
        <v/>
      </c>
      <c r="B632" s="1994"/>
      <c r="C632" s="1994"/>
      <c r="D632" s="1763"/>
      <c r="E632" s="1763"/>
      <c r="F632" s="1764"/>
      <c r="G632" s="1764"/>
      <c r="H632" s="1926"/>
    </row>
    <row r="633" spans="1:8" x14ac:dyDescent="0.2">
      <c r="A633" s="1993" t="str">
        <f>IF(B633="","",COUNTA($B$3:B633))</f>
        <v/>
      </c>
      <c r="B633" s="1994"/>
      <c r="C633" s="1994"/>
      <c r="D633" s="1763"/>
      <c r="E633" s="1763"/>
      <c r="F633" s="1764"/>
      <c r="G633" s="1764"/>
      <c r="H633" s="1926"/>
    </row>
    <row r="634" spans="1:8" x14ac:dyDescent="0.2">
      <c r="A634" s="1993" t="str">
        <f>IF(B634="","",COUNTA($B$3:B634))</f>
        <v/>
      </c>
      <c r="B634" s="1994"/>
      <c r="C634" s="1994"/>
      <c r="D634" s="1763"/>
      <c r="E634" s="1763"/>
      <c r="F634" s="1764"/>
      <c r="G634" s="1764"/>
      <c r="H634" s="1926"/>
    </row>
    <row r="635" spans="1:8" x14ac:dyDescent="0.2">
      <c r="A635" s="1993" t="str">
        <f>IF(B635="","",COUNTA($B$3:B635))</f>
        <v/>
      </c>
      <c r="B635" s="1994"/>
      <c r="C635" s="1994"/>
      <c r="D635" s="1763"/>
      <c r="E635" s="1763"/>
      <c r="F635" s="1764"/>
      <c r="G635" s="1764"/>
      <c r="H635" s="1926"/>
    </row>
    <row r="636" spans="1:8" x14ac:dyDescent="0.2">
      <c r="A636" s="1993" t="str">
        <f>IF(B636="","",COUNTA($B$3:B636))</f>
        <v/>
      </c>
      <c r="B636" s="1994"/>
      <c r="C636" s="1994"/>
      <c r="D636" s="1763"/>
      <c r="E636" s="1763"/>
      <c r="F636" s="1764"/>
      <c r="G636" s="1764"/>
      <c r="H636" s="1926"/>
    </row>
    <row r="637" spans="1:8" x14ac:dyDescent="0.2">
      <c r="A637" s="1993" t="str">
        <f>IF(B637="","",COUNTA($B$3:B637))</f>
        <v/>
      </c>
      <c r="B637" s="1994"/>
      <c r="C637" s="1994"/>
      <c r="D637" s="1763"/>
      <c r="E637" s="1763"/>
      <c r="F637" s="1764"/>
      <c r="G637" s="1764"/>
      <c r="H637" s="1926"/>
    </row>
    <row r="638" spans="1:8" x14ac:dyDescent="0.2">
      <c r="A638" s="2026" t="str">
        <f>IF(B638="","",COUNTA($B$3:B973))</f>
        <v/>
      </c>
      <c r="B638" s="1994"/>
      <c r="C638" s="1994"/>
      <c r="D638" s="1763"/>
      <c r="E638" s="1763"/>
      <c r="F638" s="1764"/>
      <c r="G638" s="1764"/>
      <c r="H638" s="2027"/>
    </row>
    <row r="639" spans="1:8" x14ac:dyDescent="0.2">
      <c r="A639" s="1993" t="str">
        <f>IF(B639="","",COUNTA($B$3:B639))</f>
        <v/>
      </c>
      <c r="B639" s="1994"/>
      <c r="C639" s="1994"/>
      <c r="D639" s="1763"/>
      <c r="E639" s="1763"/>
      <c r="F639" s="1764"/>
      <c r="G639" s="1764"/>
      <c r="H639" s="1926"/>
    </row>
    <row r="640" spans="1:8" x14ac:dyDescent="0.2">
      <c r="A640" s="1993" t="str">
        <f>IF(B640="","",COUNTA($B$3:B640))</f>
        <v/>
      </c>
      <c r="B640" s="1994"/>
      <c r="C640" s="1994"/>
      <c r="D640" s="1763"/>
      <c r="E640" s="1763"/>
      <c r="F640" s="1764"/>
      <c r="G640" s="1764"/>
      <c r="H640" s="1926"/>
    </row>
    <row r="641" spans="1:8" x14ac:dyDescent="0.2">
      <c r="A641" s="1993" t="str">
        <f>IF(B641="","",COUNTA($B$3:B641))</f>
        <v/>
      </c>
      <c r="B641" s="1994"/>
      <c r="C641" s="1994"/>
      <c r="D641" s="1763"/>
      <c r="E641" s="1763"/>
      <c r="F641" s="1764"/>
      <c r="G641" s="1764"/>
      <c r="H641" s="1926"/>
    </row>
    <row r="642" spans="1:8" x14ac:dyDescent="0.2">
      <c r="A642" s="1993" t="str">
        <f>IF(B642="","",COUNTA($B$3:B642))</f>
        <v/>
      </c>
      <c r="B642" s="1994"/>
      <c r="C642" s="1994"/>
      <c r="D642" s="1763"/>
      <c r="E642" s="1763"/>
      <c r="F642" s="1764"/>
      <c r="G642" s="1764"/>
      <c r="H642" s="1926"/>
    </row>
    <row r="643" spans="1:8" x14ac:dyDescent="0.2">
      <c r="A643" s="1993" t="str">
        <f>IF(B643="","",COUNTA($B$3:B643))</f>
        <v/>
      </c>
      <c r="B643" s="1994"/>
      <c r="C643" s="1994"/>
      <c r="D643" s="1763"/>
      <c r="E643" s="1763"/>
      <c r="F643" s="1764"/>
      <c r="G643" s="1764"/>
      <c r="H643" s="1926"/>
    </row>
    <row r="644" spans="1:8" x14ac:dyDescent="0.2">
      <c r="A644" s="1993" t="str">
        <f>IF(B644="","",COUNTA($B$3:B644))</f>
        <v/>
      </c>
      <c r="B644" s="1994"/>
      <c r="C644" s="1994"/>
      <c r="D644" s="1763"/>
      <c r="E644" s="1763"/>
      <c r="F644" s="1764"/>
      <c r="G644" s="1764"/>
      <c r="H644" s="1926"/>
    </row>
    <row r="645" spans="1:8" x14ac:dyDescent="0.2">
      <c r="A645" s="1993" t="str">
        <f>IF(B645="","",COUNTA($B$3:B645))</f>
        <v/>
      </c>
      <c r="B645" s="1994"/>
      <c r="C645" s="1994"/>
      <c r="D645" s="1763"/>
      <c r="E645" s="1763"/>
      <c r="F645" s="1764"/>
      <c r="G645" s="1764"/>
      <c r="H645" s="1926"/>
    </row>
    <row r="646" spans="1:8" x14ac:dyDescent="0.2">
      <c r="A646" s="1993" t="str">
        <f>IF(B646="","",COUNTA($B$3:B646))</f>
        <v/>
      </c>
      <c r="B646" s="1994"/>
      <c r="C646" s="1994"/>
      <c r="D646" s="1763"/>
      <c r="E646" s="1763"/>
      <c r="F646" s="1764"/>
      <c r="G646" s="1764"/>
      <c r="H646" s="1926"/>
    </row>
    <row r="647" spans="1:8" x14ac:dyDescent="0.2">
      <c r="A647" s="1993" t="str">
        <f>IF(B647="","",COUNTA($B$3:B647))</f>
        <v/>
      </c>
      <c r="B647" s="1994"/>
      <c r="C647" s="1994"/>
      <c r="D647" s="1763"/>
      <c r="E647" s="1763"/>
      <c r="F647" s="1764"/>
      <c r="G647" s="1764"/>
      <c r="H647" s="1926"/>
    </row>
    <row r="648" spans="1:8" x14ac:dyDescent="0.2">
      <c r="A648" s="1993" t="str">
        <f>IF(B648="","",COUNTA($B$3:B648))</f>
        <v/>
      </c>
      <c r="B648" s="1994"/>
      <c r="C648" s="1994"/>
      <c r="D648" s="1763"/>
      <c r="E648" s="1763"/>
      <c r="F648" s="1764"/>
      <c r="G648" s="1764"/>
      <c r="H648" s="1926"/>
    </row>
    <row r="649" spans="1:8" x14ac:dyDescent="0.2">
      <c r="A649" s="1993" t="str">
        <f>IF(B649="","",COUNTA($B$3:B649))</f>
        <v/>
      </c>
      <c r="B649" s="1994"/>
      <c r="C649" s="1994"/>
      <c r="D649" s="1763"/>
      <c r="E649" s="1763"/>
      <c r="F649" s="1764"/>
      <c r="G649" s="1764"/>
      <c r="H649" s="1926"/>
    </row>
    <row r="650" spans="1:8" x14ac:dyDescent="0.2">
      <c r="A650" s="1993" t="str">
        <f>IF(B650="","",COUNTA($B$3:B650))</f>
        <v/>
      </c>
      <c r="B650" s="1994"/>
      <c r="C650" s="1994"/>
      <c r="D650" s="1763"/>
      <c r="E650" s="1763"/>
      <c r="F650" s="1764"/>
      <c r="G650" s="1764"/>
      <c r="H650" s="1926"/>
    </row>
    <row r="651" spans="1:8" x14ac:dyDescent="0.2">
      <c r="A651" s="1993" t="str">
        <f>IF(B651="","",COUNTA($B$3:B651))</f>
        <v/>
      </c>
      <c r="B651" s="1994"/>
      <c r="C651" s="1994"/>
      <c r="D651" s="1763"/>
      <c r="E651" s="1763"/>
      <c r="F651" s="1764"/>
      <c r="G651" s="1764"/>
      <c r="H651" s="1926"/>
    </row>
    <row r="652" spans="1:8" x14ac:dyDescent="0.2">
      <c r="A652" s="1993" t="str">
        <f>IF(B652="","",COUNTA($B$3:B652))</f>
        <v/>
      </c>
      <c r="B652" s="1994"/>
      <c r="C652" s="1994"/>
      <c r="D652" s="1763"/>
      <c r="E652" s="1763"/>
      <c r="F652" s="1764"/>
      <c r="G652" s="1764"/>
      <c r="H652" s="1926"/>
    </row>
    <row r="653" spans="1:8" x14ac:dyDescent="0.2">
      <c r="A653" s="1993" t="str">
        <f>IF(B653="","",COUNTA($B$3:B973))</f>
        <v/>
      </c>
      <c r="B653" s="1994"/>
      <c r="C653" s="1994"/>
      <c r="D653" s="1763"/>
      <c r="E653" s="1763"/>
      <c r="F653" s="1764"/>
      <c r="G653" s="1764"/>
      <c r="H653" s="1926"/>
    </row>
    <row r="654" spans="1:8" x14ac:dyDescent="0.2">
      <c r="A654" s="1993" t="str">
        <f>IF(B654="","",COUNTA($B$3:B654))</f>
        <v/>
      </c>
      <c r="B654" s="1994"/>
      <c r="C654" s="1994"/>
      <c r="D654" s="1763"/>
      <c r="E654" s="1763"/>
      <c r="F654" s="1764"/>
      <c r="G654" s="1764"/>
      <c r="H654" s="1926"/>
    </row>
    <row r="655" spans="1:8" x14ac:dyDescent="0.2">
      <c r="A655" s="1993" t="str">
        <f>IF(B655="","",COUNTA($B$3:B655))</f>
        <v/>
      </c>
      <c r="B655" s="1994"/>
      <c r="C655" s="1994"/>
      <c r="D655" s="1763"/>
      <c r="E655" s="1763"/>
      <c r="F655" s="1764"/>
      <c r="G655" s="1764"/>
      <c r="H655" s="1926"/>
    </row>
    <row r="656" spans="1:8" x14ac:dyDescent="0.2">
      <c r="A656" s="1993" t="str">
        <f>IF(B656="","",COUNTA($B$3:B656))</f>
        <v/>
      </c>
      <c r="B656" s="1994"/>
      <c r="C656" s="1994"/>
      <c r="D656" s="1763"/>
      <c r="E656" s="1763"/>
      <c r="F656" s="1764"/>
      <c r="G656" s="1764"/>
      <c r="H656" s="1926"/>
    </row>
    <row r="657" spans="1:8" x14ac:dyDescent="0.2">
      <c r="A657" s="1993" t="str">
        <f>IF(B657="","",COUNTA($B$3:B657))</f>
        <v/>
      </c>
      <c r="B657" s="1994"/>
      <c r="C657" s="1994"/>
      <c r="D657" s="1763"/>
      <c r="E657" s="1763"/>
      <c r="F657" s="1764"/>
      <c r="G657" s="1764"/>
      <c r="H657" s="1926"/>
    </row>
    <row r="658" spans="1:8" x14ac:dyDescent="0.2">
      <c r="A658" s="1993" t="str">
        <f>IF(B658="","",COUNTA($B$3:B658))</f>
        <v/>
      </c>
      <c r="B658" s="1994"/>
      <c r="C658" s="1994"/>
      <c r="D658" s="1763"/>
      <c r="E658" s="1763"/>
      <c r="F658" s="1764"/>
      <c r="G658" s="1764"/>
      <c r="H658" s="1926"/>
    </row>
    <row r="659" spans="1:8" x14ac:dyDescent="0.2">
      <c r="A659" s="1993" t="str">
        <f>IF(B659="","",COUNTA($B$3:B659))</f>
        <v/>
      </c>
      <c r="B659" s="1994"/>
      <c r="C659" s="1994"/>
      <c r="D659" s="1763"/>
      <c r="E659" s="1763"/>
      <c r="F659" s="1764"/>
      <c r="G659" s="1764"/>
      <c r="H659" s="1926"/>
    </row>
    <row r="660" spans="1:8" x14ac:dyDescent="0.2">
      <c r="A660" s="1993" t="str">
        <f>IF(B660="","",COUNTA($B$3:B660))</f>
        <v/>
      </c>
      <c r="B660" s="1994"/>
      <c r="C660" s="1994"/>
      <c r="D660" s="1763"/>
      <c r="E660" s="1763"/>
      <c r="F660" s="1764"/>
      <c r="G660" s="1764"/>
      <c r="H660" s="1926"/>
    </row>
    <row r="661" spans="1:8" x14ac:dyDescent="0.2">
      <c r="A661" s="1993" t="str">
        <f>IF(B661="","",COUNTA($B$3:B661))</f>
        <v/>
      </c>
      <c r="B661" s="1994"/>
      <c r="C661" s="1994"/>
      <c r="D661" s="1763"/>
      <c r="E661" s="1763"/>
      <c r="F661" s="1764"/>
      <c r="G661" s="1764"/>
      <c r="H661" s="1926"/>
    </row>
    <row r="662" spans="1:8" x14ac:dyDescent="0.2">
      <c r="A662" s="1993" t="str">
        <f>IF(B662="","",COUNTA($B$3:B662))</f>
        <v/>
      </c>
      <c r="B662" s="1994"/>
      <c r="C662" s="1994"/>
      <c r="D662" s="1763"/>
      <c r="E662" s="1763"/>
      <c r="F662" s="1764"/>
      <c r="G662" s="1764"/>
      <c r="H662" s="1926"/>
    </row>
    <row r="663" spans="1:8" x14ac:dyDescent="0.2">
      <c r="A663" s="1993" t="str">
        <f>IF(B663="","",COUNTA($B$3:B663))</f>
        <v/>
      </c>
      <c r="B663" s="1994"/>
      <c r="C663" s="1994"/>
      <c r="D663" s="1763"/>
      <c r="E663" s="1763"/>
      <c r="F663" s="1764"/>
      <c r="G663" s="1764"/>
      <c r="H663" s="1926"/>
    </row>
    <row r="664" spans="1:8" x14ac:dyDescent="0.2">
      <c r="A664" s="1993" t="str">
        <f>IF(B664="","",COUNTA($B$3:B664))</f>
        <v/>
      </c>
      <c r="B664" s="1994"/>
      <c r="C664" s="1994"/>
      <c r="D664" s="1763"/>
      <c r="E664" s="1763"/>
      <c r="F664" s="1764"/>
      <c r="G664" s="1764"/>
      <c r="H664" s="1926"/>
    </row>
    <row r="665" spans="1:8" x14ac:dyDescent="0.2">
      <c r="A665" s="1993" t="str">
        <f>IF(B665="","",COUNTA($B$3:B665))</f>
        <v/>
      </c>
      <c r="B665" s="1994"/>
      <c r="C665" s="1994"/>
      <c r="D665" s="1763"/>
      <c r="E665" s="1763"/>
      <c r="F665" s="1764"/>
      <c r="G665" s="1764"/>
      <c r="H665" s="1926"/>
    </row>
    <row r="666" spans="1:8" x14ac:dyDescent="0.2">
      <c r="A666" s="1993" t="str">
        <f>IF(B666="","",COUNTA($B$3:B666))</f>
        <v/>
      </c>
      <c r="B666" s="1994"/>
      <c r="C666" s="1994"/>
      <c r="D666" s="1763"/>
      <c r="E666" s="1763"/>
      <c r="F666" s="1764"/>
      <c r="G666" s="1764"/>
      <c r="H666" s="1926"/>
    </row>
    <row r="667" spans="1:8" x14ac:dyDescent="0.2">
      <c r="A667" s="1993" t="str">
        <f>IF(B667="","",COUNTA($B$3:B667))</f>
        <v/>
      </c>
      <c r="B667" s="1994"/>
      <c r="C667" s="1994"/>
      <c r="D667" s="1763"/>
      <c r="E667" s="1763"/>
      <c r="F667" s="1764"/>
      <c r="G667" s="1764"/>
      <c r="H667" s="1926"/>
    </row>
    <row r="668" spans="1:8" x14ac:dyDescent="0.2">
      <c r="A668" s="1993" t="str">
        <f>IF(B668="","",COUNTA($B$3:B668))</f>
        <v/>
      </c>
      <c r="B668" s="1994"/>
      <c r="C668" s="1994"/>
      <c r="D668" s="1763"/>
      <c r="E668" s="1763"/>
      <c r="F668" s="1764"/>
      <c r="G668" s="1764"/>
      <c r="H668" s="1926"/>
    </row>
    <row r="669" spans="1:8" x14ac:dyDescent="0.2">
      <c r="A669" s="1993" t="str">
        <f>IF(B669="","",COUNTA($B$3:B669))</f>
        <v/>
      </c>
      <c r="B669" s="1994"/>
      <c r="C669" s="1994"/>
      <c r="D669" s="1763"/>
      <c r="E669" s="1763"/>
      <c r="F669" s="1764"/>
      <c r="G669" s="1764"/>
      <c r="H669" s="1926"/>
    </row>
    <row r="670" spans="1:8" x14ac:dyDescent="0.2">
      <c r="A670" s="1993" t="str">
        <f>IF(B670="","",COUNTA($B$3:B670))</f>
        <v/>
      </c>
      <c r="B670" s="1994"/>
      <c r="C670" s="1994"/>
      <c r="D670" s="1763"/>
      <c r="E670" s="1763"/>
      <c r="F670" s="1764"/>
      <c r="G670" s="1764"/>
      <c r="H670" s="1926"/>
    </row>
    <row r="671" spans="1:8" x14ac:dyDescent="0.2">
      <c r="A671" s="2026" t="str">
        <f>IF(B671="","",COUNTA($B$3:B973))</f>
        <v/>
      </c>
      <c r="B671" s="1994"/>
      <c r="C671" s="1994"/>
      <c r="D671" s="1763"/>
      <c r="E671" s="1763"/>
      <c r="F671" s="1764"/>
      <c r="G671" s="1764"/>
      <c r="H671" s="2027"/>
    </row>
    <row r="672" spans="1:8" x14ac:dyDescent="0.2">
      <c r="A672" s="1993" t="str">
        <f>IF(B672="","",COUNTA($B$3:B672))</f>
        <v/>
      </c>
      <c r="B672" s="1994"/>
      <c r="C672" s="1994"/>
      <c r="D672" s="1763"/>
      <c r="E672" s="1763"/>
      <c r="F672" s="1764"/>
      <c r="G672" s="1764"/>
      <c r="H672" s="1926"/>
    </row>
    <row r="673" spans="1:8" x14ac:dyDescent="0.2">
      <c r="A673" s="1993" t="str">
        <f>IF(B673="","",COUNTA($B$3:B673))</f>
        <v/>
      </c>
      <c r="B673" s="1994"/>
      <c r="C673" s="1994"/>
      <c r="D673" s="1763"/>
      <c r="E673" s="1763"/>
      <c r="F673" s="1764"/>
      <c r="G673" s="1764"/>
      <c r="H673" s="1926"/>
    </row>
    <row r="674" spans="1:8" x14ac:dyDescent="0.2">
      <c r="A674" s="1993" t="str">
        <f>IF(B674="","",COUNTA($B$3:B674))</f>
        <v/>
      </c>
      <c r="B674" s="1994"/>
      <c r="C674" s="1994"/>
      <c r="D674" s="1763"/>
      <c r="E674" s="1763"/>
      <c r="F674" s="1764"/>
      <c r="G674" s="1764"/>
      <c r="H674" s="1926"/>
    </row>
    <row r="675" spans="1:8" x14ac:dyDescent="0.2">
      <c r="A675" s="1993" t="str">
        <f>IF(B675="","",COUNTA($B$3:B675))</f>
        <v/>
      </c>
      <c r="B675" s="1994"/>
      <c r="C675" s="1994"/>
      <c r="D675" s="1763"/>
      <c r="E675" s="1763"/>
      <c r="F675" s="1764"/>
      <c r="G675" s="1764"/>
      <c r="H675" s="1926"/>
    </row>
    <row r="676" spans="1:8" x14ac:dyDescent="0.2">
      <c r="A676" s="1993" t="str">
        <f>IF(B676="","",COUNTA($B$3:B676))</f>
        <v/>
      </c>
      <c r="B676" s="1994"/>
      <c r="C676" s="1994"/>
      <c r="D676" s="1763"/>
      <c r="E676" s="1763"/>
      <c r="F676" s="1764"/>
      <c r="G676" s="1764"/>
      <c r="H676" s="1926"/>
    </row>
    <row r="677" spans="1:8" x14ac:dyDescent="0.2">
      <c r="A677" s="1993" t="str">
        <f>IF(B677="","",COUNTA($B$3:B677))</f>
        <v/>
      </c>
      <c r="B677" s="1994"/>
      <c r="C677" s="1994"/>
      <c r="D677" s="1763"/>
      <c r="E677" s="1763"/>
      <c r="F677" s="1764"/>
      <c r="G677" s="1764"/>
      <c r="H677" s="1926"/>
    </row>
    <row r="678" spans="1:8" x14ac:dyDescent="0.2">
      <c r="A678" s="1993" t="str">
        <f>IF(B678="","",COUNTA($B$3:B678))</f>
        <v/>
      </c>
      <c r="B678" s="1994"/>
      <c r="C678" s="1994"/>
      <c r="D678" s="1763"/>
      <c r="E678" s="1763"/>
      <c r="F678" s="1764"/>
      <c r="G678" s="1764"/>
      <c r="H678" s="1926"/>
    </row>
    <row r="679" spans="1:8" x14ac:dyDescent="0.2">
      <c r="A679" s="1993" t="str">
        <f>IF(B679="","",COUNTA($B$3:B679))</f>
        <v/>
      </c>
      <c r="B679" s="1994"/>
      <c r="C679" s="1994"/>
      <c r="D679" s="1763"/>
      <c r="E679" s="1763"/>
      <c r="F679" s="1764"/>
      <c r="G679" s="1764"/>
      <c r="H679" s="1926"/>
    </row>
    <row r="680" spans="1:8" x14ac:dyDescent="0.2">
      <c r="A680" s="1993" t="str">
        <f>IF(B680="","",COUNTA($B$3:B680))</f>
        <v/>
      </c>
      <c r="B680" s="1994"/>
      <c r="C680" s="1994"/>
      <c r="D680" s="1763"/>
      <c r="E680" s="1763"/>
      <c r="F680" s="1764"/>
      <c r="G680" s="1764"/>
      <c r="H680" s="1926"/>
    </row>
    <row r="681" spans="1:8" x14ac:dyDescent="0.2">
      <c r="A681" s="1993" t="str">
        <f>IF(B681="","",COUNTA($B$3:B681))</f>
        <v/>
      </c>
      <c r="B681" s="1994"/>
      <c r="C681" s="1994"/>
      <c r="D681" s="1763"/>
      <c r="E681" s="1763"/>
      <c r="F681" s="1764"/>
      <c r="G681" s="1764"/>
      <c r="H681" s="1926"/>
    </row>
    <row r="682" spans="1:8" x14ac:dyDescent="0.2">
      <c r="A682" s="1993" t="str">
        <f>IF(B682="","",COUNTA($B$3:B682))</f>
        <v/>
      </c>
      <c r="B682" s="1994"/>
      <c r="C682" s="1994"/>
      <c r="D682" s="1763"/>
      <c r="E682" s="1763"/>
      <c r="F682" s="1764"/>
      <c r="G682" s="1764"/>
      <c r="H682" s="1926"/>
    </row>
    <row r="683" spans="1:8" x14ac:dyDescent="0.2">
      <c r="A683" s="1993" t="str">
        <f>IF(B683="","",COUNTA($B$3:B683))</f>
        <v/>
      </c>
      <c r="B683" s="1994"/>
      <c r="C683" s="1994"/>
      <c r="D683" s="1763"/>
      <c r="E683" s="1763"/>
      <c r="F683" s="1764"/>
      <c r="G683" s="1764"/>
      <c r="H683" s="1926"/>
    </row>
    <row r="684" spans="1:8" x14ac:dyDescent="0.2">
      <c r="A684" s="1993" t="str">
        <f>IF(B684="","",COUNTA($B$3:B684))</f>
        <v/>
      </c>
      <c r="B684" s="1994"/>
      <c r="C684" s="1994"/>
      <c r="D684" s="1763"/>
      <c r="E684" s="1763"/>
      <c r="F684" s="1764"/>
      <c r="G684" s="1764"/>
      <c r="H684" s="1926"/>
    </row>
    <row r="685" spans="1:8" x14ac:dyDescent="0.2">
      <c r="A685" s="1993" t="str">
        <f>IF(B685="","",COUNTA($B$3:B685))</f>
        <v/>
      </c>
      <c r="B685" s="1994"/>
      <c r="C685" s="1994"/>
      <c r="D685" s="1763"/>
      <c r="E685" s="1763"/>
      <c r="F685" s="1764"/>
      <c r="G685" s="1764"/>
      <c r="H685" s="1926"/>
    </row>
    <row r="686" spans="1:8" x14ac:dyDescent="0.2">
      <c r="A686" s="1993" t="str">
        <f>IF(B686="","",COUNTA($B$3:B686))</f>
        <v/>
      </c>
      <c r="B686" s="1994"/>
      <c r="C686" s="1994"/>
      <c r="D686" s="1763"/>
      <c r="E686" s="1763"/>
      <c r="F686" s="1764"/>
      <c r="G686" s="1764"/>
      <c r="H686" s="1926"/>
    </row>
    <row r="687" spans="1:8" x14ac:dyDescent="0.2">
      <c r="A687" s="2026" t="str">
        <f>IF(B687="","",COUNTA($B$3:B973))</f>
        <v/>
      </c>
      <c r="B687" s="1994"/>
      <c r="C687" s="1994"/>
      <c r="D687" s="1763"/>
      <c r="E687" s="1763"/>
      <c r="F687" s="1766"/>
      <c r="G687" s="1764"/>
      <c r="H687" s="2027"/>
    </row>
    <row r="688" spans="1:8" x14ac:dyDescent="0.2">
      <c r="A688" s="1993" t="str">
        <f>IF(B688="","",COUNTA($B$3:B688))</f>
        <v/>
      </c>
      <c r="B688" s="1994"/>
      <c r="C688" s="1994"/>
      <c r="D688" s="1763"/>
      <c r="E688" s="1763"/>
      <c r="F688" s="1766"/>
      <c r="G688" s="1764"/>
      <c r="H688" s="1926"/>
    </row>
    <row r="689" spans="1:8" x14ac:dyDescent="0.2">
      <c r="A689" s="1993" t="str">
        <f>IF(B689="","",COUNTA($B$3:B689))</f>
        <v/>
      </c>
      <c r="B689" s="1994"/>
      <c r="C689" s="1994"/>
      <c r="D689" s="1763"/>
      <c r="E689" s="1763"/>
      <c r="F689" s="1766"/>
      <c r="G689" s="1764"/>
      <c r="H689" s="1926"/>
    </row>
    <row r="690" spans="1:8" x14ac:dyDescent="0.2">
      <c r="A690" s="1993" t="str">
        <f>IF(B690="","",COUNTA($B$3:B690))</f>
        <v/>
      </c>
      <c r="B690" s="1994"/>
      <c r="C690" s="1994"/>
      <c r="D690" s="1763"/>
      <c r="E690" s="1763"/>
      <c r="F690" s="1764"/>
      <c r="G690" s="1764"/>
      <c r="H690" s="1926"/>
    </row>
    <row r="691" spans="1:8" x14ac:dyDescent="0.2">
      <c r="A691" s="1993" t="str">
        <f>IF(B691="","",COUNTA($B$3:B691))</f>
        <v/>
      </c>
      <c r="B691" s="1994"/>
      <c r="C691" s="1994"/>
      <c r="D691" s="1763"/>
      <c r="E691" s="1763"/>
      <c r="F691" s="1764"/>
      <c r="G691" s="1764"/>
      <c r="H691" s="1926"/>
    </row>
    <row r="692" spans="1:8" x14ac:dyDescent="0.2">
      <c r="A692" s="1993" t="str">
        <f>IF(B692="","",COUNTA($B$3:B692))</f>
        <v/>
      </c>
      <c r="B692" s="1994"/>
      <c r="C692" s="1994"/>
      <c r="D692" s="1763"/>
      <c r="E692" s="1763"/>
      <c r="F692" s="1764"/>
      <c r="G692" s="1764"/>
      <c r="H692" s="1926"/>
    </row>
    <row r="693" spans="1:8" x14ac:dyDescent="0.2">
      <c r="A693" s="1993" t="str">
        <f>IF(B693="","",COUNTA($B$3:B693))</f>
        <v/>
      </c>
      <c r="B693" s="1994"/>
      <c r="C693" s="1994"/>
      <c r="D693" s="1763"/>
      <c r="E693" s="1763"/>
      <c r="F693" s="1764"/>
      <c r="G693" s="1764"/>
      <c r="H693" s="1926"/>
    </row>
    <row r="694" spans="1:8" x14ac:dyDescent="0.2">
      <c r="A694" s="1993" t="str">
        <f>IF(B694="","",COUNTA($B$3:B694))</f>
        <v/>
      </c>
      <c r="B694" s="1994"/>
      <c r="C694" s="1994"/>
      <c r="D694" s="1763"/>
      <c r="E694" s="1763"/>
      <c r="F694" s="1764"/>
      <c r="G694" s="1764"/>
      <c r="H694" s="1926"/>
    </row>
    <row r="695" spans="1:8" x14ac:dyDescent="0.2">
      <c r="A695" s="1993" t="str">
        <f>IF(B695="","",COUNTA($B$3:B695))</f>
        <v/>
      </c>
      <c r="B695" s="1994"/>
      <c r="C695" s="1994"/>
      <c r="D695" s="1763"/>
      <c r="E695" s="1763"/>
      <c r="F695" s="1764"/>
      <c r="G695" s="1764"/>
      <c r="H695" s="1926"/>
    </row>
    <row r="696" spans="1:8" x14ac:dyDescent="0.2">
      <c r="A696" s="2026" t="str">
        <f>IF(B696="","",COUNTA($B$3:B973))</f>
        <v/>
      </c>
      <c r="B696" s="1994"/>
      <c r="C696" s="1994"/>
      <c r="D696" s="1763"/>
      <c r="E696" s="1763"/>
      <c r="F696" s="1766"/>
      <c r="G696" s="1764"/>
      <c r="H696" s="2027"/>
    </row>
    <row r="697" spans="1:8" x14ac:dyDescent="0.2">
      <c r="A697" s="1993" t="str">
        <f>IF(B697="","",COUNTA($B$3:B697))</f>
        <v/>
      </c>
      <c r="B697" s="1994"/>
      <c r="C697" s="1994"/>
      <c r="D697" s="1763"/>
      <c r="E697" s="1763"/>
      <c r="F697" s="1766"/>
      <c r="G697" s="1764"/>
      <c r="H697" s="1926"/>
    </row>
    <row r="698" spans="1:8" x14ac:dyDescent="0.2">
      <c r="A698" s="1993" t="str">
        <f>IF(B698="","",COUNTA($B$3:B698))</f>
        <v/>
      </c>
      <c r="B698" s="1994"/>
      <c r="C698" s="1994"/>
      <c r="D698" s="1763"/>
      <c r="E698" s="1763"/>
      <c r="F698" s="1766"/>
      <c r="G698" s="1764"/>
      <c r="H698" s="1926"/>
    </row>
    <row r="699" spans="1:8" x14ac:dyDescent="0.2">
      <c r="A699" s="1993" t="str">
        <f>IF(B699="","",COUNTA($B$3:B699))</f>
        <v/>
      </c>
      <c r="B699" s="1994"/>
      <c r="C699" s="1994"/>
      <c r="D699" s="1763"/>
      <c r="E699" s="1763"/>
      <c r="F699" s="1764"/>
      <c r="G699" s="1764"/>
      <c r="H699" s="1926"/>
    </row>
    <row r="700" spans="1:8" x14ac:dyDescent="0.2">
      <c r="A700" s="1993" t="str">
        <f>IF(B700="","",COUNTA($B$3:B700))</f>
        <v/>
      </c>
      <c r="B700" s="1994"/>
      <c r="C700" s="1994"/>
      <c r="D700" s="1763"/>
      <c r="E700" s="1763"/>
      <c r="F700" s="1764"/>
      <c r="G700" s="1764"/>
      <c r="H700" s="1926"/>
    </row>
    <row r="701" spans="1:8" x14ac:dyDescent="0.2">
      <c r="A701" s="1993" t="str">
        <f>IF(B701="","",COUNTA($B$3:B701))</f>
        <v/>
      </c>
      <c r="B701" s="1994"/>
      <c r="C701" s="1994"/>
      <c r="D701" s="1763"/>
      <c r="E701" s="1763"/>
      <c r="F701" s="1764"/>
      <c r="G701" s="1764"/>
      <c r="H701" s="1926"/>
    </row>
    <row r="702" spans="1:8" x14ac:dyDescent="0.2">
      <c r="A702" s="1993" t="str">
        <f>IF(B702="","",COUNTA($B$3:B702))</f>
        <v/>
      </c>
      <c r="B702" s="1994"/>
      <c r="C702" s="1994"/>
      <c r="D702" s="1763"/>
      <c r="E702" s="1763"/>
      <c r="F702" s="1764"/>
      <c r="G702" s="1764"/>
      <c r="H702" s="1926"/>
    </row>
    <row r="703" spans="1:8" x14ac:dyDescent="0.2">
      <c r="A703" s="1993" t="str">
        <f>IF(B703="","",COUNTA($B$3:B703))</f>
        <v/>
      </c>
      <c r="B703" s="1994"/>
      <c r="C703" s="1994"/>
      <c r="D703" s="1763"/>
      <c r="E703" s="1763"/>
      <c r="F703" s="1764"/>
      <c r="G703" s="1764"/>
      <c r="H703" s="1926"/>
    </row>
    <row r="704" spans="1:8" x14ac:dyDescent="0.2">
      <c r="A704" s="1993" t="str">
        <f>IF(B704="","",COUNTA($B$3:B704))</f>
        <v/>
      </c>
      <c r="B704" s="1994"/>
      <c r="C704" s="1994"/>
      <c r="D704" s="1763"/>
      <c r="E704" s="1763"/>
      <c r="F704" s="1764"/>
      <c r="G704" s="1764"/>
      <c r="H704" s="1926"/>
    </row>
    <row r="705" spans="1:8" x14ac:dyDescent="0.2">
      <c r="A705" s="1993" t="str">
        <f>IF(B705="","",COUNTA($B$3:B705))</f>
        <v/>
      </c>
      <c r="B705" s="1994"/>
      <c r="C705" s="1994"/>
      <c r="D705" s="1763"/>
      <c r="E705" s="1763"/>
      <c r="F705" s="1764"/>
      <c r="G705" s="1764"/>
      <c r="H705" s="1926"/>
    </row>
    <row r="706" spans="1:8" x14ac:dyDescent="0.2">
      <c r="A706" s="1993" t="str">
        <f>IF(B706="","",COUNTA($B$3:B706))</f>
        <v/>
      </c>
      <c r="B706" s="1994"/>
      <c r="C706" s="1994"/>
      <c r="D706" s="1763"/>
      <c r="E706" s="1763"/>
      <c r="F706" s="1764"/>
      <c r="G706" s="1764"/>
      <c r="H706" s="1926"/>
    </row>
    <row r="707" spans="1:8" x14ac:dyDescent="0.2">
      <c r="A707" s="1993" t="str">
        <f>IF(B707="","",COUNTA($B$3:B707))</f>
        <v/>
      </c>
      <c r="B707" s="1994"/>
      <c r="C707" s="1994"/>
      <c r="D707" s="1763"/>
      <c r="E707" s="1763"/>
      <c r="F707" s="1764"/>
      <c r="G707" s="1764"/>
      <c r="H707" s="1926"/>
    </row>
    <row r="708" spans="1:8" x14ac:dyDescent="0.2">
      <c r="A708" s="1993" t="str">
        <f>IF(B708="","",COUNTA($B$3:B708))</f>
        <v/>
      </c>
      <c r="B708" s="1994"/>
      <c r="C708" s="1994"/>
      <c r="D708" s="1763"/>
      <c r="E708" s="1763"/>
      <c r="F708" s="1764"/>
      <c r="G708" s="1764"/>
      <c r="H708" s="1926"/>
    </row>
    <row r="709" spans="1:8" x14ac:dyDescent="0.2">
      <c r="A709" s="1993" t="str">
        <f>IF(B709="","",COUNTA($B$3:B709))</f>
        <v/>
      </c>
      <c r="B709" s="1994"/>
      <c r="C709" s="1994"/>
      <c r="D709" s="1763"/>
      <c r="E709" s="1763"/>
      <c r="F709" s="1764"/>
      <c r="G709" s="1764"/>
      <c r="H709" s="1926"/>
    </row>
    <row r="710" spans="1:8" x14ac:dyDescent="0.2">
      <c r="A710" s="1993" t="str">
        <f>IF(B710="","",COUNTA($B$3:B710))</f>
        <v/>
      </c>
      <c r="B710" s="1994"/>
      <c r="C710" s="1994"/>
      <c r="D710" s="1763"/>
      <c r="E710" s="1763"/>
      <c r="F710" s="1764"/>
      <c r="G710" s="1764"/>
      <c r="H710" s="1926"/>
    </row>
    <row r="711" spans="1:8" x14ac:dyDescent="0.2">
      <c r="A711" s="1993" t="str">
        <f>IF(B711="","",COUNTA($B$3:B711))</f>
        <v/>
      </c>
      <c r="B711" s="1994"/>
      <c r="C711" s="1994"/>
      <c r="D711" s="1763"/>
      <c r="E711" s="1763"/>
      <c r="F711" s="1764"/>
      <c r="G711" s="1764"/>
      <c r="H711" s="1926"/>
    </row>
    <row r="712" spans="1:8" x14ac:dyDescent="0.2">
      <c r="A712" s="2026" t="str">
        <f>IF(B712="","",COUNTA($B$3:B973))</f>
        <v/>
      </c>
      <c r="B712" s="1994"/>
      <c r="C712" s="1994"/>
      <c r="D712" s="1763"/>
      <c r="E712" s="1763"/>
      <c r="F712" s="1764"/>
      <c r="G712" s="1764"/>
      <c r="H712" s="2027"/>
    </row>
    <row r="713" spans="1:8" x14ac:dyDescent="0.2">
      <c r="A713" s="1993" t="str">
        <f>IF(B713="","",COUNTA($B$3:B713))</f>
        <v/>
      </c>
      <c r="B713" s="1994"/>
      <c r="C713" s="1994"/>
      <c r="D713" s="1763"/>
      <c r="E713" s="1763"/>
      <c r="F713" s="1764"/>
      <c r="G713" s="1764"/>
      <c r="H713" s="1926"/>
    </row>
    <row r="714" spans="1:8" x14ac:dyDescent="0.2">
      <c r="A714" s="1993" t="str">
        <f>IF(B714="","",COUNTA($B$3:B714))</f>
        <v/>
      </c>
      <c r="B714" s="1994"/>
      <c r="C714" s="1994"/>
      <c r="D714" s="1763"/>
      <c r="E714" s="1763"/>
      <c r="F714" s="1764"/>
      <c r="G714" s="1764"/>
      <c r="H714" s="1926"/>
    </row>
    <row r="715" spans="1:8" x14ac:dyDescent="0.2">
      <c r="A715" s="1993" t="str">
        <f>IF(B715="","",COUNTA($B$3:B715))</f>
        <v/>
      </c>
      <c r="B715" s="1994"/>
      <c r="C715" s="1994"/>
      <c r="D715" s="1763"/>
      <c r="E715" s="1763"/>
      <c r="F715" s="1764"/>
      <c r="G715" s="1764"/>
      <c r="H715" s="1926"/>
    </row>
    <row r="716" spans="1:8" x14ac:dyDescent="0.2">
      <c r="A716" s="1993" t="str">
        <f>IF(B716="","",COUNTA($B$3:B716))</f>
        <v/>
      </c>
      <c r="B716" s="1994"/>
      <c r="C716" s="1994"/>
      <c r="D716" s="1763"/>
      <c r="E716" s="1763"/>
      <c r="F716" s="1764"/>
      <c r="G716" s="1764"/>
      <c r="H716" s="1926"/>
    </row>
    <row r="717" spans="1:8" x14ac:dyDescent="0.2">
      <c r="A717" s="1993" t="str">
        <f>IF(B717="","",COUNTA($B$3:B717))</f>
        <v/>
      </c>
      <c r="B717" s="1994"/>
      <c r="C717" s="1994"/>
      <c r="D717" s="1763"/>
      <c r="E717" s="1763"/>
      <c r="F717" s="1764"/>
      <c r="G717" s="1764"/>
      <c r="H717" s="1926"/>
    </row>
    <row r="718" spans="1:8" x14ac:dyDescent="0.2">
      <c r="A718" s="1993" t="str">
        <f>IF(B718="","",COUNTA($B$3:B718))</f>
        <v/>
      </c>
      <c r="B718" s="1994"/>
      <c r="C718" s="1994"/>
      <c r="D718" s="1763"/>
      <c r="E718" s="1763"/>
      <c r="F718" s="1764"/>
      <c r="G718" s="1764"/>
      <c r="H718" s="1926"/>
    </row>
    <row r="719" spans="1:8" x14ac:dyDescent="0.2">
      <c r="A719" s="1993" t="str">
        <f>IF(B719="","",COUNTA($B$3:B719))</f>
        <v/>
      </c>
      <c r="B719" s="1994"/>
      <c r="C719" s="1994"/>
      <c r="D719" s="1763"/>
      <c r="E719" s="1763"/>
      <c r="F719" s="1764"/>
      <c r="G719" s="1764"/>
      <c r="H719" s="1926"/>
    </row>
    <row r="720" spans="1:8" x14ac:dyDescent="0.2">
      <c r="A720" s="1993" t="str">
        <f>IF(B720="","",COUNTA($B$3:B720))</f>
        <v/>
      </c>
      <c r="B720" s="1994"/>
      <c r="C720" s="1994"/>
      <c r="D720" s="1763"/>
      <c r="E720" s="1763"/>
      <c r="F720" s="1764"/>
      <c r="G720" s="1764"/>
      <c r="H720" s="1926"/>
    </row>
    <row r="721" spans="1:8" x14ac:dyDescent="0.2">
      <c r="A721" s="1993" t="str">
        <f>IF(B721="","",COUNTA($B$3:B721))</f>
        <v/>
      </c>
      <c r="B721" s="1994"/>
      <c r="C721" s="1994"/>
      <c r="D721" s="1763"/>
      <c r="E721" s="1763"/>
      <c r="F721" s="1764"/>
      <c r="G721" s="1764"/>
      <c r="H721" s="1926"/>
    </row>
    <row r="722" spans="1:8" x14ac:dyDescent="0.2">
      <c r="A722" s="1993" t="str">
        <f>IF(B722="","",COUNTA($B$3:B722))</f>
        <v/>
      </c>
      <c r="B722" s="1994"/>
      <c r="C722" s="1994"/>
      <c r="D722" s="1763"/>
      <c r="E722" s="1763"/>
      <c r="F722" s="1764"/>
      <c r="G722" s="1764"/>
      <c r="H722" s="1926"/>
    </row>
    <row r="723" spans="1:8" x14ac:dyDescent="0.2">
      <c r="A723" s="1993" t="str">
        <f>IF(B723="","",COUNTA($B$3:B723))</f>
        <v/>
      </c>
      <c r="B723" s="1994"/>
      <c r="C723" s="1994"/>
      <c r="D723" s="1763"/>
      <c r="E723" s="1763"/>
      <c r="F723" s="1764"/>
      <c r="G723" s="1764"/>
      <c r="H723" s="1926"/>
    </row>
    <row r="724" spans="1:8" x14ac:dyDescent="0.2">
      <c r="A724" s="1993" t="str">
        <f>IF(B724="","",COUNTA($B$3:B724))</f>
        <v/>
      </c>
      <c r="B724" s="1994"/>
      <c r="C724" s="1994"/>
      <c r="D724" s="1763"/>
      <c r="E724" s="1763"/>
      <c r="F724" s="1764"/>
      <c r="G724" s="1764"/>
      <c r="H724" s="1926"/>
    </row>
    <row r="725" spans="1:8" x14ac:dyDescent="0.2">
      <c r="A725" s="2026" t="str">
        <f>IF(B725="","",COUNTA($B$3:B973))</f>
        <v/>
      </c>
      <c r="B725" s="1994"/>
      <c r="C725" s="1994"/>
      <c r="D725" s="1763"/>
      <c r="E725" s="1763"/>
      <c r="F725" s="1764"/>
      <c r="G725" s="1764"/>
      <c r="H725" s="2027"/>
    </row>
    <row r="726" spans="1:8" x14ac:dyDescent="0.2">
      <c r="A726" s="1993" t="str">
        <f>IF(B726="","",COUNTA($B$3:B726))</f>
        <v/>
      </c>
      <c r="B726" s="1994"/>
      <c r="C726" s="1994"/>
      <c r="D726" s="1763"/>
      <c r="E726" s="1763"/>
      <c r="F726" s="1764"/>
      <c r="G726" s="1764"/>
      <c r="H726" s="1926"/>
    </row>
    <row r="727" spans="1:8" x14ac:dyDescent="0.2">
      <c r="A727" s="1993" t="str">
        <f>IF(B727="","",COUNTA($B$3:B727))</f>
        <v/>
      </c>
      <c r="B727" s="1994"/>
      <c r="C727" s="1994"/>
      <c r="D727" s="1763"/>
      <c r="E727" s="1763"/>
      <c r="F727" s="1764"/>
      <c r="G727" s="1764"/>
      <c r="H727" s="1926"/>
    </row>
    <row r="728" spans="1:8" x14ac:dyDescent="0.2">
      <c r="A728" s="1993" t="str">
        <f>IF(B728="","",COUNTA($B$3:B728))</f>
        <v/>
      </c>
      <c r="B728" s="1994"/>
      <c r="C728" s="1994"/>
      <c r="D728" s="1763"/>
      <c r="E728" s="1763"/>
      <c r="F728" s="1764"/>
      <c r="G728" s="1764"/>
      <c r="H728" s="1926"/>
    </row>
    <row r="729" spans="1:8" x14ac:dyDescent="0.2">
      <c r="A729" s="1993" t="str">
        <f>IF(B729="","",COUNTA($B$3:B729))</f>
        <v/>
      </c>
      <c r="B729" s="1994"/>
      <c r="C729" s="1994"/>
      <c r="D729" s="1763"/>
      <c r="E729" s="1763"/>
      <c r="F729" s="1764"/>
      <c r="G729" s="1764"/>
      <c r="H729" s="1926"/>
    </row>
    <row r="730" spans="1:8" x14ac:dyDescent="0.2">
      <c r="A730" s="1993" t="str">
        <f>IF(B730="","",COUNTA($B$3:B730))</f>
        <v/>
      </c>
      <c r="B730" s="1994"/>
      <c r="C730" s="1994"/>
      <c r="D730" s="1763"/>
      <c r="E730" s="1763"/>
      <c r="F730" s="1764"/>
      <c r="G730" s="1764"/>
      <c r="H730" s="1926"/>
    </row>
    <row r="731" spans="1:8" x14ac:dyDescent="0.2">
      <c r="A731" s="1993" t="str">
        <f>IF(B731="","",COUNTA($B$3:B731))</f>
        <v/>
      </c>
      <c r="B731" s="1994"/>
      <c r="C731" s="1994"/>
      <c r="D731" s="1763"/>
      <c r="E731" s="1763"/>
      <c r="F731" s="1764"/>
      <c r="G731" s="1764"/>
      <c r="H731" s="1926"/>
    </row>
    <row r="732" spans="1:8" x14ac:dyDescent="0.2">
      <c r="A732" s="1993" t="str">
        <f>IF(B732="","",COUNTA($B$3:B732))</f>
        <v/>
      </c>
      <c r="B732" s="1994"/>
      <c r="C732" s="1994"/>
      <c r="D732" s="1763"/>
      <c r="E732" s="1763"/>
      <c r="F732" s="1764"/>
      <c r="G732" s="1764"/>
      <c r="H732" s="1764"/>
    </row>
    <row r="733" spans="1:8" x14ac:dyDescent="0.2">
      <c r="A733" s="1993" t="str">
        <f>IF(B733="","",COUNTA($B$3:B733))</f>
        <v/>
      </c>
      <c r="B733" s="1994"/>
      <c r="C733" s="1994"/>
      <c r="D733" s="1763"/>
      <c r="E733" s="1763"/>
      <c r="F733" s="1764"/>
      <c r="G733" s="1764"/>
      <c r="H733" s="1764"/>
    </row>
    <row r="734" spans="1:8" x14ac:dyDescent="0.2">
      <c r="A734" s="2026" t="str">
        <f>IF(B734="","",COUNTA($B$3:B973))</f>
        <v/>
      </c>
      <c r="B734" s="1994"/>
      <c r="C734" s="1994"/>
      <c r="D734" s="1763"/>
      <c r="E734" s="1763"/>
      <c r="F734" s="1764"/>
      <c r="G734" s="1764"/>
      <c r="H734" s="2027"/>
    </row>
    <row r="735" spans="1:8" x14ac:dyDescent="0.2">
      <c r="A735" s="1993" t="str">
        <f>IF(B735="","",COUNTA($B$3:B735))</f>
        <v/>
      </c>
      <c r="B735" s="1994"/>
      <c r="C735" s="1994"/>
      <c r="D735" s="1763"/>
      <c r="E735" s="1763"/>
      <c r="F735" s="1764"/>
      <c r="G735" s="1764"/>
      <c r="H735" s="1926"/>
    </row>
    <row r="736" spans="1:8" x14ac:dyDescent="0.2">
      <c r="A736" s="1993" t="str">
        <f>IF(B736="","",COUNTA($B$3:B736))</f>
        <v/>
      </c>
      <c r="B736" s="1994"/>
      <c r="C736" s="1994"/>
      <c r="D736" s="1763"/>
      <c r="E736" s="1763"/>
      <c r="F736" s="1764"/>
      <c r="G736" s="1764"/>
      <c r="H736" s="1926"/>
    </row>
    <row r="737" spans="1:8" x14ac:dyDescent="0.2">
      <c r="A737" s="1993" t="str">
        <f>IF(B737="","",COUNTA($B$3:B737))</f>
        <v/>
      </c>
      <c r="B737" s="1994"/>
      <c r="C737" s="1994"/>
      <c r="D737" s="1763"/>
      <c r="E737" s="1763"/>
      <c r="F737" s="1764"/>
      <c r="G737" s="1764"/>
      <c r="H737" s="1926"/>
    </row>
    <row r="738" spans="1:8" x14ac:dyDescent="0.2">
      <c r="A738" s="1993" t="str">
        <f>IF(B738="","",COUNTA($B$3:B738))</f>
        <v/>
      </c>
      <c r="B738" s="1994"/>
      <c r="C738" s="1994"/>
      <c r="D738" s="1763"/>
      <c r="E738" s="1763"/>
      <c r="F738" s="1764"/>
      <c r="G738" s="1764"/>
      <c r="H738" s="1926"/>
    </row>
    <row r="739" spans="1:8" x14ac:dyDescent="0.2">
      <c r="A739" s="1993" t="str">
        <f>IF(B739="","",COUNTA($B$3:B739))</f>
        <v/>
      </c>
      <c r="B739" s="1994"/>
      <c r="C739" s="1994"/>
      <c r="D739" s="1763"/>
      <c r="E739" s="1763"/>
      <c r="F739" s="1764"/>
      <c r="G739" s="1764"/>
      <c r="H739" s="1926"/>
    </row>
    <row r="740" spans="1:8" x14ac:dyDescent="0.2">
      <c r="A740" s="1993" t="str">
        <f>IF(B740="","",COUNTA($B$3:B740))</f>
        <v/>
      </c>
      <c r="B740" s="1994"/>
      <c r="C740" s="1994"/>
      <c r="D740" s="1763"/>
      <c r="E740" s="1763"/>
      <c r="F740" s="1764"/>
      <c r="G740" s="1764"/>
      <c r="H740" s="1926"/>
    </row>
    <row r="741" spans="1:8" x14ac:dyDescent="0.2">
      <c r="A741" s="1993" t="str">
        <f>IF(B741="","",COUNTA($B$3:B741))</f>
        <v/>
      </c>
      <c r="B741" s="1994"/>
      <c r="C741" s="1994"/>
      <c r="D741" s="1763"/>
      <c r="E741" s="1763"/>
      <c r="F741" s="1764"/>
      <c r="G741" s="1764"/>
      <c r="H741" s="1926"/>
    </row>
    <row r="742" spans="1:8" x14ac:dyDescent="0.2">
      <c r="A742" s="1993" t="str">
        <f>IF(B742="","",COUNTA($B$3:B742))</f>
        <v/>
      </c>
      <c r="B742" s="1994"/>
      <c r="C742" s="1994"/>
      <c r="D742" s="1763"/>
      <c r="E742" s="1763"/>
      <c r="F742" s="1764"/>
      <c r="G742" s="1764"/>
      <c r="H742" s="1926"/>
    </row>
    <row r="743" spans="1:8" x14ac:dyDescent="0.2">
      <c r="A743" s="1993" t="str">
        <f>IF(B743="","",COUNTA($B$3:B743))</f>
        <v/>
      </c>
      <c r="B743" s="1994"/>
      <c r="C743" s="1994"/>
      <c r="D743" s="1763"/>
      <c r="E743" s="1763"/>
      <c r="F743" s="1764"/>
      <c r="G743" s="1764"/>
      <c r="H743" s="1926"/>
    </row>
    <row r="744" spans="1:8" x14ac:dyDescent="0.2">
      <c r="A744" s="1993" t="str">
        <f>IF(B744="","",COUNTA($B$3:B744))</f>
        <v/>
      </c>
      <c r="B744" s="1994"/>
      <c r="C744" s="1994"/>
      <c r="D744" s="1763"/>
      <c r="E744" s="1763"/>
      <c r="F744" s="1764"/>
      <c r="G744" s="1764"/>
      <c r="H744" s="1926"/>
    </row>
    <row r="745" spans="1:8" x14ac:dyDescent="0.2">
      <c r="A745" s="1993" t="str">
        <f>IF(B745="","",COUNTA($B$3:B745))</f>
        <v/>
      </c>
      <c r="B745" s="1994"/>
      <c r="C745" s="1994"/>
      <c r="D745" s="1763"/>
      <c r="E745" s="1763"/>
      <c r="F745" s="1764"/>
      <c r="G745" s="1764"/>
      <c r="H745" s="1926"/>
    </row>
    <row r="746" spans="1:8" x14ac:dyDescent="0.2">
      <c r="A746" s="1993" t="str">
        <f>IF(B746="","",COUNTA($B$3:B746))</f>
        <v/>
      </c>
      <c r="B746" s="1994"/>
      <c r="C746" s="1994"/>
      <c r="D746" s="1763"/>
      <c r="E746" s="1763"/>
      <c r="F746" s="1764"/>
      <c r="G746" s="1764"/>
      <c r="H746" s="1926"/>
    </row>
    <row r="747" spans="1:8" x14ac:dyDescent="0.2">
      <c r="A747" s="1993" t="str">
        <f>IF(B747="","",COUNTA($B$3:B747))</f>
        <v/>
      </c>
      <c r="B747" s="1994"/>
      <c r="C747" s="1994"/>
      <c r="D747" s="1763"/>
      <c r="E747" s="1763"/>
      <c r="F747" s="1764"/>
      <c r="G747" s="1764"/>
      <c r="H747" s="1926"/>
    </row>
    <row r="748" spans="1:8" x14ac:dyDescent="0.2">
      <c r="A748" s="1993" t="str">
        <f>IF(B748="","",COUNTA($B$3:B748))</f>
        <v/>
      </c>
      <c r="B748" s="1994"/>
      <c r="C748" s="1994"/>
      <c r="D748" s="1763"/>
      <c r="E748" s="1763"/>
      <c r="F748" s="1764"/>
      <c r="G748" s="1764"/>
      <c r="H748" s="1926"/>
    </row>
    <row r="749" spans="1:8" x14ac:dyDescent="0.2">
      <c r="A749" s="1993" t="str">
        <f>IF(B749="","",COUNTA($B$3:B749))</f>
        <v/>
      </c>
      <c r="B749" s="1994"/>
      <c r="C749" s="1994"/>
      <c r="D749" s="1763"/>
      <c r="E749" s="1763"/>
      <c r="F749" s="1764"/>
      <c r="G749" s="1764"/>
      <c r="H749" s="1926"/>
    </row>
    <row r="750" spans="1:8" x14ac:dyDescent="0.2">
      <c r="A750" s="1993" t="str">
        <f>IF(B750="","",COUNTA($B$3:B750))</f>
        <v/>
      </c>
      <c r="B750" s="1994"/>
      <c r="C750" s="1994"/>
      <c r="D750" s="1763"/>
      <c r="E750" s="1763"/>
      <c r="F750" s="1764"/>
      <c r="G750" s="1764"/>
      <c r="H750" s="1926"/>
    </row>
    <row r="751" spans="1:8" x14ac:dyDescent="0.2">
      <c r="A751" s="2026" t="str">
        <f>IF(B751="","",COUNTA($B$3:B973))</f>
        <v/>
      </c>
      <c r="B751" s="1994"/>
      <c r="C751" s="1994"/>
      <c r="D751" s="1763"/>
      <c r="E751" s="1763"/>
      <c r="F751" s="1764"/>
      <c r="G751" s="1764"/>
      <c r="H751" s="2027"/>
    </row>
    <row r="752" spans="1:8" x14ac:dyDescent="0.2">
      <c r="A752" s="1993" t="str">
        <f>IF(B752="","",COUNTA($B$3:B752))</f>
        <v/>
      </c>
      <c r="B752" s="1994"/>
      <c r="C752" s="1994"/>
      <c r="D752" s="1763"/>
      <c r="E752" s="1763"/>
      <c r="F752" s="1764"/>
      <c r="G752" s="1764"/>
      <c r="H752" s="1926"/>
    </row>
    <row r="753" spans="1:8" x14ac:dyDescent="0.2">
      <c r="A753" s="1993" t="str">
        <f>IF(B753="","",COUNTA($B$3:B753))</f>
        <v/>
      </c>
      <c r="B753" s="1994"/>
      <c r="C753" s="1994"/>
      <c r="D753" s="1763"/>
      <c r="E753" s="1763"/>
      <c r="F753" s="1764"/>
      <c r="G753" s="1764"/>
      <c r="H753" s="1926"/>
    </row>
    <row r="754" spans="1:8" x14ac:dyDescent="0.2">
      <c r="A754" s="1993" t="str">
        <f>IF(B754="","",COUNTA($B$3:B754))</f>
        <v/>
      </c>
      <c r="B754" s="1994"/>
      <c r="C754" s="1994"/>
      <c r="D754" s="1763"/>
      <c r="E754" s="1763"/>
      <c r="F754" s="1764"/>
      <c r="G754" s="1764"/>
      <c r="H754" s="1926"/>
    </row>
    <row r="755" spans="1:8" x14ac:dyDescent="0.2">
      <c r="A755" s="1993" t="str">
        <f>IF(B755="","",COUNTA($B$3:B973))</f>
        <v/>
      </c>
      <c r="B755" s="1994"/>
      <c r="C755" s="1994"/>
      <c r="D755" s="1763"/>
      <c r="E755" s="1763"/>
      <c r="F755" s="1764"/>
      <c r="G755" s="1764"/>
      <c r="H755" s="1926"/>
    </row>
    <row r="756" spans="1:8" x14ac:dyDescent="0.2">
      <c r="A756" s="1993" t="str">
        <f>IF(B756="","",COUNTA($B$3:B756))</f>
        <v/>
      </c>
      <c r="B756" s="1994"/>
      <c r="C756" s="1994"/>
      <c r="D756" s="1763"/>
      <c r="E756" s="1763"/>
      <c r="F756" s="1764"/>
      <c r="G756" s="1764"/>
      <c r="H756" s="1926"/>
    </row>
    <row r="757" spans="1:8" x14ac:dyDescent="0.2">
      <c r="A757" s="1993" t="str">
        <f>IF(B757="","",COUNTA($B$3:B757))</f>
        <v/>
      </c>
      <c r="B757" s="1994"/>
      <c r="C757" s="1994"/>
      <c r="D757" s="1763"/>
      <c r="E757" s="1763"/>
      <c r="F757" s="1764"/>
      <c r="G757" s="1764"/>
      <c r="H757" s="1926"/>
    </row>
    <row r="758" spans="1:8" x14ac:dyDescent="0.2">
      <c r="A758" s="1993" t="str">
        <f>IF(B758="","",COUNTA($B$3:B758))</f>
        <v/>
      </c>
      <c r="B758" s="1994"/>
      <c r="C758" s="1994"/>
      <c r="D758" s="1763"/>
      <c r="E758" s="1763"/>
      <c r="F758" s="1764"/>
      <c r="G758" s="1764"/>
      <c r="H758" s="1926"/>
    </row>
    <row r="759" spans="1:8" x14ac:dyDescent="0.2">
      <c r="A759" s="1993" t="str">
        <f>IF(B759="","",COUNTA($B$3:B759))</f>
        <v/>
      </c>
      <c r="B759" s="1994"/>
      <c r="C759" s="1994"/>
      <c r="D759" s="1763"/>
      <c r="E759" s="1763"/>
      <c r="F759" s="1764"/>
      <c r="G759" s="1764"/>
      <c r="H759" s="1926"/>
    </row>
    <row r="760" spans="1:8" x14ac:dyDescent="0.2">
      <c r="A760" s="1993" t="str">
        <f>IF(B760="","",COUNTA($B$3:B760))</f>
        <v/>
      </c>
      <c r="B760" s="1994"/>
      <c r="C760" s="1994"/>
      <c r="D760" s="1763"/>
      <c r="E760" s="1763"/>
      <c r="F760" s="1764"/>
      <c r="G760" s="1764"/>
      <c r="H760" s="1926"/>
    </row>
    <row r="761" spans="1:8" x14ac:dyDescent="0.2">
      <c r="A761" s="1993" t="str">
        <f>IF(B761="","",COUNTA($B$3:B761))</f>
        <v/>
      </c>
      <c r="B761" s="1994"/>
      <c r="C761" s="1994"/>
      <c r="D761" s="1763"/>
      <c r="E761" s="1763"/>
      <c r="F761" s="1764"/>
      <c r="G761" s="1764"/>
      <c r="H761" s="1926"/>
    </row>
    <row r="762" spans="1:8" x14ac:dyDescent="0.2">
      <c r="A762" s="1993" t="str">
        <f>IF(B762="","",COUNTA($B$3:B762))</f>
        <v/>
      </c>
      <c r="B762" s="1994"/>
      <c r="C762" s="1994"/>
      <c r="D762" s="1763"/>
      <c r="E762" s="1763"/>
      <c r="F762" s="1764"/>
      <c r="G762" s="1764"/>
      <c r="H762" s="1926"/>
    </row>
    <row r="763" spans="1:8" x14ac:dyDescent="0.2">
      <c r="A763" s="1993" t="str">
        <f>IF(B763="","",COUNTA($B$3:B763))</f>
        <v/>
      </c>
      <c r="B763" s="1994"/>
      <c r="C763" s="1994"/>
      <c r="D763" s="1763"/>
      <c r="E763" s="1763"/>
      <c r="F763" s="1764"/>
      <c r="G763" s="1764"/>
      <c r="H763" s="1926"/>
    </row>
    <row r="764" spans="1:8" x14ac:dyDescent="0.2">
      <c r="A764" s="1993" t="str">
        <f>IF(B764="","",COUNTA($B$3:B764))</f>
        <v/>
      </c>
      <c r="B764" s="1994"/>
      <c r="C764" s="1994"/>
      <c r="D764" s="1763"/>
      <c r="E764" s="1763"/>
      <c r="F764" s="1764"/>
      <c r="G764" s="1764"/>
      <c r="H764" s="1926"/>
    </row>
    <row r="765" spans="1:8" x14ac:dyDescent="0.2">
      <c r="A765" s="1993" t="str">
        <f>IF(B765="","",COUNTA($B$3:B765))</f>
        <v/>
      </c>
      <c r="B765" s="1994"/>
      <c r="C765" s="1994"/>
      <c r="D765" s="1763"/>
      <c r="E765" s="1763"/>
      <c r="F765" s="1764"/>
      <c r="G765" s="1764"/>
      <c r="H765" s="1926"/>
    </row>
    <row r="766" spans="1:8" x14ac:dyDescent="0.2">
      <c r="A766" s="2026" t="str">
        <f>IF(B766="","",COUNTA($B$3:B973))</f>
        <v/>
      </c>
      <c r="B766" s="1994"/>
      <c r="C766" s="1994"/>
      <c r="D766" s="1763"/>
      <c r="E766" s="1763"/>
      <c r="F766" s="1764"/>
      <c r="G766" s="1764"/>
      <c r="H766" s="2027"/>
    </row>
    <row r="767" spans="1:8" x14ac:dyDescent="0.2">
      <c r="A767" s="1993" t="str">
        <f>IF(B767="","",COUNTA($B$3:B767))</f>
        <v/>
      </c>
      <c r="B767" s="1994"/>
      <c r="C767" s="1994"/>
      <c r="D767" s="1763"/>
      <c r="E767" s="1763"/>
      <c r="F767" s="1764"/>
      <c r="G767" s="1764"/>
      <c r="H767" s="1926"/>
    </row>
    <row r="768" spans="1:8" x14ac:dyDescent="0.2">
      <c r="A768" s="1993" t="str">
        <f>IF(B768="","",COUNTA($B$3:B768))</f>
        <v/>
      </c>
      <c r="B768" s="1994"/>
      <c r="C768" s="1994"/>
      <c r="D768" s="1763"/>
      <c r="E768" s="1763"/>
      <c r="F768" s="1764"/>
      <c r="G768" s="1764"/>
      <c r="H768" s="1926"/>
    </row>
    <row r="769" spans="1:8" x14ac:dyDescent="0.2">
      <c r="A769" s="1993" t="str">
        <f>IF(B769="","",COUNTA($B$3:B769))</f>
        <v/>
      </c>
      <c r="B769" s="1994"/>
      <c r="C769" s="1994"/>
      <c r="D769" s="1763"/>
      <c r="E769" s="1763"/>
      <c r="F769" s="1764"/>
      <c r="G769" s="1764"/>
      <c r="H769" s="1926"/>
    </row>
    <row r="770" spans="1:8" x14ac:dyDescent="0.2">
      <c r="A770" s="1993" t="str">
        <f>IF(B770="","",COUNTA($B$3:B770))</f>
        <v/>
      </c>
      <c r="B770" s="1994"/>
      <c r="C770" s="1994"/>
      <c r="D770" s="1763"/>
      <c r="E770" s="1763"/>
      <c r="F770" s="1764"/>
      <c r="G770" s="1764"/>
      <c r="H770" s="1926"/>
    </row>
    <row r="771" spans="1:8" x14ac:dyDescent="0.2">
      <c r="A771" s="1993" t="str">
        <f>IF(B771="","",COUNTA($B$3:B771))</f>
        <v/>
      </c>
      <c r="B771" s="1994"/>
      <c r="C771" s="1994"/>
      <c r="D771" s="1763"/>
      <c r="E771" s="1763"/>
      <c r="F771" s="1764"/>
      <c r="G771" s="1764"/>
      <c r="H771" s="1926"/>
    </row>
    <row r="772" spans="1:8" x14ac:dyDescent="0.2">
      <c r="A772" s="1993" t="str">
        <f>IF(B772="","",COUNTA($B$3:B772))</f>
        <v/>
      </c>
      <c r="B772" s="1994"/>
      <c r="C772" s="1994"/>
      <c r="D772" s="1763"/>
      <c r="E772" s="1763"/>
      <c r="F772" s="1764"/>
      <c r="G772" s="1764"/>
      <c r="H772" s="1926"/>
    </row>
    <row r="773" spans="1:8" x14ac:dyDescent="0.2">
      <c r="A773" s="1993" t="str">
        <f>IF(B773="","",COUNTA($B$3:B773))</f>
        <v/>
      </c>
      <c r="B773" s="1994"/>
      <c r="C773" s="1994"/>
      <c r="D773" s="1763"/>
      <c r="E773" s="1763"/>
      <c r="F773" s="1764"/>
      <c r="G773" s="1764"/>
      <c r="H773" s="1926"/>
    </row>
    <row r="774" spans="1:8" x14ac:dyDescent="0.2">
      <c r="A774" s="1993" t="str">
        <f>IF(B774="","",COUNTA($B$3:B774))</f>
        <v/>
      </c>
      <c r="B774" s="1994"/>
      <c r="C774" s="1994"/>
      <c r="D774" s="1763"/>
      <c r="E774" s="1763"/>
      <c r="F774" s="1764"/>
      <c r="G774" s="1764"/>
      <c r="H774" s="1926"/>
    </row>
    <row r="775" spans="1:8" x14ac:dyDescent="0.2">
      <c r="A775" s="1993" t="str">
        <f>IF(B775="","",COUNTA($B$3:B775))</f>
        <v/>
      </c>
      <c r="B775" s="1994"/>
      <c r="C775" s="1994"/>
      <c r="D775" s="1763"/>
      <c r="E775" s="1763"/>
      <c r="F775" s="1764"/>
      <c r="G775" s="1764"/>
      <c r="H775" s="1926"/>
    </row>
    <row r="776" spans="1:8" x14ac:dyDescent="0.2">
      <c r="A776" s="1993" t="str">
        <f>IF(B776="","",COUNTA($B$3:B776))</f>
        <v/>
      </c>
      <c r="B776" s="1994"/>
      <c r="C776" s="1994"/>
      <c r="D776" s="1763"/>
      <c r="E776" s="1763"/>
      <c r="F776" s="1764"/>
      <c r="G776" s="1764"/>
      <c r="H776" s="1926"/>
    </row>
    <row r="777" spans="1:8" x14ac:dyDescent="0.2">
      <c r="A777" s="1993" t="str">
        <f>IF(B777="","",COUNTA($B$3:B777))</f>
        <v/>
      </c>
      <c r="B777" s="1994"/>
      <c r="C777" s="1994"/>
      <c r="D777" s="1763"/>
      <c r="E777" s="1763"/>
      <c r="F777" s="1764"/>
      <c r="G777" s="1764"/>
      <c r="H777" s="1926"/>
    </row>
    <row r="778" spans="1:8" x14ac:dyDescent="0.2">
      <c r="A778" s="1993" t="str">
        <f>IF(B778="","",COUNTA($B$3:B778))</f>
        <v/>
      </c>
      <c r="B778" s="1994"/>
      <c r="C778" s="1994"/>
      <c r="D778" s="1763"/>
      <c r="E778" s="1763"/>
      <c r="F778" s="1764"/>
      <c r="G778" s="1764"/>
      <c r="H778" s="1926"/>
    </row>
    <row r="779" spans="1:8" x14ac:dyDescent="0.2">
      <c r="A779" s="2026" t="str">
        <f>IF(B779="","",COUNTA($B$3:B973))</f>
        <v/>
      </c>
      <c r="B779" s="1994"/>
      <c r="C779" s="1994"/>
      <c r="D779" s="1763"/>
      <c r="E779" s="1763"/>
      <c r="F779" s="1764"/>
      <c r="G779" s="1764"/>
      <c r="H779" s="2027"/>
    </row>
    <row r="780" spans="1:8" x14ac:dyDescent="0.2">
      <c r="A780" s="1993" t="str">
        <f>IF(B780="","",COUNTA($B$3:B780))</f>
        <v/>
      </c>
      <c r="B780" s="1994"/>
      <c r="C780" s="1994"/>
      <c r="D780" s="1763"/>
      <c r="E780" s="1763"/>
      <c r="F780" s="1764"/>
      <c r="G780" s="1764"/>
      <c r="H780" s="1926"/>
    </row>
    <row r="781" spans="1:8" x14ac:dyDescent="0.2">
      <c r="A781" s="1993" t="str">
        <f>IF(B781="","",COUNTA($B$3:B781))</f>
        <v/>
      </c>
      <c r="B781" s="1994"/>
      <c r="C781" s="1994"/>
      <c r="D781" s="1763"/>
      <c r="E781" s="1763"/>
      <c r="F781" s="1764"/>
      <c r="G781" s="1764"/>
      <c r="H781" s="1926"/>
    </row>
    <row r="782" spans="1:8" x14ac:dyDescent="0.2">
      <c r="A782" s="1993" t="str">
        <f>IF(B782="","",COUNTA($B$3:B782))</f>
        <v/>
      </c>
      <c r="B782" s="1994"/>
      <c r="C782" s="1994"/>
      <c r="D782" s="1763"/>
      <c r="E782" s="1763"/>
      <c r="F782" s="1764"/>
      <c r="G782" s="1764"/>
      <c r="H782" s="1926"/>
    </row>
    <row r="783" spans="1:8" x14ac:dyDescent="0.2">
      <c r="A783" s="1993" t="str">
        <f>IF(B783="","",COUNTA($B$3:B783))</f>
        <v/>
      </c>
      <c r="B783" s="1994"/>
      <c r="C783" s="1994"/>
      <c r="D783" s="1763"/>
      <c r="E783" s="1763"/>
      <c r="F783" s="1764"/>
      <c r="G783" s="1764"/>
      <c r="H783" s="1926"/>
    </row>
    <row r="784" spans="1:8" x14ac:dyDescent="0.2">
      <c r="A784" s="1993" t="str">
        <f>IF(B784="","",COUNTA($B$3:B784))</f>
        <v/>
      </c>
      <c r="B784" s="1994"/>
      <c r="C784" s="1994"/>
      <c r="D784" s="1763"/>
      <c r="E784" s="1763"/>
      <c r="F784" s="1764"/>
      <c r="G784" s="1764"/>
      <c r="H784" s="1926"/>
    </row>
    <row r="785" spans="1:8" x14ac:dyDescent="0.2">
      <c r="A785" s="1993" t="str">
        <f>IF(B785="","",COUNTA($B$3:B785))</f>
        <v/>
      </c>
      <c r="B785" s="1994"/>
      <c r="C785" s="1994"/>
      <c r="D785" s="1763"/>
      <c r="E785" s="1763"/>
      <c r="F785" s="1764"/>
      <c r="G785" s="1764"/>
      <c r="H785" s="1926"/>
    </row>
    <row r="786" spans="1:8" x14ac:dyDescent="0.2">
      <c r="A786" s="1993" t="str">
        <f>IF(B786="","",COUNTA($B$3:B786))</f>
        <v/>
      </c>
      <c r="B786" s="1994"/>
      <c r="C786" s="1994"/>
      <c r="D786" s="1763"/>
      <c r="E786" s="1763"/>
      <c r="F786" s="1764"/>
      <c r="G786" s="1764"/>
      <c r="H786" s="1926"/>
    </row>
    <row r="787" spans="1:8" x14ac:dyDescent="0.2">
      <c r="A787" s="1993" t="str">
        <f>IF(B787="","",COUNTA($B$3:B787))</f>
        <v/>
      </c>
      <c r="B787" s="1994"/>
      <c r="C787" s="1994"/>
      <c r="D787" s="1763"/>
      <c r="E787" s="1763"/>
      <c r="F787" s="1764"/>
      <c r="G787" s="1764"/>
      <c r="H787" s="1926"/>
    </row>
    <row r="788" spans="1:8" x14ac:dyDescent="0.2">
      <c r="A788" s="1993" t="str">
        <f>IF(B788="","",COUNTA($B$3:B788))</f>
        <v/>
      </c>
      <c r="B788" s="1994"/>
      <c r="C788" s="1994"/>
      <c r="D788" s="1763"/>
      <c r="E788" s="1763"/>
      <c r="F788" s="1764"/>
      <c r="G788" s="1764"/>
      <c r="H788" s="1926"/>
    </row>
    <row r="789" spans="1:8" x14ac:dyDescent="0.2">
      <c r="A789" s="1993" t="str">
        <f>IF(B789="","",COUNTA($B$3:B789))</f>
        <v/>
      </c>
      <c r="B789" s="1994"/>
      <c r="C789" s="1994"/>
      <c r="D789" s="1763"/>
      <c r="E789" s="1763"/>
      <c r="F789" s="1764"/>
      <c r="G789" s="1764"/>
      <c r="H789" s="1926"/>
    </row>
    <row r="790" spans="1:8" x14ac:dyDescent="0.2">
      <c r="A790" s="2026" t="str">
        <f>IF(B790="","",COUNTA($B$3:B973))</f>
        <v/>
      </c>
      <c r="B790" s="1994"/>
      <c r="C790" s="1994"/>
      <c r="D790" s="1763"/>
      <c r="E790" s="1763"/>
      <c r="F790" s="1764"/>
      <c r="G790" s="1764"/>
      <c r="H790" s="2027"/>
    </row>
    <row r="791" spans="1:8" x14ac:dyDescent="0.2">
      <c r="A791" s="1993" t="str">
        <f>IF(B791="","",COUNTA($B$3:B791))</f>
        <v/>
      </c>
      <c r="B791" s="1994"/>
      <c r="C791" s="1994"/>
      <c r="D791" s="1763"/>
      <c r="E791" s="1763"/>
      <c r="F791" s="1764"/>
      <c r="G791" s="1764"/>
      <c r="H791" s="1926"/>
    </row>
    <row r="792" spans="1:8" x14ac:dyDescent="0.2">
      <c r="A792" s="1993" t="str">
        <f>IF(B792="","",COUNTA($B$3:B792))</f>
        <v/>
      </c>
      <c r="B792" s="1994"/>
      <c r="C792" s="1994"/>
      <c r="D792" s="1763"/>
      <c r="E792" s="1763"/>
      <c r="F792" s="1764"/>
      <c r="G792" s="1764"/>
      <c r="H792" s="1926"/>
    </row>
    <row r="793" spans="1:8" x14ac:dyDescent="0.2">
      <c r="A793" s="1993" t="str">
        <f>IF(B793="","",COUNTA($B$3:B793))</f>
        <v/>
      </c>
      <c r="B793" s="1994"/>
      <c r="C793" s="1994"/>
      <c r="D793" s="1763"/>
      <c r="E793" s="1763"/>
      <c r="F793" s="1764"/>
      <c r="G793" s="1764"/>
      <c r="H793" s="1926"/>
    </row>
    <row r="794" spans="1:8" x14ac:dyDescent="0.2">
      <c r="A794" s="1993" t="str">
        <f>IF(B794="","",COUNTA($B$3:B794))</f>
        <v/>
      </c>
      <c r="B794" s="1994"/>
      <c r="C794" s="1994"/>
      <c r="D794" s="1763"/>
      <c r="E794" s="1763"/>
      <c r="F794" s="1764"/>
      <c r="G794" s="1764"/>
      <c r="H794" s="1926"/>
    </row>
    <row r="795" spans="1:8" x14ac:dyDescent="0.2">
      <c r="A795" s="1993" t="str">
        <f>IF(B795="","",COUNTA($B$3:B795))</f>
        <v/>
      </c>
      <c r="B795" s="1994"/>
      <c r="C795" s="1994"/>
      <c r="D795" s="1763"/>
      <c r="E795" s="1763"/>
      <c r="F795" s="1764"/>
      <c r="G795" s="1764"/>
      <c r="H795" s="1926"/>
    </row>
    <row r="796" spans="1:8" x14ac:dyDescent="0.2">
      <c r="A796" s="1993" t="str">
        <f>IF(B796="","",COUNTA($B$3:B796))</f>
        <v/>
      </c>
      <c r="B796" s="1994"/>
      <c r="C796" s="1994"/>
      <c r="D796" s="1763"/>
      <c r="E796" s="1763"/>
      <c r="F796" s="1764"/>
      <c r="G796" s="1764"/>
      <c r="H796" s="1926"/>
    </row>
    <row r="797" spans="1:8" x14ac:dyDescent="0.2">
      <c r="A797" s="1993" t="str">
        <f>IF(B797="","",COUNTA($B$3:B797))</f>
        <v/>
      </c>
      <c r="B797" s="1994"/>
      <c r="C797" s="1994"/>
      <c r="D797" s="1763"/>
      <c r="E797" s="1763"/>
      <c r="F797" s="1764"/>
      <c r="G797" s="1764"/>
      <c r="H797" s="1926"/>
    </row>
    <row r="798" spans="1:8" x14ac:dyDescent="0.2">
      <c r="A798" s="1993" t="str">
        <f>IF(B798="","",COUNTA($B$3:B798))</f>
        <v/>
      </c>
      <c r="B798" s="1994"/>
      <c r="C798" s="1994"/>
      <c r="D798" s="1763"/>
      <c r="E798" s="1763"/>
      <c r="F798" s="1764"/>
      <c r="G798" s="1764"/>
      <c r="H798" s="1926"/>
    </row>
    <row r="799" spans="1:8" x14ac:dyDescent="0.2">
      <c r="A799" s="2026" t="str">
        <f>IF(B799="","",COUNTA($B$3:B973))</f>
        <v/>
      </c>
      <c r="B799" s="1994"/>
      <c r="C799" s="1994"/>
      <c r="D799" s="1763"/>
      <c r="E799" s="1763"/>
      <c r="F799" s="1764"/>
      <c r="G799" s="1764"/>
      <c r="H799" s="2027"/>
    </row>
    <row r="800" spans="1:8" x14ac:dyDescent="0.2">
      <c r="A800" s="1993" t="str">
        <f>IF(B800="","",COUNTA($B$3:B800))</f>
        <v/>
      </c>
      <c r="B800" s="1994"/>
      <c r="C800" s="1994"/>
      <c r="D800" s="1763"/>
      <c r="E800" s="1763"/>
      <c r="F800" s="1764"/>
      <c r="G800" s="1764"/>
      <c r="H800" s="1926"/>
    </row>
    <row r="801" spans="1:8" x14ac:dyDescent="0.2">
      <c r="A801" s="1993" t="str">
        <f>IF(B801="","",COUNTA($B$3:B801))</f>
        <v/>
      </c>
      <c r="B801" s="1994"/>
      <c r="C801" s="1994"/>
      <c r="D801" s="1763"/>
      <c r="E801" s="1763"/>
      <c r="F801" s="1764"/>
      <c r="G801" s="1764"/>
      <c r="H801" s="1926"/>
    </row>
    <row r="802" spans="1:8" x14ac:dyDescent="0.2">
      <c r="A802" s="1993" t="str">
        <f>IF(B802="","",COUNTA($B$3:B802))</f>
        <v/>
      </c>
      <c r="B802" s="1994"/>
      <c r="C802" s="1994"/>
      <c r="D802" s="1763"/>
      <c r="E802" s="1763"/>
      <c r="F802" s="1764"/>
      <c r="G802" s="1764"/>
      <c r="H802" s="1926"/>
    </row>
    <row r="803" spans="1:8" x14ac:dyDescent="0.2">
      <c r="A803" s="1993" t="str">
        <f>IF(B803="","",COUNTA($B$3:B803))</f>
        <v/>
      </c>
      <c r="B803" s="1994"/>
      <c r="C803" s="1994"/>
      <c r="D803" s="1763"/>
      <c r="E803" s="1763"/>
      <c r="F803" s="1764"/>
      <c r="G803" s="1764"/>
      <c r="H803" s="1926"/>
    </row>
    <row r="804" spans="1:8" x14ac:dyDescent="0.2">
      <c r="A804" s="1993" t="str">
        <f>IF(B804="","",COUNTA($B$3:B804))</f>
        <v/>
      </c>
      <c r="B804" s="1994"/>
      <c r="C804" s="1994"/>
      <c r="D804" s="1763"/>
      <c r="E804" s="1763"/>
      <c r="F804" s="1764"/>
      <c r="G804" s="1764"/>
      <c r="H804" s="1926"/>
    </row>
    <row r="805" spans="1:8" x14ac:dyDescent="0.2">
      <c r="A805" s="1993" t="str">
        <f>IF(B805="","",COUNTA($B$3:B805))</f>
        <v/>
      </c>
      <c r="B805" s="1994"/>
      <c r="C805" s="1994"/>
      <c r="D805" s="1763"/>
      <c r="E805" s="1763"/>
      <c r="F805" s="1764"/>
      <c r="G805" s="1764"/>
      <c r="H805" s="1926"/>
    </row>
    <row r="806" spans="1:8" x14ac:dyDescent="0.2">
      <c r="A806" s="1993" t="str">
        <f>IF(B806="","",COUNTA($B$3:B806))</f>
        <v/>
      </c>
      <c r="B806" s="1994"/>
      <c r="C806" s="1994"/>
      <c r="D806" s="1763"/>
      <c r="E806" s="1763"/>
      <c r="F806" s="1764"/>
      <c r="G806" s="1764"/>
      <c r="H806" s="1926"/>
    </row>
    <row r="807" spans="1:8" x14ac:dyDescent="0.2">
      <c r="A807" s="1993" t="str">
        <f>IF(B807="","",COUNTA($B$3:B807))</f>
        <v/>
      </c>
      <c r="B807" s="1994"/>
      <c r="C807" s="1994"/>
      <c r="D807" s="1763"/>
      <c r="E807" s="1763"/>
      <c r="F807" s="1766"/>
      <c r="G807" s="1764"/>
      <c r="H807" s="1926"/>
    </row>
    <row r="808" spans="1:8" x14ac:dyDescent="0.2">
      <c r="A808" s="1993" t="str">
        <f>IF(B808="","",COUNTA($B$3:B808))</f>
        <v/>
      </c>
      <c r="B808" s="1994"/>
      <c r="C808" s="1994"/>
      <c r="D808" s="1763"/>
      <c r="E808" s="1763"/>
      <c r="F808" s="1766"/>
      <c r="G808" s="1764"/>
      <c r="H808" s="1926"/>
    </row>
    <row r="809" spans="1:8" x14ac:dyDescent="0.2">
      <c r="A809" s="1993" t="str">
        <f>IF(B809="","",COUNTA($B$3:B809))</f>
        <v/>
      </c>
      <c r="B809" s="1994"/>
      <c r="C809" s="1994"/>
      <c r="D809" s="1763"/>
      <c r="E809" s="1763"/>
      <c r="F809" s="1766"/>
      <c r="G809" s="1764"/>
      <c r="H809" s="1926"/>
    </row>
    <row r="810" spans="1:8" x14ac:dyDescent="0.2">
      <c r="A810" s="1993" t="str">
        <f>IF(B810="","",COUNTA($B$3:B810))</f>
        <v/>
      </c>
      <c r="B810" s="1994"/>
      <c r="C810" s="1994"/>
      <c r="D810" s="1763"/>
      <c r="E810" s="1763"/>
      <c r="F810" s="1764"/>
      <c r="G810" s="1764"/>
      <c r="H810" s="1926"/>
    </row>
    <row r="811" spans="1:8" x14ac:dyDescent="0.2">
      <c r="A811" s="1993" t="str">
        <f>IF(B811="","",COUNTA($B$3:B811))</f>
        <v/>
      </c>
      <c r="B811" s="1994"/>
      <c r="C811" s="1994"/>
      <c r="D811" s="1763"/>
      <c r="E811" s="1763"/>
      <c r="F811" s="1764"/>
      <c r="G811" s="1764"/>
      <c r="H811" s="1926"/>
    </row>
    <row r="812" spans="1:8" x14ac:dyDescent="0.2">
      <c r="A812" s="1993" t="str">
        <f>IF(B812="","",COUNTA($B$3:B812))</f>
        <v/>
      </c>
      <c r="B812" s="1994"/>
      <c r="C812" s="1994"/>
      <c r="D812" s="1763"/>
      <c r="E812" s="1763"/>
      <c r="F812" s="1764"/>
      <c r="G812" s="1764"/>
      <c r="H812" s="1926"/>
    </row>
    <row r="813" spans="1:8" x14ac:dyDescent="0.2">
      <c r="A813" s="1993" t="str">
        <f>IF(B813="","",COUNTA($B$3:B813))</f>
        <v/>
      </c>
      <c r="B813" s="1994"/>
      <c r="C813" s="1994"/>
      <c r="D813" s="1763"/>
      <c r="E813" s="1763"/>
      <c r="F813" s="1764"/>
      <c r="G813" s="1764"/>
      <c r="H813" s="1926"/>
    </row>
    <row r="814" spans="1:8" x14ac:dyDescent="0.2">
      <c r="A814" s="1993" t="str">
        <f>IF(B814="","",COUNTA($B$3:B814))</f>
        <v/>
      </c>
      <c r="B814" s="1994"/>
      <c r="C814" s="1994"/>
      <c r="D814" s="1763"/>
      <c r="E814" s="1763"/>
      <c r="F814" s="1764"/>
      <c r="G814" s="1764"/>
      <c r="H814" s="1926"/>
    </row>
    <row r="815" spans="1:8" x14ac:dyDescent="0.2">
      <c r="A815" s="1993" t="str">
        <f>IF(B815="","",COUNTA($B$3:B815))</f>
        <v/>
      </c>
      <c r="B815" s="1994"/>
      <c r="C815" s="1994"/>
      <c r="D815" s="1763"/>
      <c r="E815" s="1763"/>
      <c r="F815" s="1764"/>
      <c r="G815" s="1764"/>
      <c r="H815" s="1926"/>
    </row>
    <row r="816" spans="1:8" x14ac:dyDescent="0.2">
      <c r="A816" s="1993" t="str">
        <f>IF(B816="","",COUNTA($B$3:B816))</f>
        <v/>
      </c>
      <c r="B816" s="1994"/>
      <c r="C816" s="1994"/>
      <c r="D816" s="1763"/>
      <c r="E816" s="1763"/>
      <c r="F816" s="1764"/>
      <c r="G816" s="1764"/>
      <c r="H816" s="1926"/>
    </row>
    <row r="817" spans="1:8" x14ac:dyDescent="0.2">
      <c r="A817" s="1993" t="str">
        <f>IF(B817="","",COUNTA($B$3:B817))</f>
        <v/>
      </c>
      <c r="B817" s="1994"/>
      <c r="C817" s="1994"/>
      <c r="D817" s="1763"/>
      <c r="E817" s="1763"/>
      <c r="F817" s="1764"/>
      <c r="G817" s="1764"/>
      <c r="H817" s="1926"/>
    </row>
    <row r="818" spans="1:8" x14ac:dyDescent="0.2">
      <c r="A818" s="1993" t="str">
        <f>IF(B818="","",COUNTA($B$3:B818))</f>
        <v/>
      </c>
      <c r="B818" s="1994"/>
      <c r="C818" s="1994"/>
      <c r="D818" s="1763"/>
      <c r="E818" s="1763"/>
      <c r="F818" s="1764"/>
      <c r="G818" s="1764"/>
      <c r="H818" s="1926"/>
    </row>
    <row r="819" spans="1:8" x14ac:dyDescent="0.2">
      <c r="A819" s="2026" t="str">
        <f>IF(B819="","",COUNTA($B$3:B973))</f>
        <v/>
      </c>
      <c r="B819" s="1994"/>
      <c r="C819" s="1994"/>
      <c r="D819" s="1763"/>
      <c r="E819" s="1763"/>
      <c r="F819" s="1764"/>
      <c r="G819" s="1764"/>
      <c r="H819" s="2027"/>
    </row>
    <row r="820" spans="1:8" x14ac:dyDescent="0.2">
      <c r="A820" s="1993" t="str">
        <f>IF(B820="","",COUNTA($B$3:B820))</f>
        <v/>
      </c>
      <c r="B820" s="1994"/>
      <c r="C820" s="1994"/>
      <c r="D820" s="1763"/>
      <c r="E820" s="1763"/>
      <c r="F820" s="1764"/>
      <c r="G820" s="1764"/>
      <c r="H820" s="1926"/>
    </row>
    <row r="821" spans="1:8" x14ac:dyDescent="0.2">
      <c r="A821" s="2026" t="str">
        <f>IF(B821="","",COUNTA($B$3:B973))</f>
        <v/>
      </c>
      <c r="B821" s="1994"/>
      <c r="C821" s="1994"/>
      <c r="D821" s="1763"/>
      <c r="E821" s="1763"/>
      <c r="F821" s="1764"/>
      <c r="G821" s="1764"/>
      <c r="H821" s="2027"/>
    </row>
    <row r="822" spans="1:8" x14ac:dyDescent="0.2">
      <c r="A822" s="1993" t="str">
        <f>IF(B822="","",COUNTA($B$3:B822))</f>
        <v/>
      </c>
      <c r="B822" s="1994"/>
      <c r="C822" s="1994"/>
      <c r="D822" s="1763"/>
      <c r="E822" s="1763"/>
      <c r="F822" s="1764"/>
      <c r="G822" s="1764"/>
      <c r="H822" s="1926"/>
    </row>
    <row r="823" spans="1:8" x14ac:dyDescent="0.2">
      <c r="A823" s="1993" t="str">
        <f>IF(B823="","",COUNTA($B$3:B823))</f>
        <v/>
      </c>
      <c r="B823" s="1994"/>
      <c r="C823" s="1994"/>
      <c r="D823" s="1763"/>
      <c r="E823" s="1763"/>
      <c r="F823" s="1764"/>
      <c r="G823" s="1764"/>
      <c r="H823" s="1926"/>
    </row>
    <row r="824" spans="1:8" x14ac:dyDescent="0.2">
      <c r="A824" s="1993" t="str">
        <f>IF(B824="","",COUNTA($B$3:B824))</f>
        <v/>
      </c>
      <c r="B824" s="1994"/>
      <c r="C824" s="1994"/>
      <c r="D824" s="1763"/>
      <c r="E824" s="1763"/>
      <c r="F824" s="1764"/>
      <c r="G824" s="1764"/>
      <c r="H824" s="1926"/>
    </row>
    <row r="825" spans="1:8" x14ac:dyDescent="0.2">
      <c r="A825" s="1993" t="str">
        <f>IF(B825="","",COUNTA($B$3:B825))</f>
        <v/>
      </c>
      <c r="B825" s="1994"/>
      <c r="C825" s="1994"/>
      <c r="D825" s="1763"/>
      <c r="E825" s="1763"/>
      <c r="F825" s="1764"/>
      <c r="G825" s="1764"/>
      <c r="H825" s="1926"/>
    </row>
    <row r="826" spans="1:8" x14ac:dyDescent="0.2">
      <c r="A826" s="1993" t="str">
        <f>IF(B826="","",COUNTA($B$3:B826))</f>
        <v/>
      </c>
      <c r="B826" s="1994"/>
      <c r="C826" s="1994"/>
      <c r="D826" s="1763"/>
      <c r="E826" s="1763"/>
      <c r="F826" s="1764"/>
      <c r="G826" s="1764"/>
      <c r="H826" s="1926"/>
    </row>
    <row r="827" spans="1:8" x14ac:dyDescent="0.2">
      <c r="A827" s="1993" t="str">
        <f>IF(B827="","",COUNTA($B$3:B827))</f>
        <v/>
      </c>
      <c r="B827" s="1994"/>
      <c r="C827" s="1994"/>
      <c r="D827" s="1763"/>
      <c r="E827" s="1763"/>
      <c r="F827" s="1764"/>
      <c r="G827" s="1764"/>
      <c r="H827" s="1926"/>
    </row>
    <row r="828" spans="1:8" x14ac:dyDescent="0.2">
      <c r="A828" s="1993" t="str">
        <f>IF(B828="","",COUNTA($B$3:B828))</f>
        <v/>
      </c>
      <c r="B828" s="1994"/>
      <c r="C828" s="1994"/>
      <c r="D828" s="1763"/>
      <c r="E828" s="1763"/>
      <c r="F828" s="1764"/>
      <c r="G828" s="1764"/>
      <c r="H828" s="1926"/>
    </row>
    <row r="829" spans="1:8" x14ac:dyDescent="0.2">
      <c r="A829" s="1993" t="str">
        <f>IF(B829="","",COUNTA($B$3:B829))</f>
        <v/>
      </c>
      <c r="B829" s="1994"/>
      <c r="C829" s="1994"/>
      <c r="D829" s="1763"/>
      <c r="E829" s="1763"/>
      <c r="F829" s="1764"/>
      <c r="G829" s="1764"/>
      <c r="H829" s="1926"/>
    </row>
    <row r="830" spans="1:8" x14ac:dyDescent="0.2">
      <c r="A830" s="1993" t="str">
        <f>IF(B830="","",COUNTA($B$3:B830))</f>
        <v/>
      </c>
      <c r="B830" s="1994"/>
      <c r="C830" s="1994"/>
      <c r="D830" s="1763"/>
      <c r="E830" s="1763"/>
      <c r="F830" s="1764"/>
      <c r="G830" s="1764"/>
      <c r="H830" s="1926"/>
    </row>
    <row r="831" spans="1:8" x14ac:dyDescent="0.2">
      <c r="A831" s="1993" t="str">
        <f>IF(B831="","",COUNTA($B$3:B831))</f>
        <v/>
      </c>
      <c r="B831" s="1994"/>
      <c r="C831" s="1994"/>
      <c r="D831" s="1763"/>
      <c r="E831" s="1763"/>
      <c r="F831" s="1764"/>
      <c r="G831" s="1764"/>
      <c r="H831" s="1926"/>
    </row>
    <row r="832" spans="1:8" x14ac:dyDescent="0.2">
      <c r="A832" s="1993" t="str">
        <f>IF(B832="","",COUNTA($B$3:B832))</f>
        <v/>
      </c>
      <c r="B832" s="1994"/>
      <c r="C832" s="1994"/>
      <c r="D832" s="1763"/>
      <c r="E832" s="1763"/>
      <c r="F832" s="1764"/>
      <c r="G832" s="1764"/>
      <c r="H832" s="1926"/>
    </row>
    <row r="833" spans="1:8" x14ac:dyDescent="0.2">
      <c r="A833" s="1993" t="str">
        <f>IF(B833="","",COUNTA($B$3:B833))</f>
        <v/>
      </c>
      <c r="B833" s="1994"/>
      <c r="C833" s="1994"/>
      <c r="D833" s="1763"/>
      <c r="E833" s="1763"/>
      <c r="F833" s="1764"/>
      <c r="G833" s="1764"/>
      <c r="H833" s="1926"/>
    </row>
    <row r="834" spans="1:8" x14ac:dyDescent="0.2">
      <c r="A834" s="1993" t="str">
        <f>IF(B834="","",COUNTA($B$3:B834))</f>
        <v/>
      </c>
      <c r="B834" s="1994"/>
      <c r="C834" s="1994"/>
      <c r="D834" s="1763"/>
      <c r="E834" s="1763"/>
      <c r="F834" s="1764"/>
      <c r="G834" s="1764"/>
      <c r="H834" s="1926"/>
    </row>
    <row r="835" spans="1:8" x14ac:dyDescent="0.2">
      <c r="A835" s="1993" t="str">
        <f>IF(B835="","",COUNTA($B$3:B835))</f>
        <v/>
      </c>
      <c r="B835" s="1994"/>
      <c r="C835" s="1994"/>
      <c r="D835" s="1763"/>
      <c r="E835" s="1763"/>
      <c r="F835" s="1764"/>
      <c r="G835" s="1764"/>
      <c r="H835" s="1926"/>
    </row>
    <row r="836" spans="1:8" x14ac:dyDescent="0.2">
      <c r="A836" s="1993" t="str">
        <f>IF(B836="","",COUNTA($B$3:B836))</f>
        <v/>
      </c>
      <c r="B836" s="1994"/>
      <c r="C836" s="1994"/>
      <c r="D836" s="1763"/>
      <c r="E836" s="1763"/>
      <c r="F836" s="1764"/>
      <c r="G836" s="1764"/>
      <c r="H836" s="1926"/>
    </row>
    <row r="837" spans="1:8" x14ac:dyDescent="0.2">
      <c r="A837" s="1993" t="str">
        <f>IF(B837="","",COUNTA($B$3:B837))</f>
        <v/>
      </c>
      <c r="B837" s="1994"/>
      <c r="C837" s="1994"/>
      <c r="D837" s="1763"/>
      <c r="E837" s="1763"/>
      <c r="F837" s="1764"/>
      <c r="G837" s="1764"/>
      <c r="H837" s="1926"/>
    </row>
    <row r="838" spans="1:8" x14ac:dyDescent="0.2">
      <c r="A838" s="1993" t="str">
        <f>IF(B838="","",COUNTA($B$3:B838))</f>
        <v/>
      </c>
      <c r="B838" s="1994"/>
      <c r="C838" s="1994"/>
      <c r="D838" s="1763"/>
      <c r="E838" s="1763"/>
      <c r="F838" s="1764"/>
      <c r="G838" s="1764"/>
      <c r="H838" s="1926"/>
    </row>
    <row r="839" spans="1:8" x14ac:dyDescent="0.2">
      <c r="A839" s="1993" t="str">
        <f>IF(B839="","",COUNTA($B$3:B839))</f>
        <v/>
      </c>
      <c r="B839" s="1994"/>
      <c r="C839" s="1994"/>
      <c r="D839" s="1763"/>
      <c r="E839" s="1763"/>
      <c r="F839" s="1764"/>
      <c r="G839" s="1764"/>
      <c r="H839" s="1926"/>
    </row>
    <row r="840" spans="1:8" x14ac:dyDescent="0.2">
      <c r="A840" s="1993" t="str">
        <f>IF(B840="","",COUNTA($B$3:B840))</f>
        <v/>
      </c>
      <c r="B840" s="1994"/>
      <c r="C840" s="1994"/>
      <c r="D840" s="1763"/>
      <c r="E840" s="1763"/>
      <c r="F840" s="1764"/>
      <c r="G840" s="1764"/>
      <c r="H840" s="1926"/>
    </row>
    <row r="841" spans="1:8" x14ac:dyDescent="0.2">
      <c r="A841" s="1993" t="str">
        <f>IF(B841="","",COUNTA($B$3:B841))</f>
        <v/>
      </c>
      <c r="B841" s="1994"/>
      <c r="C841" s="1994"/>
      <c r="D841" s="1763"/>
      <c r="E841" s="1763"/>
      <c r="F841" s="1764"/>
      <c r="G841" s="1764"/>
      <c r="H841" s="1926"/>
    </row>
    <row r="842" spans="1:8" x14ac:dyDescent="0.2">
      <c r="A842" s="1993" t="str">
        <f>IF(B842="","",COUNTA($B$3:B842))</f>
        <v/>
      </c>
      <c r="B842" s="1994"/>
      <c r="C842" s="1994"/>
      <c r="D842" s="1763"/>
      <c r="E842" s="1763"/>
      <c r="F842" s="1764"/>
      <c r="G842" s="1764"/>
      <c r="H842" s="1926"/>
    </row>
    <row r="843" spans="1:8" x14ac:dyDescent="0.2">
      <c r="A843" s="1993" t="str">
        <f>IF(B843="","",COUNTA($B$3:B843))</f>
        <v/>
      </c>
      <c r="B843" s="1994"/>
      <c r="C843" s="1994"/>
      <c r="D843" s="1763"/>
      <c r="E843" s="1763"/>
      <c r="F843" s="1764"/>
      <c r="G843" s="1764"/>
      <c r="H843" s="1926"/>
    </row>
    <row r="844" spans="1:8" x14ac:dyDescent="0.2">
      <c r="A844" s="1993" t="str">
        <f>IF(B844="","",COUNTA($B$3:B844))</f>
        <v/>
      </c>
      <c r="B844" s="1994"/>
      <c r="C844" s="1994"/>
      <c r="D844" s="1763"/>
      <c r="E844" s="1763"/>
      <c r="F844" s="1764"/>
      <c r="G844" s="1764"/>
      <c r="H844" s="1926"/>
    </row>
    <row r="845" spans="1:8" x14ac:dyDescent="0.2">
      <c r="A845" s="1993" t="str">
        <f>IF(B845="","",COUNTA($B$3:B845))</f>
        <v/>
      </c>
      <c r="B845" s="1994"/>
      <c r="C845" s="1994"/>
      <c r="D845" s="1763"/>
      <c r="E845" s="1763"/>
      <c r="F845" s="1764"/>
      <c r="G845" s="1764"/>
      <c r="H845" s="1926"/>
    </row>
    <row r="846" spans="1:8" x14ac:dyDescent="0.2">
      <c r="A846" s="1993" t="str">
        <f>IF(B846="","",COUNTA($B$3:B846))</f>
        <v/>
      </c>
      <c r="B846" s="1994"/>
      <c r="C846" s="1994"/>
      <c r="D846" s="1763"/>
      <c r="E846" s="1763"/>
      <c r="F846" s="1764"/>
      <c r="G846" s="1764"/>
      <c r="H846" s="1926"/>
    </row>
    <row r="847" spans="1:8" x14ac:dyDescent="0.2">
      <c r="A847" s="1993" t="str">
        <f>IF(B847="","",COUNTA($B$3:B847))</f>
        <v/>
      </c>
      <c r="B847" s="1994"/>
      <c r="C847" s="1994"/>
      <c r="D847" s="1763"/>
      <c r="E847" s="1763"/>
      <c r="F847" s="1764"/>
      <c r="G847" s="1764"/>
      <c r="H847" s="1926"/>
    </row>
    <row r="848" spans="1:8" x14ac:dyDescent="0.2">
      <c r="A848" s="1993" t="str">
        <f>IF(B848="","",COUNTA($B$3:B848))</f>
        <v/>
      </c>
      <c r="B848" s="1994"/>
      <c r="C848" s="1994"/>
      <c r="D848" s="1763"/>
      <c r="E848" s="1763"/>
      <c r="F848" s="1764"/>
      <c r="G848" s="1764"/>
      <c r="H848" s="1926"/>
    </row>
    <row r="849" spans="1:8" x14ac:dyDescent="0.2">
      <c r="A849" s="1993" t="str">
        <f>IF(B849="","",COUNTA($B$3:B849))</f>
        <v/>
      </c>
      <c r="B849" s="1994"/>
      <c r="C849" s="1994"/>
      <c r="D849" s="1763"/>
      <c r="E849" s="1763"/>
      <c r="F849" s="1764"/>
      <c r="G849" s="1764"/>
      <c r="H849" s="1926"/>
    </row>
    <row r="850" spans="1:8" x14ac:dyDescent="0.2">
      <c r="A850" s="1993" t="str">
        <f>IF(B850="","",COUNTA($B$3:B850))</f>
        <v/>
      </c>
      <c r="B850" s="1994"/>
      <c r="C850" s="1994"/>
      <c r="D850" s="1763"/>
      <c r="E850" s="1763"/>
      <c r="F850" s="1764"/>
      <c r="G850" s="1764"/>
      <c r="H850" s="1926"/>
    </row>
    <row r="851" spans="1:8" x14ac:dyDescent="0.2">
      <c r="A851" s="1993" t="str">
        <f>IF(B851="","",COUNTA($B$3:B851))</f>
        <v/>
      </c>
      <c r="B851" s="1994"/>
      <c r="C851" s="1994"/>
      <c r="D851" s="1763"/>
      <c r="E851" s="1763"/>
      <c r="F851" s="1764"/>
      <c r="G851" s="1764"/>
      <c r="H851" s="1926"/>
    </row>
    <row r="852" spans="1:8" x14ac:dyDescent="0.2">
      <c r="A852" s="1993" t="str">
        <f>IF(B852="","",COUNTA($B$3:B852))</f>
        <v/>
      </c>
      <c r="B852" s="1994"/>
      <c r="C852" s="1994"/>
      <c r="D852" s="1763"/>
      <c r="E852" s="1763"/>
      <c r="F852" s="1766"/>
      <c r="G852" s="1764"/>
      <c r="H852" s="1926"/>
    </row>
    <row r="853" spans="1:8" x14ac:dyDescent="0.2">
      <c r="A853" s="1993" t="str">
        <f>IF(B853="","",COUNTA($B$3:B853))</f>
        <v/>
      </c>
      <c r="B853" s="1994"/>
      <c r="C853" s="1994"/>
      <c r="D853" s="1763"/>
      <c r="E853" s="1763"/>
      <c r="F853" s="1766"/>
      <c r="G853" s="1764"/>
      <c r="H853" s="1926"/>
    </row>
    <row r="854" spans="1:8" x14ac:dyDescent="0.2">
      <c r="A854" s="1993" t="str">
        <f>IF(B854="","",COUNTA($B$3:B854))</f>
        <v/>
      </c>
      <c r="B854" s="1994"/>
      <c r="C854" s="1994"/>
      <c r="D854" s="1763"/>
      <c r="E854" s="1763"/>
      <c r="F854" s="1766"/>
      <c r="G854" s="1764"/>
      <c r="H854" s="1926"/>
    </row>
    <row r="855" spans="1:8" x14ac:dyDescent="0.2">
      <c r="A855" s="1993" t="str">
        <f>IF(B855="","",COUNTA($B$3:B855))</f>
        <v/>
      </c>
      <c r="B855" s="1994"/>
      <c r="C855" s="1994"/>
      <c r="D855" s="1763"/>
      <c r="E855" s="1763"/>
      <c r="F855" s="1764"/>
      <c r="G855" s="1764"/>
      <c r="H855" s="1926"/>
    </row>
    <row r="856" spans="1:8" x14ac:dyDescent="0.2">
      <c r="A856" s="1993" t="str">
        <f>IF(B856="","",COUNTA($B$3:B856))</f>
        <v/>
      </c>
      <c r="B856" s="1994"/>
      <c r="C856" s="1994"/>
      <c r="D856" s="1763"/>
      <c r="E856" s="1763"/>
      <c r="F856" s="1764"/>
      <c r="G856" s="1764"/>
      <c r="H856" s="1926"/>
    </row>
    <row r="857" spans="1:8" x14ac:dyDescent="0.2">
      <c r="A857" s="1993" t="str">
        <f>IF(B857="","",COUNTA($B$3:B857))</f>
        <v/>
      </c>
      <c r="B857" s="1994"/>
      <c r="C857" s="1994"/>
      <c r="D857" s="1763"/>
      <c r="E857" s="1763"/>
      <c r="F857" s="1764"/>
      <c r="G857" s="1764"/>
      <c r="H857" s="1926"/>
    </row>
    <row r="858" spans="1:8" x14ac:dyDescent="0.2">
      <c r="A858" s="1993" t="str">
        <f>IF(B858="","",COUNTA($B$3:B858))</f>
        <v/>
      </c>
      <c r="B858" s="1994"/>
      <c r="C858" s="1994"/>
      <c r="D858" s="1763"/>
      <c r="E858" s="1763"/>
      <c r="F858" s="1766"/>
      <c r="G858" s="1764"/>
      <c r="H858" s="1926"/>
    </row>
    <row r="859" spans="1:8" x14ac:dyDescent="0.2">
      <c r="A859" s="1993" t="str">
        <f>IF(B859="","",COUNTA($B$3:B859))</f>
        <v/>
      </c>
      <c r="B859" s="1994"/>
      <c r="C859" s="1994"/>
      <c r="D859" s="1763"/>
      <c r="E859" s="1763"/>
      <c r="F859" s="1766"/>
      <c r="G859" s="1764"/>
      <c r="H859" s="1926"/>
    </row>
    <row r="860" spans="1:8" x14ac:dyDescent="0.2">
      <c r="A860" s="1993" t="str">
        <f>IF(B860="","",COUNTA($B$3:B860))</f>
        <v/>
      </c>
      <c r="B860" s="1994"/>
      <c r="C860" s="1994"/>
      <c r="D860" s="1763"/>
      <c r="E860" s="1763"/>
      <c r="F860" s="1766"/>
      <c r="G860" s="1764"/>
      <c r="H860" s="1926"/>
    </row>
    <row r="861" spans="1:8" x14ac:dyDescent="0.2">
      <c r="A861" s="1993" t="str">
        <f>IF(B861="","",COUNTA($B$3:B861))</f>
        <v/>
      </c>
      <c r="B861" s="1994"/>
      <c r="C861" s="1994"/>
      <c r="D861" s="1763"/>
      <c r="E861" s="1763"/>
      <c r="F861" s="1764"/>
      <c r="G861" s="1764"/>
      <c r="H861" s="1926"/>
    </row>
    <row r="862" spans="1:8" x14ac:dyDescent="0.2">
      <c r="A862" s="1993" t="str">
        <f>IF(B862="","",COUNTA($B$3:B862))</f>
        <v/>
      </c>
      <c r="B862" s="1994"/>
      <c r="C862" s="1994"/>
      <c r="D862" s="1763"/>
      <c r="E862" s="1763"/>
      <c r="F862" s="1764"/>
      <c r="G862" s="1764"/>
      <c r="H862" s="1926"/>
    </row>
    <row r="863" spans="1:8" x14ac:dyDescent="0.2">
      <c r="A863" s="2026" t="str">
        <f>IF(B863="","",COUNTA($B$3:B973))</f>
        <v/>
      </c>
      <c r="B863" s="1994"/>
      <c r="C863" s="1994"/>
      <c r="D863" s="1763"/>
      <c r="E863" s="1763"/>
      <c r="F863" s="1764"/>
      <c r="G863" s="1764"/>
      <c r="H863" s="2027"/>
    </row>
    <row r="864" spans="1:8" x14ac:dyDescent="0.2">
      <c r="A864" s="1993" t="str">
        <f>IF(B864="","",COUNTA($B$3:B864))</f>
        <v/>
      </c>
      <c r="B864" s="1994"/>
      <c r="C864" s="1994"/>
      <c r="D864" s="1763"/>
      <c r="E864" s="1763"/>
      <c r="F864" s="1764"/>
      <c r="G864" s="1764"/>
      <c r="H864" s="1926"/>
    </row>
    <row r="865" spans="1:8" x14ac:dyDescent="0.2">
      <c r="A865" s="1993" t="str">
        <f>IF(B865="","",COUNTA($B$3:B865))</f>
        <v/>
      </c>
      <c r="B865" s="1994"/>
      <c r="C865" s="1994"/>
      <c r="D865" s="1763"/>
      <c r="E865" s="1763"/>
      <c r="F865" s="1764"/>
      <c r="G865" s="1764"/>
      <c r="H865" s="1926"/>
    </row>
    <row r="866" spans="1:8" x14ac:dyDescent="0.2">
      <c r="A866" s="1993" t="str">
        <f>IF(B866="","",COUNTA($B$3:B973))</f>
        <v/>
      </c>
      <c r="B866" s="1994"/>
      <c r="C866" s="1994"/>
      <c r="D866" s="1763"/>
      <c r="E866" s="1763"/>
      <c r="F866" s="1764"/>
      <c r="G866" s="1764"/>
      <c r="H866" s="1926"/>
    </row>
    <row r="867" spans="1:8" x14ac:dyDescent="0.2">
      <c r="A867" s="1993" t="str">
        <f>IF(B867="","",COUNTA($B$3:B867))</f>
        <v/>
      </c>
      <c r="B867" s="1994"/>
      <c r="C867" s="1994"/>
      <c r="D867" s="1763"/>
      <c r="E867" s="1763"/>
      <c r="F867" s="1764"/>
      <c r="G867" s="1764"/>
      <c r="H867" s="1926"/>
    </row>
    <row r="868" spans="1:8" x14ac:dyDescent="0.2">
      <c r="A868" s="1993" t="str">
        <f>IF(B868="","",COUNTA($B$3:B868))</f>
        <v/>
      </c>
      <c r="B868" s="1994"/>
      <c r="C868" s="1994"/>
      <c r="D868" s="1763"/>
      <c r="E868" s="1763"/>
      <c r="F868" s="1764"/>
      <c r="G868" s="1764"/>
      <c r="H868" s="1926"/>
    </row>
    <row r="869" spans="1:8" x14ac:dyDescent="0.2">
      <c r="A869" s="1993" t="str">
        <f>IF(B869="","",COUNTA($B$3:B869))</f>
        <v/>
      </c>
      <c r="B869" s="1994"/>
      <c r="C869" s="1994"/>
      <c r="D869" s="1763"/>
      <c r="E869" s="1763"/>
      <c r="F869" s="1764"/>
      <c r="G869" s="1764"/>
      <c r="H869" s="1926"/>
    </row>
    <row r="870" spans="1:8" x14ac:dyDescent="0.2">
      <c r="A870" s="1993" t="str">
        <f>IF(B870="","",COUNTA($B$3:B870))</f>
        <v/>
      </c>
      <c r="B870" s="1994"/>
      <c r="C870" s="1994"/>
      <c r="D870" s="1763"/>
      <c r="E870" s="1763"/>
      <c r="F870" s="1764"/>
      <c r="G870" s="1764"/>
      <c r="H870" s="1926"/>
    </row>
    <row r="871" spans="1:8" x14ac:dyDescent="0.2">
      <c r="A871" s="1993" t="str">
        <f>IF(B871="","",COUNTA($B$3:B871))</f>
        <v/>
      </c>
      <c r="B871" s="1994"/>
      <c r="C871" s="1994"/>
      <c r="D871" s="1763"/>
      <c r="E871" s="1763"/>
      <c r="F871" s="1764"/>
      <c r="G871" s="1764"/>
      <c r="H871" s="1926"/>
    </row>
    <row r="872" spans="1:8" x14ac:dyDescent="0.2">
      <c r="A872" s="1993" t="str">
        <f>IF(B872="","",COUNTA($B$3:B872))</f>
        <v/>
      </c>
      <c r="B872" s="1994"/>
      <c r="C872" s="1994"/>
      <c r="D872" s="1763"/>
      <c r="E872" s="1763"/>
      <c r="F872" s="1764"/>
      <c r="G872" s="1764"/>
      <c r="H872" s="1926"/>
    </row>
    <row r="873" spans="1:8" x14ac:dyDescent="0.2">
      <c r="A873" s="1993" t="str">
        <f>IF(B873="","",COUNTA($B$3:B873))</f>
        <v/>
      </c>
      <c r="B873" s="1994"/>
      <c r="C873" s="1994"/>
      <c r="D873" s="1763"/>
      <c r="E873" s="1763"/>
      <c r="F873" s="1766"/>
      <c r="G873" s="1764"/>
      <c r="H873" s="1926"/>
    </row>
    <row r="874" spans="1:8" x14ac:dyDescent="0.2">
      <c r="A874" s="1993" t="str">
        <f>IF(B874="","",COUNTA($B$3:B874))</f>
        <v/>
      </c>
      <c r="B874" s="1994"/>
      <c r="C874" s="1994"/>
      <c r="D874" s="1763"/>
      <c r="E874" s="1763"/>
      <c r="F874" s="1766"/>
      <c r="G874" s="1764"/>
      <c r="H874" s="1926"/>
    </row>
    <row r="875" spans="1:8" x14ac:dyDescent="0.2">
      <c r="A875" s="1993" t="str">
        <f>IF(B875="","",COUNTA($B$3:B875))</f>
        <v/>
      </c>
      <c r="B875" s="1994"/>
      <c r="C875" s="1994"/>
      <c r="D875" s="1763"/>
      <c r="E875" s="1763"/>
      <c r="F875" s="1766"/>
      <c r="G875" s="1764"/>
      <c r="H875" s="1926"/>
    </row>
    <row r="876" spans="1:8" x14ac:dyDescent="0.2">
      <c r="A876" s="1993" t="str">
        <f>IF(B876="","",COUNTA($B$3:B876))</f>
        <v/>
      </c>
      <c r="B876" s="1994"/>
      <c r="C876" s="1994"/>
      <c r="D876" s="1763"/>
      <c r="E876" s="1763"/>
      <c r="F876" s="1764"/>
      <c r="G876" s="1764"/>
      <c r="H876" s="1926"/>
    </row>
    <row r="877" spans="1:8" x14ac:dyDescent="0.2">
      <c r="A877" s="1993" t="str">
        <f>IF(B877="","",COUNTA($B$3:B877))</f>
        <v/>
      </c>
      <c r="B877" s="1994"/>
      <c r="C877" s="1994"/>
      <c r="D877" s="1763"/>
      <c r="E877" s="1763"/>
      <c r="F877" s="1764"/>
      <c r="G877" s="1764"/>
      <c r="H877" s="1926"/>
    </row>
    <row r="878" spans="1:8" x14ac:dyDescent="0.2">
      <c r="A878" s="1993" t="str">
        <f>IF(B878="","",COUNTA($B$3:B878))</f>
        <v/>
      </c>
      <c r="B878" s="1994"/>
      <c r="C878" s="1994"/>
      <c r="D878" s="1763"/>
      <c r="E878" s="1763"/>
      <c r="F878" s="1764"/>
      <c r="G878" s="1764"/>
      <c r="H878" s="1926"/>
    </row>
    <row r="879" spans="1:8" x14ac:dyDescent="0.2">
      <c r="A879" s="1993" t="str">
        <f>IF(B879="","",COUNTA($B$3:B879))</f>
        <v/>
      </c>
      <c r="B879" s="1994"/>
      <c r="C879" s="1994"/>
      <c r="D879" s="1763"/>
      <c r="E879" s="1763"/>
      <c r="F879" s="1764"/>
      <c r="G879" s="1764"/>
      <c r="H879" s="1926"/>
    </row>
    <row r="880" spans="1:8" x14ac:dyDescent="0.2">
      <c r="A880" s="1993" t="str">
        <f>IF(B880="","",COUNTA($B$3:B880))</f>
        <v/>
      </c>
      <c r="B880" s="1994"/>
      <c r="C880" s="1994"/>
      <c r="D880" s="1763"/>
      <c r="E880" s="1763"/>
      <c r="F880" s="1764"/>
      <c r="G880" s="1764"/>
      <c r="H880" s="1926"/>
    </row>
    <row r="881" spans="1:8" x14ac:dyDescent="0.2">
      <c r="A881" s="1993" t="str">
        <f>IF(B881="","",COUNTA($B$3:B881))</f>
        <v/>
      </c>
      <c r="B881" s="1994"/>
      <c r="C881" s="1994"/>
      <c r="D881" s="1763"/>
      <c r="E881" s="1763"/>
      <c r="F881" s="1764"/>
      <c r="G881" s="1764"/>
      <c r="H881" s="1926"/>
    </row>
    <row r="882" spans="1:8" x14ac:dyDescent="0.2">
      <c r="A882" s="1993" t="str">
        <f>IF(B882="","",COUNTA($B$3:B882))</f>
        <v/>
      </c>
      <c r="B882" s="1994"/>
      <c r="C882" s="1994"/>
      <c r="D882" s="1763"/>
      <c r="E882" s="1763"/>
      <c r="F882" s="1764"/>
      <c r="G882" s="1764"/>
      <c r="H882" s="1926"/>
    </row>
    <row r="883" spans="1:8" x14ac:dyDescent="0.2">
      <c r="A883" s="1993" t="str">
        <f>IF(B883="","",COUNTA($B$3:B883))</f>
        <v/>
      </c>
      <c r="B883" s="1994"/>
      <c r="C883" s="1994"/>
      <c r="D883" s="1763"/>
      <c r="E883" s="1763"/>
      <c r="F883" s="1764"/>
      <c r="G883" s="1764"/>
      <c r="H883" s="1926"/>
    </row>
    <row r="884" spans="1:8" x14ac:dyDescent="0.2">
      <c r="A884" s="1993" t="str">
        <f>IF(B884="","",COUNTA($B$3:B884))</f>
        <v/>
      </c>
      <c r="B884" s="1994"/>
      <c r="C884" s="1994"/>
      <c r="D884" s="1763"/>
      <c r="E884" s="1763"/>
      <c r="F884" s="1764"/>
      <c r="G884" s="1764"/>
      <c r="H884" s="1926"/>
    </row>
    <row r="885" spans="1:8" x14ac:dyDescent="0.2">
      <c r="A885" s="1993" t="str">
        <f>IF(B885="","",COUNTA($B$3:B885))</f>
        <v/>
      </c>
      <c r="B885" s="1994"/>
      <c r="C885" s="1994"/>
      <c r="D885" s="1763"/>
      <c r="E885" s="1763"/>
      <c r="F885" s="1764"/>
      <c r="G885" s="1764"/>
      <c r="H885" s="1926"/>
    </row>
    <row r="886" spans="1:8" x14ac:dyDescent="0.2">
      <c r="A886" s="1993" t="str">
        <f>IF(B886="","",COUNTA($B$3:B886))</f>
        <v/>
      </c>
      <c r="B886" s="1994"/>
      <c r="C886" s="1994"/>
      <c r="D886" s="1763"/>
      <c r="E886" s="1763"/>
      <c r="F886" s="1764"/>
      <c r="G886" s="1764"/>
      <c r="H886" s="1926"/>
    </row>
    <row r="887" spans="1:8" x14ac:dyDescent="0.2">
      <c r="A887" s="1993" t="str">
        <f>IF(B887="","",COUNTA($B$3:B887))</f>
        <v/>
      </c>
      <c r="B887" s="1994"/>
      <c r="C887" s="1994"/>
      <c r="D887" s="1763"/>
      <c r="E887" s="1763"/>
      <c r="F887" s="1764"/>
      <c r="G887" s="1764"/>
      <c r="H887" s="1926"/>
    </row>
    <row r="888" spans="1:8" x14ac:dyDescent="0.2">
      <c r="A888" s="1993" t="str">
        <f>IF(B888="","",COUNTA($B$3:B888))</f>
        <v/>
      </c>
      <c r="B888" s="1994"/>
      <c r="C888" s="1994"/>
      <c r="D888" s="1763"/>
      <c r="E888" s="1763"/>
      <c r="F888" s="1766"/>
      <c r="G888" s="1764"/>
      <c r="H888" s="1926"/>
    </row>
    <row r="889" spans="1:8" x14ac:dyDescent="0.2">
      <c r="A889" s="1993" t="str">
        <f>IF(B889="","",COUNTA($B$3:B889))</f>
        <v/>
      </c>
      <c r="B889" s="1994"/>
      <c r="C889" s="1994"/>
      <c r="D889" s="1763"/>
      <c r="E889" s="1763"/>
      <c r="F889" s="1766"/>
      <c r="G889" s="1764"/>
      <c r="H889" s="1926"/>
    </row>
    <row r="890" spans="1:8" x14ac:dyDescent="0.2">
      <c r="A890" s="1993" t="str">
        <f>IF(B890="","",COUNTA($B$3:B890))</f>
        <v/>
      </c>
      <c r="B890" s="1994"/>
      <c r="C890" s="1994"/>
      <c r="D890" s="1763"/>
      <c r="E890" s="1763"/>
      <c r="F890" s="1766"/>
      <c r="G890" s="1764"/>
      <c r="H890" s="1926"/>
    </row>
    <row r="891" spans="1:8" x14ac:dyDescent="0.2">
      <c r="A891" s="1993" t="str">
        <f>IF(B891="","",COUNTA($B$3:B891))</f>
        <v/>
      </c>
      <c r="B891" s="1994"/>
      <c r="C891" s="1994"/>
      <c r="D891" s="1763"/>
      <c r="E891" s="1763"/>
      <c r="F891" s="1764"/>
      <c r="G891" s="1764"/>
      <c r="H891" s="1926"/>
    </row>
    <row r="892" spans="1:8" x14ac:dyDescent="0.2">
      <c r="A892" s="1993" t="str">
        <f>IF(B892="","",COUNTA($B$3:B892))</f>
        <v/>
      </c>
      <c r="B892" s="1994"/>
      <c r="C892" s="1994"/>
      <c r="D892" s="1763"/>
      <c r="E892" s="1763"/>
      <c r="F892" s="1764"/>
      <c r="G892" s="1764"/>
      <c r="H892" s="1926"/>
    </row>
    <row r="893" spans="1:8" x14ac:dyDescent="0.2">
      <c r="A893" s="1993" t="str">
        <f>IF(B893="","",COUNTA($B$3:B893))</f>
        <v/>
      </c>
      <c r="B893" s="1994"/>
      <c r="C893" s="1994"/>
      <c r="D893" s="1763"/>
      <c r="E893" s="1763"/>
      <c r="F893" s="1764"/>
      <c r="G893" s="1764"/>
      <c r="H893" s="1926"/>
    </row>
    <row r="894" spans="1:8" x14ac:dyDescent="0.2">
      <c r="A894" s="1993" t="str">
        <f>IF(B894="","",COUNTA($B$3:B894))</f>
        <v/>
      </c>
      <c r="B894" s="1994"/>
      <c r="C894" s="1994"/>
      <c r="D894" s="1763"/>
      <c r="E894" s="1763"/>
      <c r="F894" s="1764"/>
      <c r="G894" s="1764"/>
      <c r="H894" s="1926"/>
    </row>
    <row r="895" spans="1:8" x14ac:dyDescent="0.2">
      <c r="A895" s="1993" t="str">
        <f>IF(B895="","",COUNTA($B$3:B895))</f>
        <v/>
      </c>
      <c r="B895" s="1994"/>
      <c r="C895" s="1994"/>
      <c r="D895" s="1763"/>
      <c r="E895" s="1763"/>
      <c r="F895" s="1764"/>
      <c r="G895" s="1764"/>
      <c r="H895" s="1926"/>
    </row>
    <row r="896" spans="1:8" x14ac:dyDescent="0.2">
      <c r="A896" s="1993" t="str">
        <f>IF(B896="","",COUNTA($B$3:B896))</f>
        <v/>
      </c>
      <c r="B896" s="1994"/>
      <c r="C896" s="1994"/>
      <c r="D896" s="1763"/>
      <c r="E896" s="1763"/>
      <c r="F896" s="1764"/>
      <c r="G896" s="1764"/>
      <c r="H896" s="1926"/>
    </row>
    <row r="897" spans="1:8" x14ac:dyDescent="0.2">
      <c r="A897" s="1993" t="str">
        <f>IF(B897="","",COUNTA($B$3:B897))</f>
        <v/>
      </c>
      <c r="B897" s="1994"/>
      <c r="C897" s="1994"/>
      <c r="D897" s="1763"/>
      <c r="E897" s="1763"/>
      <c r="F897" s="1764"/>
      <c r="G897" s="1764"/>
      <c r="H897" s="1926"/>
    </row>
    <row r="898" spans="1:8" x14ac:dyDescent="0.2">
      <c r="A898" s="1993" t="str">
        <f>IF(B898="","",COUNTA($B$3:B898))</f>
        <v/>
      </c>
      <c r="B898" s="1994"/>
      <c r="C898" s="1994"/>
      <c r="D898" s="1763"/>
      <c r="E898" s="1763"/>
      <c r="F898" s="1764"/>
      <c r="G898" s="1764"/>
      <c r="H898" s="1926"/>
    </row>
    <row r="899" spans="1:8" x14ac:dyDescent="0.2">
      <c r="A899" s="1993" t="str">
        <f>IF(B899="","",COUNTA($B$3:B899))</f>
        <v/>
      </c>
      <c r="B899" s="1994"/>
      <c r="C899" s="1994"/>
      <c r="D899" s="1763"/>
      <c r="E899" s="1763"/>
      <c r="F899" s="1764"/>
      <c r="G899" s="1764"/>
      <c r="H899" s="1926"/>
    </row>
    <row r="900" spans="1:8" x14ac:dyDescent="0.2">
      <c r="A900" s="1993" t="str">
        <f>IF(B900="","",COUNTA($B$3:B900))</f>
        <v/>
      </c>
      <c r="B900" s="1994"/>
      <c r="C900" s="1994"/>
      <c r="D900" s="1763"/>
      <c r="E900" s="1763"/>
      <c r="F900" s="1764"/>
      <c r="G900" s="1764"/>
      <c r="H900" s="1926"/>
    </row>
    <row r="901" spans="1:8" x14ac:dyDescent="0.2">
      <c r="A901" s="1993" t="str">
        <f>IF(B901="","",COUNTA($B$3:B901))</f>
        <v/>
      </c>
      <c r="B901" s="1994"/>
      <c r="C901" s="1994"/>
      <c r="D901" s="1763"/>
      <c r="E901" s="1763"/>
      <c r="F901" s="1764"/>
      <c r="G901" s="1764"/>
      <c r="H901" s="1926"/>
    </row>
    <row r="902" spans="1:8" x14ac:dyDescent="0.2">
      <c r="A902" s="1993" t="str">
        <f>IF(B902="","",COUNTA($B$3:B902))</f>
        <v/>
      </c>
      <c r="B902" s="1994"/>
      <c r="C902" s="1994"/>
      <c r="D902" s="1763"/>
      <c r="E902" s="1763"/>
      <c r="F902" s="1764"/>
      <c r="G902" s="1764"/>
      <c r="H902" s="1926"/>
    </row>
    <row r="903" spans="1:8" x14ac:dyDescent="0.2">
      <c r="A903" s="1993" t="str">
        <f>IF(B903="","",COUNTA($B$3:B903))</f>
        <v/>
      </c>
      <c r="B903" s="1994"/>
      <c r="C903" s="1994"/>
      <c r="D903" s="1763"/>
      <c r="E903" s="1763"/>
      <c r="F903" s="1764"/>
      <c r="G903" s="1764"/>
      <c r="H903" s="1926"/>
    </row>
    <row r="904" spans="1:8" x14ac:dyDescent="0.2">
      <c r="A904" s="1993" t="str">
        <f>IF(B904="","",COUNTA($B$3:B904))</f>
        <v/>
      </c>
      <c r="B904" s="1994"/>
      <c r="C904" s="1994"/>
      <c r="D904" s="1763"/>
      <c r="E904" s="1763"/>
      <c r="F904" s="1764"/>
      <c r="G904" s="1764"/>
      <c r="H904" s="1926"/>
    </row>
    <row r="905" spans="1:8" x14ac:dyDescent="0.2">
      <c r="A905" s="1993" t="str">
        <f>IF(B905="","",COUNTA($B$3:B905))</f>
        <v/>
      </c>
      <c r="B905" s="1994"/>
      <c r="C905" s="1994"/>
      <c r="D905" s="1763"/>
      <c r="E905" s="1763"/>
      <c r="F905" s="1764"/>
      <c r="G905" s="1764"/>
      <c r="H905" s="1926"/>
    </row>
    <row r="906" spans="1:8" x14ac:dyDescent="0.2">
      <c r="A906" s="1993" t="str">
        <f>IF(B906="","",COUNTA($B$3:B906))</f>
        <v/>
      </c>
      <c r="B906" s="1994"/>
      <c r="C906" s="1994"/>
      <c r="D906" s="1763"/>
      <c r="E906" s="1763"/>
      <c r="F906" s="1764"/>
      <c r="G906" s="1764"/>
      <c r="H906" s="1926"/>
    </row>
    <row r="907" spans="1:8" x14ac:dyDescent="0.2">
      <c r="A907" s="1993" t="str">
        <f>IF(B907="","",COUNTA($B$3:B907))</f>
        <v/>
      </c>
      <c r="B907" s="1994"/>
      <c r="C907" s="1994"/>
      <c r="D907" s="1763"/>
      <c r="E907" s="1763"/>
      <c r="F907" s="1764"/>
      <c r="G907" s="1764"/>
      <c r="H907" s="1926"/>
    </row>
    <row r="908" spans="1:8" x14ac:dyDescent="0.2">
      <c r="A908" s="1993" t="str">
        <f>IF(B908="","",COUNTA($B$3:B908))</f>
        <v/>
      </c>
      <c r="B908" s="1994"/>
      <c r="C908" s="1994"/>
      <c r="D908" s="1763"/>
      <c r="E908" s="1763"/>
      <c r="F908" s="1764"/>
      <c r="G908" s="1764"/>
      <c r="H908" s="1926"/>
    </row>
    <row r="909" spans="1:8" x14ac:dyDescent="0.2">
      <c r="A909" s="1993" t="str">
        <f>IF(B909="","",COUNTA($B$3:B909))</f>
        <v/>
      </c>
      <c r="B909" s="1994"/>
      <c r="C909" s="1994"/>
      <c r="D909" s="1763"/>
      <c r="E909" s="1763"/>
      <c r="F909" s="1764"/>
      <c r="G909" s="1764"/>
      <c r="H909" s="1926"/>
    </row>
    <row r="910" spans="1:8" x14ac:dyDescent="0.2">
      <c r="A910" s="1993" t="str">
        <f>IF(B910="","",COUNTA($B$3:B910))</f>
        <v/>
      </c>
      <c r="B910" s="1994"/>
      <c r="C910" s="1994"/>
      <c r="D910" s="1763"/>
      <c r="E910" s="1763"/>
      <c r="F910" s="1764"/>
      <c r="G910" s="1764"/>
      <c r="H910" s="1926"/>
    </row>
    <row r="911" spans="1:8" x14ac:dyDescent="0.2">
      <c r="A911" s="1993" t="str">
        <f>IF(B911="","",COUNTA($B$3:B911))</f>
        <v/>
      </c>
      <c r="B911" s="1994"/>
      <c r="C911" s="1994"/>
      <c r="D911" s="1763"/>
      <c r="E911" s="1763"/>
      <c r="F911" s="1764"/>
      <c r="G911" s="1764"/>
      <c r="H911" s="1926"/>
    </row>
    <row r="912" spans="1:8" x14ac:dyDescent="0.2">
      <c r="A912" s="1993" t="str">
        <f>IF(B912="","",COUNTA($B$3:B912))</f>
        <v/>
      </c>
      <c r="B912" s="1994"/>
      <c r="C912" s="1994"/>
      <c r="D912" s="1763"/>
      <c r="E912" s="1763"/>
      <c r="F912" s="1764"/>
      <c r="G912" s="1764"/>
      <c r="H912" s="1926"/>
    </row>
    <row r="913" spans="1:8" x14ac:dyDescent="0.2">
      <c r="A913" s="1993" t="str">
        <f>IF(B913="","",COUNTA($B$3:B913))</f>
        <v/>
      </c>
      <c r="B913" s="1994"/>
      <c r="C913" s="1994"/>
      <c r="D913" s="1763"/>
      <c r="E913" s="1763"/>
      <c r="F913" s="1764"/>
      <c r="G913" s="1764"/>
      <c r="H913" s="1926"/>
    </row>
    <row r="914" spans="1:8" x14ac:dyDescent="0.2">
      <c r="A914" s="1993" t="str">
        <f>IF(B914="","",COUNTA($B$3:B914))</f>
        <v/>
      </c>
      <c r="B914" s="1994"/>
      <c r="C914" s="1994"/>
      <c r="D914" s="1763"/>
      <c r="E914" s="1763"/>
      <c r="F914" s="1764"/>
      <c r="G914" s="1764"/>
      <c r="H914" s="1926"/>
    </row>
    <row r="915" spans="1:8" x14ac:dyDescent="0.2">
      <c r="A915" s="1993" t="str">
        <f>IF(B915="","",COUNTA($B$3:B915))</f>
        <v/>
      </c>
      <c r="B915" s="1994"/>
      <c r="C915" s="1994"/>
      <c r="D915" s="1763"/>
      <c r="E915" s="1763"/>
      <c r="F915" s="1764"/>
      <c r="G915" s="1764"/>
      <c r="H915" s="1926"/>
    </row>
    <row r="916" spans="1:8" x14ac:dyDescent="0.2">
      <c r="A916" s="2026" t="str">
        <f>IF(B916="","",COUNTA($B$3:B973))</f>
        <v/>
      </c>
      <c r="B916" s="1994"/>
      <c r="C916" s="1994"/>
      <c r="D916" s="1763"/>
      <c r="E916" s="1763"/>
      <c r="F916" s="1764"/>
      <c r="G916" s="1764"/>
      <c r="H916" s="2027"/>
    </row>
    <row r="917" spans="1:8" x14ac:dyDescent="0.2">
      <c r="A917" s="1993" t="str">
        <f>IF(B917="","",COUNTA($B$3:B917))</f>
        <v/>
      </c>
      <c r="B917" s="1994"/>
      <c r="C917" s="1994"/>
      <c r="D917" s="1763"/>
      <c r="E917" s="1763"/>
      <c r="F917" s="1764"/>
      <c r="G917" s="1764"/>
      <c r="H917" s="1926"/>
    </row>
    <row r="918" spans="1:8" x14ac:dyDescent="0.2">
      <c r="A918" s="1993" t="str">
        <f>IF(B918="","",COUNTA($B$3:B918))</f>
        <v/>
      </c>
      <c r="B918" s="1994"/>
      <c r="C918" s="1994"/>
      <c r="D918" s="1763"/>
      <c r="E918" s="1763"/>
      <c r="F918" s="1764"/>
      <c r="G918" s="1764"/>
      <c r="H918" s="1926"/>
    </row>
    <row r="919" spans="1:8" x14ac:dyDescent="0.2">
      <c r="A919" s="1993" t="str">
        <f>IF(B919="","",COUNTA($B$3:B919))</f>
        <v/>
      </c>
      <c r="B919" s="1994"/>
      <c r="C919" s="1994"/>
      <c r="D919" s="1763"/>
      <c r="E919" s="1763"/>
      <c r="F919" s="1764"/>
      <c r="G919" s="1764"/>
      <c r="H919" s="1926"/>
    </row>
    <row r="920" spans="1:8" x14ac:dyDescent="0.2">
      <c r="A920" s="1993" t="str">
        <f>IF(B920="","",COUNTA($B$3:B920))</f>
        <v/>
      </c>
      <c r="B920" s="1994"/>
      <c r="C920" s="1994"/>
      <c r="D920" s="1763"/>
      <c r="E920" s="1763"/>
      <c r="F920" s="1764"/>
      <c r="G920" s="1764"/>
      <c r="H920" s="1926"/>
    </row>
    <row r="921" spans="1:8" x14ac:dyDescent="0.2">
      <c r="A921" s="1993" t="str">
        <f>IF(B921="","",COUNTA($B$3:B921))</f>
        <v/>
      </c>
      <c r="B921" s="1994"/>
      <c r="C921" s="1994"/>
      <c r="D921" s="1763"/>
      <c r="E921" s="1763"/>
      <c r="F921" s="1764"/>
      <c r="G921" s="1764"/>
      <c r="H921" s="1926"/>
    </row>
    <row r="922" spans="1:8" x14ac:dyDescent="0.2">
      <c r="A922" s="1993" t="str">
        <f>IF(B922="","",COUNTA($B$3:B922))</f>
        <v/>
      </c>
      <c r="B922" s="1994"/>
      <c r="C922" s="1994"/>
      <c r="D922" s="1763"/>
      <c r="E922" s="1763"/>
      <c r="F922" s="1764"/>
      <c r="G922" s="1764"/>
      <c r="H922" s="1926"/>
    </row>
    <row r="923" spans="1:8" x14ac:dyDescent="0.2">
      <c r="A923" s="1993" t="str">
        <f>IF(B923="","",COUNTA($B$3:B923))</f>
        <v/>
      </c>
      <c r="B923" s="1994"/>
      <c r="C923" s="1994"/>
      <c r="D923" s="1763"/>
      <c r="E923" s="1763"/>
      <c r="F923" s="1764"/>
      <c r="G923" s="1764"/>
      <c r="H923" s="1926"/>
    </row>
    <row r="924" spans="1:8" x14ac:dyDescent="0.2">
      <c r="A924" s="1993" t="str">
        <f>IF(B924="","",COUNTA($B$3:B924))</f>
        <v/>
      </c>
      <c r="B924" s="1994"/>
      <c r="C924" s="1994"/>
      <c r="D924" s="1763"/>
      <c r="E924" s="1763"/>
      <c r="F924" s="1764"/>
      <c r="G924" s="1764"/>
      <c r="H924" s="1926"/>
    </row>
    <row r="925" spans="1:8" x14ac:dyDescent="0.2">
      <c r="A925" s="1993" t="str">
        <f>IF(B925="","",COUNTA($B$3:B925))</f>
        <v/>
      </c>
      <c r="B925" s="1994"/>
      <c r="C925" s="1994"/>
      <c r="D925" s="1763"/>
      <c r="E925" s="1763"/>
      <c r="F925" s="1764"/>
      <c r="G925" s="1764"/>
      <c r="H925" s="1926"/>
    </row>
    <row r="926" spans="1:8" x14ac:dyDescent="0.2">
      <c r="A926" s="1993" t="str">
        <f>IF(B926="","",COUNTA($B$3:B926))</f>
        <v/>
      </c>
      <c r="B926" s="1994"/>
      <c r="C926" s="1994"/>
      <c r="D926" s="1763"/>
      <c r="E926" s="1763"/>
      <c r="F926" s="1764"/>
      <c r="G926" s="1764"/>
      <c r="H926" s="1926"/>
    </row>
    <row r="927" spans="1:8" x14ac:dyDescent="0.2">
      <c r="A927" s="1993" t="str">
        <f>IF(B927="","",COUNTA($B$3:B927))</f>
        <v/>
      </c>
      <c r="B927" s="1994"/>
      <c r="C927" s="1994"/>
      <c r="D927" s="1763"/>
      <c r="E927" s="1763"/>
      <c r="F927" s="1766"/>
      <c r="G927" s="1764"/>
      <c r="H927" s="1926"/>
    </row>
    <row r="928" spans="1:8" x14ac:dyDescent="0.2">
      <c r="A928" s="1993" t="str">
        <f>IF(B928="","",COUNTA($B$3:B928))</f>
        <v/>
      </c>
      <c r="B928" s="1994"/>
      <c r="C928" s="1994"/>
      <c r="D928" s="1763"/>
      <c r="E928" s="1763"/>
      <c r="F928" s="1766"/>
      <c r="G928" s="1764"/>
      <c r="H928" s="1926"/>
    </row>
    <row r="929" spans="1:8" x14ac:dyDescent="0.2">
      <c r="A929" s="1993" t="str">
        <f>IF(B929="","",COUNTA($B$3:B929))</f>
        <v/>
      </c>
      <c r="B929" s="1994"/>
      <c r="C929" s="1994"/>
      <c r="D929" s="1763"/>
      <c r="E929" s="1763"/>
      <c r="F929" s="1766"/>
      <c r="G929" s="1764"/>
      <c r="H929" s="1926"/>
    </row>
    <row r="930" spans="1:8" x14ac:dyDescent="0.2">
      <c r="A930" s="1993" t="str">
        <f>IF(B930="","",COUNTA($B$3:B930))</f>
        <v/>
      </c>
      <c r="B930" s="1994"/>
      <c r="C930" s="1994"/>
      <c r="D930" s="1763"/>
      <c r="E930" s="1763"/>
      <c r="F930" s="1764"/>
      <c r="G930" s="1764"/>
      <c r="H930" s="1926"/>
    </row>
    <row r="931" spans="1:8" x14ac:dyDescent="0.2">
      <c r="A931" s="1993" t="str">
        <f>IF(B931="","",COUNTA($B$3:B931))</f>
        <v/>
      </c>
      <c r="B931" s="1994"/>
      <c r="C931" s="1994"/>
      <c r="D931" s="1763"/>
      <c r="E931" s="1763"/>
      <c r="F931" s="1764"/>
      <c r="G931" s="1764"/>
      <c r="H931" s="1926"/>
    </row>
    <row r="932" spans="1:8" x14ac:dyDescent="0.2">
      <c r="A932" s="1993" t="str">
        <f>IF(B932="","",COUNTA($B$3:B932))</f>
        <v/>
      </c>
      <c r="B932" s="1994"/>
      <c r="C932" s="1994"/>
      <c r="D932" s="1763"/>
      <c r="E932" s="1763"/>
      <c r="F932" s="1764"/>
      <c r="G932" s="1764"/>
      <c r="H932" s="1926"/>
    </row>
    <row r="933" spans="1:8" x14ac:dyDescent="0.2">
      <c r="A933" s="1993" t="str">
        <f>IF(B933="","",COUNTA($B$3:B933))</f>
        <v/>
      </c>
      <c r="B933" s="1994"/>
      <c r="C933" s="1994"/>
      <c r="D933" s="1763"/>
      <c r="E933" s="1763"/>
      <c r="F933" s="1764"/>
      <c r="G933" s="1764"/>
      <c r="H933" s="1926"/>
    </row>
    <row r="934" spans="1:8" x14ac:dyDescent="0.2">
      <c r="A934" s="2026" t="str">
        <f>IF(B934="","",COUNTA($B$3:B973))</f>
        <v/>
      </c>
      <c r="B934" s="1994"/>
      <c r="C934" s="1994"/>
      <c r="D934" s="1763"/>
      <c r="E934" s="1763"/>
      <c r="F934" s="1764"/>
      <c r="G934" s="1764"/>
      <c r="H934" s="2027"/>
    </row>
    <row r="935" spans="1:8" x14ac:dyDescent="0.2">
      <c r="A935" s="1993" t="str">
        <f>IF(B935="","",COUNTA($B$3:B935))</f>
        <v/>
      </c>
      <c r="B935" s="1994"/>
      <c r="C935" s="1994"/>
      <c r="D935" s="1763"/>
      <c r="E935" s="1763"/>
      <c r="F935" s="1764"/>
      <c r="G935" s="1764"/>
      <c r="H935" s="1926"/>
    </row>
    <row r="936" spans="1:8" x14ac:dyDescent="0.2">
      <c r="A936" s="1993" t="str">
        <f>IF(B936="","",COUNTA($B$3:B936))</f>
        <v/>
      </c>
      <c r="B936" s="1994"/>
      <c r="C936" s="1994"/>
      <c r="D936" s="1763"/>
      <c r="E936" s="1763"/>
      <c r="F936" s="1764"/>
      <c r="G936" s="1764"/>
      <c r="H936" s="1926"/>
    </row>
    <row r="937" spans="1:8" x14ac:dyDescent="0.2">
      <c r="A937" s="1993" t="str">
        <f>IF(B937="","",COUNTA($B$3:B937))</f>
        <v/>
      </c>
      <c r="B937" s="1994"/>
      <c r="C937" s="1994"/>
      <c r="D937" s="1763"/>
      <c r="E937" s="1763"/>
      <c r="F937" s="1764"/>
      <c r="G937" s="1764"/>
      <c r="H937" s="1926"/>
    </row>
    <row r="938" spans="1:8" x14ac:dyDescent="0.2">
      <c r="A938" s="1993" t="str">
        <f>IF(B938="","",COUNTA($B$3:B938))</f>
        <v/>
      </c>
      <c r="B938" s="1994"/>
      <c r="C938" s="1994"/>
      <c r="D938" s="1763"/>
      <c r="E938" s="1763"/>
      <c r="F938" s="1764"/>
      <c r="G938" s="1764"/>
      <c r="H938" s="1926"/>
    </row>
    <row r="939" spans="1:8" x14ac:dyDescent="0.2">
      <c r="A939" s="1993" t="str">
        <f>IF(B939="","",COUNTA($B$3:B939))</f>
        <v/>
      </c>
      <c r="B939" s="1994"/>
      <c r="C939" s="1994"/>
      <c r="D939" s="1763"/>
      <c r="E939" s="1763"/>
      <c r="F939" s="1764"/>
      <c r="G939" s="1764"/>
      <c r="H939" s="1926"/>
    </row>
    <row r="940" spans="1:8" x14ac:dyDescent="0.2">
      <c r="A940" s="1993" t="str">
        <f>IF(B940="","",COUNTA($B$3:B940))</f>
        <v/>
      </c>
      <c r="B940" s="1994"/>
      <c r="C940" s="1994"/>
      <c r="D940" s="1763"/>
      <c r="E940" s="1763"/>
      <c r="F940" s="1764"/>
      <c r="G940" s="1764"/>
      <c r="H940" s="1926"/>
    </row>
    <row r="941" spans="1:8" x14ac:dyDescent="0.2">
      <c r="A941" s="1993" t="str">
        <f>IF(B941="","",COUNTA($B$3:B941))</f>
        <v/>
      </c>
      <c r="B941" s="1994"/>
      <c r="C941" s="1994"/>
      <c r="D941" s="1763"/>
      <c r="E941" s="1763"/>
      <c r="F941" s="1764"/>
      <c r="G941" s="1764"/>
      <c r="H941" s="1926"/>
    </row>
    <row r="942" spans="1:8" x14ac:dyDescent="0.2">
      <c r="A942" s="1993" t="str">
        <f>IF(B942="","",COUNTA($B$3:B942))</f>
        <v/>
      </c>
      <c r="B942" s="1994"/>
      <c r="C942" s="1994"/>
      <c r="D942" s="1763"/>
      <c r="E942" s="1763"/>
      <c r="F942" s="1764"/>
      <c r="G942" s="1764"/>
      <c r="H942" s="1926"/>
    </row>
    <row r="943" spans="1:8" x14ac:dyDescent="0.2">
      <c r="A943" s="1993" t="str">
        <f>IF(B943="","",COUNTA($B$3:B943))</f>
        <v/>
      </c>
      <c r="B943" s="1994"/>
      <c r="C943" s="1994"/>
      <c r="D943" s="1763"/>
      <c r="E943" s="1763"/>
      <c r="F943" s="1764"/>
      <c r="G943" s="1764"/>
      <c r="H943" s="1926"/>
    </row>
    <row r="944" spans="1:8" x14ac:dyDescent="0.2">
      <c r="A944" s="1993" t="str">
        <f>IF(B944="","",COUNTA($B$3:B944))</f>
        <v/>
      </c>
      <c r="B944" s="1994"/>
      <c r="C944" s="1994"/>
      <c r="D944" s="1763"/>
      <c r="E944" s="1763"/>
      <c r="F944" s="1764"/>
      <c r="G944" s="1764"/>
      <c r="H944" s="1926"/>
    </row>
    <row r="945" spans="1:8" x14ac:dyDescent="0.2">
      <c r="A945" s="1993" t="str">
        <f>IF(B945="","",COUNTA($B$3:B945))</f>
        <v/>
      </c>
      <c r="B945" s="1994"/>
      <c r="C945" s="1994"/>
      <c r="D945" s="1763"/>
      <c r="E945" s="1763"/>
      <c r="F945" s="1764"/>
      <c r="G945" s="1764"/>
      <c r="H945" s="1926"/>
    </row>
    <row r="946" spans="1:8" x14ac:dyDescent="0.2">
      <c r="A946" s="1993" t="str">
        <f>IF(B946="","",COUNTA($B$3:B946))</f>
        <v/>
      </c>
      <c r="B946" s="1994"/>
      <c r="C946" s="1994"/>
      <c r="D946" s="1763"/>
      <c r="E946" s="1763"/>
      <c r="F946" s="1764"/>
      <c r="G946" s="1764"/>
      <c r="H946" s="1926"/>
    </row>
    <row r="947" spans="1:8" x14ac:dyDescent="0.2">
      <c r="A947" s="1993" t="str">
        <f>IF(B947="","",COUNTA($B$3:B947))</f>
        <v/>
      </c>
      <c r="B947" s="1994"/>
      <c r="C947" s="1994"/>
      <c r="D947" s="1763"/>
      <c r="E947" s="1763"/>
      <c r="F947" s="1764"/>
      <c r="G947" s="1764"/>
      <c r="H947" s="1926"/>
    </row>
    <row r="948" spans="1:8" x14ac:dyDescent="0.2">
      <c r="A948" s="1993" t="str">
        <f>IF(B948="","",COUNTA($B$3:B948))</f>
        <v/>
      </c>
      <c r="B948" s="1994"/>
      <c r="C948" s="1994"/>
      <c r="D948" s="1763"/>
      <c r="E948" s="1763"/>
      <c r="F948" s="1764"/>
      <c r="G948" s="1764"/>
      <c r="H948" s="1926"/>
    </row>
    <row r="949" spans="1:8" x14ac:dyDescent="0.2">
      <c r="A949" s="1993" t="str">
        <f>IF(B949="","",COUNTA($B$3:B949))</f>
        <v/>
      </c>
      <c r="B949" s="1994"/>
      <c r="C949" s="1994"/>
      <c r="D949" s="1763"/>
      <c r="E949" s="1763"/>
      <c r="F949" s="1764"/>
      <c r="G949" s="1764"/>
      <c r="H949" s="1926"/>
    </row>
    <row r="950" spans="1:8" x14ac:dyDescent="0.2">
      <c r="A950" s="1993" t="str">
        <f>IF(B950="","",COUNTA($B$3:B950))</f>
        <v/>
      </c>
      <c r="B950" s="1994"/>
      <c r="C950" s="1994"/>
      <c r="D950" s="1763"/>
      <c r="E950" s="1763"/>
      <c r="F950" s="1764"/>
      <c r="G950" s="1764"/>
      <c r="H950" s="1926"/>
    </row>
    <row r="951" spans="1:8" x14ac:dyDescent="0.2">
      <c r="A951" s="1993" t="str">
        <f>IF(B951="","",COUNTA($B$3:B951))</f>
        <v/>
      </c>
      <c r="B951" s="1994"/>
      <c r="C951" s="1994"/>
      <c r="D951" s="1763"/>
      <c r="E951" s="1763"/>
      <c r="F951" s="1764"/>
      <c r="G951" s="1764"/>
      <c r="H951" s="1926"/>
    </row>
    <row r="952" spans="1:8" x14ac:dyDescent="0.2">
      <c r="A952" s="1993" t="str">
        <f>IF(B952="","",COUNTA($B$3:B952))</f>
        <v/>
      </c>
      <c r="B952" s="1994"/>
      <c r="C952" s="1994"/>
      <c r="D952" s="1763"/>
      <c r="E952" s="1763"/>
      <c r="F952" s="1764"/>
      <c r="G952" s="1764"/>
      <c r="H952" s="1926"/>
    </row>
    <row r="953" spans="1:8" x14ac:dyDescent="0.2">
      <c r="A953" s="2026" t="str">
        <f>IF(B953="","",COUNTA($B$3:B973))</f>
        <v/>
      </c>
      <c r="B953" s="1994"/>
      <c r="C953" s="1994"/>
      <c r="D953" s="1763"/>
      <c r="E953" s="1763"/>
      <c r="F953" s="1764"/>
      <c r="G953" s="1764"/>
      <c r="H953" s="2027"/>
    </row>
    <row r="954" spans="1:8" x14ac:dyDescent="0.2">
      <c r="A954" s="1993" t="str">
        <f>IF(B954="","",COUNTA($B$3:B954))</f>
        <v/>
      </c>
      <c r="B954" s="1994"/>
      <c r="C954" s="1994"/>
      <c r="D954" s="1763"/>
      <c r="E954" s="1763"/>
      <c r="F954" s="1764"/>
      <c r="G954" s="1764"/>
      <c r="H954" s="1926"/>
    </row>
    <row r="955" spans="1:8" x14ac:dyDescent="0.2">
      <c r="A955" s="1993" t="str">
        <f>IF(B955="","",COUNTA($B$3:B955))</f>
        <v/>
      </c>
      <c r="B955" s="1994"/>
      <c r="C955" s="1994"/>
      <c r="D955" s="1763"/>
      <c r="E955" s="1763"/>
      <c r="F955" s="1764"/>
      <c r="G955" s="1764"/>
      <c r="H955" s="1926"/>
    </row>
    <row r="956" spans="1:8" x14ac:dyDescent="0.2">
      <c r="A956" s="1993" t="str">
        <f>IF(B956="","",COUNTA($B$3:B956))</f>
        <v/>
      </c>
      <c r="B956" s="1994"/>
      <c r="C956" s="1994"/>
      <c r="D956" s="1763"/>
      <c r="E956" s="1763"/>
      <c r="F956" s="1764"/>
      <c r="G956" s="1764"/>
      <c r="H956" s="1926"/>
    </row>
    <row r="957" spans="1:8" x14ac:dyDescent="0.2">
      <c r="A957" s="1993" t="str">
        <f>IF(B957="","",COUNTA($B$3:B957))</f>
        <v/>
      </c>
      <c r="B957" s="1994"/>
      <c r="C957" s="1994"/>
      <c r="D957" s="1763"/>
      <c r="E957" s="1763"/>
      <c r="F957" s="1764"/>
      <c r="G957" s="1764"/>
      <c r="H957" s="1926"/>
    </row>
    <row r="958" spans="1:8" x14ac:dyDescent="0.2">
      <c r="A958" s="1993" t="str">
        <f>IF(B958="","",COUNTA($B$3:B958))</f>
        <v/>
      </c>
      <c r="B958" s="1994"/>
      <c r="C958" s="1994"/>
      <c r="D958" s="1763"/>
      <c r="E958" s="1763"/>
      <c r="F958" s="1764"/>
      <c r="G958" s="1764"/>
      <c r="H958" s="1926"/>
    </row>
    <row r="959" spans="1:8" x14ac:dyDescent="0.2">
      <c r="A959" s="1993" t="str">
        <f>IF(B959="","",COUNTA($B$3:B959))</f>
        <v/>
      </c>
      <c r="B959" s="1994"/>
      <c r="C959" s="1994"/>
      <c r="D959" s="1763"/>
      <c r="E959" s="1763"/>
      <c r="F959" s="1764"/>
      <c r="G959" s="1764"/>
      <c r="H959" s="1926"/>
    </row>
    <row r="960" spans="1:8" x14ac:dyDescent="0.2">
      <c r="A960" s="1993" t="str">
        <f>IF(B960="","",COUNTA($B$3:B960))</f>
        <v/>
      </c>
      <c r="B960" s="1994"/>
      <c r="C960" s="1994"/>
      <c r="D960" s="1763"/>
      <c r="E960" s="1763"/>
      <c r="F960" s="1764"/>
      <c r="G960" s="1764"/>
      <c r="H960" s="1926"/>
    </row>
    <row r="961" spans="1:8" x14ac:dyDescent="0.2">
      <c r="A961" s="2026" t="str">
        <f>IF(B961="","",COUNTA($B$3:B973))</f>
        <v/>
      </c>
      <c r="B961" s="1994"/>
      <c r="C961" s="1994"/>
      <c r="D961" s="1763"/>
      <c r="E961" s="1763"/>
      <c r="F961" s="1764"/>
      <c r="G961" s="1764"/>
      <c r="H961" s="2027"/>
    </row>
    <row r="962" spans="1:8" x14ac:dyDescent="0.2">
      <c r="A962" s="1993" t="str">
        <f>IF(B962="","",COUNTA($B$3:B973))</f>
        <v/>
      </c>
      <c r="B962" s="1994"/>
      <c r="C962" s="1994"/>
      <c r="D962" s="1763"/>
      <c r="E962" s="1763"/>
      <c r="F962" s="1764"/>
      <c r="G962" s="1764"/>
      <c r="H962" s="1926"/>
    </row>
    <row r="963" spans="1:8" x14ac:dyDescent="0.2">
      <c r="A963" s="1993" t="str">
        <f>IF(B963="","",COUNTA($B$3:B963))</f>
        <v/>
      </c>
      <c r="B963" s="1994"/>
      <c r="C963" s="1994"/>
      <c r="D963" s="1763"/>
      <c r="E963" s="1763"/>
      <c r="F963" s="1764"/>
      <c r="G963" s="1764"/>
      <c r="H963" s="1926"/>
    </row>
    <row r="964" spans="1:8" x14ac:dyDescent="0.2">
      <c r="A964" s="1993" t="str">
        <f>IF(B964="","",COUNTA($B$3:B964))</f>
        <v/>
      </c>
      <c r="B964" s="1994"/>
      <c r="C964" s="1994"/>
      <c r="D964" s="1763"/>
      <c r="E964" s="1763"/>
      <c r="F964" s="1764"/>
      <c r="G964" s="1764"/>
      <c r="H964" s="1926"/>
    </row>
    <row r="965" spans="1:8" x14ac:dyDescent="0.2">
      <c r="A965" s="1993" t="str">
        <f>IF(B965="","",COUNTA($B$3:B965))</f>
        <v/>
      </c>
      <c r="B965" s="1994"/>
      <c r="C965" s="1994"/>
      <c r="D965" s="1763"/>
      <c r="E965" s="1763"/>
      <c r="F965" s="1764"/>
      <c r="G965" s="1764"/>
      <c r="H965" s="1926"/>
    </row>
    <row r="966" spans="1:8" x14ac:dyDescent="0.2">
      <c r="A966" s="1993" t="str">
        <f>IF(B966="","",COUNTA($B$3:B966))</f>
        <v/>
      </c>
      <c r="B966" s="1994"/>
      <c r="C966" s="1994"/>
      <c r="D966" s="1763"/>
      <c r="E966" s="1763"/>
      <c r="F966" s="1764"/>
      <c r="G966" s="1764"/>
      <c r="H966" s="1926"/>
    </row>
    <row r="967" spans="1:8" x14ac:dyDescent="0.2">
      <c r="A967" s="1993" t="str">
        <f>IF(B967="","",COUNTA($B$3:B967))</f>
        <v/>
      </c>
      <c r="B967" s="1994"/>
      <c r="C967" s="1994"/>
      <c r="D967" s="1763"/>
      <c r="E967" s="1763"/>
      <c r="F967" s="1764"/>
      <c r="G967" s="1764"/>
      <c r="H967" s="1926"/>
    </row>
    <row r="968" spans="1:8" x14ac:dyDescent="0.2">
      <c r="A968" s="1993" t="str">
        <f>IF(B968="","",COUNTA($B$3:B968))</f>
        <v/>
      </c>
      <c r="B968" s="1994"/>
      <c r="C968" s="1994"/>
      <c r="D968" s="1763"/>
      <c r="E968" s="1763"/>
      <c r="F968" s="1764"/>
      <c r="G968" s="1764"/>
      <c r="H968" s="1926"/>
    </row>
    <row r="969" spans="1:8" x14ac:dyDescent="0.2">
      <c r="A969" s="1993" t="str">
        <f>IF(B969="","",COUNTA($B$3:B969))</f>
        <v/>
      </c>
      <c r="B969" s="1994"/>
      <c r="C969" s="1994"/>
      <c r="D969" s="1763"/>
      <c r="E969" s="1763"/>
      <c r="F969" s="1764"/>
      <c r="G969" s="1764"/>
      <c r="H969" s="1926"/>
    </row>
    <row r="970" spans="1:8" x14ac:dyDescent="0.2">
      <c r="A970" s="1993" t="str">
        <f>IF(B970="","",COUNTA($B$3:B970))</f>
        <v/>
      </c>
      <c r="B970" s="1994"/>
      <c r="C970" s="1994"/>
      <c r="D970" s="1763"/>
      <c r="E970" s="1763"/>
      <c r="F970" s="1764"/>
      <c r="G970" s="1764"/>
      <c r="H970" s="1926"/>
    </row>
    <row r="971" spans="1:8" x14ac:dyDescent="0.2">
      <c r="A971" s="1993" t="str">
        <f>IF(B971="","",COUNTA($B$3:B971))</f>
        <v/>
      </c>
      <c r="B971" s="1994"/>
      <c r="C971" s="1994"/>
      <c r="D971" s="1763"/>
      <c r="E971" s="1763"/>
      <c r="F971" s="1764"/>
      <c r="G971" s="1764"/>
      <c r="H971" s="1926"/>
    </row>
    <row r="972" spans="1:8" x14ac:dyDescent="0.2">
      <c r="A972" s="1993" t="str">
        <f>IF(B972="","",COUNTA($B$3:B972))</f>
        <v/>
      </c>
      <c r="B972" s="1994"/>
      <c r="C972" s="1994"/>
      <c r="D972" s="1763"/>
      <c r="E972" s="1763"/>
      <c r="F972" s="1764"/>
      <c r="G972" s="1764"/>
      <c r="H972" s="1926"/>
    </row>
    <row r="973" spans="1:8" x14ac:dyDescent="0.2">
      <c r="A973" s="2026" t="str">
        <f>IF(B973="","",COUNTA($B$3:B973))</f>
        <v/>
      </c>
      <c r="B973" s="1995"/>
      <c r="C973" s="1995"/>
      <c r="D973" s="1765"/>
      <c r="E973" s="1765"/>
      <c r="F973" s="1766"/>
      <c r="G973" s="1766"/>
      <c r="H973" s="2027"/>
    </row>
  </sheetData>
  <phoneticPr fontId="40" type="noConversion"/>
  <dataValidations count="1">
    <dataValidation type="list" allowBlank="1" showInputMessage="1" showErrorMessage="1" sqref="G3:G973" xr:uid="{6CFFE4DF-AE93-4CC4-AC4C-C382D01180E6}">
      <formula1>"A1, A, B"</formula1>
    </dataValidation>
  </dataValidations>
  <pageMargins left="0.7" right="0.7" top="0.75" bottom="0.75" header="0.3" footer="0.3"/>
  <pageSetup paperSize="9" orientation="portrait" horizontalDpi="0" verticalDpi="0"/>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D35531E8-5CE4-4C4A-A694-FC8DD8903233}">
          <x14:formula1>
            <xm:f>'Phụ lục'!$A$3:$A$20</xm:f>
          </x14:formula1>
          <xm:sqref>E3:E973</xm:sqref>
        </x14:dataValidation>
        <x14:dataValidation type="list" allowBlank="1" showInputMessage="1" showErrorMessage="1" xr:uid="{F1C22BCB-B61B-4F6D-B978-BCE4D58E1228}">
          <x14:formula1>
            <xm:f>'Phụ lục'!$K$3:$K$16</xm:f>
          </x14:formula1>
          <xm:sqref>D3:D973</xm:sqref>
        </x14:dataValidation>
        <x14:dataValidation type="list" allowBlank="1" showInputMessage="1" showErrorMessage="1" xr:uid="{48710D2E-061C-4A14-A517-47E2F7D8FF70}">
          <x14:formula1>
            <xm:f>'Phụ lục'!$N$3:$N$16</xm:f>
          </x14:formula1>
          <xm:sqref>C3:C973</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B5434-7DF9-4895-99A0-096B317A209A}">
  <sheetPr codeName="Sheet9"/>
  <dimension ref="A1:O493"/>
  <sheetViews>
    <sheetView tabSelected="1" topLeftCell="A226" zoomScale="110" zoomScaleNormal="110" workbookViewId="0">
      <selection activeCell="G238" sqref="G238:K238"/>
    </sheetView>
  </sheetViews>
  <sheetFormatPr baseColWidth="10" defaultColWidth="8.83203125" defaultRowHeight="16" x14ac:dyDescent="0.2"/>
  <cols>
    <col min="1" max="1" width="6.5" style="1725" customWidth="1"/>
    <col min="2" max="3" width="8.6640625" style="1725"/>
    <col min="4" max="4" width="11.6640625" style="1725" customWidth="1"/>
    <col min="5" max="5" width="20.5" style="1725" bestFit="1" customWidth="1"/>
    <col min="6" max="6" width="8.6640625" style="1725"/>
    <col min="7" max="7" width="20.1640625" bestFit="1" customWidth="1"/>
    <col min="8" max="8" width="10.83203125" customWidth="1"/>
    <col min="9" max="9" width="12.33203125" bestFit="1" customWidth="1"/>
    <col min="10" max="10" width="12.5" style="1725" customWidth="1"/>
    <col min="11" max="11" width="11.33203125" style="1725" customWidth="1"/>
    <col min="12" max="12" width="19" style="1725" bestFit="1" customWidth="1"/>
    <col min="13" max="13" width="16.6640625" bestFit="1" customWidth="1"/>
  </cols>
  <sheetData>
    <row r="1" spans="1:15" x14ac:dyDescent="0.2">
      <c r="A1" s="1621" t="s">
        <v>1031</v>
      </c>
      <c r="B1" s="1621"/>
      <c r="C1" s="1621"/>
      <c r="D1" s="1621"/>
      <c r="E1" s="1621"/>
      <c r="F1" s="1621"/>
      <c r="G1" s="1621"/>
      <c r="H1" s="1621"/>
      <c r="I1" s="1621"/>
      <c r="J1" s="1729"/>
      <c r="K1" s="1729"/>
      <c r="L1" s="1729"/>
    </row>
    <row r="2" spans="1:15" x14ac:dyDescent="0.2">
      <c r="A2" s="1976" t="s">
        <v>39</v>
      </c>
      <c r="B2" s="1985" t="s">
        <v>1010</v>
      </c>
      <c r="C2" s="1985" t="s">
        <v>34</v>
      </c>
      <c r="D2" s="1985" t="s">
        <v>6</v>
      </c>
      <c r="E2" s="1985" t="s">
        <v>191</v>
      </c>
      <c r="F2" s="1985" t="s">
        <v>17</v>
      </c>
      <c r="G2" s="1985" t="s">
        <v>149</v>
      </c>
      <c r="H2" s="1985" t="s">
        <v>193</v>
      </c>
      <c r="I2" s="1985" t="s">
        <v>151</v>
      </c>
      <c r="J2" s="1985" t="s">
        <v>1029</v>
      </c>
      <c r="K2" s="2016" t="s">
        <v>1030</v>
      </c>
      <c r="L2" s="2016" t="s">
        <v>1235</v>
      </c>
    </row>
    <row r="3" spans="1:15" x14ac:dyDescent="0.2">
      <c r="A3" s="1986">
        <f>IF(B3="","",COUNTA($B$3:B3))</f>
        <v>1</v>
      </c>
      <c r="B3" s="1977">
        <v>1</v>
      </c>
      <c r="C3" s="2401" t="s">
        <v>5</v>
      </c>
      <c r="D3" s="2401" t="s">
        <v>115</v>
      </c>
      <c r="E3" s="1969" t="s">
        <v>163</v>
      </c>
      <c r="F3" s="2401" t="str">
        <f>IFERROR(VLOOKUP(Table4[[#This Row],[Nguyên liệu, vật tư]],TblMap[[Mới (quy định lại)]:[Đơn vị]],2,0),"")</f>
        <v>Kg</v>
      </c>
      <c r="G3" s="1991">
        <v>19.04</v>
      </c>
      <c r="H3"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18.85278258092508</v>
      </c>
      <c r="I3" s="2028">
        <v>2370754</v>
      </c>
      <c r="J3"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23542.755199999872</v>
      </c>
      <c r="K3"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3"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125750.88</v>
      </c>
      <c r="O3" t="s">
        <v>1197</v>
      </c>
    </row>
    <row r="4" spans="1:15" x14ac:dyDescent="0.2">
      <c r="A4" s="1986">
        <f>IF(B4="","",COUNTA($B$3:B4))</f>
        <v>2</v>
      </c>
      <c r="B4" s="1977">
        <v>1</v>
      </c>
      <c r="C4" s="2401" t="s">
        <v>5</v>
      </c>
      <c r="D4" s="2401" t="s">
        <v>115</v>
      </c>
      <c r="E4" s="2400" t="s">
        <v>1176</v>
      </c>
      <c r="F4" s="2401" t="str">
        <f>IFERROR(VLOOKUP(Table4[[#This Row],[Nguyên liệu, vật tư]],TblMap[[Mới (quy định lại)]:[Đơn vị]],2,0),"")</f>
        <v>Kg</v>
      </c>
      <c r="G4" s="1991">
        <v>0.45600000000000002</v>
      </c>
      <c r="H4"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0.43856551938244887</v>
      </c>
      <c r="I4" s="2028">
        <v>55150</v>
      </c>
      <c r="J4"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2192.401280000001</v>
      </c>
      <c r="K4"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4"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125750.88</v>
      </c>
    </row>
    <row r="5" spans="1:15" x14ac:dyDescent="0.2">
      <c r="A5" s="1986">
        <f>IF(B5="","",COUNTA($B$3:B5))</f>
        <v>3</v>
      </c>
      <c r="B5" s="1977">
        <v>1</v>
      </c>
      <c r="C5" s="1977" t="s">
        <v>5</v>
      </c>
      <c r="D5" s="1977" t="s">
        <v>115</v>
      </c>
      <c r="E5" s="1987" t="s">
        <v>1189</v>
      </c>
      <c r="F5" s="1977" t="str">
        <f>IFERROR(VLOOKUP(Table4[[#This Row],[Nguyên liệu, vật tư]],TblMap[[Mới (quy định lại)]:[Đơn vị]],2,0),"")</f>
        <v>Kg</v>
      </c>
      <c r="G5" s="1989">
        <v>0.38300000000000001</v>
      </c>
      <c r="H5"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c r="I5" s="2028"/>
      <c r="J5"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0</v>
      </c>
      <c r="K5" s="1988">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0</v>
      </c>
      <c r="L5"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row>
    <row r="6" spans="1:15" x14ac:dyDescent="0.2">
      <c r="A6" s="1986">
        <f>IF(B6="","",COUNTA($B$3:B6))</f>
        <v>4</v>
      </c>
      <c r="B6" s="1977">
        <v>1</v>
      </c>
      <c r="C6" s="1977" t="s">
        <v>5</v>
      </c>
      <c r="D6" s="1977" t="s">
        <v>115</v>
      </c>
      <c r="E6" s="1987" t="s">
        <v>1183</v>
      </c>
      <c r="F6" s="1977" t="str">
        <f>IFERROR(VLOOKUP(Table4[[#This Row],[Nguyên liệu, vật tư]],TblMap[[Mới (quy định lại)]:[Đơn vị]],2,0),"")</f>
        <v>Kg</v>
      </c>
      <c r="G6" s="1989">
        <v>0.53800000000000003</v>
      </c>
      <c r="H6"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c r="I6" s="2028"/>
      <c r="J6"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0</v>
      </c>
      <c r="K6" s="1988">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0</v>
      </c>
      <c r="L6"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row>
    <row r="7" spans="1:15" x14ac:dyDescent="0.2">
      <c r="A7" s="1986">
        <f>IF(B7="","",COUNTA($B$3:B7))</f>
        <v>5</v>
      </c>
      <c r="B7" s="1977">
        <v>1</v>
      </c>
      <c r="C7" s="1977" t="s">
        <v>5</v>
      </c>
      <c r="D7" s="1977" t="s">
        <v>115</v>
      </c>
      <c r="E7" s="1987" t="s">
        <v>1177</v>
      </c>
      <c r="F7" s="1977" t="str">
        <f>IFERROR(VLOOKUP(Table4[[#This Row],[Nguyên liệu, vật tư]],TblMap[[Mới (quy định lại)]:[Đơn vị]],2,0),"")</f>
        <v>Kg</v>
      </c>
      <c r="G7" s="1991">
        <v>0.434</v>
      </c>
      <c r="H7"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0.41910641102471807</v>
      </c>
      <c r="I7" s="2028">
        <v>52703</v>
      </c>
      <c r="J7"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1872.8819200000003</v>
      </c>
      <c r="K7"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7"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125750.88</v>
      </c>
    </row>
    <row r="8" spans="1:15" x14ac:dyDescent="0.2">
      <c r="A8" s="1986">
        <f>IF(B8="","",COUNTA($B$3:B8))</f>
        <v>6</v>
      </c>
      <c r="B8" s="1977">
        <v>1</v>
      </c>
      <c r="C8" s="1977" t="s">
        <v>5</v>
      </c>
      <c r="D8" s="1977" t="s">
        <v>115</v>
      </c>
      <c r="E8" s="1987" t="s">
        <v>1184</v>
      </c>
      <c r="F8" s="1977" t="str">
        <f>IFERROR(VLOOKUP(Table4[[#This Row],[Nguyên liệu, vật tư]],TblMap[[Mới (quy định lại)]:[Đơn vị]],2,0),"")</f>
        <v>Kg</v>
      </c>
      <c r="G8" s="1989">
        <v>0.624</v>
      </c>
      <c r="H8"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c r="I8" s="2028"/>
      <c r="J8"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0</v>
      </c>
      <c r="K8" s="1988">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0</v>
      </c>
      <c r="L8"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row>
    <row r="9" spans="1:15" x14ac:dyDescent="0.2">
      <c r="A9" s="1986">
        <f>IF(B9="","",COUNTA($B$3:B9))</f>
        <v>7</v>
      </c>
      <c r="B9" s="1977">
        <v>1</v>
      </c>
      <c r="C9" s="1977" t="s">
        <v>5</v>
      </c>
      <c r="D9" s="1977" t="s">
        <v>115</v>
      </c>
      <c r="E9" s="1987" t="s">
        <v>1190</v>
      </c>
      <c r="F9" s="1977" t="str">
        <f>IFERROR(VLOOKUP(Table4[[#This Row],[Nguyên liệu, vật tư]],TblMap[[Mới (quy định lại)]:[Đơn vị]],2,0),"")</f>
        <v>Kg</v>
      </c>
      <c r="G9" s="1989">
        <v>0.434</v>
      </c>
      <c r="H9"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c r="I9" s="2028"/>
      <c r="J9"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0</v>
      </c>
      <c r="K9" s="1988">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0</v>
      </c>
      <c r="L9"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row>
    <row r="10" spans="1:15" x14ac:dyDescent="0.2">
      <c r="A10" s="1986">
        <f>IF(B10="","",COUNTA($B$3:B10))</f>
        <v>8</v>
      </c>
      <c r="B10" s="1977">
        <v>1</v>
      </c>
      <c r="C10" s="1977" t="s">
        <v>5</v>
      </c>
      <c r="D10" s="1977" t="s">
        <v>115</v>
      </c>
      <c r="E10" s="1987" t="s">
        <v>176</v>
      </c>
      <c r="F10" s="1977" t="str">
        <f>IFERROR(VLOOKUP(Table4[[#This Row],[Nguyên liệu, vật tư]],TblMap[[Mới (quy định lại)]:[Đơn vị]],2,0),"")</f>
        <v>Cái</v>
      </c>
      <c r="G10" s="1989">
        <v>0.69699999999999995</v>
      </c>
      <c r="H10"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0.69733110416404243</v>
      </c>
      <c r="I10" s="2028">
        <v>87690</v>
      </c>
      <c r="J10" s="1988" t="str">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
      </c>
      <c r="K10" s="1988">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41.636640000005315</v>
      </c>
      <c r="L10"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125750.88</v>
      </c>
    </row>
    <row r="11" spans="1:15" x14ac:dyDescent="0.2">
      <c r="A11" s="1986">
        <f>IF(B11="","",COUNTA($B$3:B11))</f>
        <v>9</v>
      </c>
      <c r="B11" s="1977">
        <v>1</v>
      </c>
      <c r="C11" s="1977" t="s">
        <v>5</v>
      </c>
      <c r="D11" s="1977" t="s">
        <v>115</v>
      </c>
      <c r="E11" s="1987" t="s">
        <v>177</v>
      </c>
      <c r="F11" s="1977" t="str">
        <f>IFERROR(VLOOKUP(Table4[[#This Row],[Nguyên liệu, vật tư]],TblMap[[Mới (quy định lại)]:[Đơn vị]],2,0),"")</f>
        <v>Kg</v>
      </c>
      <c r="G11" s="1989">
        <v>3.7100000000000001E-2</v>
      </c>
      <c r="H11"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2.5884510708791858E-2</v>
      </c>
      <c r="I11" s="2028">
        <v>3255</v>
      </c>
      <c r="J11"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1410.3576480000004</v>
      </c>
      <c r="K11"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11"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125750.88</v>
      </c>
    </row>
    <row r="12" spans="1:15" x14ac:dyDescent="0.2">
      <c r="A12" s="1986">
        <f>IF(B12="","",COUNTA($B$3:B12))</f>
        <v>10</v>
      </c>
      <c r="B12" s="1977">
        <v>1</v>
      </c>
      <c r="C12" s="1977" t="s">
        <v>5</v>
      </c>
      <c r="D12" s="1977" t="s">
        <v>115</v>
      </c>
      <c r="E12" s="1987" t="s">
        <v>178</v>
      </c>
      <c r="F12" s="1977" t="str">
        <f>IFERROR(VLOOKUP(Table4[[#This Row],[Nguyên liệu, vật tư]],TblMap[[Mới (quy định lại)]:[Đơn vị]],2,0),"")</f>
        <v>Kg</v>
      </c>
      <c r="G12" s="1989">
        <v>8.2000000000000007E-3</v>
      </c>
      <c r="H12"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1.081503366020182E-2</v>
      </c>
      <c r="I12" s="2028">
        <v>1360</v>
      </c>
      <c r="J12" s="1988" t="str">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
      </c>
      <c r="K12" s="1988">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328.84278399999982</v>
      </c>
      <c r="L12"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125750.88</v>
      </c>
    </row>
    <row r="13" spans="1:15" x14ac:dyDescent="0.2">
      <c r="A13" s="1986">
        <f>IF(B13="","",COUNTA($B$3:B13))</f>
        <v>11</v>
      </c>
      <c r="B13" s="1977">
        <v>1</v>
      </c>
      <c r="C13" s="1977" t="s">
        <v>5</v>
      </c>
      <c r="D13" s="1977" t="s">
        <v>115</v>
      </c>
      <c r="E13" s="2400" t="s">
        <v>179</v>
      </c>
      <c r="F13" s="2401" t="str">
        <f>IFERROR(VLOOKUP(Table4[[#This Row],[Nguyên liệu, vật tư]],TblMap[[Mới (quy định lại)]:[Đơn vị]],2,0),"")</f>
        <v>Kg</v>
      </c>
      <c r="G13" s="1991">
        <v>4.2700000000000002E-2</v>
      </c>
      <c r="H13"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1.9880576581253348E-2</v>
      </c>
      <c r="I13" s="2028">
        <v>2500</v>
      </c>
      <c r="J13"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2869.5625760000003</v>
      </c>
      <c r="K13"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13"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125750.88</v>
      </c>
    </row>
    <row r="14" spans="1:15" x14ac:dyDescent="0.2">
      <c r="A14" s="1986">
        <f>IF(B14="","",COUNTA($B$3:B14))</f>
        <v>12</v>
      </c>
      <c r="B14" s="1977">
        <v>1</v>
      </c>
      <c r="C14" s="1977" t="s">
        <v>5</v>
      </c>
      <c r="D14" s="1977" t="s">
        <v>115</v>
      </c>
      <c r="E14" s="1987" t="s">
        <v>1061</v>
      </c>
      <c r="F14" s="1977" t="str">
        <f>IFERROR(VLOOKUP(Table4[[#This Row],[Nguyên liệu, vật tư]],TblMap[[Mới (quy định lại)]:[Đơn vị]],2,0),"")</f>
        <v>Kg</v>
      </c>
      <c r="G14" s="1989">
        <v>3.0000000000000001E-3</v>
      </c>
      <c r="H14"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c r="I14" s="2028"/>
      <c r="J14"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377.25264000000004</v>
      </c>
      <c r="K14"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14"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125750.88</v>
      </c>
    </row>
    <row r="15" spans="1:15" x14ac:dyDescent="0.2">
      <c r="A15" s="1986">
        <f>IF(B15="","",COUNTA($B$3:B15))</f>
        <v>13</v>
      </c>
      <c r="B15" s="1977">
        <v>1</v>
      </c>
      <c r="C15" s="1977" t="s">
        <v>5</v>
      </c>
      <c r="D15" s="1977" t="s">
        <v>115</v>
      </c>
      <c r="E15" s="1987" t="s">
        <v>1062</v>
      </c>
      <c r="F15" s="1977" t="str">
        <f>IFERROR(VLOOKUP(Table4[[#This Row],[Nguyên liệu, vật tư]],TblMap[[Mới (quy định lại)]:[Đơn vị]],2,0),"")</f>
        <v>Kg</v>
      </c>
      <c r="G15" s="1989"/>
      <c r="H15"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c r="I15" s="2028"/>
      <c r="J15"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0</v>
      </c>
      <c r="K15" s="1988">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0</v>
      </c>
      <c r="L15"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125750.88</v>
      </c>
    </row>
    <row r="16" spans="1:15" x14ac:dyDescent="0.2">
      <c r="A16" s="1986">
        <f>IF(B16="","",COUNTA($B$3:B16))</f>
        <v>14</v>
      </c>
      <c r="B16" s="1977">
        <v>1</v>
      </c>
      <c r="C16" s="1977" t="s">
        <v>5</v>
      </c>
      <c r="D16" s="1977" t="s">
        <v>115</v>
      </c>
      <c r="E16" s="1987" t="s">
        <v>182</v>
      </c>
      <c r="F16" s="1977" t="str">
        <f>IFERROR(VLOOKUP(Table4[[#This Row],[Nguyên liệu, vật tư]],TblMap[[Mới (quy định lại)]:[Đơn vị]],2,0),"")</f>
        <v>Kg</v>
      </c>
      <c r="G16" s="1989">
        <v>1.65</v>
      </c>
      <c r="H16"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1.5187806240401658</v>
      </c>
      <c r="I16" s="2028">
        <v>190988</v>
      </c>
      <c r="J16"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16500.951999999987</v>
      </c>
      <c r="K16"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16"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125750.88</v>
      </c>
    </row>
    <row r="17" spans="1:12" x14ac:dyDescent="0.2">
      <c r="A17" s="1986">
        <f>IF(B17="","",COUNTA($B$3:B17))</f>
        <v>15</v>
      </c>
      <c r="B17" s="1977">
        <v>1</v>
      </c>
      <c r="C17" s="1977" t="s">
        <v>5</v>
      </c>
      <c r="D17" s="1977" t="s">
        <v>115</v>
      </c>
      <c r="E17" s="1987" t="s">
        <v>183</v>
      </c>
      <c r="F17" s="1977" t="str">
        <f>IFERROR(VLOOKUP(Table4[[#This Row],[Nguyên liệu, vật tư]],TblMap[[Mới (quy định lại)]:[Đơn vị]],2,0),"")</f>
        <v>Cái</v>
      </c>
      <c r="G17" s="1989">
        <v>6.4000000000000003E-3</v>
      </c>
      <c r="H17"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6.3617845060010714E-3</v>
      </c>
      <c r="I17" s="2028">
        <v>800</v>
      </c>
      <c r="J17"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4.8056320000000241</v>
      </c>
      <c r="K17"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17"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125750.88</v>
      </c>
    </row>
    <row r="18" spans="1:12" x14ac:dyDescent="0.2">
      <c r="A18" s="1986">
        <f>IF(B18="","",COUNTA($B$3:B18))</f>
        <v>16</v>
      </c>
      <c r="B18" s="1977">
        <v>1</v>
      </c>
      <c r="C18" s="1977" t="s">
        <v>5</v>
      </c>
      <c r="D18" s="1977" t="s">
        <v>115</v>
      </c>
      <c r="E18" s="1987" t="s">
        <v>184</v>
      </c>
      <c r="F18" s="1977" t="str">
        <f>IFERROR(VLOOKUP(Table4[[#This Row],[Nguyên liệu, vật tư]],TblMap[[Mới (quy định lại)]:[Đơn vị]],2,0),"")</f>
        <v>Cái</v>
      </c>
      <c r="G18" s="1989">
        <v>4.7239999999999997E-2</v>
      </c>
      <c r="H18"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c r="I18" s="2028"/>
      <c r="J18"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5940.4715711999997</v>
      </c>
      <c r="K18"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18"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125750.88</v>
      </c>
    </row>
    <row r="19" spans="1:12" x14ac:dyDescent="0.2">
      <c r="A19" s="1986">
        <f>IF(B19="","",COUNTA($B$3:B19))</f>
        <v>17</v>
      </c>
      <c r="B19" s="1977">
        <v>1</v>
      </c>
      <c r="C19" s="1977" t="s">
        <v>5</v>
      </c>
      <c r="D19" s="1977" t="s">
        <v>115</v>
      </c>
      <c r="E19" s="1987" t="s">
        <v>185</v>
      </c>
      <c r="F19" s="1977" t="str">
        <f>IFERROR(VLOOKUP(Table4[[#This Row],[Nguyên liệu, vật tư]],TblMap[[Mới (quy định lại)]:[Đơn vị]],2,0),"")</f>
        <v>Kg</v>
      </c>
      <c r="G19" s="1989">
        <v>1.1809999999999999E-2</v>
      </c>
      <c r="H19"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1.2564524399352116E-2</v>
      </c>
      <c r="I19" s="2028">
        <v>1580</v>
      </c>
      <c r="J19" s="1988" t="str">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
      </c>
      <c r="K19"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19"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125750.88</v>
      </c>
    </row>
    <row r="20" spans="1:12" x14ac:dyDescent="0.2">
      <c r="A20" s="1986">
        <f>IF(B20="","",COUNTA($B$3:B20))</f>
        <v>18</v>
      </c>
      <c r="B20" s="1977">
        <v>1</v>
      </c>
      <c r="C20" s="1982" t="s">
        <v>5</v>
      </c>
      <c r="D20" s="1982" t="s">
        <v>115</v>
      </c>
      <c r="E20" s="1990" t="s">
        <v>188</v>
      </c>
      <c r="F20" s="1982" t="str">
        <f>IFERROR(VLOOKUP(Table4[[#This Row],[Nguyên liệu, vật tư]],TblMap[[Mới (quy định lại)]:[Đơn vị]],2,0),"")</f>
        <v>Kg</v>
      </c>
      <c r="G20" s="1992">
        <v>3.4299999999999999E-3</v>
      </c>
      <c r="H20"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2.8628030277004818E-3</v>
      </c>
      <c r="I20" s="2028">
        <v>360</v>
      </c>
      <c r="J20"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71.325518400000021</v>
      </c>
      <c r="K20"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20"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125750.88</v>
      </c>
    </row>
    <row r="21" spans="1:12" x14ac:dyDescent="0.2">
      <c r="A21" s="1986">
        <f>IF(B21="","",COUNTA($B$3:B21))</f>
        <v>19</v>
      </c>
      <c r="B21" s="1977">
        <v>1</v>
      </c>
      <c r="C21" s="1977" t="s">
        <v>25</v>
      </c>
      <c r="D21" s="1977" t="s">
        <v>116</v>
      </c>
      <c r="E21" s="1987" t="s">
        <v>163</v>
      </c>
      <c r="F21" s="1977" t="str">
        <f>IFERROR(VLOOKUP(Table4[[#This Row],[Nguyên liệu, vật tư]],TblMap[[Mới (quy định lại)]:[Đơn vị]],2,0),"")</f>
        <v>Kg</v>
      </c>
      <c r="G21" s="1989">
        <v>21.01</v>
      </c>
      <c r="H21"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19.978127591625324</v>
      </c>
      <c r="I21" s="2028">
        <v>4393973.4000000004</v>
      </c>
      <c r="J21"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226949.19199999998</v>
      </c>
      <c r="K21"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21"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219939.20000000001</v>
      </c>
    </row>
    <row r="22" spans="1:12" x14ac:dyDescent="0.2">
      <c r="A22" s="1986">
        <f>IF(B22="","",COUNTA($B$3:B22))</f>
        <v>20</v>
      </c>
      <c r="B22" s="1977">
        <v>1</v>
      </c>
      <c r="C22" s="1977" t="s">
        <v>25</v>
      </c>
      <c r="D22" s="1977" t="s">
        <v>116</v>
      </c>
      <c r="E22" s="1987" t="s">
        <v>1183</v>
      </c>
      <c r="F22" s="1977" t="str">
        <f>IFERROR(VLOOKUP(Table4[[#This Row],[Nguyên liệu, vật tư]],TblMap[[Mới (quy định lại)]:[Đơn vị]],2,0),"")</f>
        <v>Kg</v>
      </c>
      <c r="G22" s="1989">
        <v>0.48299999999999998</v>
      </c>
      <c r="H22"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0.45363173095109915</v>
      </c>
      <c r="I22" s="2028">
        <v>99771.4</v>
      </c>
      <c r="J22"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6459.2336000000096</v>
      </c>
      <c r="K22"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22"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219939.20000000001</v>
      </c>
    </row>
    <row r="23" spans="1:12" x14ac:dyDescent="0.2">
      <c r="A23" s="1986">
        <f>IF(B23="","",COUNTA($B$3:B23))</f>
        <v>21</v>
      </c>
      <c r="B23" s="1977">
        <v>1</v>
      </c>
      <c r="C23" s="1977" t="s">
        <v>25</v>
      </c>
      <c r="D23" s="1977" t="s">
        <v>116</v>
      </c>
      <c r="E23" s="1987" t="s">
        <v>1184</v>
      </c>
      <c r="F23" s="1977" t="str">
        <f>IFERROR(VLOOKUP(Table4[[#This Row],[Nguyên liệu, vật tư]],TblMap[[Mới (quy định lại)]:[Đơn vị]],2,0),"")</f>
        <v>Kg</v>
      </c>
      <c r="G23" s="1989">
        <v>0.54</v>
      </c>
      <c r="H23"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0.51431213717245483</v>
      </c>
      <c r="I23" s="2028">
        <v>113117.4</v>
      </c>
      <c r="J23"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5649.768000000031</v>
      </c>
      <c r="K23"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23"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219939.20000000001</v>
      </c>
    </row>
    <row r="24" spans="1:12" x14ac:dyDescent="0.2">
      <c r="A24" s="1986">
        <f>IF(B24="","",COUNTA($B$3:B24))</f>
        <v>22</v>
      </c>
      <c r="B24" s="1977">
        <v>1</v>
      </c>
      <c r="C24" s="1977" t="s">
        <v>25</v>
      </c>
      <c r="D24" s="1977" t="s">
        <v>116</v>
      </c>
      <c r="E24" s="1987" t="s">
        <v>176</v>
      </c>
      <c r="F24" s="1977" t="str">
        <f>IFERROR(VLOOKUP(Table4[[#This Row],[Nguyên liệu, vật tư]],TblMap[[Mới (quy định lại)]:[Đơn vị]],2,0),"")</f>
        <v>Cái</v>
      </c>
      <c r="G24" s="1989">
        <v>0.627</v>
      </c>
      <c r="H24"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0.62528644279873702</v>
      </c>
      <c r="I24" s="2028">
        <v>137525</v>
      </c>
      <c r="J24"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376.8784000000195</v>
      </c>
      <c r="K24"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24"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219939.20000000001</v>
      </c>
    </row>
    <row r="25" spans="1:12" x14ac:dyDescent="0.2">
      <c r="A25" s="1986">
        <f>IF(B25="","",COUNTA($B$3:B25))</f>
        <v>23</v>
      </c>
      <c r="B25" s="1977">
        <v>1</v>
      </c>
      <c r="C25" s="1977" t="s">
        <v>25</v>
      </c>
      <c r="D25" s="1977" t="s">
        <v>116</v>
      </c>
      <c r="E25" s="1987" t="s">
        <v>177</v>
      </c>
      <c r="F25" s="1977" t="str">
        <f>IFERROR(VLOOKUP(Table4[[#This Row],[Nguyên liệu, vật tư]],TblMap[[Mới (quy định lại)]:[Đơn vị]],2,0),"")</f>
        <v>Kg</v>
      </c>
      <c r="G25" s="1989">
        <v>2.5000000000000001E-2</v>
      </c>
      <c r="H25"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2.4961443889947765E-2</v>
      </c>
      <c r="I25" s="2029">
        <v>5490</v>
      </c>
      <c r="J25"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8.4800000000009153</v>
      </c>
      <c r="K25"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25"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219939.20000000001</v>
      </c>
    </row>
    <row r="26" spans="1:12" x14ac:dyDescent="0.2">
      <c r="A26" s="1986">
        <f>IF(B26="","",COUNTA($B$3:B26))</f>
        <v>24</v>
      </c>
      <c r="B26" s="1977">
        <v>1</v>
      </c>
      <c r="C26" s="1977" t="s">
        <v>25</v>
      </c>
      <c r="D26" s="1977" t="s">
        <v>116</v>
      </c>
      <c r="E26" s="1987" t="s">
        <v>178</v>
      </c>
      <c r="F26" s="1977" t="str">
        <f>IFERROR(VLOOKUP(Table4[[#This Row],[Nguyên liệu, vật tư]],TblMap[[Mới (quy định lại)]:[Đơn vị]],2,0),"")</f>
        <v>Kg</v>
      </c>
      <c r="G26" s="2057">
        <v>1.09E-2</v>
      </c>
      <c r="H26"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1.2276119945875951E-2</v>
      </c>
      <c r="I26" s="2028">
        <v>2700</v>
      </c>
      <c r="J26" s="1988" t="str">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
      </c>
      <c r="K26" s="1988">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302.66271999999992</v>
      </c>
      <c r="L26"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219939.20000000001</v>
      </c>
    </row>
    <row r="27" spans="1:12" x14ac:dyDescent="0.2">
      <c r="A27" s="1986">
        <f>IF(B27="","",COUNTA($B$3:B27))</f>
        <v>25</v>
      </c>
      <c r="B27" s="1977">
        <v>1</v>
      </c>
      <c r="C27" s="1977" t="s">
        <v>25</v>
      </c>
      <c r="D27" s="1977" t="s">
        <v>116</v>
      </c>
      <c r="E27" s="1987" t="s">
        <v>182</v>
      </c>
      <c r="F27" s="1977" t="str">
        <f>IFERROR(VLOOKUP(Table4[[#This Row],[Nguyên liệu, vật tư]],TblMap[[Mới (quy định lại)]:[Đơn vị]],2,0),"")</f>
        <v>Kg</v>
      </c>
      <c r="G27" s="1989">
        <v>1.79</v>
      </c>
      <c r="H27"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1.6634779066214662</v>
      </c>
      <c r="I27" s="2028">
        <v>365864</v>
      </c>
      <c r="J27"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27827.168000000027</v>
      </c>
      <c r="K27"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27"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219939.20000000001</v>
      </c>
    </row>
    <row r="28" spans="1:12" x14ac:dyDescent="0.2">
      <c r="A28" s="1986">
        <f>IF(B28="","",COUNTA($B$3:B28))</f>
        <v>26</v>
      </c>
      <c r="B28" s="1977">
        <v>1</v>
      </c>
      <c r="C28" s="1977" t="s">
        <v>25</v>
      </c>
      <c r="D28" s="1977" t="s">
        <v>116</v>
      </c>
      <c r="E28" s="1987" t="s">
        <v>183</v>
      </c>
      <c r="F28" s="1977" t="str">
        <f>IFERROR(VLOOKUP(Table4[[#This Row],[Nguyên liệu, vật tư]],TblMap[[Mới (quy định lại)]:[Đơn vị]],2,0),"")</f>
        <v>Cái</v>
      </c>
      <c r="G28" s="2057">
        <v>8.2000000000000007E-3</v>
      </c>
      <c r="H28"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8.0022115202746935E-3</v>
      </c>
      <c r="I28" s="2028">
        <v>1760</v>
      </c>
      <c r="J28"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43.501440000000279</v>
      </c>
      <c r="K28"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28"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219939.20000000001</v>
      </c>
    </row>
    <row r="29" spans="1:12" x14ac:dyDescent="0.2">
      <c r="A29" s="1986">
        <f>IF(B29="","",COUNTA($B$3:B29))</f>
        <v>27</v>
      </c>
      <c r="B29" s="1977">
        <v>1</v>
      </c>
      <c r="C29" s="1977" t="s">
        <v>25</v>
      </c>
      <c r="D29" s="1977" t="s">
        <v>116</v>
      </c>
      <c r="E29" s="1987" t="s">
        <v>184</v>
      </c>
      <c r="F29" s="1977" t="str">
        <f>IFERROR(VLOOKUP(Table4[[#This Row],[Nguyên liệu, vật tư]],TblMap[[Mới (quy định lại)]:[Đơn vị]],2,0),"")</f>
        <v>Cái</v>
      </c>
      <c r="G29" s="1989">
        <v>6.4000000000000001E-2</v>
      </c>
      <c r="H29"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6.0334856178434766E-2</v>
      </c>
      <c r="I29" s="2028">
        <v>13270</v>
      </c>
      <c r="J29"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806.10880000000066</v>
      </c>
      <c r="K29"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29"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219939.20000000001</v>
      </c>
    </row>
    <row r="30" spans="1:12" x14ac:dyDescent="0.2">
      <c r="A30" s="1986">
        <f>IF(B30="","",COUNTA($B$3:B30))</f>
        <v>28</v>
      </c>
      <c r="B30" s="1977">
        <v>1</v>
      </c>
      <c r="C30" s="1977" t="s">
        <v>25</v>
      </c>
      <c r="D30" s="1977" t="s">
        <v>116</v>
      </c>
      <c r="E30" s="1987" t="s">
        <v>185</v>
      </c>
      <c r="F30" s="1977" t="str">
        <f>IFERROR(VLOOKUP(Table4[[#This Row],[Nguyên liệu, vật tư]],TblMap[[Mới (quy định lại)]:[Đơn vị]],2,0),"")</f>
        <v>Kg</v>
      </c>
      <c r="G30" s="1989">
        <v>1.5900000000000001E-2</v>
      </c>
      <c r="H30"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1.5881661841090629E-2</v>
      </c>
      <c r="I30" s="2028">
        <v>3493</v>
      </c>
      <c r="J30" s="1988" t="str">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
      </c>
      <c r="K30"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30"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219939.20000000001</v>
      </c>
    </row>
    <row r="31" spans="1:12" x14ac:dyDescent="0.2">
      <c r="A31" s="1986">
        <f>IF(B31="","",COUNTA($B$3:B31))</f>
        <v>29</v>
      </c>
      <c r="B31" s="1977">
        <v>1</v>
      </c>
      <c r="C31" s="1977" t="s">
        <v>25</v>
      </c>
      <c r="D31" s="1977" t="s">
        <v>116</v>
      </c>
      <c r="E31" s="1987" t="s">
        <v>179</v>
      </c>
      <c r="F31" s="1977" t="str">
        <f>IFERROR(VLOOKUP(Table4[[#This Row],[Nguyên liệu, vật tư]],TblMap[[Mới (quy định lại)]:[Đơn vị]],2,0),"")</f>
        <v>Kg</v>
      </c>
      <c r="G31" s="1989">
        <v>4.8000000000000001E-2</v>
      </c>
      <c r="H31"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1.2327270445650433</v>
      </c>
      <c r="I31" s="2028">
        <v>271125</v>
      </c>
      <c r="J31" s="1988" t="str">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
      </c>
      <c r="K31" s="1988">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260567.9184</v>
      </c>
      <c r="L31"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219939.20000000001</v>
      </c>
    </row>
    <row r="32" spans="1:12" x14ac:dyDescent="0.2">
      <c r="A32" s="1986">
        <f>IF(B32="","",COUNTA($B$3:B32))</f>
        <v>30</v>
      </c>
      <c r="B32" s="1977">
        <v>1</v>
      </c>
      <c r="C32" s="1982" t="s">
        <v>25</v>
      </c>
      <c r="D32" s="1982" t="s">
        <v>116</v>
      </c>
      <c r="E32" s="1990" t="s">
        <v>1062</v>
      </c>
      <c r="F32" s="1977" t="str">
        <f>IFERROR(VLOOKUP(Table4[[#This Row],[Nguyên liệu, vật tư]],TblMap[[Mới (quy định lại)]:[Đơn vị]],2,0),"")</f>
        <v>Kg</v>
      </c>
      <c r="G32" s="1992">
        <v>2.7000000000000001E-3</v>
      </c>
      <c r="H32"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c r="I32" s="2028">
        <v>0</v>
      </c>
      <c r="J32" s="1988"/>
      <c r="K32"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32"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219939.20000000001</v>
      </c>
    </row>
    <row r="33" spans="1:14" x14ac:dyDescent="0.2">
      <c r="A33" s="1986">
        <f>IF(B33="","",COUNTA($B$3:B33))</f>
        <v>31</v>
      </c>
      <c r="B33" s="1977">
        <v>3</v>
      </c>
      <c r="C33" s="2401" t="s">
        <v>5</v>
      </c>
      <c r="D33" s="2401" t="s">
        <v>115</v>
      </c>
      <c r="E33" s="1969" t="s">
        <v>163</v>
      </c>
      <c r="F33" s="2401" t="str">
        <f>IFERROR(VLOOKUP(Table4[[#This Row],[Nguyên liệu, vật tư]],TblMap[[Mới (quy định lại)]:[Đơn vị]],2,0),"")</f>
        <v>Kg</v>
      </c>
      <c r="G33" s="1991">
        <v>18.760000000000002</v>
      </c>
      <c r="H33"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18.7093679286398</v>
      </c>
      <c r="I33" s="2028">
        <v>6291700</v>
      </c>
      <c r="J33"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17026.860800002447</v>
      </c>
      <c r="K33"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33"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336286.08000000007</v>
      </c>
      <c r="N33" s="2431" t="s">
        <v>1381</v>
      </c>
    </row>
    <row r="34" spans="1:14" x14ac:dyDescent="0.2">
      <c r="A34" s="1986">
        <f>IF(B34="","",COUNTA($B$3:B34))</f>
        <v>32</v>
      </c>
      <c r="B34" s="1977">
        <v>3</v>
      </c>
      <c r="C34" s="2401" t="s">
        <v>5</v>
      </c>
      <c r="D34" s="2401" t="s">
        <v>115</v>
      </c>
      <c r="E34" s="2400" t="s">
        <v>1176</v>
      </c>
      <c r="F34" s="2401" t="str">
        <f>IFERROR(VLOOKUP(Table4[[#This Row],[Nguyên liệu, vật tư]],TblMap[[Mới (quy định lại)]:[Đơn vị]],2,0),"")</f>
        <v>Kg</v>
      </c>
      <c r="G34" s="1991">
        <v>0.47699999999999998</v>
      </c>
      <c r="H34"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0.46110145266791885</v>
      </c>
      <c r="I34" s="2028">
        <v>155062</v>
      </c>
      <c r="J34"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5346.4601600000215</v>
      </c>
      <c r="K34"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34"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336286.08000000007</v>
      </c>
    </row>
    <row r="35" spans="1:14" x14ac:dyDescent="0.2">
      <c r="A35" s="1986">
        <f>IF(B35="","",COUNTA($B$3:B35))</f>
        <v>33</v>
      </c>
      <c r="B35" s="1977">
        <v>3</v>
      </c>
      <c r="C35" s="1977" t="s">
        <v>5</v>
      </c>
      <c r="D35" s="1977" t="s">
        <v>115</v>
      </c>
      <c r="E35" s="1987" t="s">
        <v>1189</v>
      </c>
      <c r="F35" s="1977" t="str">
        <f>IFERROR(VLOOKUP(Table4[[#This Row],[Nguyên liệu, vật tư]],TblMap[[Mới (quy định lại)]:[Đơn vị]],2,0),"")</f>
        <v>Kg</v>
      </c>
      <c r="G35" s="1989">
        <v>0.38300000000000001</v>
      </c>
      <c r="H35"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c r="I35" s="2028"/>
      <c r="J35"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0</v>
      </c>
      <c r="K35" s="1988">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0</v>
      </c>
      <c r="L35"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row>
    <row r="36" spans="1:14" x14ac:dyDescent="0.2">
      <c r="A36" s="1986">
        <f>IF(B36="","",COUNTA($B$3:B36))</f>
        <v>34</v>
      </c>
      <c r="B36" s="1977">
        <v>3</v>
      </c>
      <c r="C36" s="1977" t="s">
        <v>5</v>
      </c>
      <c r="D36" s="1977" t="s">
        <v>115</v>
      </c>
      <c r="E36" s="1987" t="s">
        <v>1183</v>
      </c>
      <c r="F36" s="1977" t="str">
        <f>IFERROR(VLOOKUP(Table4[[#This Row],[Nguyên liệu, vật tư]],TblMap[[Mới (quy định lại)]:[Đơn vị]],2,0),"")</f>
        <v>Kg</v>
      </c>
      <c r="G36" s="1989">
        <v>0.53800000000000003</v>
      </c>
      <c r="H36"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c r="I36" s="2028"/>
      <c r="J36"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0</v>
      </c>
      <c r="K36" s="1988">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0</v>
      </c>
      <c r="L36"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row>
    <row r="37" spans="1:14" x14ac:dyDescent="0.2">
      <c r="A37" s="1986">
        <f>IF(B37="","",COUNTA($B$3:B37))</f>
        <v>35</v>
      </c>
      <c r="B37" s="1977">
        <v>3</v>
      </c>
      <c r="C37" s="1977" t="s">
        <v>5</v>
      </c>
      <c r="D37" s="1977" t="s">
        <v>115</v>
      </c>
      <c r="E37" s="1987" t="s">
        <v>1177</v>
      </c>
      <c r="F37" s="1977" t="str">
        <f>IFERROR(VLOOKUP(Table4[[#This Row],[Nguyên liệu, vật tư]],TblMap[[Mới (quy định lại)]:[Đơn vị]],2,0),"")</f>
        <v>Kg</v>
      </c>
      <c r="G37" s="1991">
        <v>0.55100000000000005</v>
      </c>
      <c r="H37"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0.53402150930541037</v>
      </c>
      <c r="I37" s="2028">
        <v>179584</v>
      </c>
      <c r="J37"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5709.6300800000408</v>
      </c>
      <c r="K37"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37"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336286.08000000007</v>
      </c>
    </row>
    <row r="38" spans="1:14" x14ac:dyDescent="0.2">
      <c r="A38" s="1986">
        <f>IF(B38="","",COUNTA($B$3:B38))</f>
        <v>36</v>
      </c>
      <c r="B38" s="1977">
        <v>3</v>
      </c>
      <c r="C38" s="1977" t="s">
        <v>5</v>
      </c>
      <c r="D38" s="1977" t="s">
        <v>115</v>
      </c>
      <c r="E38" s="1987" t="s">
        <v>1184</v>
      </c>
      <c r="F38" s="1977" t="str">
        <f>IFERROR(VLOOKUP(Table4[[#This Row],[Nguyên liệu, vật tư]],TblMap[[Mới (quy định lại)]:[Đơn vị]],2,0),"")</f>
        <v>Kg</v>
      </c>
      <c r="G38" s="1989">
        <v>0.624</v>
      </c>
      <c r="H38"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c r="I38" s="2028"/>
      <c r="J38"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0</v>
      </c>
      <c r="K38" s="1988">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0</v>
      </c>
      <c r="L38"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row>
    <row r="39" spans="1:14" x14ac:dyDescent="0.2">
      <c r="A39" s="1986">
        <f>IF(B39="","",COUNTA($B$3:B39))</f>
        <v>37</v>
      </c>
      <c r="B39" s="1977">
        <v>3</v>
      </c>
      <c r="C39" s="1977" t="s">
        <v>5</v>
      </c>
      <c r="D39" s="1977" t="s">
        <v>115</v>
      </c>
      <c r="E39" s="1987" t="s">
        <v>1190</v>
      </c>
      <c r="F39" s="1977" t="str">
        <f>IFERROR(VLOOKUP(Table4[[#This Row],[Nguyên liệu, vật tư]],TblMap[[Mới (quy định lại)]:[Đơn vị]],2,0),"")</f>
        <v>Kg</v>
      </c>
      <c r="G39" s="1989">
        <v>0.434</v>
      </c>
      <c r="H39"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c r="I39" s="2028"/>
      <c r="J39"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0</v>
      </c>
      <c r="K39" s="1988">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0</v>
      </c>
      <c r="L39"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row>
    <row r="40" spans="1:14" x14ac:dyDescent="0.2">
      <c r="A40" s="1986">
        <f>IF(B40="","",COUNTA($B$3:B40))</f>
        <v>38</v>
      </c>
      <c r="B40" s="1977">
        <v>3</v>
      </c>
      <c r="C40" s="1977" t="s">
        <v>5</v>
      </c>
      <c r="D40" s="1977" t="s">
        <v>115</v>
      </c>
      <c r="E40" s="1987" t="s">
        <v>176</v>
      </c>
      <c r="F40" s="1977" t="str">
        <f>IFERROR(VLOOKUP(Table4[[#This Row],[Nguyên liệu, vật tư]],TblMap[[Mới (quy định lại)]:[Đơn vị]],2,0),"")</f>
        <v>Cái</v>
      </c>
      <c r="G40" s="1989">
        <v>0.69699999999999995</v>
      </c>
      <c r="H40"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0.69677281914255851</v>
      </c>
      <c r="I40" s="2028">
        <v>234315</v>
      </c>
      <c r="J40"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76.397760000022274</v>
      </c>
      <c r="K40"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40"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336286.08000000007</v>
      </c>
    </row>
    <row r="41" spans="1:14" x14ac:dyDescent="0.2">
      <c r="A41" s="1986">
        <f>IF(B41="","",COUNTA($B$3:B41))</f>
        <v>39</v>
      </c>
      <c r="B41" s="1977">
        <v>3</v>
      </c>
      <c r="C41" s="1977" t="s">
        <v>5</v>
      </c>
      <c r="D41" s="1977" t="s">
        <v>115</v>
      </c>
      <c r="E41" s="1987" t="s">
        <v>177</v>
      </c>
      <c r="F41" s="1977" t="str">
        <f>IFERROR(VLOOKUP(Table4[[#This Row],[Nguyên liệu, vật tư]],TblMap[[Mới (quy định lại)]:[Đơn vị]],2,0),"")</f>
        <v>Kg</v>
      </c>
      <c r="G41" s="1989">
        <v>3.7100000000000001E-2</v>
      </c>
      <c r="H41"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3.7096391263057922E-2</v>
      </c>
      <c r="I41" s="2028">
        <v>12475</v>
      </c>
      <c r="J41"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1.2135680000029248</v>
      </c>
      <c r="K41"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41"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336286.08000000007</v>
      </c>
    </row>
    <row r="42" spans="1:14" x14ac:dyDescent="0.2">
      <c r="A42" s="1986">
        <f>IF(B42="","",COUNTA($B$3:B42))</f>
        <v>40</v>
      </c>
      <c r="B42" s="1977">
        <v>3</v>
      </c>
      <c r="C42" s="1977" t="s">
        <v>5</v>
      </c>
      <c r="D42" s="1977" t="s">
        <v>115</v>
      </c>
      <c r="E42" s="1987" t="s">
        <v>178</v>
      </c>
      <c r="F42" s="1977" t="str">
        <f>IFERROR(VLOOKUP(Table4[[#This Row],[Nguyên liệu, vật tư]],TblMap[[Mới (quy định lại)]:[Đơn vị]],2,0),"")</f>
        <v>Kg</v>
      </c>
      <c r="G42" s="1989">
        <v>8.2000000000000007E-3</v>
      </c>
      <c r="H42"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8.3262441311873492E-3</v>
      </c>
      <c r="I42" s="2028">
        <v>2800</v>
      </c>
      <c r="J42" s="1988" t="str">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
      </c>
      <c r="K42" s="1988">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42.454143999999182</v>
      </c>
      <c r="L42"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336286.08000000007</v>
      </c>
    </row>
    <row r="43" spans="1:14" x14ac:dyDescent="0.2">
      <c r="A43" s="1986">
        <f>IF(B43="","",COUNTA($B$3:B43))</f>
        <v>41</v>
      </c>
      <c r="B43" s="1977">
        <v>3</v>
      </c>
      <c r="C43" s="1977" t="s">
        <v>5</v>
      </c>
      <c r="D43" s="1977" t="s">
        <v>115</v>
      </c>
      <c r="E43" s="2400" t="s">
        <v>179</v>
      </c>
      <c r="F43" s="2401" t="str">
        <f>IFERROR(VLOOKUP(Table4[[#This Row],[Nguyên liệu, vật tư]],TblMap[[Mới (quy định lại)]:[Đơn vị]],2,0),"")</f>
        <v>Kg</v>
      </c>
      <c r="G43" s="1991">
        <v>4.2700000000000002E-2</v>
      </c>
      <c r="H43"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4.7578537892499141E-2</v>
      </c>
      <c r="I43" s="2028">
        <v>16000</v>
      </c>
      <c r="J43" s="1988" t="str">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
      </c>
      <c r="K43" s="1988">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1640.5843839999973</v>
      </c>
      <c r="L43"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336286.08000000007</v>
      </c>
    </row>
    <row r="44" spans="1:14" x14ac:dyDescent="0.2">
      <c r="A44" s="1986">
        <f>IF(B44="","",COUNTA($B$3:B44))</f>
        <v>42</v>
      </c>
      <c r="B44" s="1977">
        <v>3</v>
      </c>
      <c r="C44" s="1977" t="s">
        <v>5</v>
      </c>
      <c r="D44" s="1977" t="s">
        <v>115</v>
      </c>
      <c r="E44" s="1987" t="s">
        <v>1061</v>
      </c>
      <c r="F44" s="1977" t="str">
        <f>IFERROR(VLOOKUP(Table4[[#This Row],[Nguyên liệu, vật tư]],TblMap[[Mới (quy định lại)]:[Đơn vị]],2,0),"")</f>
        <v>Kg</v>
      </c>
      <c r="G44" s="1989">
        <v>3.0000000000000001E-3</v>
      </c>
      <c r="H44"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c r="I44" s="2028">
        <v>0</v>
      </c>
      <c r="J44" s="1988"/>
      <c r="K44"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44"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336286.08000000007</v>
      </c>
    </row>
    <row r="45" spans="1:14" x14ac:dyDescent="0.2">
      <c r="A45" s="1986">
        <f>IF(B45="","",COUNTA($B$3:B45))</f>
        <v>43</v>
      </c>
      <c r="B45" s="1977">
        <v>3</v>
      </c>
      <c r="C45" s="1977" t="s">
        <v>5</v>
      </c>
      <c r="D45" s="1977" t="s">
        <v>115</v>
      </c>
      <c r="E45" s="1987" t="s">
        <v>1062</v>
      </c>
      <c r="F45" s="1977" t="str">
        <f>IFERROR(VLOOKUP(Table4[[#This Row],[Nguyên liệu, vật tư]],TblMap[[Mới (quy định lại)]:[Đơn vị]],2,0),"")</f>
        <v>Kg</v>
      </c>
      <c r="G45" s="1989"/>
      <c r="H45"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c r="I45" s="2028"/>
      <c r="J45"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0</v>
      </c>
      <c r="K45" s="1988">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0</v>
      </c>
      <c r="L45"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336286.08000000007</v>
      </c>
    </row>
    <row r="46" spans="1:14" x14ac:dyDescent="0.2">
      <c r="A46" s="1986">
        <f>IF(B46="","",COUNTA($B$3:B46))</f>
        <v>44</v>
      </c>
      <c r="B46" s="1977">
        <v>3</v>
      </c>
      <c r="C46" s="1977" t="s">
        <v>5</v>
      </c>
      <c r="D46" s="1977" t="s">
        <v>115</v>
      </c>
      <c r="E46" s="1987" t="s">
        <v>182</v>
      </c>
      <c r="F46" s="1977" t="str">
        <f>IFERROR(VLOOKUP(Table4[[#This Row],[Nguyên liệu, vật tư]],TblMap[[Mới (quy định lại)]:[Đơn vị]],2,0),"")</f>
        <v>Kg</v>
      </c>
      <c r="G46" s="1989">
        <v>1.6259999999999999</v>
      </c>
      <c r="H46"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1.6438185904096891</v>
      </c>
      <c r="I46" s="2028">
        <v>552793.31000000006</v>
      </c>
      <c r="J46" s="1988" t="str">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
      </c>
      <c r="K46" s="1988">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5992.1439199999932</v>
      </c>
      <c r="L46"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336286.08000000007</v>
      </c>
    </row>
    <row r="47" spans="1:14" x14ac:dyDescent="0.2">
      <c r="A47" s="1986">
        <f>IF(B47="","",COUNTA($B$3:B47))</f>
        <v>45</v>
      </c>
      <c r="B47" s="1977">
        <v>3</v>
      </c>
      <c r="C47" s="1977" t="s">
        <v>5</v>
      </c>
      <c r="D47" s="1977" t="s">
        <v>115</v>
      </c>
      <c r="E47" s="1987" t="s">
        <v>183</v>
      </c>
      <c r="F47" s="1977" t="str">
        <f>IFERROR(VLOOKUP(Table4[[#This Row],[Nguyên liệu, vật tư]],TblMap[[Mới (quy định lại)]:[Đơn vị]],2,0),"")</f>
        <v>Cái</v>
      </c>
      <c r="G47" s="1989">
        <v>6.4000000000000003E-3</v>
      </c>
      <c r="H47"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6.4231026154873833E-3</v>
      </c>
      <c r="I47" s="2028">
        <v>2160</v>
      </c>
      <c r="J47" s="1988" t="str">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
      </c>
      <c r="K47" s="1988">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7.7690879999993046</v>
      </c>
      <c r="L47"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336286.08000000007</v>
      </c>
    </row>
    <row r="48" spans="1:14" x14ac:dyDescent="0.2">
      <c r="A48" s="1986">
        <f>IF(B48="","",COUNTA($B$3:B48))</f>
        <v>46</v>
      </c>
      <c r="B48" s="1977">
        <v>3</v>
      </c>
      <c r="C48" s="1977" t="s">
        <v>5</v>
      </c>
      <c r="D48" s="1977" t="s">
        <v>115</v>
      </c>
      <c r="E48" s="1987" t="s">
        <v>184</v>
      </c>
      <c r="F48" s="1977" t="str">
        <f>IFERROR(VLOOKUP(Table4[[#This Row],[Nguyên liệu, vật tư]],TblMap[[Mới (quy định lại)]:[Đơn vị]],2,0),"")</f>
        <v>Cái</v>
      </c>
      <c r="G48" s="1989">
        <v>4.7239999999999997E-2</v>
      </c>
      <c r="H48"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4.5496976859702304E-2</v>
      </c>
      <c r="I48" s="2028">
        <v>15300</v>
      </c>
      <c r="J48"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586.15441920000148</v>
      </c>
      <c r="K48"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48"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336286.08000000007</v>
      </c>
    </row>
    <row r="49" spans="1:12" x14ac:dyDescent="0.2">
      <c r="A49" s="1986">
        <f>IF(B49="","",COUNTA($B$3:B49))</f>
        <v>47</v>
      </c>
      <c r="B49" s="1977">
        <v>3</v>
      </c>
      <c r="C49" s="1977" t="s">
        <v>5</v>
      </c>
      <c r="D49" s="1977" t="s">
        <v>115</v>
      </c>
      <c r="E49" s="1987" t="s">
        <v>185</v>
      </c>
      <c r="F49" s="1977" t="str">
        <f>IFERROR(VLOOKUP(Table4[[#This Row],[Nguyên liệu, vật tư]],TblMap[[Mới (quy định lại)]:[Đơn vị]],2,0),"")</f>
        <v>Kg</v>
      </c>
      <c r="G49" s="1989">
        <v>1.1809999999999999E-2</v>
      </c>
      <c r="H49"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c r="I49" s="2028"/>
      <c r="J49" s="1988" t="str">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
      </c>
      <c r="K49"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49"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336286.08000000007</v>
      </c>
    </row>
    <row r="50" spans="1:12" x14ac:dyDescent="0.2">
      <c r="A50" s="1986">
        <f>IF(B50="","",COUNTA($B$3:B50))</f>
        <v>48</v>
      </c>
      <c r="B50" s="1977">
        <v>3</v>
      </c>
      <c r="C50" s="1982" t="s">
        <v>5</v>
      </c>
      <c r="D50" s="1982" t="s">
        <v>115</v>
      </c>
      <c r="E50" s="1990" t="s">
        <v>188</v>
      </c>
      <c r="F50" s="1982" t="str">
        <f>IFERROR(VLOOKUP(Table4[[#This Row],[Nguyên liệu, vật tư]],TblMap[[Mới (quy định lại)]:[Đơn vị]],2,0),"")</f>
        <v>Kg</v>
      </c>
      <c r="G50" s="1992">
        <v>3.4299999999999999E-3</v>
      </c>
      <c r="H50"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3.2115513077436916E-3</v>
      </c>
      <c r="I50" s="2028">
        <v>1080</v>
      </c>
      <c r="J50"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73.461254400000271</v>
      </c>
      <c r="K50"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50"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336286.08000000007</v>
      </c>
    </row>
    <row r="51" spans="1:12" x14ac:dyDescent="0.2">
      <c r="A51" s="1986">
        <f>IF(B51="","",COUNTA($B$3:B51))</f>
        <v>49</v>
      </c>
      <c r="B51" s="1977">
        <v>3</v>
      </c>
      <c r="C51" s="1977" t="s">
        <v>25</v>
      </c>
      <c r="D51" s="1977" t="s">
        <v>119</v>
      </c>
      <c r="E51" s="1987" t="s">
        <v>163</v>
      </c>
      <c r="F51" s="1977" t="str">
        <f>IFERROR(VLOOKUP(Table4[[#This Row],[Nguyên liệu, vật tư]],TblMap[[Mới (quy định lại)]:[Đơn vị]],2,0),"")</f>
        <v>Kg</v>
      </c>
      <c r="G51" s="1989">
        <v>21.26</v>
      </c>
      <c r="H51"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20.426395390371592</v>
      </c>
      <c r="I51" s="2028">
        <v>8492038.9800000004</v>
      </c>
      <c r="J51"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346561.53000000044</v>
      </c>
      <c r="K51"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51"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415738.5</v>
      </c>
    </row>
    <row r="52" spans="1:12" x14ac:dyDescent="0.2">
      <c r="A52" s="1986">
        <f>IF(B52="","",COUNTA($B$3:B52))</f>
        <v>50</v>
      </c>
      <c r="B52" s="1977">
        <v>3</v>
      </c>
      <c r="C52" s="1977" t="s">
        <v>25</v>
      </c>
      <c r="D52" s="1977" t="s">
        <v>119</v>
      </c>
      <c r="E52" s="1987" t="s">
        <v>1191</v>
      </c>
      <c r="F52" s="1977" t="str">
        <f>IFERROR(VLOOKUP(Table4[[#This Row],[Nguyên liệu, vật tư]],TblMap[[Mới (quy định lại)]:[Đơn vị]],2,0),"")</f>
        <v>Kg</v>
      </c>
      <c r="G52" s="1989">
        <v>0.28000000000000003</v>
      </c>
      <c r="H52"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0.25406523571908785</v>
      </c>
      <c r="I52" s="2028">
        <v>105624.7</v>
      </c>
      <c r="J52"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10782.080000000009</v>
      </c>
      <c r="K52"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52"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415738.5</v>
      </c>
    </row>
    <row r="53" spans="1:12" x14ac:dyDescent="0.2">
      <c r="A53" s="1986">
        <f>IF(B53="","",COUNTA($B$3:B53))</f>
        <v>51</v>
      </c>
      <c r="B53" s="1977">
        <v>3</v>
      </c>
      <c r="C53" s="1977" t="s">
        <v>25</v>
      </c>
      <c r="D53" s="1977" t="s">
        <v>119</v>
      </c>
      <c r="E53" s="1987" t="s">
        <v>1192</v>
      </c>
      <c r="F53" s="1977" t="str">
        <f>IFERROR(VLOOKUP(Table4[[#This Row],[Nguyên liệu, vật tư]],TblMap[[Mới (quy định lại)]:[Đơn vị]],2,0),"")</f>
        <v>Kg</v>
      </c>
      <c r="G53" s="1989">
        <v>9.8000000000000004E-2</v>
      </c>
      <c r="H53"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9.2790059135730754E-2</v>
      </c>
      <c r="I53" s="2028">
        <v>38576.400000000001</v>
      </c>
      <c r="J53"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2165.9730000000013</v>
      </c>
      <c r="K53"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53"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415738.5</v>
      </c>
    </row>
    <row r="54" spans="1:12" x14ac:dyDescent="0.2">
      <c r="A54" s="1986">
        <f>IF(B54="","",COUNTA($B$3:B54))</f>
        <v>52</v>
      </c>
      <c r="B54" s="1977">
        <v>3</v>
      </c>
      <c r="C54" s="1977" t="s">
        <v>25</v>
      </c>
      <c r="D54" s="1977" t="s">
        <v>119</v>
      </c>
      <c r="E54" s="1987" t="s">
        <v>1194</v>
      </c>
      <c r="F54" s="1977" t="str">
        <f>IFERROR(VLOOKUP(Table4[[#This Row],[Nguyên liệu, vật tư]],TblMap[[Mới (quy định lại)]:[Đơn vị]],2,0),"")</f>
        <v>Kg</v>
      </c>
      <c r="G54" s="1989">
        <v>0.11899999999999999</v>
      </c>
      <c r="H54"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0.1145992011805498</v>
      </c>
      <c r="I54" s="2028">
        <v>47643.3</v>
      </c>
      <c r="J54"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1829.5814999999968</v>
      </c>
      <c r="K54"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54"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415738.5</v>
      </c>
    </row>
    <row r="55" spans="1:12" x14ac:dyDescent="0.2">
      <c r="A55" s="1986">
        <f>IF(B55="","",COUNTA($B$3:B55))</f>
        <v>53</v>
      </c>
      <c r="B55" s="1977">
        <v>3</v>
      </c>
      <c r="C55" s="1977" t="s">
        <v>25</v>
      </c>
      <c r="D55" s="1977" t="s">
        <v>119</v>
      </c>
      <c r="E55" s="1987" t="s">
        <v>176</v>
      </c>
      <c r="F55" s="1977" t="str">
        <f>IFERROR(VLOOKUP(Table4[[#This Row],[Nguyên liệu, vật tư]],TblMap[[Mới (quy định lại)]:[Đơn vị]],2,0),"")</f>
        <v>Cái</v>
      </c>
      <c r="G55" s="1989">
        <v>0.66900000000000004</v>
      </c>
      <c r="H55"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0.66844903707498826</v>
      </c>
      <c r="I55" s="2028">
        <v>277900</v>
      </c>
      <c r="J55"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229.0565000000089</v>
      </c>
      <c r="K55"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55"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415738.5</v>
      </c>
    </row>
    <row r="56" spans="1:12" x14ac:dyDescent="0.2">
      <c r="A56" s="1986">
        <f>IF(B56="","",COUNTA($B$3:B56))</f>
        <v>54</v>
      </c>
      <c r="B56" s="1977">
        <v>3</v>
      </c>
      <c r="C56" s="1977" t="s">
        <v>25</v>
      </c>
      <c r="D56" s="1977" t="s">
        <v>119</v>
      </c>
      <c r="E56" s="1987" t="s">
        <v>177</v>
      </c>
      <c r="F56" s="1977" t="str">
        <f>IFERROR(VLOOKUP(Table4[[#This Row],[Nguyên liệu, vật tư]],TblMap[[Mới (quy định lại)]:[Đơn vị]],2,0),"")</f>
        <v>Kg</v>
      </c>
      <c r="G56" s="1989">
        <v>0.02</v>
      </c>
      <c r="H56"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1.9495428015447212E-2</v>
      </c>
      <c r="I56" s="2028">
        <v>8105</v>
      </c>
      <c r="J56"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209.76999999999958</v>
      </c>
      <c r="K56"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56"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415738.5</v>
      </c>
    </row>
    <row r="57" spans="1:12" x14ac:dyDescent="0.2">
      <c r="A57" s="1986">
        <f>IF(B57="","",COUNTA($B$3:B57))</f>
        <v>55</v>
      </c>
      <c r="B57" s="1977">
        <v>3</v>
      </c>
      <c r="C57" s="1977" t="s">
        <v>25</v>
      </c>
      <c r="D57" s="1977" t="s">
        <v>119</v>
      </c>
      <c r="E57" s="1987" t="s">
        <v>178</v>
      </c>
      <c r="F57" s="1977" t="str">
        <f>IFERROR(VLOOKUP(Table4[[#This Row],[Nguyên liệu, vật tư]],TblMap[[Mới (quy định lại)]:[Đơn vị]],2,0),"")</f>
        <v>Kg</v>
      </c>
      <c r="G57" s="1989">
        <v>1.9599999999999999E-2</v>
      </c>
      <c r="H57"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1.2988934149711898E-2</v>
      </c>
      <c r="I57" s="2028">
        <v>5400</v>
      </c>
      <c r="J57"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2748.4746</v>
      </c>
      <c r="K57"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57"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415738.5</v>
      </c>
    </row>
    <row r="58" spans="1:12" x14ac:dyDescent="0.2">
      <c r="A58" s="1986">
        <f>IF(B58="","",COUNTA($B$3:B58))</f>
        <v>56</v>
      </c>
      <c r="B58" s="1977">
        <v>3</v>
      </c>
      <c r="C58" s="1977" t="s">
        <v>25</v>
      </c>
      <c r="D58" s="1977" t="s">
        <v>119</v>
      </c>
      <c r="E58" s="1987" t="s">
        <v>179</v>
      </c>
      <c r="F58" s="1977" t="str">
        <f>IFERROR(VLOOKUP(Table4[[#This Row],[Nguyên liệu, vật tư]],TblMap[[Mới (quy định lại)]:[Đơn vị]],2,0),"")</f>
        <v>Kg</v>
      </c>
      <c r="G58" s="1989">
        <v>0.06</v>
      </c>
      <c r="H58"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5.5142836181878756E-2</v>
      </c>
      <c r="I58" s="2028">
        <v>22925</v>
      </c>
      <c r="J58"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2019.3099999999979</v>
      </c>
      <c r="K58"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58"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415738.5</v>
      </c>
    </row>
    <row r="59" spans="1:12" x14ac:dyDescent="0.2">
      <c r="A59" s="1986">
        <f>IF(B59="","",COUNTA($B$3:B59))</f>
        <v>57</v>
      </c>
      <c r="B59" s="1977">
        <v>3</v>
      </c>
      <c r="C59" s="1977" t="s">
        <v>25</v>
      </c>
      <c r="D59" s="1977" t="s">
        <v>119</v>
      </c>
      <c r="E59" s="1987" t="s">
        <v>1061</v>
      </c>
      <c r="F59" s="1977" t="str">
        <f>IFERROR(VLOOKUP(Table4[[#This Row],[Nguyên liệu, vật tư]],TblMap[[Mới (quy định lại)]:[Đơn vị]],2,0),"")</f>
        <v>Kg</v>
      </c>
      <c r="G59" s="1989">
        <v>2.0999999999999999E-3</v>
      </c>
      <c r="H59"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c r="I59" s="2028"/>
      <c r="J59"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873.05084999999997</v>
      </c>
      <c r="K59"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59"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415738.5</v>
      </c>
    </row>
    <row r="60" spans="1:12" x14ac:dyDescent="0.2">
      <c r="A60" s="1986">
        <f>IF(B60="","",COUNTA($B$3:B60))</f>
        <v>58</v>
      </c>
      <c r="B60" s="1977">
        <v>3</v>
      </c>
      <c r="C60" s="1977" t="s">
        <v>25</v>
      </c>
      <c r="D60" s="1977" t="s">
        <v>119</v>
      </c>
      <c r="E60" s="1987" t="s">
        <v>182</v>
      </c>
      <c r="F60" s="1977" t="str">
        <f>IFERROR(VLOOKUP(Table4[[#This Row],[Nguyên liệu, vật tư]],TblMap[[Mới (quy định lại)]:[Đơn vị]],2,0),"")</f>
        <v>Kg</v>
      </c>
      <c r="G60" s="1989">
        <v>1.84</v>
      </c>
      <c r="H60"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1.8780651779904916</v>
      </c>
      <c r="I60" s="2028">
        <v>780784</v>
      </c>
      <c r="J60" s="1988" t="str">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
      </c>
      <c r="K60" s="1988">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15825.15999999994</v>
      </c>
      <c r="L60"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415738.5</v>
      </c>
    </row>
    <row r="61" spans="1:12" x14ac:dyDescent="0.2">
      <c r="A61" s="1986">
        <f>IF(B61="","",COUNTA($B$3:B61))</f>
        <v>59</v>
      </c>
      <c r="B61" s="1977">
        <v>3</v>
      </c>
      <c r="C61" s="1977" t="s">
        <v>25</v>
      </c>
      <c r="D61" s="1977" t="s">
        <v>119</v>
      </c>
      <c r="E61" s="1987" t="s">
        <v>183</v>
      </c>
      <c r="F61" s="1977" t="str">
        <f>IFERROR(VLOOKUP(Table4[[#This Row],[Nguyên liệu, vật tư]],TblMap[[Mới (quy định lại)]:[Đơn vị]],2,0),"")</f>
        <v>Cái</v>
      </c>
      <c r="G61" s="1989">
        <v>7.6E-3</v>
      </c>
      <c r="H61"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5.9652882761639832E-3</v>
      </c>
      <c r="I61" s="2028">
        <v>2480</v>
      </c>
      <c r="J61"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679.61259999999982</v>
      </c>
      <c r="K61"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61"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415738.5</v>
      </c>
    </row>
    <row r="62" spans="1:12" x14ac:dyDescent="0.2">
      <c r="A62" s="1986">
        <f>IF(B62="","",COUNTA($B$3:B62))</f>
        <v>60</v>
      </c>
      <c r="B62" s="1977">
        <v>3</v>
      </c>
      <c r="C62" s="1977" t="s">
        <v>25</v>
      </c>
      <c r="D62" s="1977" t="s">
        <v>119</v>
      </c>
      <c r="E62" s="1987" t="s">
        <v>185</v>
      </c>
      <c r="F62" s="1977" t="str">
        <f>IFERROR(VLOOKUP(Table4[[#This Row],[Nguyên liệu, vật tư]],TblMap[[Mới (quy định lại)]:[Đơn vị]],2,0),"")</f>
        <v>Kg</v>
      </c>
      <c r="G62" s="1989">
        <v>1.0699999999999999E-2</v>
      </c>
      <c r="H62"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1.0463308065045696E-2</v>
      </c>
      <c r="I62" s="2028">
        <v>4350</v>
      </c>
      <c r="J62" s="1988" t="str">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
      </c>
      <c r="K62"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62"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415738.5</v>
      </c>
    </row>
    <row r="63" spans="1:12" ht="17" customHeight="1" x14ac:dyDescent="0.2">
      <c r="A63" s="1986">
        <f>IF(B63="","",COUNTA($B$3:B63))</f>
        <v>61</v>
      </c>
      <c r="B63" s="1977">
        <v>3</v>
      </c>
      <c r="C63" s="1977" t="s">
        <v>25</v>
      </c>
      <c r="D63" s="1977" t="s">
        <v>119</v>
      </c>
      <c r="E63" s="1987" t="s">
        <v>184</v>
      </c>
      <c r="F63" s="1977" t="str">
        <f>IFERROR(VLOOKUP(Table4[[#This Row],[Nguyên liệu, vật tư]],TblMap[[Mới (quy định lại)]:[Đơn vị]],2,0),"")</f>
        <v>Cái</v>
      </c>
      <c r="G63" s="1989">
        <v>4.2999999999999997E-2</v>
      </c>
      <c r="H63"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3.8485730813961179E-2</v>
      </c>
      <c r="I63" s="2028">
        <v>16000</v>
      </c>
      <c r="J63"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1876.7554999999991</v>
      </c>
      <c r="K63"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63"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415738.5</v>
      </c>
    </row>
    <row r="64" spans="1:12" x14ac:dyDescent="0.2">
      <c r="A64" s="1986">
        <f>IF(B64="","",COUNTA($B$3:B64))</f>
        <v>62</v>
      </c>
      <c r="B64" s="1977">
        <v>4</v>
      </c>
      <c r="C64" s="1977" t="s">
        <v>25</v>
      </c>
      <c r="D64" s="1977" t="s">
        <v>119</v>
      </c>
      <c r="E64" s="1987" t="s">
        <v>163</v>
      </c>
      <c r="F64" s="1977" t="str">
        <f>IFERROR(VLOOKUP(Table4[[#This Row],[Nguyên liệu, vật tư]],TblMap[[Mới (quy định lại)]:[Đơn vị]],2,0),"")</f>
        <v>Kg</v>
      </c>
      <c r="G64" s="1989">
        <v>21.26</v>
      </c>
      <c r="H64"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21.36349033703333</v>
      </c>
      <c r="I64" s="2028">
        <v>4448808</v>
      </c>
      <c r="J64" s="1988" t="str">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
      </c>
      <c r="K64" s="1988">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21551.189999999886</v>
      </c>
      <c r="L64"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208243.5</v>
      </c>
    </row>
    <row r="65" spans="1:12" x14ac:dyDescent="0.2">
      <c r="A65" s="1986">
        <f>IF(B65="","",COUNTA($B$3:B65))</f>
        <v>63</v>
      </c>
      <c r="B65" s="1977">
        <v>4</v>
      </c>
      <c r="C65" s="1977" t="s">
        <v>25</v>
      </c>
      <c r="D65" s="1977" t="s">
        <v>119</v>
      </c>
      <c r="E65" s="1987" t="s">
        <v>1193</v>
      </c>
      <c r="F65" s="1977" t="str">
        <f>IFERROR(VLOOKUP(Table4[[#This Row],[Nguyên liệu, vật tư]],TblMap[[Mới (quy định lại)]:[Đơn vị]],2,0),"")</f>
        <v>Kg</v>
      </c>
      <c r="G65" s="1989">
        <v>0.28000000000000003</v>
      </c>
      <c r="H65"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0.24935227269998822</v>
      </c>
      <c r="I65" s="2028">
        <v>51925.99</v>
      </c>
      <c r="J65"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6382.1900000000087</v>
      </c>
      <c r="K65"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65"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208243.5</v>
      </c>
    </row>
    <row r="66" spans="1:12" x14ac:dyDescent="0.2">
      <c r="A66" s="1986">
        <f>IF(B66="","",COUNTA($B$3:B66))</f>
        <v>64</v>
      </c>
      <c r="B66" s="1977">
        <v>4</v>
      </c>
      <c r="C66" s="1977" t="s">
        <v>25</v>
      </c>
      <c r="D66" s="1977" t="s">
        <v>119</v>
      </c>
      <c r="E66" s="1987" t="s">
        <v>1192</v>
      </c>
      <c r="F66" s="1977" t="str">
        <f>IFERROR(VLOOKUP(Table4[[#This Row],[Nguyên liệu, vật tư]],TblMap[[Mới (quy định lại)]:[Đơn vị]],2,0),"")</f>
        <v>Kg</v>
      </c>
      <c r="G66" s="1989">
        <v>9.8000000000000004E-2</v>
      </c>
      <c r="H66"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9.3882017926129741E-2</v>
      </c>
      <c r="I66" s="2028">
        <v>19550.32</v>
      </c>
      <c r="J66"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857.54300000000217</v>
      </c>
      <c r="K66"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66"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208243.5</v>
      </c>
    </row>
    <row r="67" spans="1:12" x14ac:dyDescent="0.2">
      <c r="A67" s="1986">
        <f>IF(B67="","",COUNTA($B$3:B67))</f>
        <v>65</v>
      </c>
      <c r="B67" s="1977">
        <v>4</v>
      </c>
      <c r="C67" s="1977" t="s">
        <v>25</v>
      </c>
      <c r="D67" s="1977" t="s">
        <v>119</v>
      </c>
      <c r="E67" s="1987" t="s">
        <v>1194</v>
      </c>
      <c r="F67" s="1977" t="str">
        <f>IFERROR(VLOOKUP(Table4[[#This Row],[Nguyên liệu, vật tư]],TblMap[[Mới (quy định lại)]:[Đơn vị]],2,0),"")</f>
        <v>Kg</v>
      </c>
      <c r="G67" s="1989">
        <v>0.11899999999999999</v>
      </c>
      <c r="H67"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0.11818280042354262</v>
      </c>
      <c r="I67" s="2028">
        <v>24610.799999999999</v>
      </c>
      <c r="J67"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170.17650000000086</v>
      </c>
      <c r="K67"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67"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208243.5</v>
      </c>
    </row>
    <row r="68" spans="1:12" x14ac:dyDescent="0.2">
      <c r="A68" s="1986">
        <f>IF(B68="","",COUNTA($B$3:B68))</f>
        <v>66</v>
      </c>
      <c r="B68" s="1977">
        <v>4</v>
      </c>
      <c r="C68" s="1977" t="s">
        <v>25</v>
      </c>
      <c r="D68" s="1977" t="s">
        <v>119</v>
      </c>
      <c r="E68" s="1987" t="s">
        <v>176</v>
      </c>
      <c r="F68" s="1977" t="str">
        <f>IFERROR(VLOOKUP(Table4[[#This Row],[Nguyên liệu, vật tư]],TblMap[[Mới (quy định lại)]:[Đơn vị]],2,0),"")</f>
        <v>Cái</v>
      </c>
      <c r="G68" s="1989">
        <v>0.66900000000000004</v>
      </c>
      <c r="H68"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0.66863071356368864</v>
      </c>
      <c r="I68" s="2028">
        <v>139238</v>
      </c>
      <c r="J68"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76.901500000013058</v>
      </c>
      <c r="K68"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68"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208243.5</v>
      </c>
    </row>
    <row r="69" spans="1:12" x14ac:dyDescent="0.2">
      <c r="A69" s="1986">
        <f>IF(B69="","",COUNTA($B$3:B69))</f>
        <v>67</v>
      </c>
      <c r="B69" s="1977">
        <v>4</v>
      </c>
      <c r="C69" s="1977" t="s">
        <v>25</v>
      </c>
      <c r="D69" s="1977" t="s">
        <v>119</v>
      </c>
      <c r="E69" s="1987" t="s">
        <v>177</v>
      </c>
      <c r="F69" s="1977" t="str">
        <f>IFERROR(VLOOKUP(Table4[[#This Row],[Nguyên liệu, vật tư]],TblMap[[Mới (quy định lại)]:[Đơn vị]],2,0),"")</f>
        <v>Kg</v>
      </c>
      <c r="G69" s="1989">
        <v>0.02</v>
      </c>
      <c r="H69"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1.4286160192274909E-2</v>
      </c>
      <c r="I69" s="2028">
        <v>2975</v>
      </c>
      <c r="J69"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1189.8700000000001</v>
      </c>
      <c r="K69"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69"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208243.5</v>
      </c>
    </row>
    <row r="70" spans="1:12" x14ac:dyDescent="0.2">
      <c r="A70" s="1986">
        <f>IF(B70="","",COUNTA($B$3:B70))</f>
        <v>68</v>
      </c>
      <c r="B70" s="1977">
        <v>4</v>
      </c>
      <c r="C70" s="1977" t="s">
        <v>25</v>
      </c>
      <c r="D70" s="1977" t="s">
        <v>119</v>
      </c>
      <c r="E70" s="1987" t="s">
        <v>178</v>
      </c>
      <c r="F70" s="1977" t="str">
        <f>IFERROR(VLOOKUP(Table4[[#This Row],[Nguyên liệu, vật tư]],TblMap[[Mới (quy định lại)]:[Đơn vị]],2,0),"")</f>
        <v>Kg</v>
      </c>
      <c r="G70" s="1989">
        <v>1.9599999999999999E-2</v>
      </c>
      <c r="H70"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1.2360529860475837E-2</v>
      </c>
      <c r="I70" s="2028">
        <v>2574</v>
      </c>
      <c r="J70"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1507.5726</v>
      </c>
      <c r="K70"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70"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208243.5</v>
      </c>
    </row>
    <row r="71" spans="1:12" x14ac:dyDescent="0.2">
      <c r="A71" s="1986">
        <f>IF(B71="","",COUNTA($B$3:B71))</f>
        <v>69</v>
      </c>
      <c r="B71" s="1977">
        <v>4</v>
      </c>
      <c r="C71" s="1977" t="s">
        <v>25</v>
      </c>
      <c r="D71" s="1977" t="s">
        <v>119</v>
      </c>
      <c r="E71" s="1987" t="s">
        <v>179</v>
      </c>
      <c r="F71" s="1977" t="str">
        <f>IFERROR(VLOOKUP(Table4[[#This Row],[Nguyên liệu, vật tư]],TblMap[[Mới (quy định lại)]:[Đơn vị]],2,0),"")</f>
        <v>Kg</v>
      </c>
      <c r="G71" s="1989">
        <v>0.06</v>
      </c>
      <c r="H71"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4.1177755848321798E-2</v>
      </c>
      <c r="I71" s="2028">
        <v>8575</v>
      </c>
      <c r="J71"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3919.6099999999992</v>
      </c>
      <c r="K71"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71"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208243.5</v>
      </c>
    </row>
    <row r="72" spans="1:12" x14ac:dyDescent="0.2">
      <c r="A72" s="1986">
        <f>IF(B72="","",COUNTA($B$3:B72))</f>
        <v>70</v>
      </c>
      <c r="B72" s="1977">
        <v>4</v>
      </c>
      <c r="C72" s="1977" t="s">
        <v>25</v>
      </c>
      <c r="D72" s="1977" t="s">
        <v>119</v>
      </c>
      <c r="E72" s="1987" t="s">
        <v>1061</v>
      </c>
      <c r="F72" s="1977" t="str">
        <f>IFERROR(VLOOKUP(Table4[[#This Row],[Nguyên liệu, vật tư]],TblMap[[Mới (quy định lại)]:[Đơn vị]],2,0),"")</f>
        <v>Kg</v>
      </c>
      <c r="G72" s="2057">
        <v>1.2999999999999999E-3</v>
      </c>
      <c r="H72"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1.2005176632163789E-3</v>
      </c>
      <c r="I72" s="2028">
        <v>250</v>
      </c>
      <c r="J72"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20.716549999999998</v>
      </c>
      <c r="K72"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72"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208243.5</v>
      </c>
    </row>
    <row r="73" spans="1:12" x14ac:dyDescent="0.2">
      <c r="A73" s="1986">
        <f>IF(B73="","",COUNTA($B$3:B73))</f>
        <v>71</v>
      </c>
      <c r="B73" s="1977">
        <v>4</v>
      </c>
      <c r="C73" s="1977" t="s">
        <v>25</v>
      </c>
      <c r="D73" s="1977" t="s">
        <v>119</v>
      </c>
      <c r="E73" s="1987" t="s">
        <v>182</v>
      </c>
      <c r="F73" s="1977" t="str">
        <f>IFERROR(VLOOKUP(Table4[[#This Row],[Nguyên liệu, vật tư]],TblMap[[Mới (quy định lại)]:[Đơn vị]],2,0),"")</f>
        <v>Kg</v>
      </c>
      <c r="G73" s="1989">
        <v>1.84</v>
      </c>
      <c r="H73"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1.7761802889405911</v>
      </c>
      <c r="I73" s="2028">
        <v>369878</v>
      </c>
      <c r="J73"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13290.040000000034</v>
      </c>
      <c r="K73"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73"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208243.5</v>
      </c>
    </row>
    <row r="74" spans="1:12" x14ac:dyDescent="0.2">
      <c r="A74" s="1986">
        <f>IF(B74="","",COUNTA($B$3:B74))</f>
        <v>72</v>
      </c>
      <c r="B74" s="1977">
        <v>4</v>
      </c>
      <c r="C74" s="1977" t="s">
        <v>25</v>
      </c>
      <c r="D74" s="1977" t="s">
        <v>119</v>
      </c>
      <c r="E74" s="1987" t="s">
        <v>183</v>
      </c>
      <c r="F74" s="1977" t="str">
        <f>IFERROR(VLOOKUP(Table4[[#This Row],[Nguyên liệu, vật tư]],TblMap[[Mới (quy định lại)]:[Đơn vị]],2,0),"")</f>
        <v>Cái</v>
      </c>
      <c r="G74" s="1989">
        <v>7.6E-3</v>
      </c>
      <c r="H74"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7.4912302184702044E-3</v>
      </c>
      <c r="I74" s="2028">
        <v>1560</v>
      </c>
      <c r="J74"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22.650599999999994</v>
      </c>
      <c r="K74"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74"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208243.5</v>
      </c>
    </row>
    <row r="75" spans="1:12" x14ac:dyDescent="0.2">
      <c r="A75" s="1986">
        <f>IF(B75="","",COUNTA($B$3:B75))</f>
        <v>73</v>
      </c>
      <c r="B75" s="1977">
        <v>4</v>
      </c>
      <c r="C75" s="1977" t="s">
        <v>25</v>
      </c>
      <c r="D75" s="1977" t="s">
        <v>119</v>
      </c>
      <c r="E75" s="1987" t="s">
        <v>185</v>
      </c>
      <c r="F75" s="1977" t="str">
        <f>IFERROR(VLOOKUP(Table4[[#This Row],[Nguyên liệu, vật tư]],TblMap[[Mới (quy định lại)]:[Đơn vị]],2,0),"")</f>
        <v>Kg</v>
      </c>
      <c r="G75" s="1989">
        <v>1.0699999999999999E-2</v>
      </c>
      <c r="H75"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1.1188824621176652E-2</v>
      </c>
      <c r="I75" s="2028">
        <v>2330</v>
      </c>
      <c r="J75" s="1988" t="str">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
      </c>
      <c r="K75"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75"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208243.5</v>
      </c>
    </row>
    <row r="76" spans="1:12" x14ac:dyDescent="0.2">
      <c r="A76" s="1986">
        <f>IF(B76="","",COUNTA($B$3:B76))</f>
        <v>74</v>
      </c>
      <c r="B76" s="1977">
        <v>4</v>
      </c>
      <c r="C76" s="1977" t="s">
        <v>25</v>
      </c>
      <c r="D76" s="1977" t="s">
        <v>119</v>
      </c>
      <c r="E76" s="1987" t="s">
        <v>184</v>
      </c>
      <c r="F76" s="1977" t="str">
        <f>IFERROR(VLOOKUP(Table4[[#This Row],[Nguyên liệu, vật tư]],TblMap[[Mới (quy định lại)]:[Đơn vị]],2,0),"")</f>
        <v>Cái</v>
      </c>
      <c r="G76" s="1989">
        <v>4.2999999999999997E-2</v>
      </c>
      <c r="H76"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4.1778014679929983E-2</v>
      </c>
      <c r="I76" s="2028">
        <v>8700</v>
      </c>
      <c r="J76"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254.47049999999996</v>
      </c>
      <c r="K76"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76"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208243.5</v>
      </c>
    </row>
    <row r="77" spans="1:12" x14ac:dyDescent="0.2">
      <c r="A77" s="1986">
        <f>IF(B77="","",COUNTA($B$3:B77))</f>
        <v>75</v>
      </c>
      <c r="B77" s="1977">
        <v>4</v>
      </c>
      <c r="C77" s="1977" t="s">
        <v>25</v>
      </c>
      <c r="D77" s="1977" t="s">
        <v>116</v>
      </c>
      <c r="E77" s="1987" t="s">
        <v>163</v>
      </c>
      <c r="F77" s="1977" t="str">
        <f>IFERROR(VLOOKUP(Table4[[#This Row],[Nguyên liệu, vật tư]],TblMap[[Mới (quy định lại)]:[Đơn vị]],2,0),"")</f>
        <v>Kg</v>
      </c>
      <c r="G77" s="1989">
        <v>21.01</v>
      </c>
      <c r="H77"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20.175008365430482</v>
      </c>
      <c r="I77" s="2028">
        <v>4534018.4000000004</v>
      </c>
      <c r="J77"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187651.34400000016</v>
      </c>
      <c r="K77"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77"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224734.4</v>
      </c>
    </row>
    <row r="78" spans="1:12" x14ac:dyDescent="0.2">
      <c r="A78" s="1986">
        <f>IF(B78="","",COUNTA($B$3:B78))</f>
        <v>76</v>
      </c>
      <c r="B78" s="1977">
        <v>4</v>
      </c>
      <c r="C78" s="1977" t="s">
        <v>25</v>
      </c>
      <c r="D78" s="1977" t="s">
        <v>116</v>
      </c>
      <c r="E78" s="1987" t="s">
        <v>1183</v>
      </c>
      <c r="F78" s="1977" t="str">
        <f>IFERROR(VLOOKUP(Table4[[#This Row],[Nguyên liệu, vật tư]],TblMap[[Mới (quy định lại)]:[Đơn vị]],2,0),"")</f>
        <v>Kg</v>
      </c>
      <c r="G78" s="1989">
        <v>0.48299999999999998</v>
      </c>
      <c r="H78"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0.45274421717369484</v>
      </c>
      <c r="I78" s="2028">
        <v>101747.2</v>
      </c>
      <c r="J78"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6799.5151999999907</v>
      </c>
      <c r="K78"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78"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224734.4</v>
      </c>
    </row>
    <row r="79" spans="1:12" x14ac:dyDescent="0.2">
      <c r="A79" s="1986">
        <f>IF(B79="","",COUNTA($B$3:B79))</f>
        <v>77</v>
      </c>
      <c r="B79" s="1977">
        <v>4</v>
      </c>
      <c r="C79" s="1977" t="s">
        <v>25</v>
      </c>
      <c r="D79" s="1977" t="s">
        <v>116</v>
      </c>
      <c r="E79" s="1987" t="s">
        <v>1184</v>
      </c>
      <c r="F79" s="1977" t="str">
        <f>IFERROR(VLOOKUP(Table4[[#This Row],[Nguyên liệu, vật tư]],TblMap[[Mới (quy định lại)]:[Đơn vị]],2,0),"")</f>
        <v>Kg</v>
      </c>
      <c r="G79" s="1989">
        <v>0.54</v>
      </c>
      <c r="H79"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0.49637038210438633</v>
      </c>
      <c r="I79" s="2028">
        <v>111551.5</v>
      </c>
      <c r="J79"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9805.0760000000082</v>
      </c>
      <c r="K79"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79"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224734.4</v>
      </c>
    </row>
    <row r="80" spans="1:12" x14ac:dyDescent="0.2">
      <c r="A80" s="1986">
        <f>IF(B80="","",COUNTA($B$3:B80))</f>
        <v>78</v>
      </c>
      <c r="B80" s="1977">
        <v>4</v>
      </c>
      <c r="C80" s="1977" t="s">
        <v>25</v>
      </c>
      <c r="D80" s="1977" t="s">
        <v>116</v>
      </c>
      <c r="E80" s="1987" t="s">
        <v>176</v>
      </c>
      <c r="F80" s="1977" t="str">
        <f>IFERROR(VLOOKUP(Table4[[#This Row],[Nguyên liệu, vật tư]],TblMap[[Mới (quy định lại)]:[Đơn vị]],2,0),"")</f>
        <v>Cái</v>
      </c>
      <c r="G80" s="1989">
        <v>0.627</v>
      </c>
      <c r="H80"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0.62718480125873033</v>
      </c>
      <c r="I80" s="2028">
        <v>140950</v>
      </c>
      <c r="J80" s="1988" t="str">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
      </c>
      <c r="K80" s="1988">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41.531200000004837</v>
      </c>
      <c r="L80"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224734.4</v>
      </c>
    </row>
    <row r="81" spans="1:14" x14ac:dyDescent="0.2">
      <c r="A81" s="1986">
        <f>IF(B81="","",COUNTA($B$3:B81))</f>
        <v>79</v>
      </c>
      <c r="B81" s="1977">
        <v>4</v>
      </c>
      <c r="C81" s="1977" t="s">
        <v>25</v>
      </c>
      <c r="D81" s="1977" t="s">
        <v>116</v>
      </c>
      <c r="E81" s="1987" t="s">
        <v>177</v>
      </c>
      <c r="F81" s="1977" t="str">
        <f>IFERROR(VLOOKUP(Table4[[#This Row],[Nguyên liệu, vật tư]],TblMap[[Mới (quy định lại)]:[Đơn vị]],2,0),"")</f>
        <v>Kg</v>
      </c>
      <c r="G81" s="1989">
        <v>2.5000000000000001E-2</v>
      </c>
      <c r="H81"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2.4540079311400481E-2</v>
      </c>
      <c r="I81" s="2028">
        <v>5515</v>
      </c>
      <c r="J81"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103.36000000000001</v>
      </c>
      <c r="K81"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81"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224734.4</v>
      </c>
    </row>
    <row r="82" spans="1:14" x14ac:dyDescent="0.2">
      <c r="A82" s="1986">
        <f>IF(B82="","",COUNTA($B$3:B82))</f>
        <v>80</v>
      </c>
      <c r="B82" s="1977">
        <v>4</v>
      </c>
      <c r="C82" s="1977" t="s">
        <v>25</v>
      </c>
      <c r="D82" s="1977" t="s">
        <v>116</v>
      </c>
      <c r="E82" s="1987" t="s">
        <v>178</v>
      </c>
      <c r="F82" s="1977" t="str">
        <f>IFERROR(VLOOKUP(Table4[[#This Row],[Nguyên liệu, vật tư]],TblMap[[Mới (quy định lại)]:[Đơn vị]],2,0),"")</f>
        <v>Kg</v>
      </c>
      <c r="G82" s="2057">
        <v>1.09E-2</v>
      </c>
      <c r="H82"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1.0652574772709474E-2</v>
      </c>
      <c r="I82" s="2028">
        <v>2394</v>
      </c>
      <c r="J82"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55.60495999999992</v>
      </c>
      <c r="K82"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82"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224734.4</v>
      </c>
    </row>
    <row r="83" spans="1:14" x14ac:dyDescent="0.2">
      <c r="A83" s="1986">
        <f>IF(B83="","",COUNTA($B$3:B83))</f>
        <v>81</v>
      </c>
      <c r="B83" s="1977">
        <v>4</v>
      </c>
      <c r="C83" s="1977" t="s">
        <v>25</v>
      </c>
      <c r="D83" s="1977" t="s">
        <v>116</v>
      </c>
      <c r="E83" s="1987" t="s">
        <v>182</v>
      </c>
      <c r="F83" s="1977" t="str">
        <f>IFERROR(VLOOKUP(Table4[[#This Row],[Nguyên liệu, vật tư]],TblMap[[Mới (quy định lại)]:[Đơn vị]],2,0),"")</f>
        <v>Kg</v>
      </c>
      <c r="G83" s="1989">
        <v>1.79</v>
      </c>
      <c r="H83"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1.768187246812237</v>
      </c>
      <c r="I83" s="2028">
        <v>397372.5</v>
      </c>
      <c r="J83"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4902.0760000000028</v>
      </c>
      <c r="K83"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83"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224734.4</v>
      </c>
    </row>
    <row r="84" spans="1:14" x14ac:dyDescent="0.2">
      <c r="A84" s="1986">
        <f>IF(B84="","",COUNTA($B$3:B84))</f>
        <v>82</v>
      </c>
      <c r="B84" s="1977">
        <v>4</v>
      </c>
      <c r="C84" s="1977" t="s">
        <v>25</v>
      </c>
      <c r="D84" s="1977" t="s">
        <v>116</v>
      </c>
      <c r="E84" s="1987" t="s">
        <v>183</v>
      </c>
      <c r="F84" s="1977" t="str">
        <f>IFERROR(VLOOKUP(Table4[[#This Row],[Nguyên liệu, vật tư]],TblMap[[Mới (quy định lại)]:[Đơn vị]],2,0),"")</f>
        <v>Cái</v>
      </c>
      <c r="G84" s="2057">
        <v>8.2000000000000007E-3</v>
      </c>
      <c r="H84"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8.0094547163229134E-3</v>
      </c>
      <c r="I84" s="2028">
        <v>1800</v>
      </c>
      <c r="J84"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42.822080000000014</v>
      </c>
      <c r="K84"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84"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224734.4</v>
      </c>
    </row>
    <row r="85" spans="1:14" x14ac:dyDescent="0.2">
      <c r="A85" s="1986">
        <f>IF(B85="","",COUNTA($B$3:B85))</f>
        <v>83</v>
      </c>
      <c r="B85" s="1977">
        <v>4</v>
      </c>
      <c r="C85" s="1977" t="s">
        <v>25</v>
      </c>
      <c r="D85" s="1977" t="s">
        <v>116</v>
      </c>
      <c r="E85" s="1987" t="s">
        <v>184</v>
      </c>
      <c r="F85" s="1977" t="str">
        <f>IFERROR(VLOOKUP(Table4[[#This Row],[Nguyên liệu, vật tư]],TblMap[[Mới (quy định lại)]:[Đơn vị]],2,0),"")</f>
        <v>Cái</v>
      </c>
      <c r="G85" s="1989">
        <v>6.4000000000000001E-2</v>
      </c>
      <c r="H85"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6.3630668024120915E-2</v>
      </c>
      <c r="I85" s="2028">
        <v>14300</v>
      </c>
      <c r="J85"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83.001600000000948</v>
      </c>
      <c r="K85"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85"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224734.4</v>
      </c>
    </row>
    <row r="86" spans="1:14" x14ac:dyDescent="0.2">
      <c r="A86" s="1986">
        <f>IF(B86="","",COUNTA($B$3:B86))</f>
        <v>84</v>
      </c>
      <c r="B86" s="1977">
        <v>4</v>
      </c>
      <c r="C86" s="1977" t="s">
        <v>25</v>
      </c>
      <c r="D86" s="1977" t="s">
        <v>116</v>
      </c>
      <c r="E86" s="1987" t="s">
        <v>185</v>
      </c>
      <c r="F86" s="1977" t="str">
        <f>IFERROR(VLOOKUP(Table4[[#This Row],[Nguyên liệu, vật tư]],TblMap[[Mới (quy định lại)]:[Đơn vị]],2,0),"")</f>
        <v>Kg</v>
      </c>
      <c r="G86" s="1989">
        <v>1.5900000000000001E-2</v>
      </c>
      <c r="H86"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1.6908848845570593E-2</v>
      </c>
      <c r="I86" s="2028">
        <v>3800</v>
      </c>
      <c r="J86" s="1988" t="str">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
      </c>
      <c r="K86"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86"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224734.4</v>
      </c>
    </row>
    <row r="87" spans="1:14" x14ac:dyDescent="0.2">
      <c r="A87" s="1986">
        <f>IF(B87="","",COUNTA($B$3:B87))</f>
        <v>85</v>
      </c>
      <c r="B87" s="1977">
        <v>4</v>
      </c>
      <c r="C87" s="1977" t="s">
        <v>25</v>
      </c>
      <c r="D87" s="1977" t="s">
        <v>116</v>
      </c>
      <c r="E87" s="1987" t="s">
        <v>179</v>
      </c>
      <c r="F87" s="1977" t="str">
        <f>IFERROR(VLOOKUP(Table4[[#This Row],[Nguyên liệu, vật tư]],TblMap[[Mới (quy định lại)]:[Đơn vị]],2,0),"")</f>
        <v>Kg</v>
      </c>
      <c r="G87" s="1989">
        <v>4.8000000000000001E-2</v>
      </c>
      <c r="H87"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5.8958486106265889E-2</v>
      </c>
      <c r="I87" s="2028">
        <v>13250</v>
      </c>
      <c r="J87" s="1988" t="str">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
      </c>
      <c r="K87" s="1988">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2462.7488000000008</v>
      </c>
      <c r="L87"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224734.4</v>
      </c>
    </row>
    <row r="88" spans="1:14" x14ac:dyDescent="0.2">
      <c r="A88" s="1986">
        <f>IF(B88="","",COUNTA($B$3:B88))</f>
        <v>86</v>
      </c>
      <c r="B88" s="1977">
        <v>4</v>
      </c>
      <c r="C88" s="1982" t="s">
        <v>25</v>
      </c>
      <c r="D88" s="1982" t="s">
        <v>116</v>
      </c>
      <c r="E88" s="1990" t="s">
        <v>1062</v>
      </c>
      <c r="F88" s="1977" t="str">
        <f>IFERROR(VLOOKUP(Table4[[#This Row],[Nguyên liệu, vật tư]],TblMap[[Mới (quy định lại)]:[Đơn vị]],2,0),"")</f>
        <v>Kg</v>
      </c>
      <c r="G88" s="1992">
        <v>2.7000000000000001E-3</v>
      </c>
      <c r="H88"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2.4473333855431121E-3</v>
      </c>
      <c r="I88" s="2028">
        <v>550</v>
      </c>
      <c r="J88"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56.782880000000063</v>
      </c>
      <c r="K88"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88"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224734.4</v>
      </c>
    </row>
    <row r="89" spans="1:14" ht="16" customHeight="1" x14ac:dyDescent="0.2">
      <c r="A89" s="1986">
        <f>IF(B89="","",COUNTA($B$3:B89))</f>
        <v>87</v>
      </c>
      <c r="B89" s="1977">
        <v>4</v>
      </c>
      <c r="C89" s="1982" t="s">
        <v>5</v>
      </c>
      <c r="D89" s="2401" t="s">
        <v>115</v>
      </c>
      <c r="E89" s="1969" t="s">
        <v>163</v>
      </c>
      <c r="F89" s="2401" t="str">
        <f>IFERROR(VLOOKUP(Table4[[#This Row],[Nguyên liệu, vật tư]],TblMap[[Mới (quy định lại)]:[Đơn vị]],2,0),"")</f>
        <v>Kg</v>
      </c>
      <c r="G89" s="1991">
        <v>19.04</v>
      </c>
      <c r="H89"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18.837525357034046</v>
      </c>
      <c r="I89" s="2029">
        <v>9032075</v>
      </c>
      <c r="J89"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97081.019200000039</v>
      </c>
      <c r="K89"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89"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479472.48000000004</v>
      </c>
      <c r="M89" s="1971"/>
      <c r="N89" s="2431" t="s">
        <v>1380</v>
      </c>
    </row>
    <row r="90" spans="1:14" x14ac:dyDescent="0.2">
      <c r="A90" s="1986">
        <f>IF(B90="","",COUNTA($B$3:B90))</f>
        <v>88</v>
      </c>
      <c r="B90" s="1977">
        <v>4</v>
      </c>
      <c r="C90" s="1982" t="s">
        <v>5</v>
      </c>
      <c r="D90" s="2401" t="s">
        <v>115</v>
      </c>
      <c r="E90" s="2400" t="s">
        <v>1176</v>
      </c>
      <c r="F90" s="2401" t="str">
        <f>IFERROR(VLOOKUP(Table4[[#This Row],[Nguyên liệu, vật tư]],TblMap[[Mới (quy định lại)]:[Đơn vị]],2,0),"")</f>
        <v>Kg</v>
      </c>
      <c r="G90" s="1991">
        <v>0.45600000000000002</v>
      </c>
      <c r="H90"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0.42140687615689637</v>
      </c>
      <c r="I90" s="2029">
        <v>202053</v>
      </c>
      <c r="J90"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16586.450880000037</v>
      </c>
      <c r="K90"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90"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479472.48000000004</v>
      </c>
      <c r="M90" s="1971"/>
    </row>
    <row r="91" spans="1:14" x14ac:dyDescent="0.2">
      <c r="A91" s="1986">
        <f>IF(B91="","",COUNTA($B$3:B91))</f>
        <v>89</v>
      </c>
      <c r="B91" s="1977">
        <v>4</v>
      </c>
      <c r="C91" s="1982" t="s">
        <v>5</v>
      </c>
      <c r="D91" s="1977" t="s">
        <v>115</v>
      </c>
      <c r="E91" s="1987" t="s">
        <v>1189</v>
      </c>
      <c r="F91" s="1977" t="str">
        <f>IFERROR(VLOOKUP(Table4[[#This Row],[Nguyên liệu, vật tư]],TblMap[[Mới (quy định lại)]:[Đơn vị]],2,0),"")</f>
        <v>Kg</v>
      </c>
      <c r="G91" s="1989">
        <v>0.38300000000000001</v>
      </c>
      <c r="H91"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c r="I91" s="2029"/>
      <c r="J91"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0</v>
      </c>
      <c r="K91" s="1988">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0</v>
      </c>
      <c r="L91"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c r="M91" s="1970"/>
    </row>
    <row r="92" spans="1:14" x14ac:dyDescent="0.2">
      <c r="A92" s="1986">
        <f>IF(B92="","",COUNTA($B$3:B92))</f>
        <v>90</v>
      </c>
      <c r="B92" s="1977">
        <v>4</v>
      </c>
      <c r="C92" s="1982" t="s">
        <v>5</v>
      </c>
      <c r="D92" s="1977" t="s">
        <v>115</v>
      </c>
      <c r="E92" s="1987" t="s">
        <v>1183</v>
      </c>
      <c r="F92" s="1977" t="str">
        <f>IFERROR(VLOOKUP(Table4[[#This Row],[Nguyên liệu, vật tư]],TblMap[[Mới (quy định lại)]:[Đơn vị]],2,0),"")</f>
        <v>Kg</v>
      </c>
      <c r="G92" s="1989">
        <v>0.52</v>
      </c>
      <c r="H92"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c r="I92" s="2029"/>
      <c r="J92"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0</v>
      </c>
      <c r="K92" s="1988">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0</v>
      </c>
      <c r="L92"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c r="M92" s="1971"/>
    </row>
    <row r="93" spans="1:14" ht="16" customHeight="1" x14ac:dyDescent="0.2">
      <c r="A93" s="1986">
        <f>IF(B93="","",COUNTA($B$3:B93))</f>
        <v>91</v>
      </c>
      <c r="B93" s="1977">
        <v>4</v>
      </c>
      <c r="C93" s="1982" t="s">
        <v>5</v>
      </c>
      <c r="D93" s="1977" t="s">
        <v>115</v>
      </c>
      <c r="E93" s="1987" t="s">
        <v>1177</v>
      </c>
      <c r="F93" s="1977" t="str">
        <f>IFERROR(VLOOKUP(Table4[[#This Row],[Nguyên liệu, vật tư]],TblMap[[Mới (quy định lại)]:[Đơn vị]],2,0),"")</f>
        <v>Kg</v>
      </c>
      <c r="G93" s="1991">
        <v>0.434</v>
      </c>
      <c r="H93"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0.4126034511928609</v>
      </c>
      <c r="I93" s="2029">
        <v>197832</v>
      </c>
      <c r="J93"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10259.056320000023</v>
      </c>
      <c r="K93"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93"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479472.48000000004</v>
      </c>
      <c r="M93" s="1971"/>
    </row>
    <row r="94" spans="1:14" ht="18" customHeight="1" x14ac:dyDescent="0.2">
      <c r="A94" s="1986">
        <f>IF(B94="","",COUNTA($B$3:B94))</f>
        <v>92</v>
      </c>
      <c r="B94" s="1977">
        <v>4</v>
      </c>
      <c r="C94" s="1982" t="s">
        <v>5</v>
      </c>
      <c r="D94" s="1977" t="s">
        <v>115</v>
      </c>
      <c r="E94" s="1987" t="s">
        <v>1184</v>
      </c>
      <c r="F94" s="1977" t="str">
        <f>IFERROR(VLOOKUP(Table4[[#This Row],[Nguyên liệu, vật tư]],TblMap[[Mới (quy định lại)]:[Đơn vị]],2,0),"")</f>
        <v>Kg</v>
      </c>
      <c r="G94" s="1989">
        <v>0.52</v>
      </c>
      <c r="H94"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c r="I94" s="2029"/>
      <c r="J94"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0</v>
      </c>
      <c r="K94" s="1988">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0</v>
      </c>
      <c r="L94"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c r="M94" s="1971"/>
    </row>
    <row r="95" spans="1:14" ht="18" customHeight="1" x14ac:dyDescent="0.2">
      <c r="A95" s="1986">
        <f>IF(B95="","",COUNTA($B$3:B95))</f>
        <v>93</v>
      </c>
      <c r="B95" s="1977">
        <v>4</v>
      </c>
      <c r="C95" s="1982" t="s">
        <v>5</v>
      </c>
      <c r="D95" s="1977" t="s">
        <v>115</v>
      </c>
      <c r="E95" s="1987" t="s">
        <v>1190</v>
      </c>
      <c r="F95" s="1977" t="str">
        <f>IFERROR(VLOOKUP(Table4[[#This Row],[Nguyên liệu, vật tư]],TblMap[[Mới (quy định lại)]:[Đơn vị]],2,0),"")</f>
        <v>Kg</v>
      </c>
      <c r="G95" s="1989">
        <v>0.434</v>
      </c>
      <c r="H95"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c r="I95" s="2029"/>
      <c r="J95"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0</v>
      </c>
      <c r="K95" s="1988">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0</v>
      </c>
      <c r="L95"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c r="M95" s="1971"/>
    </row>
    <row r="96" spans="1:14" x14ac:dyDescent="0.2">
      <c r="A96" s="1986">
        <f>IF(B96="","",COUNTA($B$3:B96))</f>
        <v>94</v>
      </c>
      <c r="B96" s="1977">
        <v>4</v>
      </c>
      <c r="C96" s="1982" t="s">
        <v>5</v>
      </c>
      <c r="D96" s="1977" t="s">
        <v>115</v>
      </c>
      <c r="E96" s="1987" t="s">
        <v>176</v>
      </c>
      <c r="F96" s="1977" t="str">
        <f>IFERROR(VLOOKUP(Table4[[#This Row],[Nguyên liệu, vật tư]],TblMap[[Mới (quy định lại)]:[Đơn vị]],2,0),"")</f>
        <v>Cái</v>
      </c>
      <c r="G96" s="1989">
        <v>0.69699999999999995</v>
      </c>
      <c r="H96"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0.69659889551950926</v>
      </c>
      <c r="I96" s="2029">
        <v>334000</v>
      </c>
      <c r="J96"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192.31855999998194</v>
      </c>
      <c r="K96"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96"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479472.48000000004</v>
      </c>
      <c r="M96" s="1970"/>
    </row>
    <row r="97" spans="1:12" x14ac:dyDescent="0.2">
      <c r="A97" s="1986">
        <f>IF(B97="","",COUNTA($B$3:B97))</f>
        <v>95</v>
      </c>
      <c r="B97" s="1977">
        <v>4</v>
      </c>
      <c r="C97" s="1982" t="s">
        <v>5</v>
      </c>
      <c r="D97" s="1977" t="s">
        <v>115</v>
      </c>
      <c r="E97" s="1987" t="s">
        <v>177</v>
      </c>
      <c r="F97" s="1977" t="str">
        <f>IFERROR(VLOOKUP(Table4[[#This Row],[Nguyên liệu, vật tư]],TblMap[[Mới (quy định lại)]:[Đơn vị]],2,0),"")</f>
        <v>Kg</v>
      </c>
      <c r="G97" s="1989">
        <v>3.7100000000000001E-2</v>
      </c>
      <c r="H97"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3.7124132755231326E-2</v>
      </c>
      <c r="I97" s="2028">
        <v>17800</v>
      </c>
      <c r="J97" s="1988" t="str">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
      </c>
      <c r="K97" s="1988">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11.570991999996382</v>
      </c>
      <c r="L97"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479472.48000000004</v>
      </c>
    </row>
    <row r="98" spans="1:12" x14ac:dyDescent="0.2">
      <c r="A98" s="1986">
        <f>IF(B98="","",COUNTA($B$3:B98))</f>
        <v>96</v>
      </c>
      <c r="B98" s="1977">
        <v>4</v>
      </c>
      <c r="C98" s="1982" t="s">
        <v>5</v>
      </c>
      <c r="D98" s="1977" t="s">
        <v>115</v>
      </c>
      <c r="E98" s="1987" t="s">
        <v>178</v>
      </c>
      <c r="F98" s="1977" t="str">
        <f>IFERROR(VLOOKUP(Table4[[#This Row],[Nguyên liệu, vật tư]],TblMap[[Mới (quy định lại)]:[Đơn vị]],2,0),"")</f>
        <v>Kg</v>
      </c>
      <c r="G98" s="2057">
        <v>8.2000000000000007E-3</v>
      </c>
      <c r="H98"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8.332073615570177E-3</v>
      </c>
      <c r="I98" s="2028">
        <v>3995</v>
      </c>
      <c r="J98" s="1988" t="str">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
      </c>
      <c r="K98" s="1988">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63.325663999999072</v>
      </c>
      <c r="L98"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479472.48000000004</v>
      </c>
    </row>
    <row r="99" spans="1:12" x14ac:dyDescent="0.2">
      <c r="A99" s="1986">
        <f>IF(B99="","",COUNTA($B$3:B99))</f>
        <v>97</v>
      </c>
      <c r="B99" s="1977">
        <v>4</v>
      </c>
      <c r="C99" s="1982" t="s">
        <v>5</v>
      </c>
      <c r="D99" s="1977" t="s">
        <v>115</v>
      </c>
      <c r="E99" s="2400" t="s">
        <v>179</v>
      </c>
      <c r="F99" s="2401" t="str">
        <f>IFERROR(VLOOKUP(Table4[[#This Row],[Nguyên liệu, vật tư]],TblMap[[Mới (quy định lại)]:[Đơn vị]],2,0),"")</f>
        <v>Kg</v>
      </c>
      <c r="G99" s="2432">
        <v>4.3299999999999998E-2</v>
      </c>
      <c r="H99"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4.1191102354821277E-2</v>
      </c>
      <c r="I99" s="2028">
        <v>19750</v>
      </c>
      <c r="J99"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1011.1583840000017</v>
      </c>
      <c r="K99"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99"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479472.48000000004</v>
      </c>
    </row>
    <row r="100" spans="1:12" x14ac:dyDescent="0.2">
      <c r="A100" s="1986">
        <f>IF(B100="","",COUNTA($B$3:B100))</f>
        <v>98</v>
      </c>
      <c r="B100" s="1977">
        <v>4</v>
      </c>
      <c r="C100" s="1982" t="s">
        <v>5</v>
      </c>
      <c r="D100" s="1977" t="s">
        <v>115</v>
      </c>
      <c r="E100" s="1987" t="s">
        <v>1061</v>
      </c>
      <c r="F100" s="1977" t="str">
        <f>IFERROR(VLOOKUP(Table4[[#This Row],[Nguyên liệu, vật tư]],TblMap[[Mới (quy định lại)]:[Đơn vị]],2,0),"")</f>
        <v>Kg</v>
      </c>
      <c r="G100" s="2057">
        <v>2E-3</v>
      </c>
      <c r="H100"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2.5027505228245842E-3</v>
      </c>
      <c r="I100" s="2028">
        <v>1200</v>
      </c>
      <c r="J100" s="1988" t="str">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
      </c>
      <c r="K100" s="1988">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241.05503999999999</v>
      </c>
      <c r="L100"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479472.48000000004</v>
      </c>
    </row>
    <row r="101" spans="1:12" x14ac:dyDescent="0.2">
      <c r="A101" s="1986">
        <f>IF(B101="","",COUNTA($B$3:B101))</f>
        <v>99</v>
      </c>
      <c r="B101" s="1977">
        <v>4</v>
      </c>
      <c r="C101" s="1982" t="s">
        <v>5</v>
      </c>
      <c r="D101" s="1977" t="s">
        <v>115</v>
      </c>
      <c r="E101" s="1987" t="s">
        <v>1062</v>
      </c>
      <c r="F101" s="1977" t="str">
        <f>IFERROR(VLOOKUP(Table4[[#This Row],[Nguyên liệu, vật tư]],TblMap[[Mới (quy định lại)]:[Đơn vị]],2,0),"")</f>
        <v>Kg</v>
      </c>
      <c r="G101" s="1989">
        <v>2.7699999999999999E-3</v>
      </c>
      <c r="H101"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c r="I101" s="2028"/>
      <c r="J101"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1328.1387696000002</v>
      </c>
      <c r="K101"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101"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479472.48000000004</v>
      </c>
    </row>
    <row r="102" spans="1:12" x14ac:dyDescent="0.2">
      <c r="A102" s="1986">
        <f>IF(B102="","",COUNTA($B$3:B102))</f>
        <v>100</v>
      </c>
      <c r="B102" s="1977">
        <v>4</v>
      </c>
      <c r="C102" s="1982" t="s">
        <v>5</v>
      </c>
      <c r="D102" s="1977" t="s">
        <v>115</v>
      </c>
      <c r="E102" s="1987" t="s">
        <v>182</v>
      </c>
      <c r="F102" s="1977" t="str">
        <f>IFERROR(VLOOKUP(Table4[[#This Row],[Nguyên liệu, vật tư]],TblMap[[Mới (quy định lại)]:[Đơn vị]],2,0),"")</f>
        <v>Kg</v>
      </c>
      <c r="G102" s="1989">
        <v>1.65</v>
      </c>
      <c r="H102"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1.5723348293107458</v>
      </c>
      <c r="I102" s="2028">
        <v>753891.28</v>
      </c>
      <c r="J102"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37238.312000000005</v>
      </c>
      <c r="K102"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102"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479472.48000000004</v>
      </c>
    </row>
    <row r="103" spans="1:12" x14ac:dyDescent="0.2">
      <c r="A103" s="1986">
        <f>IF(B103="","",COUNTA($B$3:B103))</f>
        <v>101</v>
      </c>
      <c r="B103" s="1977">
        <v>4</v>
      </c>
      <c r="C103" s="1982" t="s">
        <v>5</v>
      </c>
      <c r="D103" s="1977" t="s">
        <v>115</v>
      </c>
      <c r="E103" s="1987" t="s">
        <v>183</v>
      </c>
      <c r="F103" s="1977" t="str">
        <f>IFERROR(VLOOKUP(Table4[[#This Row],[Nguyên liệu, vật tư]],TblMap[[Mới (quy định lại)]:[Đơn vị]],2,0),"")</f>
        <v>Cái</v>
      </c>
      <c r="G103" s="2057">
        <v>6.4000000000000003E-3</v>
      </c>
      <c r="H103"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6.4237263419164321E-3</v>
      </c>
      <c r="I103" s="2028">
        <v>3080</v>
      </c>
      <c r="J103" s="1988" t="str">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
      </c>
      <c r="K103" s="1988">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11.376127999999488</v>
      </c>
      <c r="L103"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479472.48000000004</v>
      </c>
    </row>
    <row r="104" spans="1:12" x14ac:dyDescent="0.2">
      <c r="A104" s="1986">
        <f>IF(B104="","",COUNTA($B$3:B104))</f>
        <v>102</v>
      </c>
      <c r="B104" s="1977">
        <v>4</v>
      </c>
      <c r="C104" s="1982" t="s">
        <v>5</v>
      </c>
      <c r="D104" s="1977" t="s">
        <v>115</v>
      </c>
      <c r="E104" s="1987" t="s">
        <v>184</v>
      </c>
      <c r="F104" s="1977" t="str">
        <f>IFERROR(VLOOKUP(Table4[[#This Row],[Nguyên liệu, vật tư]],TblMap[[Mới (quy định lại)]:[Đơn vị]],2,0),"")</f>
        <v>Cái</v>
      </c>
      <c r="G104" s="2057">
        <v>4.7239999999999997E-2</v>
      </c>
      <c r="H104"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4.3798134149430221E-2</v>
      </c>
      <c r="I104" s="2028">
        <v>21000</v>
      </c>
      <c r="J104"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1650.2799552000004</v>
      </c>
      <c r="K104"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104"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479472.48000000004</v>
      </c>
    </row>
    <row r="105" spans="1:12" x14ac:dyDescent="0.2">
      <c r="A105" s="1986">
        <f>IF(B105="","",COUNTA($B$3:B105))</f>
        <v>103</v>
      </c>
      <c r="B105" s="1977">
        <v>4</v>
      </c>
      <c r="C105" s="1982" t="s">
        <v>5</v>
      </c>
      <c r="D105" s="1977" t="s">
        <v>115</v>
      </c>
      <c r="E105" s="1987" t="s">
        <v>185</v>
      </c>
      <c r="F105" s="1977" t="str">
        <f>IFERROR(VLOOKUP(Table4[[#This Row],[Nguyên liệu, vật tư]],TblMap[[Mới (quy định lại)]:[Đơn vị]],2,0),"")</f>
        <v>Kg</v>
      </c>
      <c r="G105" s="2057">
        <v>1.1809999999999999E-2</v>
      </c>
      <c r="H105"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1.1512652404993086E-2</v>
      </c>
      <c r="I105" s="2028">
        <v>5520</v>
      </c>
      <c r="J105" s="1988" t="str">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
      </c>
      <c r="K105"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105"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479472.48000000004</v>
      </c>
    </row>
    <row r="106" spans="1:12" x14ac:dyDescent="0.2">
      <c r="A106" s="1986">
        <f>IF(B106="","",COUNTA($B$3:B106))</f>
        <v>104</v>
      </c>
      <c r="B106" s="1977">
        <v>4</v>
      </c>
      <c r="C106" s="1982" t="s">
        <v>5</v>
      </c>
      <c r="D106" s="1982" t="s">
        <v>115</v>
      </c>
      <c r="E106" s="1990" t="s">
        <v>188</v>
      </c>
      <c r="F106" s="1982" t="str">
        <f>IFERROR(VLOOKUP(Table4[[#This Row],[Nguyên liệu, vật tư]],TblMap[[Mới (quy định lại)]:[Đơn vị]],2,0),"")</f>
        <v>Kg</v>
      </c>
      <c r="G106" s="2058">
        <v>3.4299999999999999E-3</v>
      </c>
      <c r="H106"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2.9407318643188862E-3</v>
      </c>
      <c r="I106" s="2028">
        <v>1410</v>
      </c>
      <c r="J106"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234.59060640000007</v>
      </c>
      <c r="K106"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106"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479472.48000000004</v>
      </c>
    </row>
    <row r="107" spans="1:12" x14ac:dyDescent="0.2">
      <c r="A107" s="1986">
        <f>IF(B107="","",COUNTA($B$3:B107))</f>
        <v>105</v>
      </c>
      <c r="B107" s="1977">
        <v>5</v>
      </c>
      <c r="C107" s="1982" t="s">
        <v>5</v>
      </c>
      <c r="D107" s="2401" t="s">
        <v>115</v>
      </c>
      <c r="E107" s="1969" t="s">
        <v>163</v>
      </c>
      <c r="F107" s="2401" t="str">
        <f>IFERROR(VLOOKUP(Table4[[#This Row],[Nguyên liệu, vật tư]],TblMap[[Mới (quy định lại)]:[Đơn vị]],2,0),"")</f>
        <v>Kg</v>
      </c>
      <c r="G107" s="1991">
        <v>19.04</v>
      </c>
      <c r="H107"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18.702004104183828</v>
      </c>
      <c r="I107" s="2028">
        <v>9163207</v>
      </c>
      <c r="J107"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165603.98240000114</v>
      </c>
      <c r="K107"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107"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489958.56000000011</v>
      </c>
    </row>
    <row r="108" spans="1:12" x14ac:dyDescent="0.2">
      <c r="A108" s="1986">
        <f>IF(B108="","",COUNTA($B$3:B108))</f>
        <v>106</v>
      </c>
      <c r="B108" s="1977">
        <v>5</v>
      </c>
      <c r="C108" s="1982" t="s">
        <v>5</v>
      </c>
      <c r="D108" s="2401" t="s">
        <v>115</v>
      </c>
      <c r="E108" s="2400" t="s">
        <v>1176</v>
      </c>
      <c r="F108" s="2401" t="str">
        <f>IFERROR(VLOOKUP(Table4[[#This Row],[Nguyên liệu, vật tư]],TblMap[[Mới (quy định lại)]:[Đơn vị]],2,0),"")</f>
        <v>Kg</v>
      </c>
      <c r="G108" s="1991">
        <v>0.45600000000000002</v>
      </c>
      <c r="H108"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0.43648269068521572</v>
      </c>
      <c r="I108" s="2028">
        <v>198580</v>
      </c>
      <c r="J108"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8879.4982400000627</v>
      </c>
      <c r="K108"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108"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454955.0400000001</v>
      </c>
    </row>
    <row r="109" spans="1:12" x14ac:dyDescent="0.2">
      <c r="A109" s="1986">
        <f>IF(B109="","",COUNTA($B$3:B109))</f>
        <v>107</v>
      </c>
      <c r="B109" s="1977">
        <v>5</v>
      </c>
      <c r="C109" s="1982" t="s">
        <v>5</v>
      </c>
      <c r="D109" s="1977" t="s">
        <v>115</v>
      </c>
      <c r="E109" s="1987" t="s">
        <v>1189</v>
      </c>
      <c r="F109" s="1977" t="str">
        <f>IFERROR(VLOOKUP(Table4[[#This Row],[Nguyên liệu, vật tư]],TblMap[[Mới (quy định lại)]:[Đơn vị]],2,0),"")</f>
        <v>Kg</v>
      </c>
      <c r="G109" s="1991">
        <v>0.38300000000000001</v>
      </c>
      <c r="H109"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c r="I109" s="2028">
        <v>0</v>
      </c>
      <c r="J109" s="2433" t="s">
        <v>142</v>
      </c>
      <c r="K109"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109"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35003.520000000004</v>
      </c>
    </row>
    <row r="110" spans="1:12" x14ac:dyDescent="0.2">
      <c r="A110" s="1986">
        <f>IF(B110="","",COUNTA($B$3:B110))</f>
        <v>108</v>
      </c>
      <c r="B110" s="1977">
        <v>5</v>
      </c>
      <c r="C110" s="1982" t="s">
        <v>5</v>
      </c>
      <c r="D110" s="1977" t="s">
        <v>115</v>
      </c>
      <c r="E110" s="1987" t="s">
        <v>1183</v>
      </c>
      <c r="F110" s="1977" t="str">
        <f>IFERROR(VLOOKUP(Table4[[#This Row],[Nguyên liệu, vật tư]],TblMap[[Mới (quy định lại)]:[Đơn vị]],2,0),"")</f>
        <v>Kg</v>
      </c>
      <c r="G110" s="1991">
        <v>0.52</v>
      </c>
      <c r="H110"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c r="I110" s="2028"/>
      <c r="J110"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0</v>
      </c>
      <c r="K110" s="1988">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0</v>
      </c>
      <c r="L110"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row>
    <row r="111" spans="1:12" x14ac:dyDescent="0.2">
      <c r="A111" s="1986">
        <f>IF(B111="","",COUNTA($B$3:B111))</f>
        <v>109</v>
      </c>
      <c r="B111" s="1977">
        <v>5</v>
      </c>
      <c r="C111" s="1982" t="s">
        <v>5</v>
      </c>
      <c r="D111" s="1977" t="s">
        <v>115</v>
      </c>
      <c r="E111" s="1987" t="s">
        <v>1177</v>
      </c>
      <c r="F111" s="1977" t="str">
        <f>IFERROR(VLOOKUP(Table4[[#This Row],[Nguyên liệu, vật tư]],TblMap[[Mới (quy định lại)]:[Đơn vị]],2,0),"")</f>
        <v>Kg</v>
      </c>
      <c r="G111" s="1991">
        <v>0.434</v>
      </c>
      <c r="H111"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0.40871071567863049</v>
      </c>
      <c r="I111" s="2028">
        <v>185945</v>
      </c>
      <c r="J111"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11505.487360000041</v>
      </c>
      <c r="K111"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111"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454955.0400000001</v>
      </c>
    </row>
    <row r="112" spans="1:12" x14ac:dyDescent="0.2">
      <c r="A112" s="1986">
        <f>IF(B112="","",COUNTA($B$3:B112))</f>
        <v>110</v>
      </c>
      <c r="B112" s="1977">
        <v>5</v>
      </c>
      <c r="C112" s="1982" t="s">
        <v>5</v>
      </c>
      <c r="D112" s="1977" t="s">
        <v>115</v>
      </c>
      <c r="E112" s="1987" t="s">
        <v>1184</v>
      </c>
      <c r="F112" s="1977" t="str">
        <f>IFERROR(VLOOKUP(Table4[[#This Row],[Nguyên liệu, vật tư]],TblMap[[Mới (quy định lại)]:[Đơn vị]],2,0),"")</f>
        <v>Kg</v>
      </c>
      <c r="G112" s="1991">
        <v>0.52</v>
      </c>
      <c r="H112"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c r="I112" s="2028"/>
      <c r="J112"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0</v>
      </c>
      <c r="K112" s="1988">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0</v>
      </c>
      <c r="L112"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row>
    <row r="113" spans="1:12" x14ac:dyDescent="0.2">
      <c r="A113" s="1986">
        <f>IF(B113="","",COUNTA($B$3:B113))</f>
        <v>111</v>
      </c>
      <c r="B113" s="1977">
        <v>5</v>
      </c>
      <c r="C113" s="1982" t="s">
        <v>5</v>
      </c>
      <c r="D113" s="1977" t="s">
        <v>115</v>
      </c>
      <c r="E113" s="1987" t="s">
        <v>1190</v>
      </c>
      <c r="F113" s="1977" t="str">
        <f>IFERROR(VLOOKUP(Table4[[#This Row],[Nguyên liệu, vật tư]],TblMap[[Mới (quy định lại)]:[Đơn vị]],2,0),"")</f>
        <v>Kg</v>
      </c>
      <c r="G113" s="1991">
        <v>0.434</v>
      </c>
      <c r="H113"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0.41467258150037478</v>
      </c>
      <c r="I113" s="2028">
        <v>14515</v>
      </c>
      <c r="J113"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676.52768000000128</v>
      </c>
      <c r="K113"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113"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35003.520000000004</v>
      </c>
    </row>
    <row r="114" spans="1:12" x14ac:dyDescent="0.2">
      <c r="A114" s="1986">
        <f>IF(B114="","",COUNTA($B$3:B114))</f>
        <v>112</v>
      </c>
      <c r="B114" s="1977">
        <v>5</v>
      </c>
      <c r="C114" s="1982" t="s">
        <v>5</v>
      </c>
      <c r="D114" s="1977" t="s">
        <v>115</v>
      </c>
      <c r="E114" s="1987" t="s">
        <v>176</v>
      </c>
      <c r="F114" s="1977" t="str">
        <f>IFERROR(VLOOKUP(Table4[[#This Row],[Nguyên liệu, vật tư]],TblMap[[Mới (quy định lại)]:[Đơn vị]],2,0),"")</f>
        <v>Cái</v>
      </c>
      <c r="G114" s="1991">
        <v>0.69699999999999995</v>
      </c>
      <c r="H114"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0.69655890898201656</v>
      </c>
      <c r="I114" s="2028">
        <v>341285</v>
      </c>
      <c r="J114"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216.11632000007941</v>
      </c>
      <c r="K114"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114"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489958.56000000011</v>
      </c>
    </row>
    <row r="115" spans="1:12" x14ac:dyDescent="0.2">
      <c r="A115" s="1986">
        <f>IF(B115="","",COUNTA($B$3:B115))</f>
        <v>113</v>
      </c>
      <c r="B115" s="1977">
        <v>5</v>
      </c>
      <c r="C115" s="1982" t="s">
        <v>5</v>
      </c>
      <c r="D115" s="1977" t="s">
        <v>115</v>
      </c>
      <c r="E115" s="1987" t="s">
        <v>177</v>
      </c>
      <c r="F115" s="1977" t="str">
        <f>IFERROR(VLOOKUP(Table4[[#This Row],[Nguyên liệu, vật tư]],TblMap[[Mới (quy định lại)]:[Đơn vị]],2,0),"")</f>
        <v>Kg</v>
      </c>
      <c r="G115" s="1991">
        <v>3.7100000000000001E-2</v>
      </c>
      <c r="H115" s="2057">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3.3757956999465419E-2</v>
      </c>
      <c r="I115" s="2028">
        <v>16540</v>
      </c>
      <c r="J115" s="2434">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1637.4625760000035</v>
      </c>
      <c r="K115"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115"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489958.56000000011</v>
      </c>
    </row>
    <row r="116" spans="1:12" x14ac:dyDescent="0.2">
      <c r="A116" s="1986">
        <f>IF(B116="","",COUNTA($B$3:B116))</f>
        <v>114</v>
      </c>
      <c r="B116" s="1977">
        <v>5</v>
      </c>
      <c r="C116" s="1982" t="s">
        <v>5</v>
      </c>
      <c r="D116" s="1977" t="s">
        <v>115</v>
      </c>
      <c r="E116" s="1987" t="s">
        <v>178</v>
      </c>
      <c r="F116" s="1977" t="str">
        <f>IFERROR(VLOOKUP(Table4[[#This Row],[Nguyên liệu, vật tư]],TblMap[[Mới (quy định lại)]:[Đơn vị]],2,0),"")</f>
        <v>Kg</v>
      </c>
      <c r="G116" s="2432">
        <v>8.2000000000000007E-3</v>
      </c>
      <c r="H116" s="2057">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8.1639557435224715E-3</v>
      </c>
      <c r="I116" s="2028">
        <v>4000</v>
      </c>
      <c r="J116"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17.660192000000858</v>
      </c>
      <c r="K116"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116"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489958.56000000011</v>
      </c>
    </row>
    <row r="117" spans="1:12" x14ac:dyDescent="0.2">
      <c r="A117" s="1986">
        <f>IF(B117="","",COUNTA($B$3:B117))</f>
        <v>115</v>
      </c>
      <c r="B117" s="1977">
        <v>5</v>
      </c>
      <c r="C117" s="1982" t="s">
        <v>5</v>
      </c>
      <c r="D117" s="1977" t="s">
        <v>115</v>
      </c>
      <c r="E117" s="2400" t="s">
        <v>179</v>
      </c>
      <c r="F117" s="2401" t="str">
        <f>IFERROR(VLOOKUP(Table4[[#This Row],[Nguyên liệu, vật tư]],TblMap[[Mới (quy định lại)]:[Đơn vị]],2,0),"")</f>
        <v>Kg</v>
      </c>
      <c r="G117" s="2432">
        <v>4.3299999999999998E-2</v>
      </c>
      <c r="H117"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4.0309531483642198E-2</v>
      </c>
      <c r="I117" s="2028">
        <v>19750</v>
      </c>
      <c r="J117"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1465.2056480000044</v>
      </c>
      <c r="K117"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117"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489958.56000000011</v>
      </c>
    </row>
    <row r="118" spans="1:12" x14ac:dyDescent="0.2">
      <c r="A118" s="1986">
        <f>IF(B118="","",COUNTA($B$3:B118))</f>
        <v>116</v>
      </c>
      <c r="B118" s="1977">
        <v>5</v>
      </c>
      <c r="C118" s="1982" t="s">
        <v>5</v>
      </c>
      <c r="D118" s="1977" t="s">
        <v>115</v>
      </c>
      <c r="E118" s="1987" t="s">
        <v>1061</v>
      </c>
      <c r="F118" s="1977" t="str">
        <f>IFERROR(VLOOKUP(Table4[[#This Row],[Nguyên liệu, vật tư]],TblMap[[Mới (quy định lại)]:[Đơn vị]],2,0),"")</f>
        <v>Kg</v>
      </c>
      <c r="G118" s="2432">
        <v>2E-3</v>
      </c>
      <c r="H118" s="2057">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2.7349251740800278E-3</v>
      </c>
      <c r="I118" s="2028">
        <v>1340</v>
      </c>
      <c r="J118" s="1988" t="str">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
      </c>
      <c r="K118" s="1988">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360.08287999999982</v>
      </c>
      <c r="L118"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489958.56000000011</v>
      </c>
    </row>
    <row r="119" spans="1:12" x14ac:dyDescent="0.2">
      <c r="A119" s="1986">
        <f>IF(B119="","",COUNTA($B$3:B119))</f>
        <v>117</v>
      </c>
      <c r="B119" s="1977">
        <v>5</v>
      </c>
      <c r="C119" s="1982" t="s">
        <v>5</v>
      </c>
      <c r="D119" s="1977" t="s">
        <v>115</v>
      </c>
      <c r="E119" s="1987" t="s">
        <v>1062</v>
      </c>
      <c r="F119" s="1977" t="str">
        <f>IFERROR(VLOOKUP(Table4[[#This Row],[Nguyên liệu, vật tư]],TblMap[[Mới (quy định lại)]:[Đơn vị]],2,0),"")</f>
        <v>Kg</v>
      </c>
      <c r="G119" s="1991">
        <v>2.7699999999999999E-3</v>
      </c>
      <c r="H119"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c r="I119" s="2028"/>
      <c r="J119" s="2433" t="s">
        <v>142</v>
      </c>
      <c r="K119"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119"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489958.56000000011</v>
      </c>
    </row>
    <row r="120" spans="1:12" x14ac:dyDescent="0.2">
      <c r="A120" s="1986">
        <f>IF(B120="","",COUNTA($B$3:B120))</f>
        <v>118</v>
      </c>
      <c r="B120" s="1977">
        <v>5</v>
      </c>
      <c r="C120" s="1982" t="s">
        <v>5</v>
      </c>
      <c r="D120" s="1977" t="s">
        <v>115</v>
      </c>
      <c r="E120" s="1987" t="s">
        <v>182</v>
      </c>
      <c r="F120" s="1977" t="str">
        <f>IFERROR(VLOOKUP(Table4[[#This Row],[Nguyên liệu, vật tư]],TblMap[[Mới (quy định lại)]:[Đơn vị]],2,0),"")</f>
        <v>Kg</v>
      </c>
      <c r="G120" s="1991">
        <v>1.65</v>
      </c>
      <c r="H120"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1.4911220246871486</v>
      </c>
      <c r="I120" s="2028">
        <v>730588</v>
      </c>
      <c r="J120"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77843.6240000002</v>
      </c>
      <c r="K120"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120"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489958.56000000011</v>
      </c>
    </row>
    <row r="121" spans="1:12" x14ac:dyDescent="0.2">
      <c r="A121" s="1986">
        <f>IF(B121="","",COUNTA($B$3:B121))</f>
        <v>119</v>
      </c>
      <c r="B121" s="1977">
        <v>5</v>
      </c>
      <c r="C121" s="1982" t="s">
        <v>5</v>
      </c>
      <c r="D121" s="1977" t="s">
        <v>115</v>
      </c>
      <c r="E121" s="1987" t="s">
        <v>183</v>
      </c>
      <c r="F121" s="1977" t="str">
        <f>IFERROR(VLOOKUP(Table4[[#This Row],[Nguyên liệu, vật tư]],TblMap[[Mới (quy định lại)]:[Đơn vị]],2,0),"")</f>
        <v>Cái</v>
      </c>
      <c r="G121" s="2057">
        <v>6.4000000000000003E-3</v>
      </c>
      <c r="H121"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6.4495250373827516E-3</v>
      </c>
      <c r="I121" s="2028">
        <v>3160</v>
      </c>
      <c r="J121" s="1988" t="str">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
      </c>
      <c r="K121" s="1988">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24.265215999999015</v>
      </c>
      <c r="L121"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489958.56000000011</v>
      </c>
    </row>
    <row r="122" spans="1:12" ht="15" customHeight="1" x14ac:dyDescent="0.2">
      <c r="A122" s="1986">
        <f>IF(B122="","",COUNTA($B$3:B122))</f>
        <v>120</v>
      </c>
      <c r="B122" s="1977">
        <v>5</v>
      </c>
      <c r="C122" s="1982" t="s">
        <v>5</v>
      </c>
      <c r="D122" s="1977" t="s">
        <v>115</v>
      </c>
      <c r="E122" s="1987" t="s">
        <v>184</v>
      </c>
      <c r="F122" s="1977" t="str">
        <f>IFERROR(VLOOKUP(Table4[[#This Row],[Nguyên liệu, vật tư]],TblMap[[Mới (quy định lại)]:[Đơn vị]],2,0),"")</f>
        <v>Cái</v>
      </c>
      <c r="G122" s="2057">
        <v>4.7239999999999997E-2</v>
      </c>
      <c r="H122"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4.4289459908609406E-2</v>
      </c>
      <c r="I122" s="2028">
        <v>21700</v>
      </c>
      <c r="J122"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1445.6423744000026</v>
      </c>
      <c r="K122"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122"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489958.56000000011</v>
      </c>
    </row>
    <row r="123" spans="1:12" x14ac:dyDescent="0.2">
      <c r="A123" s="1986">
        <f>IF(B123="","",COUNTA($B$3:B123))</f>
        <v>121</v>
      </c>
      <c r="B123" s="1977">
        <v>5</v>
      </c>
      <c r="C123" s="1982" t="s">
        <v>5</v>
      </c>
      <c r="D123" s="1977" t="s">
        <v>115</v>
      </c>
      <c r="E123" s="1987" t="s">
        <v>185</v>
      </c>
      <c r="F123" s="1977" t="str">
        <f>IFERROR(VLOOKUP(Table4[[#This Row],[Nguyên liệu, vật tư]],TblMap[[Mới (quy định lại)]:[Đơn vị]],2,0),"")</f>
        <v>Kg</v>
      </c>
      <c r="G123" s="2057">
        <v>1.1809999999999999E-2</v>
      </c>
      <c r="H123"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1.0858061138884887E-2</v>
      </c>
      <c r="I123" s="2028">
        <v>5320</v>
      </c>
      <c r="J123" s="1988" t="str">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
      </c>
      <c r="K123"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123"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489958.56000000011</v>
      </c>
    </row>
    <row r="124" spans="1:12" x14ac:dyDescent="0.2">
      <c r="A124" s="1986">
        <f>IF(B124="","",COUNTA($B$3:B124))</f>
        <v>122</v>
      </c>
      <c r="B124" s="1977">
        <v>5</v>
      </c>
      <c r="C124" s="1982" t="s">
        <v>5</v>
      </c>
      <c r="D124" s="1982" t="s">
        <v>115</v>
      </c>
      <c r="E124" s="1990" t="s">
        <v>188</v>
      </c>
      <c r="F124" s="1982" t="str">
        <f>IFERROR(VLOOKUP(Table4[[#This Row],[Nguyên liệu, vật tư]],TblMap[[Mới (quy định lại)]:[Đơn vị]],2,0),"")</f>
        <v>Kg</v>
      </c>
      <c r="G124" s="2058">
        <v>3.4299999999999999E-3</v>
      </c>
      <c r="H124"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2.2042680507510671E-3</v>
      </c>
      <c r="I124" s="2028">
        <v>1080</v>
      </c>
      <c r="J124"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600.5578608000003</v>
      </c>
      <c r="K124"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124"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489958.56000000011</v>
      </c>
    </row>
    <row r="125" spans="1:12" x14ac:dyDescent="0.2">
      <c r="A125" s="1986">
        <f>IF(B125="","",COUNTA($B$3:B125))</f>
        <v>123</v>
      </c>
      <c r="B125" s="1977">
        <v>5</v>
      </c>
      <c r="C125" s="1977" t="s">
        <v>25</v>
      </c>
      <c r="D125" s="1977" t="s">
        <v>116</v>
      </c>
      <c r="E125" s="1987" t="s">
        <v>163</v>
      </c>
      <c r="F125" s="1977" t="str">
        <f>IFERROR(VLOOKUP(Table4[[#This Row],[Nguyên liệu, vật tư]],TblMap[[Mới (quy định lại)]:[Đơn vị]],2,0),"")</f>
        <v>Kg</v>
      </c>
      <c r="G125" s="1989">
        <v>21.01</v>
      </c>
      <c r="H125"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20.802382413897512</v>
      </c>
      <c r="I125" s="2028">
        <f>3055957.23+6507547</f>
        <v>9563504.2300000004</v>
      </c>
      <c r="J125"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95448.282000001069</v>
      </c>
      <c r="K125"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125"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459731.20000000001</v>
      </c>
    </row>
    <row r="126" spans="1:12" x14ac:dyDescent="0.2">
      <c r="A126" s="1986">
        <f>IF(B126="","",COUNTA($B$3:B126))</f>
        <v>124</v>
      </c>
      <c r="B126" s="1977">
        <v>5</v>
      </c>
      <c r="C126" s="1977" t="s">
        <v>25</v>
      </c>
      <c r="D126" s="1977" t="s">
        <v>116</v>
      </c>
      <c r="E126" s="1987" t="s">
        <v>1183</v>
      </c>
      <c r="F126" s="1977" t="str">
        <f>IFERROR(VLOOKUP(Table4[[#This Row],[Nguyên liệu, vật tư]],TblMap[[Mới (quy định lại)]:[Đơn vị]],2,0),"")</f>
        <v>Kg</v>
      </c>
      <c r="G126" s="1989">
        <v>0.50700000000000001</v>
      </c>
      <c r="H126"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0.44663298901619031</v>
      </c>
      <c r="I126" s="2028">
        <f>67076.92+138254.2</f>
        <v>205331.12</v>
      </c>
      <c r="J126"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27752.598400000013</v>
      </c>
      <c r="K126"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126"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459731.20000000001</v>
      </c>
    </row>
    <row r="127" spans="1:12" x14ac:dyDescent="0.2">
      <c r="A127" s="1986">
        <f>IF(B127="","",COUNTA($B$3:B127))</f>
        <v>125</v>
      </c>
      <c r="B127" s="1977">
        <v>5</v>
      </c>
      <c r="C127" s="1977" t="s">
        <v>25</v>
      </c>
      <c r="D127" s="1977" t="s">
        <v>116</v>
      </c>
      <c r="E127" s="1987" t="s">
        <v>1184</v>
      </c>
      <c r="F127" s="1977" t="str">
        <f>IFERROR(VLOOKUP(Table4[[#This Row],[Nguyên liệu, vật tư]],TblMap[[Mới (quy định lại)]:[Đơn vị]],2,0),"")</f>
        <v>Kg</v>
      </c>
      <c r="G127" s="1989">
        <v>0.47799999999999998</v>
      </c>
      <c r="H127"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0.44897235602021357</v>
      </c>
      <c r="I127" s="2028">
        <f>74885.4+131521.2</f>
        <v>206406.6</v>
      </c>
      <c r="J127"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13344.913599999983</v>
      </c>
      <c r="K127"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127"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459731.20000000001</v>
      </c>
    </row>
    <row r="128" spans="1:12" x14ac:dyDescent="0.2">
      <c r="A128" s="1986">
        <f>IF(B128="","",COUNTA($B$3:B128))</f>
        <v>126</v>
      </c>
      <c r="B128" s="1977">
        <v>5</v>
      </c>
      <c r="C128" s="1977" t="s">
        <v>25</v>
      </c>
      <c r="D128" s="1977" t="s">
        <v>116</v>
      </c>
      <c r="E128" s="1987" t="s">
        <v>176</v>
      </c>
      <c r="F128" s="1977" t="str">
        <f>IFERROR(VLOOKUP(Table4[[#This Row],[Nguyên liệu, vật tư]],TblMap[[Mới (quy định lại)]:[Đơn vị]],2,0),"")</f>
        <v>Cái</v>
      </c>
      <c r="G128" s="1989">
        <v>0.627</v>
      </c>
      <c r="H128"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0.61650155569167375</v>
      </c>
      <c r="I128" s="2028">
        <v>283425</v>
      </c>
      <c r="J128"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4826.4623999999967</v>
      </c>
      <c r="K128"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128"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459731.20000000001</v>
      </c>
    </row>
    <row r="129" spans="1:12" x14ac:dyDescent="0.2">
      <c r="A129" s="1986">
        <f>IF(B129="","",COUNTA($B$3:B129))</f>
        <v>127</v>
      </c>
      <c r="B129" s="1977">
        <v>5</v>
      </c>
      <c r="C129" s="1977" t="s">
        <v>25</v>
      </c>
      <c r="D129" s="1977" t="s">
        <v>116</v>
      </c>
      <c r="E129" s="1987" t="s">
        <v>177</v>
      </c>
      <c r="F129" s="1977" t="str">
        <f>IFERROR(VLOOKUP(Table4[[#This Row],[Nguyên liệu, vật tư]],TblMap[[Mới (quy định lại)]:[Đơn vị]],2,0),"")</f>
        <v>Kg</v>
      </c>
      <c r="G129" s="1989">
        <v>2.5000000000000001E-2</v>
      </c>
      <c r="H129"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2.3328849553826234E-2</v>
      </c>
      <c r="I129" s="2028">
        <v>10725</v>
      </c>
      <c r="J129"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768.28000000000168</v>
      </c>
      <c r="K129"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129"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459731.20000000001</v>
      </c>
    </row>
    <row r="130" spans="1:12" x14ac:dyDescent="0.2">
      <c r="A130" s="1986">
        <f>IF(B130="","",COUNTA($B$3:B130))</f>
        <v>128</v>
      </c>
      <c r="B130" s="1977">
        <v>5</v>
      </c>
      <c r="C130" s="1977" t="s">
        <v>25</v>
      </c>
      <c r="D130" s="1977" t="s">
        <v>116</v>
      </c>
      <c r="E130" s="1987" t="s">
        <v>178</v>
      </c>
      <c r="F130" s="1977" t="str">
        <f>IFERROR(VLOOKUP(Table4[[#This Row],[Nguyên liệu, vật tư]],TblMap[[Mới (quy định lại)]:[Đơn vị]],2,0),"")</f>
        <v>Kg</v>
      </c>
      <c r="G130" s="2057">
        <v>1.09E-2</v>
      </c>
      <c r="H130"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1.0865044617376415E-2</v>
      </c>
      <c r="I130" s="2028">
        <v>4995</v>
      </c>
      <c r="J130"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16.070080000000019</v>
      </c>
      <c r="K130"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130"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459731.20000000001</v>
      </c>
    </row>
    <row r="131" spans="1:12" x14ac:dyDescent="0.2">
      <c r="A131" s="1986">
        <f>IF(B131="","",COUNTA($B$3:B131))</f>
        <v>129</v>
      </c>
      <c r="B131" s="1977">
        <v>5</v>
      </c>
      <c r="C131" s="1977" t="s">
        <v>25</v>
      </c>
      <c r="D131" s="1977" t="s">
        <v>116</v>
      </c>
      <c r="E131" s="1987" t="s">
        <v>182</v>
      </c>
      <c r="F131" s="1977" t="str">
        <f>IFERROR(VLOOKUP(Table4[[#This Row],[Nguyên liệu, vật tư]],TblMap[[Mới (quy định lại)]:[Đơn vị]],2,0),"")</f>
        <v>Kg</v>
      </c>
      <c r="G131" s="1989">
        <v>1.79</v>
      </c>
      <c r="H131"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1.684218952292122</v>
      </c>
      <c r="I131" s="2028">
        <f>250040+524248</f>
        <v>774288</v>
      </c>
      <c r="J131"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48630.847999999998</v>
      </c>
      <c r="K131"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131"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459731.20000000001</v>
      </c>
    </row>
    <row r="132" spans="1:12" x14ac:dyDescent="0.2">
      <c r="A132" s="1986">
        <f>IF(B132="","",COUNTA($B$3:B132))</f>
        <v>130</v>
      </c>
      <c r="B132" s="1977">
        <v>5</v>
      </c>
      <c r="C132" s="1977" t="s">
        <v>25</v>
      </c>
      <c r="D132" s="1977" t="s">
        <v>116</v>
      </c>
      <c r="E132" s="1987" t="s">
        <v>183</v>
      </c>
      <c r="F132" s="1977" t="str">
        <f>IFERROR(VLOOKUP(Table4[[#This Row],[Nguyên liệu, vật tư]],TblMap[[Mới (quy định lại)]:[Đơn vị]],2,0),"")</f>
        <v>Cái</v>
      </c>
      <c r="G132" s="2057">
        <v>8.2000000000000007E-3</v>
      </c>
      <c r="H132"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8.1786922445115755E-3</v>
      </c>
      <c r="I132" s="2028">
        <v>3760</v>
      </c>
      <c r="J132"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9.795840000000311</v>
      </c>
      <c r="K132"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132"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459731.20000000001</v>
      </c>
    </row>
    <row r="133" spans="1:12" x14ac:dyDescent="0.2">
      <c r="A133" s="1986">
        <f>IF(B133="","",COUNTA($B$3:B133))</f>
        <v>131</v>
      </c>
      <c r="B133" s="1977">
        <v>5</v>
      </c>
      <c r="C133" s="1977" t="s">
        <v>25</v>
      </c>
      <c r="D133" s="1977" t="s">
        <v>116</v>
      </c>
      <c r="E133" s="1987" t="s">
        <v>184</v>
      </c>
      <c r="F133" s="1977" t="str">
        <f>IFERROR(VLOOKUP(Table4[[#This Row],[Nguyên liệu, vật tư]],TblMap[[Mới (quy định lại)]:[Đơn vị]],2,0),"")</f>
        <v>Cái</v>
      </c>
      <c r="G133" s="1989">
        <v>6.4000000000000001E-2</v>
      </c>
      <c r="H133"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6.30803391199031E-2</v>
      </c>
      <c r="I133" s="2028">
        <v>29000</v>
      </c>
      <c r="J133"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422.79680000000434</v>
      </c>
      <c r="K133"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133"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459731.20000000001</v>
      </c>
    </row>
    <row r="134" spans="1:12" x14ac:dyDescent="0.2">
      <c r="A134" s="1986">
        <f>IF(B134="","",COUNTA($B$3:B134))</f>
        <v>132</v>
      </c>
      <c r="B134" s="1977">
        <v>5</v>
      </c>
      <c r="C134" s="1977" t="s">
        <v>25</v>
      </c>
      <c r="D134" s="1977" t="s">
        <v>116</v>
      </c>
      <c r="E134" s="1987" t="s">
        <v>185</v>
      </c>
      <c r="F134" s="1977" t="str">
        <f>IFERROR(VLOOKUP(Table4[[#This Row],[Nguyên liệu, vật tư]],TblMap[[Mới (quy định lại)]:[Đơn vị]],2,0),"")</f>
        <v>Kg</v>
      </c>
      <c r="G134" s="1989">
        <v>1.5900000000000001E-2</v>
      </c>
      <c r="H134"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c r="I134" s="2028"/>
      <c r="J134" s="1988" t="str">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
      </c>
      <c r="K134"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134"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459731.20000000001</v>
      </c>
    </row>
    <row r="135" spans="1:12" ht="15" customHeight="1" x14ac:dyDescent="0.2">
      <c r="A135" s="1986">
        <f>IF(B135="","",COUNTA($B$3:B135))</f>
        <v>133</v>
      </c>
      <c r="B135" s="1977">
        <v>5</v>
      </c>
      <c r="C135" s="1977" t="s">
        <v>25</v>
      </c>
      <c r="D135" s="1977" t="s">
        <v>116</v>
      </c>
      <c r="E135" s="1987" t="s">
        <v>179</v>
      </c>
      <c r="F135" s="1977" t="str">
        <f>IFERROR(VLOOKUP(Table4[[#This Row],[Nguyên liệu, vật tư]],TblMap[[Mới (quy định lại)]:[Đơn vị]],2,0),"")</f>
        <v>Kg</v>
      </c>
      <c r="G135" s="1989">
        <v>4.3999999999999997E-2</v>
      </c>
      <c r="H135"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4.7854050366823046E-2</v>
      </c>
      <c r="I135" s="2028">
        <f>3625+18375</f>
        <v>22000</v>
      </c>
      <c r="J135" s="1988" t="str">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
      </c>
      <c r="K135" s="1988">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1771.8272000000004</v>
      </c>
      <c r="L135"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459731.20000000001</v>
      </c>
    </row>
    <row r="136" spans="1:12" x14ac:dyDescent="0.2">
      <c r="A136" s="1986">
        <f>IF(B136="","",COUNTA($B$3:B136))</f>
        <v>134</v>
      </c>
      <c r="B136" s="1977">
        <v>5</v>
      </c>
      <c r="C136" s="1982" t="s">
        <v>25</v>
      </c>
      <c r="D136" s="1982" t="s">
        <v>116</v>
      </c>
      <c r="E136" s="1990" t="s">
        <v>1062</v>
      </c>
      <c r="F136" s="1977" t="str">
        <f>IFERROR(VLOOKUP(Table4[[#This Row],[Nguyên liệu, vật tư]],TblMap[[Mới (quy định lại)]:[Đơn vị]],2,0),"")</f>
        <v>Kg</v>
      </c>
      <c r="G136" s="2058">
        <v>2.5999999999999999E-3</v>
      </c>
      <c r="H136" s="2057">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2.5232135647961242E-3</v>
      </c>
      <c r="I136" s="2028">
        <f>380+780</f>
        <v>1160</v>
      </c>
      <c r="J136"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35.301120000000004</v>
      </c>
      <c r="K136"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136"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459731.20000000001</v>
      </c>
    </row>
    <row r="137" spans="1:12" x14ac:dyDescent="0.2">
      <c r="A137" s="1986">
        <f>IF(B137="","",COUNTA($B$3:B137))</f>
        <v>135</v>
      </c>
      <c r="B137" s="1977">
        <v>6</v>
      </c>
      <c r="C137" s="1982" t="s">
        <v>5</v>
      </c>
      <c r="D137" s="2401" t="s">
        <v>115</v>
      </c>
      <c r="E137" s="1969" t="s">
        <v>163</v>
      </c>
      <c r="F137" s="2401" t="str">
        <f>IFERROR(VLOOKUP(Table4[[#This Row],[Nguyên liệu, vật tư]],TblMap[[Mới (quy định lại)]:[Đơn vị]],2,0),"")</f>
        <v>Kg</v>
      </c>
      <c r="G137" s="1991">
        <v>19.04</v>
      </c>
      <c r="H137" s="2057">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18.751401841823768</v>
      </c>
      <c r="I137" s="2028">
        <v>8975471</v>
      </c>
      <c r="J137"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138139.24000000235</v>
      </c>
      <c r="K137"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137"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478656.00000000012</v>
      </c>
    </row>
    <row r="138" spans="1:12" x14ac:dyDescent="0.2">
      <c r="A138" s="1986">
        <f>IF(B138="","",COUNTA($B$3:B138))</f>
        <v>136</v>
      </c>
      <c r="B138" s="1977">
        <v>6</v>
      </c>
      <c r="C138" s="1982" t="s">
        <v>5</v>
      </c>
      <c r="D138" s="2401" t="s">
        <v>115</v>
      </c>
      <c r="E138" s="2400" t="s">
        <v>1176</v>
      </c>
      <c r="F138" s="2401" t="str">
        <f>IFERROR(VLOOKUP(Table4[[#This Row],[Nguyên liệu, vật tư]],TblMap[[Mới (quy định lại)]:[Đơn vị]],2,0),"")</f>
        <v>Kg</v>
      </c>
      <c r="G138" s="1991">
        <v>0.45600000000000002</v>
      </c>
      <c r="H138" s="2432">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0.40256135000786308</v>
      </c>
      <c r="I138" s="2028">
        <v>169560</v>
      </c>
      <c r="J138" s="2402">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22508.513280000061</v>
      </c>
      <c r="K138"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138"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421202.88000000012</v>
      </c>
    </row>
    <row r="139" spans="1:12" x14ac:dyDescent="0.2">
      <c r="A139" s="1986">
        <f>IF(B139="","",COUNTA($B$3:B139))</f>
        <v>137</v>
      </c>
      <c r="B139" s="1977">
        <v>6</v>
      </c>
      <c r="C139" s="1982" t="s">
        <v>5</v>
      </c>
      <c r="D139" s="1977" t="s">
        <v>115</v>
      </c>
      <c r="E139" s="1987" t="s">
        <v>1189</v>
      </c>
      <c r="F139" s="1977" t="str">
        <f>IFERROR(VLOOKUP(Table4[[#This Row],[Nguyên liệu, vật tư]],TblMap[[Mới (quy định lại)]:[Đơn vị]],2,0),"")</f>
        <v>Kg</v>
      </c>
      <c r="G139" s="1991">
        <v>0.38300000000000001</v>
      </c>
      <c r="H139" s="2057">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0.38306013668187211</v>
      </c>
      <c r="I139" s="2028">
        <v>22008</v>
      </c>
      <c r="J139" s="1988" t="str">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
      </c>
      <c r="K139" s="1988">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3.4550399999997441</v>
      </c>
      <c r="L139"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57453.120000000003</v>
      </c>
    </row>
    <row r="140" spans="1:12" x14ac:dyDescent="0.2">
      <c r="A140" s="1986">
        <f>IF(B140="","",COUNTA($B$3:B140))</f>
        <v>138</v>
      </c>
      <c r="B140" s="1977">
        <v>6</v>
      </c>
      <c r="C140" s="1982" t="s">
        <v>5</v>
      </c>
      <c r="D140" s="1977" t="s">
        <v>115</v>
      </c>
      <c r="E140" s="1987" t="s">
        <v>1183</v>
      </c>
      <c r="F140" s="1977" t="str">
        <f>IFERROR(VLOOKUP(Table4[[#This Row],[Nguyên liệu, vật tư]],TblMap[[Mới (quy định lại)]:[Đơn vị]],2,0),"")</f>
        <v>Kg</v>
      </c>
      <c r="G140" s="1991">
        <v>0.52</v>
      </c>
      <c r="H140" s="2057">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c r="I140" s="2028"/>
      <c r="J140"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0</v>
      </c>
      <c r="K140" s="1988">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0</v>
      </c>
      <c r="L140"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row>
    <row r="141" spans="1:12" x14ac:dyDescent="0.2">
      <c r="A141" s="1986">
        <f>IF(B141="","",COUNTA($B$3:B141))</f>
        <v>139</v>
      </c>
      <c r="B141" s="1977">
        <v>6</v>
      </c>
      <c r="C141" s="1982" t="s">
        <v>5</v>
      </c>
      <c r="D141" s="1977" t="s">
        <v>115</v>
      </c>
      <c r="E141" s="1987" t="s">
        <v>1177</v>
      </c>
      <c r="F141" s="1977" t="str">
        <f>IFERROR(VLOOKUP(Table4[[#This Row],[Nguyên liệu, vật tư]],TblMap[[Mới (quy định lại)]:[Đơn vị]],2,0),"")</f>
        <v>Kg</v>
      </c>
      <c r="G141" s="1991">
        <v>0.434</v>
      </c>
      <c r="H141" s="2057">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0.40249012542364371</v>
      </c>
      <c r="I141" s="2028">
        <v>169530</v>
      </c>
      <c r="J141"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13272.049920000052</v>
      </c>
      <c r="K141"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141"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421202.88000000012</v>
      </c>
    </row>
    <row r="142" spans="1:12" x14ac:dyDescent="0.2">
      <c r="A142" s="1986">
        <f>IF(B142="","",COUNTA($B$3:B142))</f>
        <v>140</v>
      </c>
      <c r="B142" s="1977">
        <v>6</v>
      </c>
      <c r="C142" s="1982" t="s">
        <v>5</v>
      </c>
      <c r="D142" s="1977" t="s">
        <v>115</v>
      </c>
      <c r="E142" s="1987" t="s">
        <v>1184</v>
      </c>
      <c r="F142" s="1977" t="str">
        <f>IFERROR(VLOOKUP(Table4[[#This Row],[Nguyên liệu, vật tư]],TblMap[[Mới (quy định lại)]:[Đơn vị]],2,0),"")</f>
        <v>Kg</v>
      </c>
      <c r="G142" s="1991">
        <v>0.52</v>
      </c>
      <c r="H142" s="2057">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c r="I142" s="2028"/>
      <c r="J142"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0</v>
      </c>
      <c r="K142" s="1988">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0</v>
      </c>
      <c r="L142"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row>
    <row r="143" spans="1:12" x14ac:dyDescent="0.2">
      <c r="A143" s="1986">
        <f>IF(B143="","",COUNTA($B$3:B143))</f>
        <v>141</v>
      </c>
      <c r="B143" s="1977">
        <v>6</v>
      </c>
      <c r="C143" s="1982" t="s">
        <v>5</v>
      </c>
      <c r="D143" s="1977" t="s">
        <v>115</v>
      </c>
      <c r="E143" s="1987" t="s">
        <v>1190</v>
      </c>
      <c r="F143" s="1977" t="str">
        <f>IFERROR(VLOOKUP(Table4[[#This Row],[Nguyên liệu, vật tư]],TblMap[[Mới (quy định lại)]:[Đơn vị]],2,0),"")</f>
        <v>Kg</v>
      </c>
      <c r="G143" s="1991">
        <v>0.434</v>
      </c>
      <c r="H143" s="2057">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0.37740335076667725</v>
      </c>
      <c r="I143" s="2028">
        <v>21683</v>
      </c>
      <c r="J143"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3251.6540800000002</v>
      </c>
      <c r="K143"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143"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57453.120000000003</v>
      </c>
    </row>
    <row r="144" spans="1:12" x14ac:dyDescent="0.2">
      <c r="A144" s="1986">
        <f>IF(B144="","",COUNTA($B$3:B144))</f>
        <v>142</v>
      </c>
      <c r="B144" s="1977">
        <v>6</v>
      </c>
      <c r="C144" s="1982" t="s">
        <v>5</v>
      </c>
      <c r="D144" s="1977" t="s">
        <v>115</v>
      </c>
      <c r="E144" s="1987" t="s">
        <v>176</v>
      </c>
      <c r="F144" s="1977" t="str">
        <f>IFERROR(VLOOKUP(Table4[[#This Row],[Nguyên liệu, vật tư]],TblMap[[Mới (quy định lại)]:[Đơn vị]],2,0),"")</f>
        <v>Cái</v>
      </c>
      <c r="G144" s="1991">
        <v>0.69699999999999995</v>
      </c>
      <c r="H144" s="2057">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0.69662764072736982</v>
      </c>
      <c r="I144" s="2028">
        <v>333445</v>
      </c>
      <c r="J144"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178.23200000004729</v>
      </c>
      <c r="K144"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144"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478656.00000000012</v>
      </c>
    </row>
    <row r="145" spans="1:12" x14ac:dyDescent="0.2">
      <c r="A145" s="1986">
        <f>IF(B145="","",COUNTA($B$3:B145))</f>
        <v>143</v>
      </c>
      <c r="B145" s="1977">
        <v>6</v>
      </c>
      <c r="C145" s="1982" t="s">
        <v>5</v>
      </c>
      <c r="D145" s="1977" t="s">
        <v>115</v>
      </c>
      <c r="E145" s="1987" t="s">
        <v>177</v>
      </c>
      <c r="F145" s="1977" t="str">
        <f>IFERROR(VLOOKUP(Table4[[#This Row],[Nguyên liệu, vật tư]],TblMap[[Mới (quy định lại)]:[Đơn vị]],2,0),"")</f>
        <v>Kg</v>
      </c>
      <c r="G145" s="1991">
        <v>3.7100000000000001E-2</v>
      </c>
      <c r="H145" s="2057">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3.5390760796897971E-2</v>
      </c>
      <c r="I145" s="2028">
        <v>16940</v>
      </c>
      <c r="J145"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818.13760000000525</v>
      </c>
      <c r="K145"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145"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478656.00000000012</v>
      </c>
    </row>
    <row r="146" spans="1:12" x14ac:dyDescent="0.2">
      <c r="A146" s="1986">
        <f>IF(B146="","",COUNTA($B$3:B146))</f>
        <v>144</v>
      </c>
      <c r="B146" s="1977">
        <v>6</v>
      </c>
      <c r="C146" s="1982" t="s">
        <v>5</v>
      </c>
      <c r="D146" s="1977" t="s">
        <v>115</v>
      </c>
      <c r="E146" s="1987" t="s">
        <v>178</v>
      </c>
      <c r="F146" s="1977" t="str">
        <f>IFERROR(VLOOKUP(Table4[[#This Row],[Nguyên liệu, vật tư]],TblMap[[Mới (quy định lại)]:[Đơn vị]],2,0),"")</f>
        <v>Kg</v>
      </c>
      <c r="G146" s="2432">
        <v>8.2000000000000007E-3</v>
      </c>
      <c r="H146" s="2057">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8.3567321834469837E-3</v>
      </c>
      <c r="I146" s="2028">
        <v>4000</v>
      </c>
      <c r="J146" s="1988" t="str">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
      </c>
      <c r="K146" s="1988">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75.020799999999113</v>
      </c>
      <c r="L146"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478656.00000000012</v>
      </c>
    </row>
    <row r="147" spans="1:12" x14ac:dyDescent="0.2">
      <c r="A147" s="1986">
        <f>IF(B147="","",COUNTA($B$3:B147))</f>
        <v>145</v>
      </c>
      <c r="B147" s="1977">
        <v>6</v>
      </c>
      <c r="C147" s="1982" t="s">
        <v>5</v>
      </c>
      <c r="D147" s="1977" t="s">
        <v>115</v>
      </c>
      <c r="E147" s="2400" t="s">
        <v>179</v>
      </c>
      <c r="F147" s="2401" t="str">
        <f>IFERROR(VLOOKUP(Table4[[#This Row],[Nguyên liệu, vật tư]],TblMap[[Mới (quy định lại)]:[Đơn vị]],2,0),"")</f>
        <v>Kg</v>
      </c>
      <c r="G147" s="2432">
        <v>4.3299999999999998E-2</v>
      </c>
      <c r="H147"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3.9955625752105886E-2</v>
      </c>
      <c r="I147" s="2028">
        <v>19125</v>
      </c>
      <c r="J147"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1600.8048000000044</v>
      </c>
      <c r="K147"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147"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478656.00000000012</v>
      </c>
    </row>
    <row r="148" spans="1:12" x14ac:dyDescent="0.2">
      <c r="A148" s="1986">
        <f>IF(B148="","",COUNTA($B$3:B148))</f>
        <v>146</v>
      </c>
      <c r="B148" s="1977">
        <v>6</v>
      </c>
      <c r="C148" s="1982" t="s">
        <v>5</v>
      </c>
      <c r="D148" s="1977" t="s">
        <v>115</v>
      </c>
      <c r="E148" s="1987" t="s">
        <v>1061</v>
      </c>
      <c r="F148" s="1977" t="str">
        <f>IFERROR(VLOOKUP(Table4[[#This Row],[Nguyên liệu, vật tư]],TblMap[[Mới (quy định lại)]:[Đơn vị]],2,0),"")</f>
        <v>Kg</v>
      </c>
      <c r="G148" s="2432">
        <v>2E-3</v>
      </c>
      <c r="H148"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c r="I148" s="2028"/>
      <c r="J148" s="1988"/>
      <c r="K148"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148"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478656.00000000012</v>
      </c>
    </row>
    <row r="149" spans="1:12" x14ac:dyDescent="0.2">
      <c r="A149" s="1986">
        <f>IF(B149="","",COUNTA($B$3:B149))</f>
        <v>147</v>
      </c>
      <c r="B149" s="1977">
        <v>6</v>
      </c>
      <c r="C149" s="1982" t="s">
        <v>5</v>
      </c>
      <c r="D149" s="1977" t="s">
        <v>115</v>
      </c>
      <c r="E149" s="1987" t="s">
        <v>1062</v>
      </c>
      <c r="F149" s="1977" t="str">
        <f>IFERROR(VLOOKUP(Table4[[#This Row],[Nguyên liệu, vật tư]],TblMap[[Mới (quy định lại)]:[Đơn vị]],2,0),"")</f>
        <v>Kg</v>
      </c>
      <c r="G149" s="1991">
        <v>2.7699999999999999E-3</v>
      </c>
      <c r="H149"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c r="I149" s="2028"/>
      <c r="J149" s="1988"/>
      <c r="K149"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149"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478656.00000000012</v>
      </c>
    </row>
    <row r="150" spans="1:12" x14ac:dyDescent="0.2">
      <c r="A150" s="1986">
        <f>IF(B150="","",COUNTA($B$3:B150))</f>
        <v>148</v>
      </c>
      <c r="B150" s="1977">
        <v>6</v>
      </c>
      <c r="C150" s="1982" t="s">
        <v>5</v>
      </c>
      <c r="D150" s="1977" t="s">
        <v>115</v>
      </c>
      <c r="E150" s="1987" t="s">
        <v>182</v>
      </c>
      <c r="F150" s="1977" t="str">
        <f>IFERROR(VLOOKUP(Table4[[#This Row],[Nguyên liệu, vật tư]],TblMap[[Mới (quy định lại)]:[Đơn vị]],2,0),"")</f>
        <v>Kg</v>
      </c>
      <c r="G150" s="1991">
        <v>1.65</v>
      </c>
      <c r="H150"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1.3913541248830055</v>
      </c>
      <c r="I150" s="2028">
        <v>665980</v>
      </c>
      <c r="J150"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123802.40000000013</v>
      </c>
      <c r="K150"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150"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478656.00000000012</v>
      </c>
    </row>
    <row r="151" spans="1:12" x14ac:dyDescent="0.2">
      <c r="A151" s="1986">
        <f>IF(B151="","",COUNTA($B$3:B151))</f>
        <v>149</v>
      </c>
      <c r="B151" s="1977">
        <v>6</v>
      </c>
      <c r="C151" s="1982" t="s">
        <v>5</v>
      </c>
      <c r="D151" s="1977" t="s">
        <v>115</v>
      </c>
      <c r="E151" s="1987" t="s">
        <v>183</v>
      </c>
      <c r="F151" s="1977" t="str">
        <f>IFERROR(VLOOKUP(Table4[[#This Row],[Nguyên liệu, vật tư]],TblMap[[Mới (quy định lại)]:[Đơn vị]],2,0),"")</f>
        <v>Cái</v>
      </c>
      <c r="G151" s="2057">
        <v>6.4000000000000003E-3</v>
      </c>
      <c r="H151" s="2057">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6.4346837812541769E-3</v>
      </c>
      <c r="I151" s="2028">
        <v>3080</v>
      </c>
      <c r="J151" s="1988" t="str">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
      </c>
      <c r="K151" s="1988">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16.601599999999141</v>
      </c>
      <c r="L151"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478656.00000000012</v>
      </c>
    </row>
    <row r="152" spans="1:12" x14ac:dyDescent="0.2">
      <c r="A152" s="1986">
        <f>IF(B152="","",COUNTA($B$3:B152))</f>
        <v>150</v>
      </c>
      <c r="B152" s="1977">
        <v>6</v>
      </c>
      <c r="C152" s="1982" t="s">
        <v>5</v>
      </c>
      <c r="D152" s="1977" t="s">
        <v>115</v>
      </c>
      <c r="E152" s="1987" t="s">
        <v>184</v>
      </c>
      <c r="F152" s="1977" t="str">
        <f>IFERROR(VLOOKUP(Table4[[#This Row],[Nguyên liệu, vật tư]],TblMap[[Mới (quy định lại)]:[Đơn vị]],2,0),"")</f>
        <v>Cái</v>
      </c>
      <c r="G152" s="2057">
        <v>4.7239999999999997E-2</v>
      </c>
      <c r="H152"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4.387284396309666E-2</v>
      </c>
      <c r="I152" s="2028">
        <v>21000</v>
      </c>
      <c r="J152"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1611.7094400000044</v>
      </c>
      <c r="K152"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152"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478656.00000000012</v>
      </c>
    </row>
    <row r="153" spans="1:12" x14ac:dyDescent="0.2">
      <c r="A153" s="1986">
        <f>IF(B153="","",COUNTA($B$3:B153))</f>
        <v>151</v>
      </c>
      <c r="B153" s="1977">
        <v>6</v>
      </c>
      <c r="C153" s="1982" t="s">
        <v>5</v>
      </c>
      <c r="D153" s="1977" t="s">
        <v>115</v>
      </c>
      <c r="E153" s="1987" t="s">
        <v>185</v>
      </c>
      <c r="F153" s="1977" t="str">
        <f>IFERROR(VLOOKUP(Table4[[#This Row],[Nguyên liệu, vật tư]],TblMap[[Mới (quy định lại)]:[Đơn vị]],2,0),"")</f>
        <v>Kg</v>
      </c>
      <c r="G153" s="2057">
        <v>1.1809999999999999E-2</v>
      </c>
      <c r="H153"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c r="I153" s="2028"/>
      <c r="J153" s="1988" t="str">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
      </c>
      <c r="K153"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153"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478656.00000000012</v>
      </c>
    </row>
    <row r="154" spans="1:12" x14ac:dyDescent="0.2">
      <c r="A154" s="1986">
        <f>IF(B154="","",COUNTA($B$3:B154))</f>
        <v>152</v>
      </c>
      <c r="B154" s="1977">
        <v>6</v>
      </c>
      <c r="C154" s="1982" t="s">
        <v>5</v>
      </c>
      <c r="D154" s="1982" t="s">
        <v>115</v>
      </c>
      <c r="E154" s="1990" t="s">
        <v>188</v>
      </c>
      <c r="F154" s="1982" t="str">
        <f>IFERROR(VLOOKUP(Table4[[#This Row],[Nguyên liệu, vật tư]],TblMap[[Mới (quy định lại)]:[Đơn vị]],2,0),"")</f>
        <v>Kg</v>
      </c>
      <c r="G154" s="2058">
        <v>3.4299999999999999E-3</v>
      </c>
      <c r="H154"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2.8203971119133567E-3</v>
      </c>
      <c r="I154" s="2028">
        <v>1350</v>
      </c>
      <c r="J154"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291.79008000000033</v>
      </c>
      <c r="K154"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154"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478656.00000000012</v>
      </c>
    </row>
    <row r="155" spans="1:12" x14ac:dyDescent="0.2">
      <c r="A155" s="1986">
        <f>IF(B155="","",COUNTA($B$3:B155))</f>
        <v>153</v>
      </c>
      <c r="B155" s="1977">
        <v>6</v>
      </c>
      <c r="C155" s="1977" t="s">
        <v>25</v>
      </c>
      <c r="D155" s="1977" t="s">
        <v>116</v>
      </c>
      <c r="E155" s="1987" t="s">
        <v>163</v>
      </c>
      <c r="F155" s="1977" t="str">
        <f>IFERROR(VLOOKUP(Table4[[#This Row],[Nguyên liệu, vật tư]],TblMap[[Mới (quy định lại)]:[Đơn vị]],2,0),"")</f>
        <v>Kg</v>
      </c>
      <c r="G155" s="1989">
        <v>21.01</v>
      </c>
      <c r="H155" s="1991">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20.654386888448197</v>
      </c>
      <c r="I155" s="2029">
        <v>8898703</v>
      </c>
      <c r="J155"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153211.78400000086</v>
      </c>
      <c r="K155"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155"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430838.4</v>
      </c>
    </row>
    <row r="156" spans="1:12" x14ac:dyDescent="0.2">
      <c r="A156" s="1986">
        <f>IF(B156="","",COUNTA($B$3:B156))</f>
        <v>154</v>
      </c>
      <c r="B156" s="1977">
        <v>6</v>
      </c>
      <c r="C156" s="1977" t="s">
        <v>25</v>
      </c>
      <c r="D156" s="1977" t="s">
        <v>116</v>
      </c>
      <c r="E156" s="1987" t="s">
        <v>1183</v>
      </c>
      <c r="F156" s="1977" t="str">
        <f>IFERROR(VLOOKUP(Table4[[#This Row],[Nguyên liệu, vật tư]],TblMap[[Mới (quy định lại)]:[Đơn vị]],2,0),"")</f>
        <v>Kg</v>
      </c>
      <c r="G156" s="1989">
        <v>0.50700000000000001</v>
      </c>
      <c r="H156"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0.33457735622154605</v>
      </c>
      <c r="I156" s="2028">
        <v>118408.8</v>
      </c>
      <c r="J156"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61021.339200000017</v>
      </c>
      <c r="K156"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156"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353905.60000000003</v>
      </c>
    </row>
    <row r="157" spans="1:12" x14ac:dyDescent="0.2">
      <c r="A157" s="1986">
        <f>IF(B157="","",COUNTA($B$3:B157))</f>
        <v>155</v>
      </c>
      <c r="B157" s="1977">
        <v>6</v>
      </c>
      <c r="C157" s="1977" t="s">
        <v>25</v>
      </c>
      <c r="D157" s="1977" t="s">
        <v>116</v>
      </c>
      <c r="E157" s="1987" t="s">
        <v>1184</v>
      </c>
      <c r="F157" s="1977" t="str">
        <f>IFERROR(VLOOKUP(Table4[[#This Row],[Nguyên liệu, vật tư]],TblMap[[Mới (quy định lại)]:[Đơn vị]],2,0),"")</f>
        <v>Kg</v>
      </c>
      <c r="G157" s="1989">
        <v>0.47799999999999998</v>
      </c>
      <c r="H157"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0.46248039025095949</v>
      </c>
      <c r="I157" s="2028">
        <v>163674.4</v>
      </c>
      <c r="J157"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5492.4768000000231</v>
      </c>
      <c r="K157"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157"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353905.60000000003</v>
      </c>
    </row>
    <row r="158" spans="1:12" x14ac:dyDescent="0.2">
      <c r="A158" s="1986">
        <f>IF(B158="","",COUNTA($B$3:B158))</f>
        <v>156</v>
      </c>
      <c r="B158" s="1977">
        <v>6</v>
      </c>
      <c r="C158" s="1977" t="s">
        <v>25</v>
      </c>
      <c r="D158" s="1977" t="s">
        <v>116</v>
      </c>
      <c r="E158" s="1987" t="s">
        <v>1189</v>
      </c>
      <c r="F158" s="1977" t="str">
        <f>IFERROR(VLOOKUP(Table4[[#This Row],[Nguyên liệu, vật tư]],TblMap[[Mới (quy định lại)]:[Đơn vị]],2,0),"")</f>
        <v>Kg</v>
      </c>
      <c r="G158" s="1989">
        <v>0.35399999999999998</v>
      </c>
      <c r="H158" s="1991">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0.90278268826820307</v>
      </c>
      <c r="I158" s="2029">
        <v>69453.600000000006</v>
      </c>
      <c r="J158" s="1988" t="str">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
      </c>
      <c r="K158" s="1988">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42219.388800000008</v>
      </c>
      <c r="L158"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76932.799999999988</v>
      </c>
    </row>
    <row r="159" spans="1:12" x14ac:dyDescent="0.2">
      <c r="A159" s="1986">
        <f>IF(B159="","",COUNTA($B$3:B159))</f>
        <v>157</v>
      </c>
      <c r="B159" s="1977">
        <v>6</v>
      </c>
      <c r="C159" s="1977" t="s">
        <v>25</v>
      </c>
      <c r="D159" s="1977" t="s">
        <v>116</v>
      </c>
      <c r="E159" s="1987" t="s">
        <v>1190</v>
      </c>
      <c r="F159" s="1977" t="str">
        <f>IFERROR(VLOOKUP(Table4[[#This Row],[Nguyên liệu, vật tư]],TblMap[[Mới (quy định lại)]:[Đơn vị]],2,0),"")</f>
        <v>Kg</v>
      </c>
      <c r="G159" s="1989">
        <v>0.33200000000000002</v>
      </c>
      <c r="H159" s="1991">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0.31629032090343784</v>
      </c>
      <c r="I159" s="2029">
        <v>24333.1</v>
      </c>
      <c r="J159"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1208.5895999999987</v>
      </c>
      <c r="K159"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159"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76932.799999999988</v>
      </c>
    </row>
    <row r="160" spans="1:12" x14ac:dyDescent="0.2">
      <c r="A160" s="1986">
        <f>IF(B160="","",COUNTA($B$3:B160))</f>
        <v>158</v>
      </c>
      <c r="B160" s="1977">
        <v>6</v>
      </c>
      <c r="C160" s="1977" t="s">
        <v>25</v>
      </c>
      <c r="D160" s="1977" t="s">
        <v>116</v>
      </c>
      <c r="E160" s="1987" t="s">
        <v>176</v>
      </c>
      <c r="F160" s="1977" t="str">
        <f>IFERROR(VLOOKUP(Table4[[#This Row],[Nguyên liệu, vật tư]],TblMap[[Mới (quy định lại)]:[Đơn vị]],2,0),"")</f>
        <v>Cái</v>
      </c>
      <c r="G160" s="1989">
        <v>0.627</v>
      </c>
      <c r="H160"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0.62243523325683126</v>
      </c>
      <c r="I160" s="2028">
        <v>268169</v>
      </c>
      <c r="J160"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1966.6768000000338</v>
      </c>
      <c r="K160"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160"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430838.4</v>
      </c>
    </row>
    <row r="161" spans="1:13" x14ac:dyDescent="0.2">
      <c r="A161" s="1986">
        <f>IF(B161="","",COUNTA($B$3:B161))</f>
        <v>159</v>
      </c>
      <c r="B161" s="1977">
        <v>6</v>
      </c>
      <c r="C161" s="1977" t="s">
        <v>25</v>
      </c>
      <c r="D161" s="1977" t="s">
        <v>116</v>
      </c>
      <c r="E161" s="1987" t="s">
        <v>177</v>
      </c>
      <c r="F161" s="1977" t="str">
        <f>IFERROR(VLOOKUP(Table4[[#This Row],[Nguyên liệu, vật tư]],TblMap[[Mới (quy định lại)]:[Đơn vị]],2,0),"")</f>
        <v>Kg</v>
      </c>
      <c r="G161" s="1989">
        <v>2.5000000000000001E-2</v>
      </c>
      <c r="H161"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2.1075187355630322E-2</v>
      </c>
      <c r="I161" s="2028">
        <v>9080</v>
      </c>
      <c r="J161"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1690.9600000000016</v>
      </c>
      <c r="K161"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161"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430838.4</v>
      </c>
    </row>
    <row r="162" spans="1:13" x14ac:dyDescent="0.2">
      <c r="A162" s="1986">
        <f>IF(B162="","",COUNTA($B$3:B162))</f>
        <v>160</v>
      </c>
      <c r="B162" s="1977">
        <v>6</v>
      </c>
      <c r="C162" s="1977" t="s">
        <v>25</v>
      </c>
      <c r="D162" s="1977" t="s">
        <v>116</v>
      </c>
      <c r="E162" s="1987" t="s">
        <v>178</v>
      </c>
      <c r="F162" s="1977" t="str">
        <f>IFERROR(VLOOKUP(Table4[[#This Row],[Nguyên liệu, vật tư]],TblMap[[Mới (quy định lại)]:[Đơn vị]],2,0),"")</f>
        <v>Kg</v>
      </c>
      <c r="G162" s="2057">
        <v>1.09E-2</v>
      </c>
      <c r="H162"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1.0862541500479066E-2</v>
      </c>
      <c r="I162" s="2028">
        <v>4680</v>
      </c>
      <c r="J162"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16.138559999999941</v>
      </c>
      <c r="K162"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162"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430838.4</v>
      </c>
    </row>
    <row r="163" spans="1:13" x14ac:dyDescent="0.2">
      <c r="A163" s="1986">
        <f>IF(B163="","",COUNTA($B$3:B163))</f>
        <v>161</v>
      </c>
      <c r="B163" s="1977">
        <v>6</v>
      </c>
      <c r="C163" s="1977" t="s">
        <v>25</v>
      </c>
      <c r="D163" s="1977" t="s">
        <v>116</v>
      </c>
      <c r="E163" s="1987" t="s">
        <v>182</v>
      </c>
      <c r="F163" s="1977" t="str">
        <f>IFERROR(VLOOKUP(Table4[[#This Row],[Nguyên liệu, vật tư]],TblMap[[Mới (quy định lại)]:[Đơn vị]],2,0),"")</f>
        <v>Kg</v>
      </c>
      <c r="G163" s="1989">
        <v>1.79</v>
      </c>
      <c r="H163"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1.5325561045626388</v>
      </c>
      <c r="I163" s="2028">
        <v>660284.02</v>
      </c>
      <c r="J163"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110916.71600000001</v>
      </c>
      <c r="K163"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163"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430838.4</v>
      </c>
    </row>
    <row r="164" spans="1:13" x14ac:dyDescent="0.2">
      <c r="A164" s="1986">
        <f>IF(B164="","",COUNTA($B$3:B164))</f>
        <v>162</v>
      </c>
      <c r="B164" s="1977">
        <v>6</v>
      </c>
      <c r="C164" s="1977" t="s">
        <v>25</v>
      </c>
      <c r="D164" s="1977" t="s">
        <v>116</v>
      </c>
      <c r="E164" s="1987" t="s">
        <v>183</v>
      </c>
      <c r="F164" s="1977" t="str">
        <f>IFERROR(VLOOKUP(Table4[[#This Row],[Nguyên liệu, vật tư]],TblMap[[Mới (quy định lại)]:[Đơn vị]],2,0),"")</f>
        <v>Cái</v>
      </c>
      <c r="G164" s="2057">
        <v>8.2000000000000007E-3</v>
      </c>
      <c r="H164"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8.123695566597592E-3</v>
      </c>
      <c r="I164" s="2028">
        <v>3500</v>
      </c>
      <c r="J164"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32.874880000000324</v>
      </c>
      <c r="K164"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164"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430838.4</v>
      </c>
    </row>
    <row r="165" spans="1:13" x14ac:dyDescent="0.2">
      <c r="A165" s="1986">
        <f>IF(B165="","",COUNTA($B$3:B165))</f>
        <v>163</v>
      </c>
      <c r="B165" s="1977">
        <v>6</v>
      </c>
      <c r="C165" s="1977" t="s">
        <v>25</v>
      </c>
      <c r="D165" s="1977" t="s">
        <v>116</v>
      </c>
      <c r="E165" s="1987" t="s">
        <v>184</v>
      </c>
      <c r="F165" s="1977" t="str">
        <f>IFERROR(VLOOKUP(Table4[[#This Row],[Nguyên liệu, vật tư]],TblMap[[Mới (quy định lại)]:[Đơn vị]],2,0),"")</f>
        <v>Cái</v>
      </c>
      <c r="G165" s="1989">
        <v>6.4000000000000001E-2</v>
      </c>
      <c r="H165"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5.7747870199128019E-2</v>
      </c>
      <c r="I165" s="2028">
        <v>24880</v>
      </c>
      <c r="J165"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2693.6576000000036</v>
      </c>
      <c r="K165"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165"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430838.4</v>
      </c>
    </row>
    <row r="166" spans="1:13" x14ac:dyDescent="0.2">
      <c r="A166" s="1986">
        <f>IF(B166="","",COUNTA($B$3:B166))</f>
        <v>164</v>
      </c>
      <c r="B166" s="1977">
        <v>6</v>
      </c>
      <c r="C166" s="1977" t="s">
        <v>25</v>
      </c>
      <c r="D166" s="1977" t="s">
        <v>116</v>
      </c>
      <c r="E166" s="1987" t="s">
        <v>185</v>
      </c>
      <c r="F166" s="1977" t="str">
        <f>IFERROR(VLOOKUP(Table4[[#This Row],[Nguyên liệu, vật tư]],TblMap[[Mới (quy định lại)]:[Đơn vị]],2,0),"")</f>
        <v>Kg</v>
      </c>
      <c r="G166" s="1989">
        <v>1.5900000000000001E-2</v>
      </c>
      <c r="H166"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1.6398259765146282E-2</v>
      </c>
      <c r="I166" s="2028">
        <v>7065</v>
      </c>
      <c r="J166" s="1988" t="str">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
      </c>
      <c r="K166"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166"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430838.4</v>
      </c>
    </row>
    <row r="167" spans="1:13" x14ac:dyDescent="0.2">
      <c r="A167" s="1986">
        <f>IF(B167="","",COUNTA($B$3:B167))</f>
        <v>165</v>
      </c>
      <c r="B167" s="1977">
        <v>6</v>
      </c>
      <c r="C167" s="1977" t="s">
        <v>25</v>
      </c>
      <c r="D167" s="1977" t="s">
        <v>116</v>
      </c>
      <c r="E167" s="1987" t="s">
        <v>179</v>
      </c>
      <c r="F167" s="1977" t="str">
        <f>IFERROR(VLOOKUP(Table4[[#This Row],[Nguyên liệu, vật tư]],TblMap[[Mới (quy định lại)]:[Đơn vị]],2,0),"")</f>
        <v>Kg</v>
      </c>
      <c r="G167" s="1989">
        <v>4.3999999999999997E-2</v>
      </c>
      <c r="H167"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3.771715798777453E-2</v>
      </c>
      <c r="I167" s="2028">
        <v>16250</v>
      </c>
      <c r="J167"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2706.8896000000009</v>
      </c>
      <c r="K167"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167"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430838.4</v>
      </c>
    </row>
    <row r="168" spans="1:13" x14ac:dyDescent="0.2">
      <c r="A168" s="1986">
        <f>IF(B168="","",COUNTA($B$3:B168))</f>
        <v>166</v>
      </c>
      <c r="B168" s="1977">
        <v>6</v>
      </c>
      <c r="C168" s="1982" t="s">
        <v>25</v>
      </c>
      <c r="D168" s="1982" t="s">
        <v>116</v>
      </c>
      <c r="E168" s="1990" t="s">
        <v>1062</v>
      </c>
      <c r="F168" s="1977" t="str">
        <f>IFERROR(VLOOKUP(Table4[[#This Row],[Nguyên liệu, vật tư]],TblMap[[Mới (quy định lại)]:[Đơn vị]],2,0),"")</f>
        <v>Kg</v>
      </c>
      <c r="G168" s="2058">
        <v>2.5999999999999999E-3</v>
      </c>
      <c r="H168" s="2057">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c r="I168" s="2028"/>
      <c r="J168" s="1988"/>
      <c r="K168"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168"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430838.4</v>
      </c>
    </row>
    <row r="169" spans="1:13" ht="15.5" customHeight="1" x14ac:dyDescent="0.2">
      <c r="A169" s="1986">
        <f>IF(B169="","",COUNTA($B$3:B169))</f>
        <v>167</v>
      </c>
      <c r="B169" s="1977">
        <v>6</v>
      </c>
      <c r="C169" s="1977" t="s">
        <v>25</v>
      </c>
      <c r="D169" s="1977" t="s">
        <v>119</v>
      </c>
      <c r="E169" s="1987" t="s">
        <v>163</v>
      </c>
      <c r="F169" s="1977" t="str">
        <f>IFERROR(VLOOKUP(Table4[[#This Row],[Nguyên liệu, vật tư]],TblMap[[Mới (quy định lại)]:[Đơn vị]],2,0),"")</f>
        <v>Kg</v>
      </c>
      <c r="G169" s="1989">
        <v>21.26</v>
      </c>
      <c r="H169"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33.609523809523807</v>
      </c>
      <c r="I169" s="2028">
        <v>190566</v>
      </c>
      <c r="J169" s="1988" t="str">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
      </c>
      <c r="K169" s="1988">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70021.799999999974</v>
      </c>
      <c r="L169"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5670</v>
      </c>
    </row>
    <row r="170" spans="1:13" x14ac:dyDescent="0.2">
      <c r="A170" s="1986">
        <f>IF(B170="","",COUNTA($B$3:B170))</f>
        <v>168</v>
      </c>
      <c r="B170" s="1977">
        <v>6</v>
      </c>
      <c r="C170" s="1977" t="s">
        <v>25</v>
      </c>
      <c r="D170" s="1977" t="s">
        <v>119</v>
      </c>
      <c r="E170" s="1987" t="s">
        <v>1193</v>
      </c>
      <c r="F170" s="1977" t="str">
        <f>IFERROR(VLOOKUP(Table4[[#This Row],[Nguyên liệu, vật tư]],TblMap[[Mới (quy định lại)]:[Đơn vị]],2,0),"")</f>
        <v>Kg</v>
      </c>
      <c r="G170" s="1989">
        <v>0.28000000000000003</v>
      </c>
      <c r="H170"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0.3322927689594356</v>
      </c>
      <c r="I170" s="2028">
        <v>1884.1</v>
      </c>
      <c r="J170" s="1988" t="str">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
      </c>
      <c r="K170" s="1988">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296.49999999999972</v>
      </c>
      <c r="L170"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5670</v>
      </c>
      <c r="M170" s="400"/>
    </row>
    <row r="171" spans="1:13" x14ac:dyDescent="0.2">
      <c r="A171" s="1986">
        <f>IF(B171="","",COUNTA($B$3:B171))</f>
        <v>169</v>
      </c>
      <c r="B171" s="1977">
        <v>6</v>
      </c>
      <c r="C171" s="1977" t="s">
        <v>25</v>
      </c>
      <c r="D171" s="1977" t="s">
        <v>119</v>
      </c>
      <c r="E171" s="1987" t="s">
        <v>1180</v>
      </c>
      <c r="F171" s="1977" t="str">
        <f>IFERROR(VLOOKUP(Table4[[#This Row],[Nguyên liệu, vật tư]],TblMap[[Mới (quy định lại)]:[Đơn vị]],2,0),"")</f>
        <v>Kg</v>
      </c>
      <c r="G171" s="1989">
        <v>0.39</v>
      </c>
      <c r="H171"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c r="I171" s="2028">
        <v>0</v>
      </c>
      <c r="J171"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0</v>
      </c>
      <c r="K171" s="1988">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0</v>
      </c>
      <c r="L171"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row>
    <row r="172" spans="1:13" x14ac:dyDescent="0.2">
      <c r="A172" s="1986">
        <f>IF(B172="","",COUNTA($B$3:B172))</f>
        <v>170</v>
      </c>
      <c r="B172" s="1977">
        <v>6</v>
      </c>
      <c r="C172" s="1977" t="s">
        <v>25</v>
      </c>
      <c r="D172" s="1977" t="s">
        <v>119</v>
      </c>
      <c r="E172" s="1987" t="s">
        <v>1192</v>
      </c>
      <c r="F172" s="1977" t="str">
        <f>IFERROR(VLOOKUP(Table4[[#This Row],[Nguyên liệu, vật tư]],TblMap[[Mới (quy định lại)]:[Đơn vị]],2,0),"")</f>
        <v>Kg</v>
      </c>
      <c r="G172" s="1989">
        <v>9.8000000000000004E-2</v>
      </c>
      <c r="H172"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0.14786596119929452</v>
      </c>
      <c r="I172" s="2028">
        <v>838.4</v>
      </c>
      <c r="J172" s="1988" t="str">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
      </c>
      <c r="K172" s="1988">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282.7399999999999</v>
      </c>
      <c r="L172"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5670</v>
      </c>
    </row>
    <row r="173" spans="1:13" x14ac:dyDescent="0.2">
      <c r="A173" s="1986">
        <f>IF(B173="","",COUNTA($B$3:B173))</f>
        <v>171</v>
      </c>
      <c r="B173" s="1977">
        <v>6</v>
      </c>
      <c r="C173" s="1977" t="s">
        <v>25</v>
      </c>
      <c r="D173" s="1977" t="s">
        <v>119</v>
      </c>
      <c r="E173" s="1987" t="s">
        <v>1182</v>
      </c>
      <c r="F173" s="1977" t="str">
        <f>IFERROR(VLOOKUP(Table4[[#This Row],[Nguyên liệu, vật tư]],TblMap[[Mới (quy định lại)]:[Đơn vị]],2,0),"")</f>
        <v>Kg</v>
      </c>
      <c r="G173" s="1991">
        <v>0.39</v>
      </c>
      <c r="H173"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c r="I173" s="2029">
        <v>0</v>
      </c>
      <c r="J173"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0</v>
      </c>
      <c r="K173" s="1988">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0</v>
      </c>
      <c r="L173"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row>
    <row r="174" spans="1:13" x14ac:dyDescent="0.2">
      <c r="A174" s="1986">
        <f>IF(B174="","",COUNTA($B$3:B174))</f>
        <v>172</v>
      </c>
      <c r="B174" s="1977">
        <v>6</v>
      </c>
      <c r="C174" s="1977" t="s">
        <v>25</v>
      </c>
      <c r="D174" s="1977" t="s">
        <v>119</v>
      </c>
      <c r="E174" s="1987" t="s">
        <v>1194</v>
      </c>
      <c r="F174" s="1977" t="str">
        <f>IFERROR(VLOOKUP(Table4[[#This Row],[Nguyên liệu, vật tư]],TblMap[[Mới (quy định lại)]:[Đơn vị]],2,0),"")</f>
        <v>Kg</v>
      </c>
      <c r="G174" s="1989">
        <v>0.11899999999999999</v>
      </c>
      <c r="H174"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0.12927689594356262</v>
      </c>
      <c r="I174" s="2028">
        <v>733</v>
      </c>
      <c r="J174" s="1988" t="str">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
      </c>
      <c r="K174" s="1988">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58.270000000000081</v>
      </c>
      <c r="L174"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5670</v>
      </c>
    </row>
    <row r="175" spans="1:13" x14ac:dyDescent="0.2">
      <c r="A175" s="1986">
        <f>IF(B175="","",COUNTA($B$3:B175))</f>
        <v>173</v>
      </c>
      <c r="B175" s="1977">
        <v>6</v>
      </c>
      <c r="C175" s="1977" t="s">
        <v>25</v>
      </c>
      <c r="D175" s="1977" t="s">
        <v>119</v>
      </c>
      <c r="E175" s="1987" t="s">
        <v>176</v>
      </c>
      <c r="F175" s="1977" t="str">
        <f>IFERROR(VLOOKUP(Table4[[#This Row],[Nguyên liệu, vật tư]],TblMap[[Mới (quy định lại)]:[Đơn vị]],2,0),"")</f>
        <v>Cái</v>
      </c>
      <c r="G175" s="1989">
        <v>0.66900000000000004</v>
      </c>
      <c r="H175"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0.67019400352733682</v>
      </c>
      <c r="I175" s="2028">
        <v>3800</v>
      </c>
      <c r="J175" s="1988" t="str">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
      </c>
      <c r="K175" s="1988">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6.7699999999995679</v>
      </c>
      <c r="L175"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5670</v>
      </c>
    </row>
    <row r="176" spans="1:13" x14ac:dyDescent="0.2">
      <c r="A176" s="1986">
        <f>IF(B176="","",COUNTA($B$3:B176))</f>
        <v>174</v>
      </c>
      <c r="B176" s="1977">
        <v>6</v>
      </c>
      <c r="C176" s="1977" t="s">
        <v>25</v>
      </c>
      <c r="D176" s="1977" t="s">
        <v>119</v>
      </c>
      <c r="E176" s="1987" t="s">
        <v>177</v>
      </c>
      <c r="F176" s="1977" t="str">
        <f>IFERROR(VLOOKUP(Table4[[#This Row],[Nguyên liệu, vật tư]],TblMap[[Mới (quy định lại)]:[Đơn vị]],2,0),"")</f>
        <v>Kg</v>
      </c>
      <c r="G176" s="1989">
        <v>0.02</v>
      </c>
      <c r="H176"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1.5873015873015872E-2</v>
      </c>
      <c r="I176" s="2028">
        <v>90</v>
      </c>
      <c r="J176"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23.400000000000006</v>
      </c>
      <c r="K176"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176"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5670</v>
      </c>
    </row>
    <row r="177" spans="1:12" x14ac:dyDescent="0.2">
      <c r="A177" s="1986">
        <f>IF(B177="","",COUNTA($B$3:B177))</f>
        <v>175</v>
      </c>
      <c r="B177" s="1977">
        <v>6</v>
      </c>
      <c r="C177" s="1977" t="s">
        <v>25</v>
      </c>
      <c r="D177" s="1977" t="s">
        <v>119</v>
      </c>
      <c r="E177" s="1987" t="s">
        <v>178</v>
      </c>
      <c r="F177" s="1977" t="str">
        <f>IFERROR(VLOOKUP(Table4[[#This Row],[Nguyên liệu, vật tư]],TblMap[[Mới (quy định lại)]:[Đơn vị]],2,0),"")</f>
        <v>Kg</v>
      </c>
      <c r="G177" s="1989">
        <v>2.01E-2</v>
      </c>
      <c r="H177"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1.5873015873015872E-2</v>
      </c>
      <c r="I177" s="2028">
        <v>90</v>
      </c>
      <c r="J177"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23.967000000000002</v>
      </c>
      <c r="K177"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177"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5670</v>
      </c>
    </row>
    <row r="178" spans="1:12" x14ac:dyDescent="0.2">
      <c r="A178" s="1986">
        <f>IF(B178="","",COUNTA($B$3:B178))</f>
        <v>176</v>
      </c>
      <c r="B178" s="1977">
        <v>6</v>
      </c>
      <c r="C178" s="1977" t="s">
        <v>25</v>
      </c>
      <c r="D178" s="1977" t="s">
        <v>119</v>
      </c>
      <c r="E178" s="1987" t="s">
        <v>182</v>
      </c>
      <c r="F178" s="1977" t="str">
        <f>IFERROR(VLOOKUP(Table4[[#This Row],[Nguyên liệu, vật tư]],TblMap[[Mới (quy định lại)]:[Đơn vị]],2,0),"")</f>
        <v>Kg</v>
      </c>
      <c r="G178" s="1989">
        <v>1.84</v>
      </c>
      <c r="H178"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2.4938271604938271</v>
      </c>
      <c r="I178" s="2028">
        <v>14140</v>
      </c>
      <c r="J178" s="1988" t="str">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
      </c>
      <c r="K178" s="1988">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3707.1999999999994</v>
      </c>
      <c r="L178"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5670</v>
      </c>
    </row>
    <row r="179" spans="1:12" x14ac:dyDescent="0.2">
      <c r="A179" s="1986">
        <f>IF(B179="","",COUNTA($B$3:B179))</f>
        <v>177</v>
      </c>
      <c r="B179" s="1977">
        <v>6</v>
      </c>
      <c r="C179" s="1977" t="s">
        <v>25</v>
      </c>
      <c r="D179" s="1977" t="s">
        <v>119</v>
      </c>
      <c r="E179" s="1987" t="s">
        <v>183</v>
      </c>
      <c r="F179" s="1977" t="str">
        <f>IFERROR(VLOOKUP(Table4[[#This Row],[Nguyên liệu, vật tư]],TblMap[[Mới (quy định lại)]:[Đơn vị]],2,0),"")</f>
        <v>Cái</v>
      </c>
      <c r="G179" s="1989">
        <v>7.6E-3</v>
      </c>
      <c r="H179"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7.0546737213403876E-3</v>
      </c>
      <c r="I179" s="2028">
        <v>40</v>
      </c>
      <c r="J179"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3.0920000000000023</v>
      </c>
      <c r="K179"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179"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5670</v>
      </c>
    </row>
    <row r="180" spans="1:12" x14ac:dyDescent="0.2">
      <c r="A180" s="1986">
        <f>IF(B180="","",COUNTA($B$3:B180))</f>
        <v>178</v>
      </c>
      <c r="B180" s="1977">
        <v>6</v>
      </c>
      <c r="C180" s="1977" t="s">
        <v>25</v>
      </c>
      <c r="D180" s="1977" t="s">
        <v>119</v>
      </c>
      <c r="E180" s="1987" t="s">
        <v>184</v>
      </c>
      <c r="F180" s="1977" t="str">
        <f>IFERROR(VLOOKUP(Table4[[#This Row],[Nguyên liệu, vật tư]],TblMap[[Mới (quy định lại)]:[Đơn vị]],2,0),"")</f>
        <v>Cái</v>
      </c>
      <c r="G180" s="1989">
        <v>4.2999999999999997E-2</v>
      </c>
      <c r="H180"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4.0564373897707229E-2</v>
      </c>
      <c r="I180" s="2028">
        <v>230</v>
      </c>
      <c r="J180"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13.809999999999993</v>
      </c>
      <c r="K180"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180"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5670</v>
      </c>
    </row>
    <row r="181" spans="1:12" x14ac:dyDescent="0.2">
      <c r="A181" s="1986">
        <f>IF(B181="","",COUNTA($B$3:B181))</f>
        <v>179</v>
      </c>
      <c r="B181" s="1977">
        <v>6</v>
      </c>
      <c r="C181" s="1977" t="s">
        <v>25</v>
      </c>
      <c r="D181" s="1977" t="s">
        <v>119</v>
      </c>
      <c r="E181" s="1987" t="s">
        <v>185</v>
      </c>
      <c r="F181" s="1977" t="str">
        <f>IFERROR(VLOOKUP(Table4[[#This Row],[Nguyên liệu, vật tư]],TblMap[[Mới (quy định lại)]:[Đơn vị]],2,0),"")</f>
        <v>Kg</v>
      </c>
      <c r="G181" s="1989"/>
      <c r="H181"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1.146384479717813E-2</v>
      </c>
      <c r="I181" s="2028">
        <v>65</v>
      </c>
      <c r="J181" s="1988" t="str">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
      </c>
      <c r="K181"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181"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5670</v>
      </c>
    </row>
    <row r="182" spans="1:12" x14ac:dyDescent="0.2">
      <c r="A182" s="1986">
        <f>IF(B182="","",COUNTA($B$3:B182))</f>
        <v>180</v>
      </c>
      <c r="B182" s="1977">
        <v>6</v>
      </c>
      <c r="C182" s="1977" t="s">
        <v>25</v>
      </c>
      <c r="D182" s="1977" t="s">
        <v>119</v>
      </c>
      <c r="E182" s="1987" t="s">
        <v>179</v>
      </c>
      <c r="F182" s="1977" t="str">
        <f>IFERROR(VLOOKUP(Table4[[#This Row],[Nguyên liệu, vật tư]],TblMap[[Mới (quy định lại)]:[Đơn vị]],2,0),"")</f>
        <v>Kg</v>
      </c>
      <c r="G182" s="1989">
        <v>0.06</v>
      </c>
      <c r="H182"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0.86419753086419748</v>
      </c>
      <c r="I182" s="2028">
        <v>4900</v>
      </c>
      <c r="J182" s="1988" t="str">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
      </c>
      <c r="K182" s="1988">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4559.8</v>
      </c>
      <c r="L182"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5670</v>
      </c>
    </row>
    <row r="183" spans="1:12" x14ac:dyDescent="0.2">
      <c r="A183" s="1986">
        <f>IF(B183="","",COUNTA($B$3:B183))</f>
        <v>181</v>
      </c>
      <c r="B183" s="1977">
        <v>7</v>
      </c>
      <c r="C183" s="1982" t="s">
        <v>5</v>
      </c>
      <c r="D183" s="2401" t="s">
        <v>115</v>
      </c>
      <c r="E183" s="1969" t="s">
        <v>163</v>
      </c>
      <c r="F183" s="2401" t="str">
        <f>IFERROR(VLOOKUP(Table4[[#This Row],[Nguyên liệu, vật tư]],TblMap[[Mới (quy định lại)]:[Đơn vị]],2,0),"")</f>
        <v>Kg</v>
      </c>
      <c r="G183" s="1991">
        <v>19.04</v>
      </c>
      <c r="H183"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18.451109079805757</v>
      </c>
      <c r="I183" s="2028">
        <v>9141509</v>
      </c>
      <c r="J183"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291763.03839999932</v>
      </c>
      <c r="K183"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183"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495444.96</v>
      </c>
    </row>
    <row r="184" spans="1:12" x14ac:dyDescent="0.2">
      <c r="A184" s="1986">
        <f>IF(B184="","",COUNTA($B$3:B184))</f>
        <v>182</v>
      </c>
      <c r="B184" s="1977">
        <v>7</v>
      </c>
      <c r="C184" s="1982" t="s">
        <v>5</v>
      </c>
      <c r="D184" s="2401" t="s">
        <v>115</v>
      </c>
      <c r="E184" s="2400" t="s">
        <v>1176</v>
      </c>
      <c r="F184" s="2401" t="str">
        <f>IFERROR(VLOOKUP(Table4[[#This Row],[Nguyên liệu, vật tư]],TblMap[[Mới (quy định lại)]:[Đơn vị]],2,0),"")</f>
        <v>Kg</v>
      </c>
      <c r="G184" s="1991">
        <v>0.45600000000000002</v>
      </c>
      <c r="H184"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0.4134101999947683</v>
      </c>
      <c r="I184" s="2028">
        <v>204822</v>
      </c>
      <c r="J184"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21100.901760000026</v>
      </c>
      <c r="K184"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184"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495444.96</v>
      </c>
    </row>
    <row r="185" spans="1:12" x14ac:dyDescent="0.2">
      <c r="A185" s="1986">
        <f>IF(B185="","",COUNTA($B$3:B185))</f>
        <v>183</v>
      </c>
      <c r="B185" s="1977">
        <v>7</v>
      </c>
      <c r="C185" s="1982" t="s">
        <v>5</v>
      </c>
      <c r="D185" s="1977" t="s">
        <v>115</v>
      </c>
      <c r="E185" s="1987" t="s">
        <v>1189</v>
      </c>
      <c r="F185" s="1977" t="str">
        <f>IFERROR(VLOOKUP(Table4[[#This Row],[Nguyên liệu, vật tư]],TblMap[[Mới (quy định lại)]:[Đơn vị]],2,0),"")</f>
        <v>Kg</v>
      </c>
      <c r="G185" s="1991">
        <v>0.38300000000000001</v>
      </c>
      <c r="H185"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c r="I185" s="2028"/>
      <c r="J185"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0</v>
      </c>
      <c r="K185" s="1988">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0</v>
      </c>
      <c r="L185"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row>
    <row r="186" spans="1:12" x14ac:dyDescent="0.2">
      <c r="A186" s="2018">
        <f>IF(B186="","",COUNTA($B$3:B283))</f>
        <v>259</v>
      </c>
      <c r="B186" s="1977">
        <v>7</v>
      </c>
      <c r="C186" s="1982" t="s">
        <v>5</v>
      </c>
      <c r="D186" s="1977" t="s">
        <v>115</v>
      </c>
      <c r="E186" s="1987" t="s">
        <v>1183</v>
      </c>
      <c r="F186" s="1977" t="str">
        <f>IFERROR(VLOOKUP(Table4[[#This Row],[Nguyên liệu, vật tư]],TblMap[[Mới (quy định lại)]:[Đơn vị]],2,0),"")</f>
        <v>Kg</v>
      </c>
      <c r="G186" s="1991">
        <v>0.52</v>
      </c>
      <c r="H186" s="1992">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c r="I186" s="2030"/>
      <c r="J186" s="2020">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0</v>
      </c>
      <c r="K186" s="2020">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0</v>
      </c>
      <c r="L186" s="2021">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row>
    <row r="187" spans="1:12" x14ac:dyDescent="0.2">
      <c r="A187" s="1986">
        <f>IF(B187="","",COUNTA($B$3:B187))</f>
        <v>185</v>
      </c>
      <c r="B187" s="1977">
        <v>7</v>
      </c>
      <c r="C187" s="1982" t="s">
        <v>5</v>
      </c>
      <c r="D187" s="1977" t="s">
        <v>115</v>
      </c>
      <c r="E187" s="1987" t="s">
        <v>1177</v>
      </c>
      <c r="F187" s="1977" t="str">
        <f>IFERROR(VLOOKUP(Table4[[#This Row],[Nguyên liệu, vật tư]],TblMap[[Mới (quy định lại)]:[Đơn vị]],2,0),"")</f>
        <v>Kg</v>
      </c>
      <c r="G187" s="1991">
        <v>0.434</v>
      </c>
      <c r="H187"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0.40504600147713682</v>
      </c>
      <c r="I187" s="2028">
        <v>200678</v>
      </c>
      <c r="J187"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14345.112640000007</v>
      </c>
      <c r="K187"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187"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495444.96</v>
      </c>
    </row>
    <row r="188" spans="1:12" x14ac:dyDescent="0.2">
      <c r="A188" s="1986">
        <f>IF(B188="","",COUNTA($B$3:B188))</f>
        <v>186</v>
      </c>
      <c r="B188" s="1977">
        <v>7</v>
      </c>
      <c r="C188" s="1982" t="s">
        <v>5</v>
      </c>
      <c r="D188" s="1977" t="s">
        <v>115</v>
      </c>
      <c r="E188" s="1987" t="s">
        <v>1184</v>
      </c>
      <c r="F188" s="1977" t="str">
        <f>IFERROR(VLOOKUP(Table4[[#This Row],[Nguyên liệu, vật tư]],TblMap[[Mới (quy định lại)]:[Đơn vị]],2,0),"")</f>
        <v>Kg</v>
      </c>
      <c r="G188" s="1991">
        <v>0.52</v>
      </c>
      <c r="H188"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c r="I188" s="2028"/>
      <c r="J188"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0</v>
      </c>
      <c r="K188" s="1988">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0</v>
      </c>
      <c r="L188"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row>
    <row r="189" spans="1:12" x14ac:dyDescent="0.2">
      <c r="A189" s="1986">
        <f>IF(B189="","",COUNTA($B$3:B189))</f>
        <v>187</v>
      </c>
      <c r="B189" s="1977">
        <v>7</v>
      </c>
      <c r="C189" s="1982" t="s">
        <v>5</v>
      </c>
      <c r="D189" s="1977" t="s">
        <v>115</v>
      </c>
      <c r="E189" s="1987" t="s">
        <v>1190</v>
      </c>
      <c r="F189" s="1977" t="str">
        <f>IFERROR(VLOOKUP(Table4[[#This Row],[Nguyên liệu, vật tư]],TblMap[[Mới (quy định lại)]:[Đơn vị]],2,0),"")</f>
        <v>Kg</v>
      </c>
      <c r="G189" s="1991">
        <v>0.434</v>
      </c>
      <c r="H189"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c r="I189" s="2028"/>
      <c r="J189"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0</v>
      </c>
      <c r="K189" s="1988">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0</v>
      </c>
      <c r="L189"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row>
    <row r="190" spans="1:12" x14ac:dyDescent="0.2">
      <c r="A190" s="1986">
        <f>IF(B190="","",COUNTA($B$3:B190))</f>
        <v>188</v>
      </c>
      <c r="B190" s="1977">
        <v>7</v>
      </c>
      <c r="C190" s="1982" t="s">
        <v>5</v>
      </c>
      <c r="D190" s="1977" t="s">
        <v>115</v>
      </c>
      <c r="E190" s="1987" t="s">
        <v>176</v>
      </c>
      <c r="F190" s="1977" t="str">
        <f>IFERROR(VLOOKUP(Table4[[#This Row],[Nguyên liệu, vật tư]],TblMap[[Mới (quy định lại)]:[Đơn vị]],2,0),"")</f>
        <v>Cái</v>
      </c>
      <c r="G190" s="1991">
        <v>0.69699999999999995</v>
      </c>
      <c r="H190"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0.69656576988894991</v>
      </c>
      <c r="I190" s="2028">
        <v>345110</v>
      </c>
      <c r="J190"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215.13711999998162</v>
      </c>
      <c r="K190"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190"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495444.96</v>
      </c>
    </row>
    <row r="191" spans="1:12" x14ac:dyDescent="0.2">
      <c r="A191" s="1986">
        <f>IF(B191="","",COUNTA($B$3:B191))</f>
        <v>189</v>
      </c>
      <c r="B191" s="1977">
        <v>7</v>
      </c>
      <c r="C191" s="1982" t="s">
        <v>5</v>
      </c>
      <c r="D191" s="1977" t="s">
        <v>115</v>
      </c>
      <c r="E191" s="1987" t="s">
        <v>177</v>
      </c>
      <c r="F191" s="1977" t="str">
        <f>IFERROR(VLOOKUP(Table4[[#This Row],[Nguyên liệu, vật tư]],TblMap[[Mới (quy định lại)]:[Đơn vị]],2,0),"")</f>
        <v>Kg</v>
      </c>
      <c r="G191" s="1991">
        <v>3.7100000000000001E-2</v>
      </c>
      <c r="H191"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3.1143721797069042E-2</v>
      </c>
      <c r="I191" s="2028">
        <v>15430</v>
      </c>
      <c r="J191"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2951.0080160000011</v>
      </c>
      <c r="K191"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191"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495444.96</v>
      </c>
    </row>
    <row r="192" spans="1:12" x14ac:dyDescent="0.2">
      <c r="A192" s="1986">
        <f>IF(B192="","",COUNTA($B$3:B192))</f>
        <v>190</v>
      </c>
      <c r="B192" s="1977">
        <v>7</v>
      </c>
      <c r="C192" s="1982" t="s">
        <v>5</v>
      </c>
      <c r="D192" s="1977" t="s">
        <v>115</v>
      </c>
      <c r="E192" s="1987" t="s">
        <v>178</v>
      </c>
      <c r="F192" s="1977" t="str">
        <f>IFERROR(VLOOKUP(Table4[[#This Row],[Nguyên liệu, vật tư]],TblMap[[Mới (quy định lại)]:[Đơn vị]],2,0),"")</f>
        <v>Kg</v>
      </c>
      <c r="G192" s="2432">
        <v>8.2000000000000007E-3</v>
      </c>
      <c r="H192"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8.3763088436705456E-3</v>
      </c>
      <c r="I192" s="2028">
        <v>4150</v>
      </c>
      <c r="J192" s="1988" t="str">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
      </c>
      <c r="K192" s="1988">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87.35132799999937</v>
      </c>
      <c r="L192"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495444.96</v>
      </c>
    </row>
    <row r="193" spans="1:12" x14ac:dyDescent="0.2">
      <c r="A193" s="1986">
        <f>IF(B193="","",COUNTA($B$3:B193))</f>
        <v>191</v>
      </c>
      <c r="B193" s="1977">
        <v>7</v>
      </c>
      <c r="C193" s="1982" t="s">
        <v>5</v>
      </c>
      <c r="D193" s="1977" t="s">
        <v>115</v>
      </c>
      <c r="E193" s="2400" t="s">
        <v>179</v>
      </c>
      <c r="F193" s="2401" t="str">
        <f>IFERROR(VLOOKUP(Table4[[#This Row],[Nguyên liệu, vật tư]],TblMap[[Mới (quy định lại)]:[Đơn vị]],2,0),"")</f>
        <v>Kg</v>
      </c>
      <c r="G193" s="2432">
        <v>4.3299999999999998E-2</v>
      </c>
      <c r="H193"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3.3252936915535478E-2</v>
      </c>
      <c r="I193" s="2028">
        <v>16475</v>
      </c>
      <c r="J193"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4977.7667680000013</v>
      </c>
      <c r="K193"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193"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495444.96</v>
      </c>
    </row>
    <row r="194" spans="1:12" x14ac:dyDescent="0.2">
      <c r="A194" s="2018">
        <f>IF(B194="","",COUNTA($B$3:B283))</f>
        <v>259</v>
      </c>
      <c r="B194" s="1977">
        <v>7</v>
      </c>
      <c r="C194" s="1982" t="s">
        <v>5</v>
      </c>
      <c r="D194" s="1977" t="s">
        <v>115</v>
      </c>
      <c r="E194" s="1987" t="s">
        <v>1061</v>
      </c>
      <c r="F194" s="1977" t="str">
        <f>IFERROR(VLOOKUP(Table4[[#This Row],[Nguyên liệu, vật tư]],TblMap[[Mới (quy định lại)]:[Đơn vị]],2,0),"")</f>
        <v>Kg</v>
      </c>
      <c r="G194" s="2432">
        <v>2E-3</v>
      </c>
      <c r="H194" s="1992">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c r="I194" s="2030"/>
      <c r="J194" s="2020">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990.88992000000007</v>
      </c>
      <c r="K194" s="2020"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194" s="2021">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495444.96</v>
      </c>
    </row>
    <row r="195" spans="1:12" x14ac:dyDescent="0.2">
      <c r="A195" s="1986">
        <f>IF(B195="","",COUNTA($B$3:B195))</f>
        <v>193</v>
      </c>
      <c r="B195" s="1977">
        <v>7</v>
      </c>
      <c r="C195" s="1982" t="s">
        <v>5</v>
      </c>
      <c r="D195" s="1977" t="s">
        <v>115</v>
      </c>
      <c r="E195" s="1987" t="s">
        <v>1062</v>
      </c>
      <c r="F195" s="1977" t="str">
        <f>IFERROR(VLOOKUP(Table4[[#This Row],[Nguyên liệu, vật tư]],TblMap[[Mới (quy định lại)]:[Đơn vị]],2,0),"")</f>
        <v>Kg</v>
      </c>
      <c r="G195" s="1991">
        <v>2.7699999999999999E-3</v>
      </c>
      <c r="H195"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c r="I195" s="2028"/>
      <c r="J195"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1372.3825392000001</v>
      </c>
      <c r="K195"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195"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495444.96</v>
      </c>
    </row>
    <row r="196" spans="1:12" x14ac:dyDescent="0.2">
      <c r="A196" s="1986">
        <f>IF(B196="","",COUNTA($B$3:B196))</f>
        <v>194</v>
      </c>
      <c r="B196" s="1977">
        <v>7</v>
      </c>
      <c r="C196" s="1982" t="s">
        <v>5</v>
      </c>
      <c r="D196" s="1977" t="s">
        <v>115</v>
      </c>
      <c r="E196" s="1987" t="s">
        <v>182</v>
      </c>
      <c r="F196" s="1977" t="str">
        <f>IFERROR(VLOOKUP(Table4[[#This Row],[Nguyên liệu, vật tư]],TblMap[[Mới (quy định lại)]:[Đơn vị]],2,0),"")</f>
        <v>Kg</v>
      </c>
      <c r="G196" s="1991">
        <v>1.65</v>
      </c>
      <c r="H196"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1.4864214180319848</v>
      </c>
      <c r="I196" s="2028">
        <v>736440</v>
      </c>
      <c r="J196"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81044.183999999979</v>
      </c>
      <c r="K196"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196"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495444.96</v>
      </c>
    </row>
    <row r="197" spans="1:12" x14ac:dyDescent="0.2">
      <c r="A197" s="1986">
        <f>IF(B197="","",COUNTA($B$3:B197))</f>
        <v>195</v>
      </c>
      <c r="B197" s="1977">
        <v>7</v>
      </c>
      <c r="C197" s="1982" t="s">
        <v>5</v>
      </c>
      <c r="D197" s="1977" t="s">
        <v>115</v>
      </c>
      <c r="E197" s="1987" t="s">
        <v>183</v>
      </c>
      <c r="F197" s="1977" t="str">
        <f>IFERROR(VLOOKUP(Table4[[#This Row],[Nguyên liệu, vật tư]],TblMap[[Mới (quy định lại)]:[Đơn vị]],2,0),"")</f>
        <v>Cái</v>
      </c>
      <c r="G197" s="2057">
        <v>6.4000000000000003E-3</v>
      </c>
      <c r="H197"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6.4184728006921295E-3</v>
      </c>
      <c r="I197" s="2028">
        <v>3180</v>
      </c>
      <c r="J197" s="1988" t="str">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
      </c>
      <c r="K197" s="1988">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9.1522559999999231</v>
      </c>
      <c r="L197"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495444.96</v>
      </c>
    </row>
    <row r="198" spans="1:12" x14ac:dyDescent="0.2">
      <c r="A198" s="1986">
        <f>IF(B198="","",COUNTA($B$3:B198))</f>
        <v>196</v>
      </c>
      <c r="B198" s="1977">
        <v>7</v>
      </c>
      <c r="C198" s="1982" t="s">
        <v>5</v>
      </c>
      <c r="D198" s="1977" t="s">
        <v>115</v>
      </c>
      <c r="E198" s="1987" t="s">
        <v>184</v>
      </c>
      <c r="F198" s="1977" t="str">
        <f>IFERROR(VLOOKUP(Table4[[#This Row],[Nguyên liệu, vật tư]],TblMap[[Mới (quy định lại)]:[Đơn vị]],2,0),"")</f>
        <v>Cái</v>
      </c>
      <c r="G198" s="2057">
        <v>4.7239999999999997E-2</v>
      </c>
      <c r="H198"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4.3799012507867677E-2</v>
      </c>
      <c r="I198" s="2028">
        <v>21700</v>
      </c>
      <c r="J198"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1704.819910399998</v>
      </c>
      <c r="K198"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198"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495444.96</v>
      </c>
    </row>
    <row r="199" spans="1:12" x14ac:dyDescent="0.2">
      <c r="A199" s="1986">
        <f>IF(B199="","",COUNTA($B$3:B199))</f>
        <v>197</v>
      </c>
      <c r="B199" s="1977">
        <v>7</v>
      </c>
      <c r="C199" s="1982" t="s">
        <v>5</v>
      </c>
      <c r="D199" s="1977" t="s">
        <v>115</v>
      </c>
      <c r="E199" s="1987" t="s">
        <v>185</v>
      </c>
      <c r="F199" s="1977" t="str">
        <f>IFERROR(VLOOKUP(Table4[[#This Row],[Nguyên liệu, vật tư]],TblMap[[Mới (quy định lại)]:[Đơn vị]],2,0),"")</f>
        <v>Kg</v>
      </c>
      <c r="G199" s="2057">
        <v>1.1809999999999999E-2</v>
      </c>
      <c r="H199"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c r="I199" s="2028"/>
      <c r="J199" s="1988" t="str">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
      </c>
      <c r="K199"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199"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495444.96</v>
      </c>
    </row>
    <row r="200" spans="1:12" x14ac:dyDescent="0.2">
      <c r="A200" s="1986">
        <f>IF(B200="","",COUNTA($B$3:B200))</f>
        <v>198</v>
      </c>
      <c r="B200" s="1977">
        <v>7</v>
      </c>
      <c r="C200" s="1982" t="s">
        <v>5</v>
      </c>
      <c r="D200" s="1982" t="s">
        <v>115</v>
      </c>
      <c r="E200" s="1990" t="s">
        <v>188</v>
      </c>
      <c r="F200" s="1982" t="str">
        <f>IFERROR(VLOOKUP(Table4[[#This Row],[Nguyên liệu, vật tư]],TblMap[[Mới (quy định lại)]:[Đơn vị]],2,0),"")</f>
        <v>Kg</v>
      </c>
      <c r="G200" s="2058">
        <v>3.4299999999999999E-3</v>
      </c>
      <c r="H200"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1.0293777133185489E-3</v>
      </c>
      <c r="I200" s="2028">
        <v>510</v>
      </c>
      <c r="J200"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1189.3762128000001</v>
      </c>
      <c r="K200"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200"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495444.96</v>
      </c>
    </row>
    <row r="201" spans="1:12" x14ac:dyDescent="0.2">
      <c r="A201" s="1986">
        <f>IF(B201="","",COUNTA($B$3:B201))</f>
        <v>199</v>
      </c>
      <c r="B201" s="1977">
        <v>7</v>
      </c>
      <c r="C201" s="1977" t="s">
        <v>25</v>
      </c>
      <c r="D201" s="1977" t="s">
        <v>119</v>
      </c>
      <c r="E201" s="1987" t="s">
        <v>163</v>
      </c>
      <c r="F201" s="1977" t="str">
        <f>IFERROR(VLOOKUP(Table4[[#This Row],[Nguyên liệu, vật tư]],TblMap[[Mới (quy định lại)]:[Đơn vị]],2,0),"")</f>
        <v>Kg</v>
      </c>
      <c r="G201" s="1989">
        <v>21.26</v>
      </c>
      <c r="H201"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20.737885118357134</v>
      </c>
      <c r="I201" s="2028">
        <v>9090566</v>
      </c>
      <c r="J201"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228871.92999999993</v>
      </c>
      <c r="K201"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201"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438355.5</v>
      </c>
    </row>
    <row r="202" spans="1:12" ht="15.5" customHeight="1" x14ac:dyDescent="0.2">
      <c r="A202" s="1986">
        <f>IF(B202="","",COUNTA($B$3:B202))</f>
        <v>200</v>
      </c>
      <c r="B202" s="1977">
        <v>7</v>
      </c>
      <c r="C202" s="1977" t="s">
        <v>25</v>
      </c>
      <c r="D202" s="1977" t="s">
        <v>119</v>
      </c>
      <c r="E202" s="1987" t="s">
        <v>1193</v>
      </c>
      <c r="F202" s="1977" t="str">
        <f>IFERROR(VLOOKUP(Table4[[#This Row],[Nguyên liệu, vật tư]],TblMap[[Mới (quy định lại)]:[Đơn vị]],2,0),"")</f>
        <v>Kg</v>
      </c>
      <c r="G202" s="1989">
        <v>0.28000000000000003</v>
      </c>
      <c r="H202"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0.26522176685349341</v>
      </c>
      <c r="I202" s="2028">
        <v>116195.38</v>
      </c>
      <c r="J202"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6474.44</v>
      </c>
      <c r="K202"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202"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438106.5</v>
      </c>
    </row>
    <row r="203" spans="1:12" x14ac:dyDescent="0.2">
      <c r="A203" s="1986">
        <f>IF(B203="","",COUNTA($B$3:B203))</f>
        <v>201</v>
      </c>
      <c r="B203" s="1977">
        <v>7</v>
      </c>
      <c r="C203" s="1977" t="s">
        <v>25</v>
      </c>
      <c r="D203" s="1977" t="s">
        <v>119</v>
      </c>
      <c r="E203" s="1987" t="s">
        <v>1180</v>
      </c>
      <c r="F203" s="1977" t="str">
        <f>IFERROR(VLOOKUP(Table4[[#This Row],[Nguyên liệu, vật tư]],TblMap[[Mới (quy định lại)]:[Đơn vị]],2,0),"")</f>
        <v>Kg</v>
      </c>
      <c r="G203" s="1989">
        <v>0.39</v>
      </c>
      <c r="H203"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0.27991967871485945</v>
      </c>
      <c r="I203" s="2028">
        <v>69.7</v>
      </c>
      <c r="J203"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27.41</v>
      </c>
      <c r="K203"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203"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249</v>
      </c>
    </row>
    <row r="204" spans="1:12" x14ac:dyDescent="0.2">
      <c r="A204" s="1986">
        <f>IF(B204="","",COUNTA($B$3:B204))</f>
        <v>202</v>
      </c>
      <c r="B204" s="1977">
        <v>7</v>
      </c>
      <c r="C204" s="1977" t="s">
        <v>25</v>
      </c>
      <c r="D204" s="1977" t="s">
        <v>119</v>
      </c>
      <c r="E204" s="1987" t="s">
        <v>1192</v>
      </c>
      <c r="F204" s="1977" t="str">
        <f>IFERROR(VLOOKUP(Table4[[#This Row],[Nguyên liệu, vật tư]],TblMap[[Mới (quy định lại)]:[Đơn vị]],2,0),"")</f>
        <v>Kg</v>
      </c>
      <c r="G204" s="1989">
        <v>9.8000000000000004E-2</v>
      </c>
      <c r="H204"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8.9495134173996516E-2</v>
      </c>
      <c r="I204" s="2028">
        <v>39208.400000000001</v>
      </c>
      <c r="J204"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3726.0369999999971</v>
      </c>
      <c r="K204"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204"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438106.5</v>
      </c>
    </row>
    <row r="205" spans="1:12" x14ac:dyDescent="0.2">
      <c r="A205" s="1986">
        <f>IF(B205="","",COUNTA($B$3:B205))</f>
        <v>203</v>
      </c>
      <c r="B205" s="1977">
        <v>7</v>
      </c>
      <c r="C205" s="1977" t="s">
        <v>25</v>
      </c>
      <c r="D205" s="1977" t="s">
        <v>119</v>
      </c>
      <c r="E205" s="1987" t="s">
        <v>1182</v>
      </c>
      <c r="F205" s="1977" t="str">
        <f>IFERROR(VLOOKUP(Table4[[#This Row],[Nguyên liệu, vật tư]],TblMap[[Mới (quy định lại)]:[Đơn vị]],2,0),"")</f>
        <v>Kg</v>
      </c>
      <c r="G205" s="1991">
        <v>0.39</v>
      </c>
      <c r="H205"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0.40160642570281124</v>
      </c>
      <c r="I205" s="2028">
        <v>100</v>
      </c>
      <c r="J205" s="1988" t="str">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
      </c>
      <c r="K205" s="1988">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2.8899999999999961</v>
      </c>
      <c r="L205"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249</v>
      </c>
    </row>
    <row r="206" spans="1:12" x14ac:dyDescent="0.2">
      <c r="A206" s="1986">
        <f>IF(B206="","",COUNTA($B$3:B206))</f>
        <v>204</v>
      </c>
      <c r="B206" s="1977">
        <v>7</v>
      </c>
      <c r="C206" s="1977" t="s">
        <v>25</v>
      </c>
      <c r="D206" s="1977" t="s">
        <v>119</v>
      </c>
      <c r="E206" s="1987" t="s">
        <v>1194</v>
      </c>
      <c r="F206" s="1977" t="str">
        <f>IFERROR(VLOOKUP(Table4[[#This Row],[Nguyên liệu, vật tư]],TblMap[[Mới (quy định lại)]:[Đơn vị]],2,0),"")</f>
        <v>Kg</v>
      </c>
      <c r="G206" s="1989">
        <v>0.11899999999999999</v>
      </c>
      <c r="H206"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0.11906009155308127</v>
      </c>
      <c r="I206" s="2028">
        <v>52161</v>
      </c>
      <c r="J206" s="1988" t="str">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
      </c>
      <c r="K206" s="1988">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26.326500000000927</v>
      </c>
      <c r="L206"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438106.5</v>
      </c>
    </row>
    <row r="207" spans="1:12" x14ac:dyDescent="0.2">
      <c r="A207" s="2018">
        <f>IF(B207="","",COUNTA($B$3:B283))</f>
        <v>259</v>
      </c>
      <c r="B207" s="1977">
        <v>7</v>
      </c>
      <c r="C207" s="1977" t="s">
        <v>25</v>
      </c>
      <c r="D207" s="1977" t="s">
        <v>119</v>
      </c>
      <c r="E207" s="1987" t="s">
        <v>176</v>
      </c>
      <c r="F207" s="1977" t="str">
        <f>IFERROR(VLOOKUP(Table4[[#This Row],[Nguyên liệu, vật tư]],TblMap[[Mới (quy định lại)]:[Đơn vị]],2,0),"")</f>
        <v>Cái</v>
      </c>
      <c r="G207" s="1989">
        <v>0.66900000000000004</v>
      </c>
      <c r="H207"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0.66868785723003366</v>
      </c>
      <c r="I207" s="2030">
        <v>293123</v>
      </c>
      <c r="J207" s="2020">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136.82949999999911</v>
      </c>
      <c r="K207" s="2020"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207"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438355.5</v>
      </c>
    </row>
    <row r="208" spans="1:12" x14ac:dyDescent="0.2">
      <c r="A208" s="1986">
        <f>IF(B208="","",COUNTA($B$3:B208))</f>
        <v>206</v>
      </c>
      <c r="B208" s="1977">
        <v>7</v>
      </c>
      <c r="C208" s="1977" t="s">
        <v>25</v>
      </c>
      <c r="D208" s="1977" t="s">
        <v>119</v>
      </c>
      <c r="E208" s="1987" t="s">
        <v>177</v>
      </c>
      <c r="F208" s="1977" t="str">
        <f>IFERROR(VLOOKUP(Table4[[#This Row],[Nguyên liệu, vật tư]],TblMap[[Mới (quy định lại)]:[Đơn vị]],2,0),"")</f>
        <v>Kg</v>
      </c>
      <c r="G208" s="1989">
        <v>0.02</v>
      </c>
      <c r="H208"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1.9367841854385309E-2</v>
      </c>
      <c r="I208" s="2028">
        <v>8490</v>
      </c>
      <c r="J208"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277.11000000000075</v>
      </c>
      <c r="K208"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208"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438355.5</v>
      </c>
    </row>
    <row r="209" spans="1:12" x14ac:dyDescent="0.2">
      <c r="A209" s="1986">
        <f>IF(B209="","",COUNTA($B$3:B209))</f>
        <v>207</v>
      </c>
      <c r="B209" s="1977">
        <v>7</v>
      </c>
      <c r="C209" s="1977" t="s">
        <v>25</v>
      </c>
      <c r="D209" s="1977" t="s">
        <v>119</v>
      </c>
      <c r="E209" s="1987" t="s">
        <v>178</v>
      </c>
      <c r="F209" s="1977" t="str">
        <f>IFERROR(VLOOKUP(Table4[[#This Row],[Nguyên liệu, vật tư]],TblMap[[Mới (quy định lại)]:[Đơn vị]],2,0),"")</f>
        <v>Kg</v>
      </c>
      <c r="G209" s="1989">
        <v>2.01E-2</v>
      </c>
      <c r="H209"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1.1887611767161585E-2</v>
      </c>
      <c r="I209" s="2028">
        <v>5211</v>
      </c>
      <c r="J209"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3599.9455499999995</v>
      </c>
      <c r="K209"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209"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438355.5</v>
      </c>
    </row>
    <row r="210" spans="1:12" x14ac:dyDescent="0.2">
      <c r="A210" s="1986">
        <f>IF(B210="","",COUNTA($B$3:B210))</f>
        <v>208</v>
      </c>
      <c r="B210" s="1977">
        <v>7</v>
      </c>
      <c r="C210" s="1977" t="s">
        <v>25</v>
      </c>
      <c r="D210" s="1977" t="s">
        <v>119</v>
      </c>
      <c r="E210" s="1987" t="s">
        <v>182</v>
      </c>
      <c r="F210" s="1977" t="str">
        <f>IFERROR(VLOOKUP(Table4[[#This Row],[Nguyên liệu, vật tư]],TblMap[[Mới (quy định lại)]:[Đơn vị]],2,0),"")</f>
        <v>Kg</v>
      </c>
      <c r="G210" s="1989">
        <v>1.84</v>
      </c>
      <c r="H210"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1.670644032069861</v>
      </c>
      <c r="I210" s="2028">
        <v>732336</v>
      </c>
      <c r="J210"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74238.120000000083</v>
      </c>
      <c r="K210"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210"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438355.5</v>
      </c>
    </row>
    <row r="211" spans="1:12" x14ac:dyDescent="0.2">
      <c r="A211" s="1986">
        <f>IF(B211="","",COUNTA($B$3:B211))</f>
        <v>209</v>
      </c>
      <c r="B211" s="1977">
        <v>7</v>
      </c>
      <c r="C211" s="1977" t="s">
        <v>25</v>
      </c>
      <c r="D211" s="1977" t="s">
        <v>119</v>
      </c>
      <c r="E211" s="1987" t="s">
        <v>183</v>
      </c>
      <c r="F211" s="1977" t="str">
        <f>IFERROR(VLOOKUP(Table4[[#This Row],[Nguyên liệu, vật tư]],TblMap[[Mới (quy định lại)]:[Đơn vị]],2,0),"")</f>
        <v>Cái</v>
      </c>
      <c r="G211" s="1989">
        <v>7.6E-3</v>
      </c>
      <c r="H211"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7.5737614789822419E-3</v>
      </c>
      <c r="I211" s="2028">
        <v>3320</v>
      </c>
      <c r="J211"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11.501799999999843</v>
      </c>
      <c r="K211"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211"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438355.5</v>
      </c>
    </row>
    <row r="212" spans="1:12" x14ac:dyDescent="0.2">
      <c r="A212" s="1986">
        <f>IF(B212="","",COUNTA($B$3:B212))</f>
        <v>210</v>
      </c>
      <c r="B212" s="1977">
        <v>7</v>
      </c>
      <c r="C212" s="1977" t="s">
        <v>25</v>
      </c>
      <c r="D212" s="1977" t="s">
        <v>119</v>
      </c>
      <c r="E212" s="1987" t="s">
        <v>184</v>
      </c>
      <c r="F212" s="1977" t="str">
        <f>IFERROR(VLOOKUP(Table4[[#This Row],[Nguyên liệu, vật tư]],TblMap[[Mới (quy định lại)]:[Đơn vị]],2,0),"")</f>
        <v>Cái</v>
      </c>
      <c r="G212" s="1989">
        <v>4.2999999999999997E-2</v>
      </c>
      <c r="H212"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4.1746938272703323E-2</v>
      </c>
      <c r="I212" s="2028">
        <v>18300</v>
      </c>
      <c r="J212"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549.2864999999972</v>
      </c>
      <c r="K212"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212"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438355.5</v>
      </c>
    </row>
    <row r="213" spans="1:12" x14ac:dyDescent="0.2">
      <c r="A213" s="1986">
        <f>IF(B213="","",COUNTA($B$3:B213))</f>
        <v>211</v>
      </c>
      <c r="B213" s="1977">
        <v>7</v>
      </c>
      <c r="C213" s="1977" t="s">
        <v>25</v>
      </c>
      <c r="D213" s="1977" t="s">
        <v>119</v>
      </c>
      <c r="E213" s="1987" t="s">
        <v>185</v>
      </c>
      <c r="F213" s="1977" t="str">
        <f>IFERROR(VLOOKUP(Table4[[#This Row],[Nguyên liệu, vật tư]],TblMap[[Mới (quy định lại)]:[Đơn vị]],2,0),"")</f>
        <v>Kg</v>
      </c>
      <c r="G213" s="1989"/>
      <c r="H213"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c r="I213" s="2028"/>
      <c r="J213" s="1988" t="str">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
      </c>
      <c r="K213"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213"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438355.5</v>
      </c>
    </row>
    <row r="214" spans="1:12" x14ac:dyDescent="0.2">
      <c r="A214" s="1986">
        <f>IF(B214="","",COUNTA($B$3:B214))</f>
        <v>212</v>
      </c>
      <c r="B214" s="1977">
        <v>7</v>
      </c>
      <c r="C214" s="1977" t="s">
        <v>25</v>
      </c>
      <c r="D214" s="1977" t="s">
        <v>119</v>
      </c>
      <c r="E214" s="1987" t="s">
        <v>179</v>
      </c>
      <c r="F214" s="1977" t="str">
        <f>IFERROR(VLOOKUP(Table4[[#This Row],[Nguyên liệu, vật tư]],TblMap[[Mới (quy định lại)]:[Đơn vị]],2,0),"")</f>
        <v>Kg</v>
      </c>
      <c r="G214" s="1989">
        <v>0.06</v>
      </c>
      <c r="H214"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4.7278977907200891E-2</v>
      </c>
      <c r="I214" s="2028">
        <v>20725</v>
      </c>
      <c r="J214"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5576.329999999999</v>
      </c>
      <c r="K214"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214"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438355.5</v>
      </c>
    </row>
    <row r="215" spans="1:12" x14ac:dyDescent="0.2">
      <c r="A215" s="1986">
        <f>IF(B215="","",COUNTA($B$3:B215))</f>
        <v>213</v>
      </c>
      <c r="B215" s="1977">
        <v>8</v>
      </c>
      <c r="C215" s="1982" t="s">
        <v>5</v>
      </c>
      <c r="D215" s="2401" t="s">
        <v>115</v>
      </c>
      <c r="E215" s="1969" t="s">
        <v>163</v>
      </c>
      <c r="F215" s="2401" t="str">
        <f>IFERROR(VLOOKUP(Table4[[#This Row],[Nguyên liệu, vật tư]],TblMap[[Mới (quy định lại)]:[Đơn vị]],2,0),"")</f>
        <v>Kg</v>
      </c>
      <c r="G215" s="1991">
        <v>19.04</v>
      </c>
      <c r="H215"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18.440370542010818</v>
      </c>
      <c r="I215" s="2028">
        <v>8938679</v>
      </c>
      <c r="J215"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290660.92959999753</v>
      </c>
      <c r="K215"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215"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484734.23999999993</v>
      </c>
    </row>
    <row r="216" spans="1:12" x14ac:dyDescent="0.2">
      <c r="A216" s="1986">
        <f>IF(B216="","",COUNTA($B$3:B216))</f>
        <v>214</v>
      </c>
      <c r="B216" s="1977">
        <v>8</v>
      </c>
      <c r="C216" s="1982" t="s">
        <v>5</v>
      </c>
      <c r="D216" s="2401" t="s">
        <v>115</v>
      </c>
      <c r="E216" s="2400" t="s">
        <v>1176</v>
      </c>
      <c r="F216" s="2401" t="str">
        <f>IFERROR(VLOOKUP(Table4[[#This Row],[Nguyên liệu, vật tư]],TblMap[[Mới (quy định lại)]:[Đơn vị]],2,0),"")</f>
        <v>Kg</v>
      </c>
      <c r="G216" s="1991">
        <v>0.45600000000000002</v>
      </c>
      <c r="H216"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0.40906745106349413</v>
      </c>
      <c r="I216" s="2028">
        <v>198289</v>
      </c>
      <c r="J216"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22749.813439999987</v>
      </c>
      <c r="K216"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216"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484734.23999999993</v>
      </c>
    </row>
    <row r="217" spans="1:12" x14ac:dyDescent="0.2">
      <c r="A217" s="1986">
        <f>IF(B217="","",COUNTA($B$3:B217))</f>
        <v>215</v>
      </c>
      <c r="B217" s="1977">
        <v>8</v>
      </c>
      <c r="C217" s="1982" t="s">
        <v>5</v>
      </c>
      <c r="D217" s="1977" t="s">
        <v>115</v>
      </c>
      <c r="E217" s="1987" t="s">
        <v>1189</v>
      </c>
      <c r="F217" s="1977" t="str">
        <f>IFERROR(VLOOKUP(Table4[[#This Row],[Nguyên liệu, vật tư]],TblMap[[Mới (quy định lại)]:[Đơn vị]],2,0),"")</f>
        <v>Kg</v>
      </c>
      <c r="G217" s="1991">
        <v>0.38300000000000001</v>
      </c>
      <c r="H217"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c r="I217" s="2028"/>
      <c r="J217"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0</v>
      </c>
      <c r="K217" s="1988">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0</v>
      </c>
      <c r="L217"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row>
    <row r="218" spans="1:12" x14ac:dyDescent="0.2">
      <c r="A218" s="1986">
        <f>IF(B218="","",COUNTA($B$3:B218))</f>
        <v>216</v>
      </c>
      <c r="B218" s="1977">
        <v>8</v>
      </c>
      <c r="C218" s="1982" t="s">
        <v>5</v>
      </c>
      <c r="D218" s="1977" t="s">
        <v>115</v>
      </c>
      <c r="E218" s="1987" t="s">
        <v>1183</v>
      </c>
      <c r="F218" s="1977" t="str">
        <f>IFERROR(VLOOKUP(Table4[[#This Row],[Nguyên liệu, vật tư]],TblMap[[Mới (quy định lại)]:[Đơn vị]],2,0),"")</f>
        <v>Kg</v>
      </c>
      <c r="G218" s="1991">
        <v>0.52</v>
      </c>
      <c r="H218"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c r="I218" s="2028"/>
      <c r="J218"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0</v>
      </c>
      <c r="K218" s="1988">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0</v>
      </c>
      <c r="L218"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row>
    <row r="219" spans="1:12" x14ac:dyDescent="0.2">
      <c r="A219" s="1986">
        <f>IF(B219="","",COUNTA($B$3:B219))</f>
        <v>217</v>
      </c>
      <c r="B219" s="1977">
        <v>8</v>
      </c>
      <c r="C219" s="1982" t="s">
        <v>5</v>
      </c>
      <c r="D219" s="1977" t="s">
        <v>115</v>
      </c>
      <c r="E219" s="1987" t="s">
        <v>1177</v>
      </c>
      <c r="F219" s="1977" t="str">
        <f>IFERROR(VLOOKUP(Table4[[#This Row],[Nguyên liệu, vật tư]],TblMap[[Mới (quy định lại)]:[Đơn vị]],2,0),"")</f>
        <v>Kg</v>
      </c>
      <c r="G219" s="1991">
        <v>0.434</v>
      </c>
      <c r="H219"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0.40840729551104132</v>
      </c>
      <c r="I219" s="2028">
        <v>197969</v>
      </c>
      <c r="J219"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12405.660159999969</v>
      </c>
      <c r="K219"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219"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484734.23999999993</v>
      </c>
    </row>
    <row r="220" spans="1:12" x14ac:dyDescent="0.2">
      <c r="A220" s="1986">
        <f>IF(B220="","",COUNTA($B$3:B220))</f>
        <v>218</v>
      </c>
      <c r="B220" s="1977">
        <v>8</v>
      </c>
      <c r="C220" s="1982" t="s">
        <v>5</v>
      </c>
      <c r="D220" s="1977" t="s">
        <v>115</v>
      </c>
      <c r="E220" s="1987" t="s">
        <v>1184</v>
      </c>
      <c r="F220" s="1977" t="str">
        <f>IFERROR(VLOOKUP(Table4[[#This Row],[Nguyên liệu, vật tư]],TblMap[[Mới (quy định lại)]:[Đơn vị]],2,0),"")</f>
        <v>Kg</v>
      </c>
      <c r="G220" s="1991">
        <v>0.52</v>
      </c>
      <c r="H220"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c r="I220" s="2028"/>
      <c r="J220"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0</v>
      </c>
      <c r="K220" s="1988">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0</v>
      </c>
      <c r="L220"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row>
    <row r="221" spans="1:12" x14ac:dyDescent="0.2">
      <c r="A221" s="2018">
        <f>IF(B221="","",COUNTA($B$3:B283))</f>
        <v>259</v>
      </c>
      <c r="B221" s="1977">
        <v>8</v>
      </c>
      <c r="C221" s="1982" t="s">
        <v>5</v>
      </c>
      <c r="D221" s="1977" t="s">
        <v>115</v>
      </c>
      <c r="E221" s="1987" t="s">
        <v>1190</v>
      </c>
      <c r="F221" s="1977" t="str">
        <f>IFERROR(VLOOKUP(Table4[[#This Row],[Nguyên liệu, vật tư]],TblMap[[Mới (quy định lại)]:[Đơn vị]],2,0),"")</f>
        <v>Kg</v>
      </c>
      <c r="G221" s="1991">
        <v>0.434</v>
      </c>
      <c r="H221"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c r="I221" s="2030"/>
      <c r="J221" s="2020">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0</v>
      </c>
      <c r="K221" s="2020">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0</v>
      </c>
      <c r="L221" s="2021">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row>
    <row r="222" spans="1:12" x14ac:dyDescent="0.2">
      <c r="A222" s="1986">
        <f>IF(B222="","",COUNTA($B$3:B222))</f>
        <v>220</v>
      </c>
      <c r="B222" s="1977">
        <v>8</v>
      </c>
      <c r="C222" s="1982" t="s">
        <v>5</v>
      </c>
      <c r="D222" s="1977" t="s">
        <v>115</v>
      </c>
      <c r="E222" s="1987" t="s">
        <v>176</v>
      </c>
      <c r="F222" s="1977" t="str">
        <f>IFERROR(VLOOKUP(Table4[[#This Row],[Nguyên liệu, vật tư]],TblMap[[Mới (quy định lại)]:[Đơn vị]],2,0),"")</f>
        <v>Cái</v>
      </c>
      <c r="G222" s="1991">
        <v>0.69699999999999995</v>
      </c>
      <c r="H222"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c r="I222" s="2028"/>
      <c r="J222"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337859.76527999993</v>
      </c>
      <c r="K222"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222"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484734.23999999993</v>
      </c>
    </row>
    <row r="223" spans="1:12" x14ac:dyDescent="0.2">
      <c r="A223" s="1986">
        <f>IF(B223="","",COUNTA($B$3:B223))</f>
        <v>221</v>
      </c>
      <c r="B223" s="1977">
        <v>8</v>
      </c>
      <c r="C223" s="1982" t="s">
        <v>5</v>
      </c>
      <c r="D223" s="1977" t="s">
        <v>115</v>
      </c>
      <c r="E223" s="1987" t="s">
        <v>177</v>
      </c>
      <c r="F223" s="1977" t="str">
        <f>IFERROR(VLOOKUP(Table4[[#This Row],[Nguyên liệu, vật tư]],TblMap[[Mới (quy định lại)]:[Đơn vị]],2,0),"")</f>
        <v>Kg</v>
      </c>
      <c r="G223" s="1991">
        <v>3.7100000000000001E-2</v>
      </c>
      <c r="H223"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c r="I223" s="2028"/>
      <c r="J223"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17983.640303999997</v>
      </c>
      <c r="K223"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223"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484734.23999999993</v>
      </c>
    </row>
    <row r="224" spans="1:12" x14ac:dyDescent="0.2">
      <c r="A224" s="1986">
        <f>IF(B224="","",COUNTA($B$3:B224))</f>
        <v>222</v>
      </c>
      <c r="B224" s="1977">
        <v>8</v>
      </c>
      <c r="C224" s="1982" t="s">
        <v>5</v>
      </c>
      <c r="D224" s="1977" t="s">
        <v>115</v>
      </c>
      <c r="E224" s="1987" t="s">
        <v>178</v>
      </c>
      <c r="F224" s="1977" t="str">
        <f>IFERROR(VLOOKUP(Table4[[#This Row],[Nguyên liệu, vật tư]],TblMap[[Mới (quy định lại)]:[Đơn vị]],2,0),"")</f>
        <v>Kg</v>
      </c>
      <c r="G224" s="2432">
        <v>8.2000000000000007E-3</v>
      </c>
      <c r="H224"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c r="I224" s="2028"/>
      <c r="J224"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3974.8207679999996</v>
      </c>
      <c r="K224"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224"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484734.23999999993</v>
      </c>
    </row>
    <row r="225" spans="1:12" x14ac:dyDescent="0.2">
      <c r="A225" s="1986">
        <f>IF(B225="","",COUNTA($B$3:B225))</f>
        <v>223</v>
      </c>
      <c r="B225" s="1977">
        <v>8</v>
      </c>
      <c r="C225" s="1982" t="s">
        <v>5</v>
      </c>
      <c r="D225" s="1977" t="s">
        <v>115</v>
      </c>
      <c r="E225" s="2400" t="s">
        <v>179</v>
      </c>
      <c r="F225" s="2401" t="str">
        <f>IFERROR(VLOOKUP(Table4[[#This Row],[Nguyên liệu, vật tư]],TblMap[[Mới (quy định lại)]:[Đơn vị]],2,0),"")</f>
        <v>Kg</v>
      </c>
      <c r="G225" s="2432">
        <v>4.3299999999999998E-2</v>
      </c>
      <c r="H225"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3.1976284571933689E-2</v>
      </c>
      <c r="I225" s="2028">
        <v>15500</v>
      </c>
      <c r="J225"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5488.9925919999969</v>
      </c>
      <c r="K225"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225"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484734.23999999993</v>
      </c>
    </row>
    <row r="226" spans="1:12" x14ac:dyDescent="0.2">
      <c r="A226" s="1986">
        <f>IF(B226="","",COUNTA($B$3:B226))</f>
        <v>224</v>
      </c>
      <c r="B226" s="1977">
        <v>8</v>
      </c>
      <c r="C226" s="1982" t="s">
        <v>5</v>
      </c>
      <c r="D226" s="1977" t="s">
        <v>115</v>
      </c>
      <c r="E226" s="1987" t="s">
        <v>1061</v>
      </c>
      <c r="F226" s="1977" t="str">
        <f>IFERROR(VLOOKUP(Table4[[#This Row],[Nguyên liệu, vật tư]],TblMap[[Mới (quy định lại)]:[Đơn vị]],2,0),"")</f>
        <v>Kg</v>
      </c>
      <c r="G226" s="2432">
        <v>2E-3</v>
      </c>
      <c r="H226"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3.0944791521226151E-3</v>
      </c>
      <c r="I226" s="2028">
        <v>1500</v>
      </c>
      <c r="J226" s="1988" t="str">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
      </c>
      <c r="K226" s="1988">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530.53152000000011</v>
      </c>
      <c r="L226"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484734.23999999993</v>
      </c>
    </row>
    <row r="227" spans="1:12" x14ac:dyDescent="0.2">
      <c r="A227" s="1986">
        <f>IF(B227="","",COUNTA($B$3:B227))</f>
        <v>225</v>
      </c>
      <c r="B227" s="1977">
        <v>8</v>
      </c>
      <c r="C227" s="1982" t="s">
        <v>5</v>
      </c>
      <c r="D227" s="1977" t="s">
        <v>115</v>
      </c>
      <c r="E227" s="1987" t="s">
        <v>1062</v>
      </c>
      <c r="F227" s="1977" t="str">
        <f>IFERROR(VLOOKUP(Table4[[#This Row],[Nguyên liệu, vật tư]],TblMap[[Mới (quy định lại)]:[Đơn vị]],2,0),"")</f>
        <v>Kg</v>
      </c>
      <c r="G227" s="1991">
        <v>2.7699999999999999E-3</v>
      </c>
      <c r="H227"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c r="I227" s="2028">
        <v>0</v>
      </c>
      <c r="J227" s="1988"/>
      <c r="K227"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227"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484734.23999999993</v>
      </c>
    </row>
    <row r="228" spans="1:12" x14ac:dyDescent="0.2">
      <c r="A228" s="1986">
        <f>IF(B228="","",COUNTA($B$3:B228))</f>
        <v>226</v>
      </c>
      <c r="B228" s="1977">
        <v>8</v>
      </c>
      <c r="C228" s="1982" t="s">
        <v>5</v>
      </c>
      <c r="D228" s="1977" t="s">
        <v>115</v>
      </c>
      <c r="E228" s="1987" t="s">
        <v>182</v>
      </c>
      <c r="F228" s="1977" t="str">
        <f>IFERROR(VLOOKUP(Table4[[#This Row],[Nguyên liệu, vật tư]],TblMap[[Mới (quy định lại)]:[Đơn vị]],2,0),"")</f>
        <v>Kg</v>
      </c>
      <c r="G228" s="1991">
        <v>1.65</v>
      </c>
      <c r="H228"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1.446462705007181</v>
      </c>
      <c r="I228" s="2028">
        <v>701150</v>
      </c>
      <c r="J228"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98661.495999999868</v>
      </c>
      <c r="K228"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228"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484734.23999999993</v>
      </c>
    </row>
    <row r="229" spans="1:12" x14ac:dyDescent="0.2">
      <c r="A229" s="1986">
        <f>IF(B229="","",COUNTA($B$3:B229))</f>
        <v>227</v>
      </c>
      <c r="B229" s="1977">
        <v>8</v>
      </c>
      <c r="C229" s="1982" t="s">
        <v>5</v>
      </c>
      <c r="D229" s="1977" t="s">
        <v>115</v>
      </c>
      <c r="E229" s="1987" t="s">
        <v>183</v>
      </c>
      <c r="F229" s="1977" t="str">
        <f>IFERROR(VLOOKUP(Table4[[#This Row],[Nguyên liệu, vật tư]],TblMap[[Mới (quy định lại)]:[Đơn vị]],2,0),"")</f>
        <v>Cái</v>
      </c>
      <c r="G229" s="2057">
        <v>6.4000000000000003E-3</v>
      </c>
      <c r="H229"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6.4777763584433412E-3</v>
      </c>
      <c r="I229" s="2028">
        <v>3140</v>
      </c>
      <c r="J229" s="1988" t="str">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
      </c>
      <c r="K229" s="1988">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37.700864000000415</v>
      </c>
      <c r="L229"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484734.23999999993</v>
      </c>
    </row>
    <row r="230" spans="1:12" x14ac:dyDescent="0.2">
      <c r="A230" s="1986">
        <f>IF(B230="","",COUNTA($B$3:B230))</f>
        <v>228</v>
      </c>
      <c r="B230" s="1977">
        <v>8</v>
      </c>
      <c r="C230" s="1982" t="s">
        <v>5</v>
      </c>
      <c r="D230" s="1977" t="s">
        <v>115</v>
      </c>
      <c r="E230" s="1987" t="s">
        <v>184</v>
      </c>
      <c r="F230" s="1977" t="str">
        <f>IFERROR(VLOOKUP(Table4[[#This Row],[Nguyên liệu, vật tư]],TblMap[[Mới (quy định lại)]:[Đơn vị]],2,0),"")</f>
        <v>Cái</v>
      </c>
      <c r="G230" s="2057">
        <v>4.7239999999999997E-2</v>
      </c>
      <c r="H230"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4.4766798400707165E-2</v>
      </c>
      <c r="I230" s="2028">
        <v>21700</v>
      </c>
      <c r="J230"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1198.8454975999953</v>
      </c>
      <c r="K230"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230"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484734.23999999993</v>
      </c>
    </row>
    <row r="231" spans="1:12" x14ac:dyDescent="0.2">
      <c r="A231" s="1986">
        <f>IF(B231="","",COUNTA($B$3:B231))</f>
        <v>229</v>
      </c>
      <c r="B231" s="1977">
        <v>8</v>
      </c>
      <c r="C231" s="1982" t="s">
        <v>5</v>
      </c>
      <c r="D231" s="1977" t="s">
        <v>115</v>
      </c>
      <c r="E231" s="1987" t="s">
        <v>185</v>
      </c>
      <c r="F231" s="1977" t="str">
        <f>IFERROR(VLOOKUP(Table4[[#This Row],[Nguyên liệu, vật tư]],TblMap[[Mới (quy định lại)]:[Đơn vị]],2,0),"")</f>
        <v>Kg</v>
      </c>
      <c r="G231" s="2057">
        <v>1.1809999999999999E-2</v>
      </c>
      <c r="H231"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1.2264452372912632E-2</v>
      </c>
      <c r="I231" s="2028">
        <v>5945</v>
      </c>
      <c r="J231" s="1988" t="str">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
      </c>
      <c r="K231"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231"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484734.23999999993</v>
      </c>
    </row>
    <row r="232" spans="1:12" x14ac:dyDescent="0.2">
      <c r="A232" s="1986">
        <f>IF(B232="","",COUNTA($B$3:B232))</f>
        <v>230</v>
      </c>
      <c r="B232" s="1977">
        <v>8</v>
      </c>
      <c r="C232" s="1982" t="s">
        <v>5</v>
      </c>
      <c r="D232" s="1982" t="s">
        <v>115</v>
      </c>
      <c r="E232" s="1990" t="s">
        <v>188</v>
      </c>
      <c r="F232" s="1982" t="str">
        <f>IFERROR(VLOOKUP(Table4[[#This Row],[Nguyên liệu, vật tư]],TblMap[[Mới (quy định lại)]:[Đơn vị]],2,0),"")</f>
        <v>Kg</v>
      </c>
      <c r="G232" s="2058">
        <v>3.4299999999999999E-3</v>
      </c>
      <c r="H232"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3.1563687351650674E-3</v>
      </c>
      <c r="I232" s="2028">
        <v>1530</v>
      </c>
      <c r="J232"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132.63844319999973</v>
      </c>
      <c r="K232"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232"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484734.23999999993</v>
      </c>
    </row>
    <row r="233" spans="1:12" x14ac:dyDescent="0.2">
      <c r="A233" s="1986">
        <f>IF(B233="","",COUNTA($B$3:B233))</f>
        <v>231</v>
      </c>
      <c r="B233" s="1977">
        <v>8</v>
      </c>
      <c r="C233" s="1977" t="s">
        <v>25</v>
      </c>
      <c r="D233" s="1977" t="s">
        <v>119</v>
      </c>
      <c r="E233" s="1987" t="s">
        <v>163</v>
      </c>
      <c r="F233" s="1977" t="str">
        <f>IFERROR(VLOOKUP(Table4[[#This Row],[Nguyên liệu, vật tư]],TblMap[[Mới (quy định lại)]:[Đơn vị]],2,0),"")</f>
        <v>Kg</v>
      </c>
      <c r="G233" s="1989">
        <v>21.26</v>
      </c>
      <c r="H233"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21.245928170517544</v>
      </c>
      <c r="I233" s="2028">
        <v>3702018</v>
      </c>
      <c r="J233"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2451.9600000002602</v>
      </c>
      <c r="K233"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233"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174246</v>
      </c>
    </row>
    <row r="234" spans="1:12" x14ac:dyDescent="0.2">
      <c r="A234" s="1986">
        <f>IF(B234="","",COUNTA($B$3:B234))</f>
        <v>232</v>
      </c>
      <c r="B234" s="1977">
        <v>8</v>
      </c>
      <c r="C234" s="1977" t="s">
        <v>25</v>
      </c>
      <c r="D234" s="1977" t="s">
        <v>119</v>
      </c>
      <c r="E234" s="1987" t="s">
        <v>1193</v>
      </c>
      <c r="F234" s="1977" t="str">
        <f>IFERROR(VLOOKUP(Table4[[#This Row],[Nguyên liệu, vật tư]],TblMap[[Mới (quy định lại)]:[Đơn vị]],2,0),"")</f>
        <v>Kg</v>
      </c>
      <c r="G234" s="1989">
        <v>0.28000000000000003</v>
      </c>
      <c r="H234"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0.27283698154339214</v>
      </c>
      <c r="I234" s="2028">
        <v>16770.88</v>
      </c>
      <c r="J234"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440.30000000000172</v>
      </c>
      <c r="K234"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234"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61468.5</v>
      </c>
    </row>
    <row r="235" spans="1:12" x14ac:dyDescent="0.2">
      <c r="A235" s="1986">
        <f>IF(B235="","",COUNTA($B$3:B235))</f>
        <v>233</v>
      </c>
      <c r="B235" s="1977">
        <v>8</v>
      </c>
      <c r="C235" s="1977" t="s">
        <v>25</v>
      </c>
      <c r="D235" s="1977" t="s">
        <v>119</v>
      </c>
      <c r="E235" s="1987" t="s">
        <v>1180</v>
      </c>
      <c r="F235" s="1977" t="str">
        <f>IFERROR(VLOOKUP(Table4[[#This Row],[Nguyên liệu, vật tư]],TblMap[[Mới (quy định lại)]:[Đơn vị]],2,0),"")</f>
        <v>Kg</v>
      </c>
      <c r="G235" s="1989">
        <v>0.39</v>
      </c>
      <c r="H235"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0.36439892709095345</v>
      </c>
      <c r="I235" s="2028">
        <v>41096</v>
      </c>
      <c r="J235"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2887.2249999999985</v>
      </c>
      <c r="K235"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235"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112777.5</v>
      </c>
    </row>
    <row r="236" spans="1:12" x14ac:dyDescent="0.2">
      <c r="A236" s="1986">
        <f>IF(B236="","",COUNTA($B$3:B236))</f>
        <v>234</v>
      </c>
      <c r="B236" s="1977">
        <v>8</v>
      </c>
      <c r="C236" s="1977" t="s">
        <v>25</v>
      </c>
      <c r="D236" s="1977" t="s">
        <v>119</v>
      </c>
      <c r="E236" s="1987" t="s">
        <v>1192</v>
      </c>
      <c r="F236" s="1977" t="str">
        <f>IFERROR(VLOOKUP(Table4[[#This Row],[Nguyên liệu, vật tư]],TblMap[[Mới (quy định lại)]:[Đơn vị]],2,0),"")</f>
        <v>Kg</v>
      </c>
      <c r="G236" s="1989">
        <v>9.8000000000000004E-2</v>
      </c>
      <c r="H236"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8.3766482019245636E-2</v>
      </c>
      <c r="I236" s="2028">
        <v>5149</v>
      </c>
      <c r="J236"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874.9129999999999</v>
      </c>
      <c r="K236"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236"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61468.5</v>
      </c>
    </row>
    <row r="237" spans="1:12" x14ac:dyDescent="0.2">
      <c r="A237" s="1986">
        <f>IF(B237="","",COUNTA($B$3:B237))</f>
        <v>235</v>
      </c>
      <c r="B237" s="1977">
        <v>8</v>
      </c>
      <c r="C237" s="1977" t="s">
        <v>25</v>
      </c>
      <c r="D237" s="1977" t="s">
        <v>119</v>
      </c>
      <c r="E237" s="1987" t="s">
        <v>1182</v>
      </c>
      <c r="F237" s="1977" t="str">
        <f>IFERROR(VLOOKUP(Table4[[#This Row],[Nguyên liệu, vật tư]],TblMap[[Mới (quy định lại)]:[Đơn vị]],2,0),"")</f>
        <v>Kg</v>
      </c>
      <c r="G237" s="1991">
        <v>0.39</v>
      </c>
      <c r="H237"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0.38748863913457915</v>
      </c>
      <c r="I237" s="2028">
        <v>43700</v>
      </c>
      <c r="J237"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283.2250000000015</v>
      </c>
      <c r="K237"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237"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112777.5</v>
      </c>
    </row>
    <row r="238" spans="1:12" x14ac:dyDescent="0.2">
      <c r="A238" s="1986">
        <f>IF(B238="","",COUNTA($B$3:B238))</f>
        <v>236</v>
      </c>
      <c r="B238" s="1977">
        <v>8</v>
      </c>
      <c r="C238" s="1977" t="s">
        <v>25</v>
      </c>
      <c r="D238" s="1977" t="s">
        <v>119</v>
      </c>
      <c r="E238" s="1987" t="s">
        <v>1194</v>
      </c>
      <c r="F238" s="1977" t="str">
        <f>IFERROR(VLOOKUP(Table4[[#This Row],[Nguyên liệu, vật tư]],TblMap[[Mới (quy định lại)]:[Đơn vị]],2,0),"")</f>
        <v>Kg</v>
      </c>
      <c r="G238" s="1991">
        <v>0.11899999999999999</v>
      </c>
      <c r="H238" s="1991">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0.13496343655693566</v>
      </c>
      <c r="I238" s="2029">
        <v>8296</v>
      </c>
      <c r="J238" s="2402" t="str">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
      </c>
      <c r="K238" s="2402">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981.24849999999969</v>
      </c>
      <c r="L238"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61468.5</v>
      </c>
    </row>
    <row r="239" spans="1:12" x14ac:dyDescent="0.2">
      <c r="A239" s="1986">
        <f>IF(B239="","",COUNTA($B$3:B239))</f>
        <v>237</v>
      </c>
      <c r="B239" s="1977">
        <v>8</v>
      </c>
      <c r="C239" s="1977" t="s">
        <v>25</v>
      </c>
      <c r="D239" s="1977" t="s">
        <v>119</v>
      </c>
      <c r="E239" s="1987" t="s">
        <v>176</v>
      </c>
      <c r="F239" s="1977" t="str">
        <f>IFERROR(VLOOKUP(Table4[[#This Row],[Nguyên liệu, vật tư]],TblMap[[Mới (quy định lại)]:[Đơn vị]],2,0),"")</f>
        <v>Cái</v>
      </c>
      <c r="G239" s="1989">
        <v>0.66900000000000004</v>
      </c>
      <c r="H239"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0.66844002157868765</v>
      </c>
      <c r="I239" s="2028">
        <v>116473</v>
      </c>
      <c r="J239"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97.573999999998776</v>
      </c>
      <c r="K239"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239"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174246</v>
      </c>
    </row>
    <row r="240" spans="1:12" x14ac:dyDescent="0.2">
      <c r="A240" s="1986">
        <f>IF(B240="","",COUNTA($B$3:B240))</f>
        <v>238</v>
      </c>
      <c r="B240" s="1977">
        <v>8</v>
      </c>
      <c r="C240" s="1977" t="s">
        <v>25</v>
      </c>
      <c r="D240" s="1977" t="s">
        <v>119</v>
      </c>
      <c r="E240" s="1987" t="s">
        <v>177</v>
      </c>
      <c r="F240" s="1977" t="str">
        <f>IFERROR(VLOOKUP(Table4[[#This Row],[Nguyên liệu, vật tư]],TblMap[[Mới (quy định lại)]:[Đơn vị]],2,0),"")</f>
        <v>Kg</v>
      </c>
      <c r="G240" s="1989">
        <v>0.02</v>
      </c>
      <c r="H240"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1.7245733044087094E-2</v>
      </c>
      <c r="I240" s="2028">
        <v>3005</v>
      </c>
      <c r="J240"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479.92000000000024</v>
      </c>
      <c r="K240"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240"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174246</v>
      </c>
    </row>
    <row r="241" spans="1:12" x14ac:dyDescent="0.2">
      <c r="A241" s="1986">
        <f>IF(B241="","",COUNTA($B$3:B241))</f>
        <v>239</v>
      </c>
      <c r="B241" s="1977">
        <v>8</v>
      </c>
      <c r="C241" s="1977" t="s">
        <v>25</v>
      </c>
      <c r="D241" s="1977" t="s">
        <v>119</v>
      </c>
      <c r="E241" s="1987" t="s">
        <v>178</v>
      </c>
      <c r="F241" s="1977" t="str">
        <f>IFERROR(VLOOKUP(Table4[[#This Row],[Nguyên liệu, vật tư]],TblMap[[Mới (quy định lại)]:[Đơn vị]],2,0),"")</f>
        <v>Kg</v>
      </c>
      <c r="G241" s="1989">
        <v>2.01E-2</v>
      </c>
      <c r="H241"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1.0330222788471472E-2</v>
      </c>
      <c r="I241" s="2028">
        <v>1800</v>
      </c>
      <c r="J241"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1702.3445999999999</v>
      </c>
      <c r="K241"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241"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174246</v>
      </c>
    </row>
    <row r="242" spans="1:12" x14ac:dyDescent="0.2">
      <c r="A242" s="1986">
        <f>IF(B242="","",COUNTA($B$3:B242))</f>
        <v>240</v>
      </c>
      <c r="B242" s="1977">
        <v>8</v>
      </c>
      <c r="C242" s="1977" t="s">
        <v>25</v>
      </c>
      <c r="D242" s="1977" t="s">
        <v>119</v>
      </c>
      <c r="E242" s="1987" t="s">
        <v>182</v>
      </c>
      <c r="F242" s="1977" t="str">
        <f>IFERROR(VLOOKUP(Table4[[#This Row],[Nguyên liệu, vật tư]],TblMap[[Mới (quy định lại)]:[Đơn vị]],2,0),"")</f>
        <v>Kg</v>
      </c>
      <c r="G242" s="1989">
        <v>1.84</v>
      </c>
      <c r="H242"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1.6918838882958576</v>
      </c>
      <c r="I242" s="2028">
        <v>294804</v>
      </c>
      <c r="J242"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25808.640000000018</v>
      </c>
      <c r="K242"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242"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174246</v>
      </c>
    </row>
    <row r="243" spans="1:12" x14ac:dyDescent="0.2">
      <c r="A243" s="1986">
        <f>IF(B243="","",COUNTA($B$3:B243))</f>
        <v>241</v>
      </c>
      <c r="B243" s="1977">
        <v>8</v>
      </c>
      <c r="C243" s="1977" t="s">
        <v>25</v>
      </c>
      <c r="D243" s="1977" t="s">
        <v>119</v>
      </c>
      <c r="E243" s="1987" t="s">
        <v>183</v>
      </c>
      <c r="F243" s="1977" t="str">
        <f>IFERROR(VLOOKUP(Table4[[#This Row],[Nguyên liệu, vật tư]],TblMap[[Mới (quy định lại)]:[Đơn vị]],2,0),"")</f>
        <v>Cái</v>
      </c>
      <c r="G243" s="1989">
        <v>7.6E-3</v>
      </c>
      <c r="H243"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7.4607164583405071E-3</v>
      </c>
      <c r="I243" s="2028">
        <v>1300</v>
      </c>
      <c r="J243"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24.269600000000001</v>
      </c>
      <c r="K243"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243"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174246</v>
      </c>
    </row>
    <row r="244" spans="1:12" x14ac:dyDescent="0.2">
      <c r="A244" s="3584">
        <f>IF(B244="","",COUNTA($B$3:B283))</f>
        <v>259</v>
      </c>
      <c r="B244" s="1977">
        <v>8</v>
      </c>
      <c r="C244" s="1977" t="s">
        <v>25</v>
      </c>
      <c r="D244" s="1977" t="s">
        <v>119</v>
      </c>
      <c r="E244" s="1987" t="s">
        <v>184</v>
      </c>
      <c r="F244" s="1977" t="str">
        <f>IFERROR(VLOOKUP(Table4[[#This Row],[Nguyên liệu, vật tư]],TblMap[[Mới (quy định lại)]:[Đơn vị]],2,0),"")</f>
        <v>Cái</v>
      </c>
      <c r="G244" s="1989">
        <v>4.2999999999999997E-2</v>
      </c>
      <c r="H244" s="1992">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4.0173088621833497E-2</v>
      </c>
      <c r="I244" s="2030">
        <v>7000</v>
      </c>
      <c r="J244" s="2020">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492.57799999999986</v>
      </c>
      <c r="K244" s="2020"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244" s="2021">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174246</v>
      </c>
    </row>
    <row r="245" spans="1:12" x14ac:dyDescent="0.2">
      <c r="A245" s="1986">
        <f>IF(B245="","",COUNTA($B$3:B245))</f>
        <v>243</v>
      </c>
      <c r="B245" s="1977">
        <v>8</v>
      </c>
      <c r="C245" s="1977" t="s">
        <v>25</v>
      </c>
      <c r="D245" s="1977" t="s">
        <v>119</v>
      </c>
      <c r="E245" s="1987" t="s">
        <v>185</v>
      </c>
      <c r="F245" s="1977" t="str">
        <f>IFERROR(VLOOKUP(Table4[[#This Row],[Nguyên liệu, vật tư]],TblMap[[Mới (quy định lại)]:[Đơn vị]],2,0),"")</f>
        <v>Kg</v>
      </c>
      <c r="G245" s="1989"/>
      <c r="H245"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1.0904124054497664E-2</v>
      </c>
      <c r="I245" s="2028">
        <v>1900</v>
      </c>
      <c r="J245" s="1988" t="str">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
      </c>
      <c r="K245"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245"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174246</v>
      </c>
    </row>
    <row r="246" spans="1:12" x14ac:dyDescent="0.2">
      <c r="A246" s="3589">
        <f>IF(B246="","",COUNTA($B$3:B283))</f>
        <v>259</v>
      </c>
      <c r="B246" s="1977">
        <v>8</v>
      </c>
      <c r="C246" s="1977" t="s">
        <v>25</v>
      </c>
      <c r="D246" s="1977" t="s">
        <v>119</v>
      </c>
      <c r="E246" s="1987" t="s">
        <v>179</v>
      </c>
      <c r="F246" s="1977" t="str">
        <f>IFERROR(VLOOKUP(Table4[[#This Row],[Nguyên liệu, vật tư]],TblMap[[Mới (quy định lại)]:[Đơn vị]],2,0),"")</f>
        <v>Kg</v>
      </c>
      <c r="G246" s="1989">
        <v>0.06</v>
      </c>
      <c r="H246"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2.5825556971178679E-2</v>
      </c>
      <c r="I246" s="2028">
        <v>4500</v>
      </c>
      <c r="J246"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5954.7599999999993</v>
      </c>
      <c r="K246"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246"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174246</v>
      </c>
    </row>
    <row r="247" spans="1:12" x14ac:dyDescent="0.2">
      <c r="A247" s="1986">
        <f>IF(B247="","",COUNTA($B$3:B247))</f>
        <v>245</v>
      </c>
      <c r="B247" s="1977">
        <v>8</v>
      </c>
      <c r="C247" s="1977" t="s">
        <v>25</v>
      </c>
      <c r="D247" s="1977" t="s">
        <v>119</v>
      </c>
      <c r="E247" s="1987" t="s">
        <v>1062</v>
      </c>
      <c r="F247" s="1977" t="str">
        <f>IFERROR(VLOOKUP(Table4[[#This Row],[Nguyên liệu, vật tư]],TblMap[[Mới (quy định lại)]:[Đơn vị]],2,0),"")</f>
        <v>Kg</v>
      </c>
      <c r="G247" s="1989">
        <v>2.0999999999999999E-3</v>
      </c>
      <c r="H247"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2.0086544310916749E-3</v>
      </c>
      <c r="I247" s="2028">
        <v>350</v>
      </c>
      <c r="J247"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15.916600000000001</v>
      </c>
      <c r="K247"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247"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174246</v>
      </c>
    </row>
    <row r="248" spans="1:12" x14ac:dyDescent="0.2">
      <c r="A248" s="1986">
        <f>IF(B248="","",COUNTA($B$3:B248))</f>
        <v>246</v>
      </c>
      <c r="B248" s="1977">
        <v>8</v>
      </c>
      <c r="C248" s="1977" t="s">
        <v>25</v>
      </c>
      <c r="D248" s="1977" t="s">
        <v>116</v>
      </c>
      <c r="E248" s="1987" t="s">
        <v>163</v>
      </c>
      <c r="F248" s="1977" t="str">
        <f>IFERROR(VLOOKUP(Table4[[#This Row],[Nguyên liệu, vật tư]],TblMap[[Mới (quy định lại)]:[Đơn vị]],2,0),"")</f>
        <v>Kg</v>
      </c>
      <c r="G248" s="1989">
        <v>21.01</v>
      </c>
      <c r="H248"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21.033651712650954</v>
      </c>
      <c r="I248" s="2028">
        <v>5687735</v>
      </c>
      <c r="J248" s="1988" t="str">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
      </c>
      <c r="K248" s="1988">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6395.6879999992634</v>
      </c>
      <c r="L248"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270411.2</v>
      </c>
    </row>
    <row r="249" spans="1:12" x14ac:dyDescent="0.2">
      <c r="A249" s="1986">
        <f>IF(B249="","",COUNTA($B$3:B249))</f>
        <v>247</v>
      </c>
      <c r="B249" s="1977">
        <v>8</v>
      </c>
      <c r="C249" s="1977" t="s">
        <v>25</v>
      </c>
      <c r="D249" s="1977" t="s">
        <v>116</v>
      </c>
      <c r="E249" s="1987" t="s">
        <v>1183</v>
      </c>
      <c r="F249" s="1977" t="str">
        <f>IFERROR(VLOOKUP(Table4[[#This Row],[Nguyên liệu, vật tư]],TblMap[[Mới (quy định lại)]:[Đơn vị]],2,0),"")</f>
        <v>Kg</v>
      </c>
      <c r="G249" s="1989">
        <v>0.50700000000000001</v>
      </c>
      <c r="H249"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0.44694746371452071</v>
      </c>
      <c r="I249" s="2028">
        <v>120859.6</v>
      </c>
      <c r="J249"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16238.8784</v>
      </c>
      <c r="K249"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249"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270411.2</v>
      </c>
    </row>
    <row r="250" spans="1:12" x14ac:dyDescent="0.2">
      <c r="A250" s="1986">
        <f>IF(B250="","",COUNTA($B$3:B250))</f>
        <v>248</v>
      </c>
      <c r="B250" s="1977">
        <v>8</v>
      </c>
      <c r="C250" s="1977" t="s">
        <v>25</v>
      </c>
      <c r="D250" s="1977" t="s">
        <v>116</v>
      </c>
      <c r="E250" s="1987" t="s">
        <v>1184</v>
      </c>
      <c r="F250" s="1977" t="str">
        <f>IFERROR(VLOOKUP(Table4[[#This Row],[Nguyên liệu, vật tư]],TblMap[[Mới (quy định lại)]:[Đơn vị]],2,0),"")</f>
        <v>Kg</v>
      </c>
      <c r="G250" s="1989">
        <v>0.47799999999999998</v>
      </c>
      <c r="H250"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0.41384121663599732</v>
      </c>
      <c r="I250" s="2028">
        <v>111907.3</v>
      </c>
      <c r="J250"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17349.253599999996</v>
      </c>
      <c r="K250"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250"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270411.2</v>
      </c>
    </row>
    <row r="251" spans="1:12" x14ac:dyDescent="0.2">
      <c r="A251" s="1986">
        <f>IF(B251="","",COUNTA($B$3:B251))</f>
        <v>249</v>
      </c>
      <c r="B251" s="1977">
        <v>8</v>
      </c>
      <c r="C251" s="1977" t="s">
        <v>25</v>
      </c>
      <c r="D251" s="1977" t="s">
        <v>116</v>
      </c>
      <c r="E251" s="1987" t="s">
        <v>1189</v>
      </c>
      <c r="F251" s="1977" t="str">
        <f>IFERROR(VLOOKUP(Table4[[#This Row],[Nguyên liệu, vật tư]],TblMap[[Mới (quy định lại)]:[Đơn vị]],2,0),"")</f>
        <v>Kg</v>
      </c>
      <c r="G251" s="1989">
        <v>0.35399999999999998</v>
      </c>
      <c r="H251"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c r="I251" s="2028"/>
      <c r="J251"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0</v>
      </c>
      <c r="K251" s="1988">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0</v>
      </c>
      <c r="L251"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row>
    <row r="252" spans="1:12" x14ac:dyDescent="0.2">
      <c r="A252" s="1986">
        <f>IF(B252="","",COUNTA($B$3:B252))</f>
        <v>250</v>
      </c>
      <c r="B252" s="1977">
        <v>8</v>
      </c>
      <c r="C252" s="1977" t="s">
        <v>25</v>
      </c>
      <c r="D252" s="1977" t="s">
        <v>116</v>
      </c>
      <c r="E252" s="1987" t="s">
        <v>1190</v>
      </c>
      <c r="F252" s="1977" t="str">
        <f>IFERROR(VLOOKUP(Table4[[#This Row],[Nguyên liệu, vật tư]],TblMap[[Mới (quy định lại)]:[Đơn vị]],2,0),"")</f>
        <v>Kg</v>
      </c>
      <c r="G252" s="1989">
        <v>0.33200000000000002</v>
      </c>
      <c r="H252"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c r="I252" s="2028"/>
      <c r="J252"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0</v>
      </c>
      <c r="K252" s="1988">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0</v>
      </c>
      <c r="L252"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row>
    <row r="253" spans="1:12" x14ac:dyDescent="0.2">
      <c r="A253" s="1986">
        <f>IF(B253="","",COUNTA($B$3:B253))</f>
        <v>251</v>
      </c>
      <c r="B253" s="1977">
        <v>8</v>
      </c>
      <c r="C253" s="1977" t="s">
        <v>25</v>
      </c>
      <c r="D253" s="1977" t="s">
        <v>116</v>
      </c>
      <c r="E253" s="1987" t="s">
        <v>176</v>
      </c>
      <c r="F253" s="1977" t="str">
        <f>IFERROR(VLOOKUP(Table4[[#This Row],[Nguyên liệu, vật tư]],TblMap[[Mới (quy định lại)]:[Đơn vị]],2,0),"")</f>
        <v>Cái</v>
      </c>
      <c r="G253" s="1989">
        <v>0.627</v>
      </c>
      <c r="H253"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0.62698956256249738</v>
      </c>
      <c r="I253" s="2028">
        <v>169545</v>
      </c>
      <c r="J253"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2.8224000000083409</v>
      </c>
      <c r="K253"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253"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270411.2</v>
      </c>
    </row>
    <row r="254" spans="1:12" x14ac:dyDescent="0.2">
      <c r="A254" s="1986">
        <f>IF(B254="","",COUNTA($B$3:B254))</f>
        <v>252</v>
      </c>
      <c r="B254" s="1977">
        <v>8</v>
      </c>
      <c r="C254" s="1977" t="s">
        <v>25</v>
      </c>
      <c r="D254" s="1977" t="s">
        <v>116</v>
      </c>
      <c r="E254" s="1987" t="s">
        <v>177</v>
      </c>
      <c r="F254" s="1977" t="str">
        <f>IFERROR(VLOOKUP(Table4[[#This Row],[Nguyên liệu, vật tư]],TblMap[[Mới (quy định lại)]:[Đơn vị]],2,0),"")</f>
        <v>Kg</v>
      </c>
      <c r="G254" s="1989">
        <v>2.5000000000000001E-2</v>
      </c>
      <c r="H254"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2.4980474181542776E-2</v>
      </c>
      <c r="I254" s="2028">
        <v>6755</v>
      </c>
      <c r="J254"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5.2800000000003635</v>
      </c>
      <c r="K254"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254"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270411.2</v>
      </c>
    </row>
    <row r="255" spans="1:12" x14ac:dyDescent="0.2">
      <c r="A255" s="1986">
        <f>IF(B255="","",COUNTA($B$3:B255))</f>
        <v>253</v>
      </c>
      <c r="B255" s="1977">
        <v>8</v>
      </c>
      <c r="C255" s="1977" t="s">
        <v>25</v>
      </c>
      <c r="D255" s="1977" t="s">
        <v>116</v>
      </c>
      <c r="E255" s="1987" t="s">
        <v>178</v>
      </c>
      <c r="F255" s="1977" t="str">
        <f>IFERROR(VLOOKUP(Table4[[#This Row],[Nguyên liệu, vật tư]],TblMap[[Mới (quy định lại)]:[Đơn vị]],2,0),"")</f>
        <v>Kg</v>
      </c>
      <c r="G255" s="2057">
        <v>1.09E-2</v>
      </c>
      <c r="H255"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1.081685965670061E-2</v>
      </c>
      <c r="I255" s="2028">
        <v>2925</v>
      </c>
      <c r="J255"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22.48207999999989</v>
      </c>
      <c r="K255"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255"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270411.2</v>
      </c>
    </row>
    <row r="256" spans="1:12" x14ac:dyDescent="0.2">
      <c r="A256" s="1986">
        <f>IF(B256="","",COUNTA($B$3:B256))</f>
        <v>254</v>
      </c>
      <c r="B256" s="1977">
        <v>8</v>
      </c>
      <c r="C256" s="1977" t="s">
        <v>25</v>
      </c>
      <c r="D256" s="1977" t="s">
        <v>116</v>
      </c>
      <c r="E256" s="1987" t="s">
        <v>182</v>
      </c>
      <c r="F256" s="1977" t="str">
        <f>IFERROR(VLOOKUP(Table4[[#This Row],[Nguyên liệu, vật tư]],TblMap[[Mới (quy định lại)]:[Đơn vị]],2,0),"")</f>
        <v>Kg</v>
      </c>
      <c r="G256" s="1989">
        <v>1.79</v>
      </c>
      <c r="H256"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1.6498798866319146</v>
      </c>
      <c r="I256" s="2028">
        <v>446146</v>
      </c>
      <c r="J256"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37890.04800000001</v>
      </c>
      <c r="K256"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256"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270411.2</v>
      </c>
    </row>
    <row r="257" spans="1:12" x14ac:dyDescent="0.2">
      <c r="A257" s="1986">
        <f>IF(B257="","",COUNTA($B$3:B257))</f>
        <v>255</v>
      </c>
      <c r="B257" s="1977">
        <v>8</v>
      </c>
      <c r="C257" s="1977" t="s">
        <v>25</v>
      </c>
      <c r="D257" s="1977" t="s">
        <v>116</v>
      </c>
      <c r="E257" s="1987" t="s">
        <v>183</v>
      </c>
      <c r="F257" s="1977" t="str">
        <f>IFERROR(VLOOKUP(Table4[[#This Row],[Nguyên liệu, vật tư]],TblMap[[Mới (quy định lại)]:[Đơn vị]],2,0),"")</f>
        <v>Cái</v>
      </c>
      <c r="G257" s="2057">
        <v>8.2000000000000007E-3</v>
      </c>
      <c r="H257"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8.1357576905098598E-3</v>
      </c>
      <c r="I257" s="2028">
        <v>2200</v>
      </c>
      <c r="J257"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17.371840000000397</v>
      </c>
      <c r="K257"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257"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270411.2</v>
      </c>
    </row>
    <row r="258" spans="1:12" x14ac:dyDescent="0.2">
      <c r="A258" s="1986">
        <f>IF(B258="","",COUNTA($B$3:B258))</f>
        <v>256</v>
      </c>
      <c r="B258" s="1977">
        <v>8</v>
      </c>
      <c r="C258" s="1977" t="s">
        <v>25</v>
      </c>
      <c r="D258" s="1977" t="s">
        <v>116</v>
      </c>
      <c r="E258" s="1987" t="s">
        <v>184</v>
      </c>
      <c r="F258" s="1977" t="str">
        <f>IFERROR(VLOOKUP(Table4[[#This Row],[Nguyên liệu, vật tư]],TblMap[[Mới (quy định lại)]:[Đơn vị]],2,0),"")</f>
        <v>Cái</v>
      </c>
      <c r="G258" s="1989">
        <v>6.4000000000000001E-2</v>
      </c>
      <c r="H258"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6.3606832853077083E-2</v>
      </c>
      <c r="I258" s="2028">
        <v>17200</v>
      </c>
      <c r="J258"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106.3168000000026</v>
      </c>
      <c r="K258"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258"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270411.2</v>
      </c>
    </row>
    <row r="259" spans="1:12" x14ac:dyDescent="0.2">
      <c r="A259" s="1986">
        <f>IF(B259="","",COUNTA($B$3:B259))</f>
        <v>257</v>
      </c>
      <c r="B259" s="1977">
        <v>8</v>
      </c>
      <c r="C259" s="1977" t="s">
        <v>25</v>
      </c>
      <c r="D259" s="1977" t="s">
        <v>116</v>
      </c>
      <c r="E259" s="1987" t="s">
        <v>185</v>
      </c>
      <c r="F259" s="1977" t="str">
        <f>IFERROR(VLOOKUP(Table4[[#This Row],[Nguyên liệu, vật tư]],TblMap[[Mới (quy định lại)]:[Đơn vị]],2,0),"")</f>
        <v>Kg</v>
      </c>
      <c r="G259" s="1989">
        <v>1.5900000000000001E-2</v>
      </c>
      <c r="H259"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1.627151538101972E-2</v>
      </c>
      <c r="I259" s="2028">
        <v>4400</v>
      </c>
      <c r="J259" s="1988" t="str">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
      </c>
      <c r="K259" s="1988" t="str">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
      </c>
      <c r="L259"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270411.2</v>
      </c>
    </row>
    <row r="260" spans="1:12" x14ac:dyDescent="0.2">
      <c r="A260" s="1986">
        <f>IF(B260="","",COUNTA($B$3:B260))</f>
        <v>258</v>
      </c>
      <c r="B260" s="1977">
        <v>8</v>
      </c>
      <c r="C260" s="1977" t="s">
        <v>25</v>
      </c>
      <c r="D260" s="1977" t="s">
        <v>116</v>
      </c>
      <c r="E260" s="1987" t="s">
        <v>179</v>
      </c>
      <c r="F260" s="1977" t="str">
        <f>IFERROR(VLOOKUP(Table4[[#This Row],[Nguyên liệu, vật tư]],TblMap[[Mới (quy định lại)]:[Đơn vị]],2,0),"")</f>
        <v>Kg</v>
      </c>
      <c r="G260" s="1989">
        <v>4.3999999999999997E-2</v>
      </c>
      <c r="H260"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4.5486281633305127E-2</v>
      </c>
      <c r="I260" s="2028">
        <v>12300</v>
      </c>
      <c r="J260" s="1988" t="str">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
      </c>
      <c r="K260" s="1988">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401.90720000000005</v>
      </c>
      <c r="L260"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270411.2</v>
      </c>
    </row>
    <row r="261" spans="1:12" x14ac:dyDescent="0.2">
      <c r="A261" s="1986">
        <f>IF(B261="","",COUNTA($B$3:B261))</f>
        <v>259</v>
      </c>
      <c r="B261" s="1977">
        <v>8</v>
      </c>
      <c r="C261" s="1982" t="s">
        <v>25</v>
      </c>
      <c r="D261" s="1982" t="s">
        <v>116</v>
      </c>
      <c r="E261" s="1990" t="s">
        <v>1062</v>
      </c>
      <c r="F261" s="1977" t="str">
        <f>IFERROR(VLOOKUP(Table4[[#This Row],[Nguyên liệu, vật tư]],TblMap[[Mới (quy định lại)]:[Đơn vị]],2,0),"")</f>
        <v>Kg</v>
      </c>
      <c r="G261" s="2058">
        <v>2.5999999999999999E-3</v>
      </c>
      <c r="H261"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4.2527824291301542E-3</v>
      </c>
      <c r="I261" s="2028">
        <v>1150</v>
      </c>
      <c r="J261" s="1988" t="str">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
      </c>
      <c r="K261" s="1988">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446.93088</v>
      </c>
      <c r="L261"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270411.2</v>
      </c>
    </row>
    <row r="262" spans="1:12" x14ac:dyDescent="0.2">
      <c r="A262" s="1986" t="str">
        <f>IF(B262="","",COUNTA($B$3:B262))</f>
        <v/>
      </c>
      <c r="B262" s="3585"/>
      <c r="C262" s="1977"/>
      <c r="D262" s="1977"/>
      <c r="E262" s="3586"/>
      <c r="F262" s="1977" t="str">
        <f>IFERROR(VLOOKUP(Table4[[#This Row],[Nguyên liệu, vật tư]],TblMap[[Mới (quy định lại)]:[Đơn vị]],2,0),"")</f>
        <v/>
      </c>
      <c r="G262" s="1989"/>
      <c r="H262"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c r="I262" s="2028"/>
      <c r="J262"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0</v>
      </c>
      <c r="K262" s="1988">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0</v>
      </c>
      <c r="L262"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row>
    <row r="263" spans="1:12" x14ac:dyDescent="0.2">
      <c r="A263" s="1986" t="str">
        <f>IF(B263="","",COUNTA($B$3:B263))</f>
        <v/>
      </c>
      <c r="B263" s="3585"/>
      <c r="C263" s="1977"/>
      <c r="D263" s="1977"/>
      <c r="E263" s="3586"/>
      <c r="F263" s="1977" t="str">
        <f>IFERROR(VLOOKUP(Table4[[#This Row],[Nguyên liệu, vật tư]],TblMap[[Mới (quy định lại)]:[Đơn vị]],2,0),"")</f>
        <v/>
      </c>
      <c r="G263" s="1989"/>
      <c r="H263"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c r="I263" s="2028"/>
      <c r="J263"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0</v>
      </c>
      <c r="K263" s="1988">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0</v>
      </c>
      <c r="L263"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row>
    <row r="264" spans="1:12" x14ac:dyDescent="0.2">
      <c r="A264" s="1986" t="str">
        <f>IF(B264="","",COUNTA($B$3:B264))</f>
        <v/>
      </c>
      <c r="B264" s="3585"/>
      <c r="C264" s="1977"/>
      <c r="D264" s="1977"/>
      <c r="E264" s="3586"/>
      <c r="F264" s="1977" t="str">
        <f>IFERROR(VLOOKUP(Table4[[#This Row],[Nguyên liệu, vật tư]],TblMap[[Mới (quy định lại)]:[Đơn vị]],2,0),"")</f>
        <v/>
      </c>
      <c r="G264" s="1989"/>
      <c r="H264"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c r="I264" s="2028"/>
      <c r="J264"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0</v>
      </c>
      <c r="K264" s="1988">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0</v>
      </c>
      <c r="L264"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row>
    <row r="265" spans="1:12" x14ac:dyDescent="0.2">
      <c r="A265" s="1986" t="str">
        <f>IF(B265="","",COUNTA($B$3:B265))</f>
        <v/>
      </c>
      <c r="B265" s="3585"/>
      <c r="C265" s="1977"/>
      <c r="D265" s="1977"/>
      <c r="E265" s="3586"/>
      <c r="F265" s="1977" t="str">
        <f>IFERROR(VLOOKUP(Table4[[#This Row],[Nguyên liệu, vật tư]],TblMap[[Mới (quy định lại)]:[Đơn vị]],2,0),"")</f>
        <v/>
      </c>
      <c r="G265" s="1989"/>
      <c r="H265"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c r="I265" s="2028"/>
      <c r="J265"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0</v>
      </c>
      <c r="K265" s="1988">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0</v>
      </c>
      <c r="L265"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row>
    <row r="266" spans="1:12" x14ac:dyDescent="0.2">
      <c r="A266" s="1986" t="str">
        <f>IF(B266="","",COUNTA($B$3:B266))</f>
        <v/>
      </c>
      <c r="B266" s="3585"/>
      <c r="C266" s="1977"/>
      <c r="D266" s="1977"/>
      <c r="E266" s="3586"/>
      <c r="F266" s="1977" t="str">
        <f>IFERROR(VLOOKUP(Table4[[#This Row],[Nguyên liệu, vật tư]],TblMap[[Mới (quy định lại)]:[Đơn vị]],2,0),"")</f>
        <v/>
      </c>
      <c r="G266" s="1989"/>
      <c r="H266"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c r="I266" s="2028"/>
      <c r="J266"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0</v>
      </c>
      <c r="K266" s="1988">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0</v>
      </c>
      <c r="L266"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row>
    <row r="267" spans="1:12" x14ac:dyDescent="0.2">
      <c r="A267" s="1986" t="str">
        <f>IF(B267="","",COUNTA($B$3:B267))</f>
        <v/>
      </c>
      <c r="B267" s="3585"/>
      <c r="C267" s="1977"/>
      <c r="D267" s="1977"/>
      <c r="E267" s="3586"/>
      <c r="F267" s="1977" t="str">
        <f>IFERROR(VLOOKUP(Table4[[#This Row],[Nguyên liệu, vật tư]],TblMap[[Mới (quy định lại)]:[Đơn vị]],2,0),"")</f>
        <v/>
      </c>
      <c r="G267" s="1989"/>
      <c r="H267"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c r="I267" s="2028"/>
      <c r="J267"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0</v>
      </c>
      <c r="K267" s="1988">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0</v>
      </c>
      <c r="L267"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row>
    <row r="268" spans="1:12" x14ac:dyDescent="0.2">
      <c r="A268" s="1986" t="str">
        <f>IF(B268="","",COUNTA($B$3:B268))</f>
        <v/>
      </c>
      <c r="B268" s="3585"/>
      <c r="C268" s="1977"/>
      <c r="D268" s="1977"/>
      <c r="E268" s="3586"/>
      <c r="F268" s="1977" t="str">
        <f>IFERROR(VLOOKUP(Table4[[#This Row],[Nguyên liệu, vật tư]],TblMap[[Mới (quy định lại)]:[Đơn vị]],2,0),"")</f>
        <v/>
      </c>
      <c r="G268" s="1989"/>
      <c r="H268"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c r="I268" s="2028"/>
      <c r="J268"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0</v>
      </c>
      <c r="K268" s="1988">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0</v>
      </c>
      <c r="L268"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row>
    <row r="269" spans="1:12" x14ac:dyDescent="0.2">
      <c r="A269" s="1986" t="str">
        <f>IF(B269="","",COUNTA($B$3:B269))</f>
        <v/>
      </c>
      <c r="B269" s="3585"/>
      <c r="C269" s="1977"/>
      <c r="D269" s="1977"/>
      <c r="E269" s="3586"/>
      <c r="F269" s="1977" t="str">
        <f>IFERROR(VLOOKUP(Table4[[#This Row],[Nguyên liệu, vật tư]],TblMap[[Mới (quy định lại)]:[Đơn vị]],2,0),"")</f>
        <v/>
      </c>
      <c r="G269" s="1989"/>
      <c r="H269"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c r="I269" s="2028"/>
      <c r="J269"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0</v>
      </c>
      <c r="K269" s="1988">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0</v>
      </c>
      <c r="L269"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row>
    <row r="270" spans="1:12" x14ac:dyDescent="0.2">
      <c r="A270" s="1986" t="str">
        <f>IF(B270="","",COUNTA($B$3:B270))</f>
        <v/>
      </c>
      <c r="B270" s="3585"/>
      <c r="C270" s="1977"/>
      <c r="D270" s="1977"/>
      <c r="E270" s="3586"/>
      <c r="F270" s="1977" t="str">
        <f>IFERROR(VLOOKUP(Table4[[#This Row],[Nguyên liệu, vật tư]],TblMap[[Mới (quy định lại)]:[Đơn vị]],2,0),"")</f>
        <v/>
      </c>
      <c r="G270" s="1989"/>
      <c r="H270"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c r="I270" s="2028"/>
      <c r="J270"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0</v>
      </c>
      <c r="K270" s="1988">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0</v>
      </c>
      <c r="L270"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row>
    <row r="271" spans="1:12" x14ac:dyDescent="0.2">
      <c r="A271" s="1986" t="str">
        <f>IF(B271="","",COUNTA($B$3:B271))</f>
        <v/>
      </c>
      <c r="B271" s="3585"/>
      <c r="C271" s="1977"/>
      <c r="D271" s="1977"/>
      <c r="E271" s="3586"/>
      <c r="F271" s="1977" t="str">
        <f>IFERROR(VLOOKUP(Table4[[#This Row],[Nguyên liệu, vật tư]],TblMap[[Mới (quy định lại)]:[Đơn vị]],2,0),"")</f>
        <v/>
      </c>
      <c r="G271" s="1989"/>
      <c r="H271"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c r="I271" s="2028"/>
      <c r="J271"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0</v>
      </c>
      <c r="K271" s="1988">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0</v>
      </c>
      <c r="L271"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row>
    <row r="272" spans="1:12" x14ac:dyDescent="0.2">
      <c r="A272" s="1986" t="str">
        <f>IF(B272="","",COUNTA($B$3:B272))</f>
        <v/>
      </c>
      <c r="B272" s="3585"/>
      <c r="C272" s="1977"/>
      <c r="D272" s="1977"/>
      <c r="E272" s="3586"/>
      <c r="F272" s="1977" t="str">
        <f>IFERROR(VLOOKUP(Table4[[#This Row],[Nguyên liệu, vật tư]],TblMap[[Mới (quy định lại)]:[Đơn vị]],2,0),"")</f>
        <v/>
      </c>
      <c r="G272" s="1989"/>
      <c r="H272"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c r="I272" s="2028"/>
      <c r="J272"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0</v>
      </c>
      <c r="K272" s="1988">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0</v>
      </c>
      <c r="L272"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row>
    <row r="273" spans="1:12" x14ac:dyDescent="0.2">
      <c r="A273" s="1986" t="str">
        <f>IF(B273="","",COUNTA($B$3:B273))</f>
        <v/>
      </c>
      <c r="B273" s="3585"/>
      <c r="C273" s="1977"/>
      <c r="D273" s="1977"/>
      <c r="E273" s="3586"/>
      <c r="F273" s="1977" t="str">
        <f>IFERROR(VLOOKUP(Table4[[#This Row],[Nguyên liệu, vật tư]],TblMap[[Mới (quy định lại)]:[Đơn vị]],2,0),"")</f>
        <v/>
      </c>
      <c r="G273" s="1989"/>
      <c r="H273"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c r="I273" s="2028"/>
      <c r="J273"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0</v>
      </c>
      <c r="K273" s="1988">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0</v>
      </c>
      <c r="L273"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row>
    <row r="274" spans="1:12" x14ac:dyDescent="0.2">
      <c r="A274" s="1986" t="str">
        <f>IF(B274="","",COUNTA($B$3:B274))</f>
        <v/>
      </c>
      <c r="B274" s="3585"/>
      <c r="C274" s="1977"/>
      <c r="D274" s="1977"/>
      <c r="E274" s="3586"/>
      <c r="F274" s="1977" t="str">
        <f>IFERROR(VLOOKUP(Table4[[#This Row],[Nguyên liệu, vật tư]],TblMap[[Mới (quy định lại)]:[Đơn vị]],2,0),"")</f>
        <v/>
      </c>
      <c r="G274" s="1989"/>
      <c r="H274"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c r="I274" s="2028"/>
      <c r="J274"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0</v>
      </c>
      <c r="K274" s="1988">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0</v>
      </c>
      <c r="L274"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row>
    <row r="275" spans="1:12" x14ac:dyDescent="0.2">
      <c r="A275" s="1986" t="str">
        <f>IF(B275="","",COUNTA($B$3:B275))</f>
        <v/>
      </c>
      <c r="B275" s="3585"/>
      <c r="C275" s="1977"/>
      <c r="D275" s="1977"/>
      <c r="E275" s="3586"/>
      <c r="F275" s="1977" t="str">
        <f>IFERROR(VLOOKUP(Table4[[#This Row],[Nguyên liệu, vật tư]],TblMap[[Mới (quy định lại)]:[Đơn vị]],2,0),"")</f>
        <v/>
      </c>
      <c r="G275" s="1989"/>
      <c r="H275"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c r="I275" s="2028"/>
      <c r="J275"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0</v>
      </c>
      <c r="K275" s="1988">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0</v>
      </c>
      <c r="L275"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row>
    <row r="276" spans="1:12" x14ac:dyDescent="0.2">
      <c r="A276" s="1986" t="str">
        <f>IF(B276="","",COUNTA($B$3:B276))</f>
        <v/>
      </c>
      <c r="B276" s="3585"/>
      <c r="C276" s="1977"/>
      <c r="D276" s="1977"/>
      <c r="E276" s="3586"/>
      <c r="F276" s="1977" t="str">
        <f>IFERROR(VLOOKUP(Table4[[#This Row],[Nguyên liệu, vật tư]],TblMap[[Mới (quy định lại)]:[Đơn vị]],2,0),"")</f>
        <v/>
      </c>
      <c r="G276" s="1989"/>
      <c r="H276"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c r="I276" s="2028"/>
      <c r="J276"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0</v>
      </c>
      <c r="K276" s="1988">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0</v>
      </c>
      <c r="L276"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row>
    <row r="277" spans="1:12" x14ac:dyDescent="0.2">
      <c r="A277" s="1986" t="str">
        <f>IF(B277="","",COUNTA($B$3:B277))</f>
        <v/>
      </c>
      <c r="B277" s="3585"/>
      <c r="C277" s="1977"/>
      <c r="D277" s="1977"/>
      <c r="E277" s="3586"/>
      <c r="F277" s="1977" t="str">
        <f>IFERROR(VLOOKUP(Table4[[#This Row],[Nguyên liệu, vật tư]],TblMap[[Mới (quy định lại)]:[Đơn vị]],2,0),"")</f>
        <v/>
      </c>
      <c r="G277" s="1989"/>
      <c r="H277"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c r="I277" s="2028"/>
      <c r="J277"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0</v>
      </c>
      <c r="K277" s="1988">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0</v>
      </c>
      <c r="L277"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row>
    <row r="278" spans="1:12" x14ac:dyDescent="0.2">
      <c r="A278" s="1986" t="str">
        <f>IF(B278="","",COUNTA($B$3:B278))</f>
        <v/>
      </c>
      <c r="B278" s="3585"/>
      <c r="C278" s="1977"/>
      <c r="D278" s="1977"/>
      <c r="E278" s="3586"/>
      <c r="F278" s="1977" t="str">
        <f>IFERROR(VLOOKUP(Table4[[#This Row],[Nguyên liệu, vật tư]],TblMap[[Mới (quy định lại)]:[Đơn vị]],2,0),"")</f>
        <v/>
      </c>
      <c r="G278" s="1989"/>
      <c r="H278"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c r="I278" s="2028"/>
      <c r="J278"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0</v>
      </c>
      <c r="K278" s="1988">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0</v>
      </c>
      <c r="L278"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row>
    <row r="279" spans="1:12" x14ac:dyDescent="0.2">
      <c r="A279" s="1986" t="str">
        <f>IF(B279="","",COUNTA($B$3:B279))</f>
        <v/>
      </c>
      <c r="B279" s="3585"/>
      <c r="C279" s="1977"/>
      <c r="D279" s="1977"/>
      <c r="E279" s="3586"/>
      <c r="F279" s="1977" t="str">
        <f>IFERROR(VLOOKUP(Table4[[#This Row],[Nguyên liệu, vật tư]],TblMap[[Mới (quy định lại)]:[Đơn vị]],2,0),"")</f>
        <v/>
      </c>
      <c r="G279" s="1989"/>
      <c r="H279"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c r="I279" s="2028"/>
      <c r="J279"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0</v>
      </c>
      <c r="K279" s="1988">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0</v>
      </c>
      <c r="L279"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row>
    <row r="280" spans="1:12" x14ac:dyDescent="0.2">
      <c r="A280" s="1986" t="str">
        <f>IF(B280="","",COUNTA($B$3:B280))</f>
        <v/>
      </c>
      <c r="B280" s="3585"/>
      <c r="C280" s="1977"/>
      <c r="D280" s="1977"/>
      <c r="E280" s="3586"/>
      <c r="F280" s="1977" t="str">
        <f>IFERROR(VLOOKUP(Table4[[#This Row],[Nguyên liệu, vật tư]],TblMap[[Mới (quy định lại)]:[Đơn vị]],2,0),"")</f>
        <v/>
      </c>
      <c r="G280" s="1989"/>
      <c r="H280"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c r="I280" s="2028"/>
      <c r="J280"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0</v>
      </c>
      <c r="K280" s="1988">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0</v>
      </c>
      <c r="L280"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row>
    <row r="281" spans="1:12" x14ac:dyDescent="0.2">
      <c r="A281" s="1986" t="str">
        <f>IF(B281="","",COUNTA($B$3:B281))</f>
        <v/>
      </c>
      <c r="B281" s="3585"/>
      <c r="C281" s="1977"/>
      <c r="D281" s="1977"/>
      <c r="E281" s="3586"/>
      <c r="F281" s="1977" t="str">
        <f>IFERROR(VLOOKUP(Table4[[#This Row],[Nguyên liệu, vật tư]],TblMap[[Mới (quy định lại)]:[Đơn vị]],2,0),"")</f>
        <v/>
      </c>
      <c r="G281" s="1989"/>
      <c r="H281"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c r="I281" s="2028"/>
      <c r="J281"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0</v>
      </c>
      <c r="K281" s="1988">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0</v>
      </c>
      <c r="L281"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row>
    <row r="282" spans="1:12" x14ac:dyDescent="0.2">
      <c r="A282" s="1986" t="str">
        <f>IF(B282="","",COUNTA($B$3:B282))</f>
        <v/>
      </c>
      <c r="B282" s="3585"/>
      <c r="C282" s="1977"/>
      <c r="D282" s="1977"/>
      <c r="E282" s="3586"/>
      <c r="F282" s="1977" t="str">
        <f>IFERROR(VLOOKUP(Table4[[#This Row],[Nguyên liệu, vật tư]],TblMap[[Mới (quy định lại)]:[Đơn vị]],2,0),"")</f>
        <v/>
      </c>
      <c r="G282" s="1989"/>
      <c r="H282" s="1989">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c r="I282" s="2028"/>
      <c r="J282" s="1988">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0</v>
      </c>
      <c r="K282" s="1988">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0</v>
      </c>
      <c r="L282" s="2017">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row>
    <row r="283" spans="1:12" x14ac:dyDescent="0.2">
      <c r="A283" s="2019" t="str">
        <f>IF(B283="","",COUNTA($B$3:B283))</f>
        <v/>
      </c>
      <c r="B283" s="3587"/>
      <c r="C283" s="1982"/>
      <c r="D283" s="1982"/>
      <c r="E283" s="3588"/>
      <c r="F283" s="1982" t="str">
        <f>IFERROR(VLOOKUP(Table4[[#This Row],[Nguyên liệu, vật tư]],TblMap[[Mới (quy định lại)]:[Đơn vị]],2,0),"")</f>
        <v/>
      </c>
      <c r="G283" s="1992"/>
      <c r="H283" s="1992">
        <f>IFERROR(
  Table4[[#This Row],[Lượng SD]] /
  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c r="I283" s="2030"/>
      <c r="J283" s="2020">
        <f>IF(
  TRIM(Table4[[#This Row],[Nguyên liệu, vật tư]])="Pallet",
  "",
  IFERROR(
    IF(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)&gt;0,
      "",
      -(Table4[[#This Row],[Thực tế]]-Table4[[#This Row],[Định mức tiêu hao]]) *
      SUMIFS(
        Table2[Sản lượng],
        Table2[Men],
          IF(
            AND(
              COUNTIFS('Phụ lục'!$A$3:$A$32,"Matt",'Phụ lục'!$C$3:$C$32,Table4[[#This Row],[Nguyên liệu, vật tư]])&gt;0,
              TRIM(Table4[[#This Row],[Kích thước]])="50x50"
            ),
            "Sugar Sân vườn",
            IF(
              OR(
                COUNTIFS('Phụ lục'!$A$3:$A$32,"Phương Nam",'Phụ lục'!$C$3:$C$32,Table4[[#This Row],[Nguyên liệu, vật tư]])&gt;0,
                COUNTIFS('Phụ lục'!$A$3:$A$32,"Bóng",'Phụ lục'!$C$3:$C$32,Table4[[#This Row],[Nguyên liệu, vật tư]])&gt;0
              ),
              IF(Table4[[#This Row],[DC]]="DC1","Phương Nam","Bóng"),
              IF(
                IFERROR(INDEX('Phụ lục'!$A$3:$A$32, MATCH(Table4[[#This Row],[Nguyên liệu, vật tư]], 'Phụ lục'!$C$3:$C$32,0)),"Chung")&lt;&gt;"Chung",
                IFERROR(INDEX('Phụ lục'!$A$3:$A$32, MATCH(Table4[[#This Row],[Nguyên liệu, vật tư]], 'Phụ lục'!$C$3:$C$32,0)),""),
                "&lt;&gt;"
              )
            )
          ),
        Table2[Tháng], Table4[[#This Row],[Tháng]],
        Table2[Dây chuyền], Table4[[#This Row],[DC]],
        Table2[Kích thước], Table4[[#This Row],[Kích thước]]
      )
    ),
    ""
  )
)</f>
        <v>0</v>
      </c>
      <c r="K283" s="2020">
        <f>IF(
  TRIM(Table4[[#This Row],[Nguyên liệu, vật tư]])="Pallet",
  "",
  IFERROR(
    IF(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&lt; 0,
      "",
      (Table4[[#This Row],[Thực tế]]-Table4[[#This Row],[Định mức tiêu hao]]) *
      SUMIFS(
        Table2[Sản lượng],
        Table2[Men],
          IF(
            AND(
              COUNTIFS('Phụ lục'!$A$3:$A$1000,"Matt",'Phụ lục'!$C$3:$C$1000,Table4[[#This Row],[Nguyên liệu, vật tư]])&gt;0,
              TRIM(Table4[[#This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 'Phụ lục'!$C$3:$C$1000,0)),"Chung")="Chung",
                "&lt;&gt;",
                IFERROR(INDEX('Phụ lục'!$A$3:$A$1000, MATCH(Table4[[#This Row],[Nguyên liệu, vật tư]], 'Phụ lục'!$C$3:$C$1000,0)),"")
              )
            )
          ),
        Table2[Tháng], Table4[[#This Row],[Tháng]],
        Table2[Dây chuyền], Table4[[#This Row],[DC]],
        Table2[Kích thước], Table4[[#This Row],[Kích thước]]
      )
    ),
  "")
)</f>
        <v>0</v>
      </c>
      <c r="L283" s="2021">
        <f>IFERROR(SUMIFS(
    Table2[Sản lượng],
    Table2[Men],
      IF(
        AND(
          COUNTIFS('Phụ lục'!$A$3:$A$1000,"Matt",'Phụ lục'!$C$3:$C$1000,Table4[[#This Row],[Nguyên liệu, vật tư]])&gt;0,
          Table4[[#This Row],[Kích thước]]="50x50"
        ),
        "Sugar Sân vườn",
        IF(
          OR(
            COUNTIFS('Phụ lục'!$A$3:$A$1000,"Phương Nam",'Phụ lục'!$C$3:$C$1000,Table4[[#This Row],[Nguyên liệu, vật tư]])&gt;0,
            COUNTIFS('Phụ lục'!$A$3:$A$1000,"Bóng",'Phụ lục'!$C$3:$C$1000,Table4[[#This Row],[Nguyên liệu, vật tư]])&gt;0
          ),
          IF(Table4[[#This Row],[DC]]="DC1","Phương Nam","Bóng"),
          IF(
            IFERROR(INDEX('Phụ lục'!$A$3:$A$1000,
                          MATCH(Table4[[#This Row],[Nguyên liệu, vật tư]],'Phụ lục'!$C$3:$C$1000,0)),"Chung")="Chung",
            "&lt;&gt;",
            IFERROR(INDEX('Phụ lục'!$A$3:$A$1000,
                          MATCH(Table4[[#This Row],[Nguyên liệu, vật tư]],'Phụ lục'!$C$3:$C$1000,0)),"")
          )
        )
      ),
    Table2[Tháng], Table4[[#This Row],[Tháng]],
    Table2[Dây chuyền], Table4[[#This Row],[DC]],
    Table2[Kích thước], Table4[[#This Row],[Kích thước]]
  ),
0)</f>
        <v>0</v>
      </c>
    </row>
    <row r="493" spans="1:12" s="2403" customFormat="1" x14ac:dyDescent="0.2">
      <c r="A493" s="1725"/>
      <c r="B493" s="1725"/>
      <c r="C493" s="1725"/>
      <c r="D493" s="1725"/>
      <c r="E493" s="1725"/>
      <c r="F493" s="1725"/>
      <c r="G493"/>
      <c r="H493"/>
      <c r="I493"/>
      <c r="J493" s="1725"/>
      <c r="K493" s="1725"/>
      <c r="L493" s="1725"/>
    </row>
  </sheetData>
  <phoneticPr fontId="40" type="noConversion"/>
  <pageMargins left="0.7" right="0.7" top="0.75" bottom="0.75" header="0.3" footer="0.3"/>
  <pageSetup paperSize="9" orientation="portrait" horizontalDpi="0" verticalDpi="0"/>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63DA288F-5C86-4311-AAEB-60EEE8BAFD0A}">
          <x14:formula1>
            <xm:f>'Phụ lục'!$C$3:$C$32</xm:f>
          </x14:formula1>
          <xm:sqref>E3:E283</xm:sqref>
        </x14:dataValidation>
        <x14:dataValidation type="list" allowBlank="1" showInputMessage="1" showErrorMessage="1" xr:uid="{59D98C72-B81B-4997-804E-6B258B766C8B}">
          <x14:formula1>
            <xm:f>'Phụ lục'!$K$3:$K$16</xm:f>
          </x14:formula1>
          <xm:sqref>D3:D283</xm:sqref>
        </x14:dataValidation>
        <x14:dataValidation type="list" allowBlank="1" showInputMessage="1" showErrorMessage="1" xr:uid="{AE8C0A6B-BAC6-4A2A-8FD0-2D5251B9A58F}">
          <x14:formula1>
            <xm:f>'Phụ lục'!$N$3:$N$16</xm:f>
          </x14:formula1>
          <xm:sqref>C3:C283</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7AECB-545F-4973-9055-9EE9357D0A56}">
  <sheetPr codeName="Sheet10"/>
  <dimension ref="A1:T80"/>
  <sheetViews>
    <sheetView topLeftCell="A49" zoomScale="90" zoomScaleNormal="90" workbookViewId="0">
      <selection activeCell="L64" sqref="L64"/>
    </sheetView>
  </sheetViews>
  <sheetFormatPr baseColWidth="10" defaultColWidth="8.83203125" defaultRowHeight="16" x14ac:dyDescent="0.2"/>
  <cols>
    <col min="1" max="1" width="4.6640625" style="2" customWidth="1"/>
    <col min="2" max="2" width="6.1640625" style="1" customWidth="1"/>
    <col min="3" max="3" width="6.83203125" style="476" customWidth="1"/>
    <col min="4" max="4" width="13.83203125" style="476" bestFit="1" customWidth="1"/>
    <col min="5" max="5" width="16" style="476" customWidth="1"/>
    <col min="6" max="6" width="8.5" style="476" customWidth="1"/>
    <col min="7" max="7" width="14" style="2" bestFit="1" customWidth="1"/>
    <col min="8" max="8" width="17" style="476" bestFit="1" customWidth="1"/>
    <col min="9" max="9" width="10.83203125" style="476" customWidth="1"/>
    <col min="10" max="10" width="14.5" style="476" customWidth="1"/>
    <col min="11" max="11" width="8.83203125" style="2" customWidth="1"/>
    <col min="12" max="12" width="11" style="2" customWidth="1"/>
    <col min="13" max="13" width="10.83203125" style="476" customWidth="1"/>
    <col min="14" max="14" width="10.33203125" style="476" customWidth="1"/>
    <col min="15" max="15" width="12.1640625" style="476" customWidth="1"/>
    <col min="16" max="16" width="10.6640625" style="476" customWidth="1"/>
    <col min="17" max="17" width="9.5" style="476" customWidth="1"/>
    <col min="18" max="18" width="9.33203125" style="904" customWidth="1"/>
    <col min="19" max="19" width="9.6640625" style="476" customWidth="1"/>
    <col min="20" max="20" width="24.5" style="476" customWidth="1"/>
    <col min="21" max="16384" width="8.83203125" style="476"/>
  </cols>
  <sheetData>
    <row r="1" spans="1:20" x14ac:dyDescent="0.2">
      <c r="A1" s="2419" t="s">
        <v>1046</v>
      </c>
      <c r="B1" s="2421"/>
      <c r="C1" s="1973"/>
      <c r="D1" s="1973"/>
      <c r="E1" s="1973"/>
      <c r="F1" s="1973"/>
      <c r="G1" s="2419"/>
      <c r="H1" s="1973"/>
      <c r="I1" s="1973"/>
      <c r="J1" s="1974"/>
      <c r="K1" s="2428"/>
      <c r="L1" s="2428"/>
      <c r="M1" s="1974"/>
      <c r="N1" s="1974"/>
      <c r="O1" s="1974"/>
      <c r="P1" s="1974"/>
      <c r="Q1" s="1974"/>
      <c r="R1" s="2411"/>
      <c r="S1" s="1974"/>
      <c r="T1" s="1975"/>
    </row>
    <row r="2" spans="1:20" s="1" customFormat="1" ht="34" customHeight="1" x14ac:dyDescent="0.2">
      <c r="A2" s="2407" t="s">
        <v>39</v>
      </c>
      <c r="B2" s="2407" t="s">
        <v>1010</v>
      </c>
      <c r="C2" s="2407" t="s">
        <v>34</v>
      </c>
      <c r="D2" s="2407" t="s">
        <v>6</v>
      </c>
      <c r="E2" s="2407" t="s">
        <v>1033</v>
      </c>
      <c r="F2" s="2407" t="s">
        <v>1051</v>
      </c>
      <c r="G2" s="2407" t="s">
        <v>1053</v>
      </c>
      <c r="H2" s="2407" t="s">
        <v>1034</v>
      </c>
      <c r="I2" s="2407" t="s">
        <v>48</v>
      </c>
      <c r="J2" s="2407" t="s">
        <v>1038</v>
      </c>
      <c r="K2" s="2407" t="s">
        <v>1039</v>
      </c>
      <c r="L2" s="2407" t="s">
        <v>42</v>
      </c>
      <c r="M2" s="2407" t="s">
        <v>43</v>
      </c>
      <c r="N2" s="2407" t="s">
        <v>44</v>
      </c>
      <c r="O2" s="2407" t="s">
        <v>1041</v>
      </c>
      <c r="P2" s="2407" t="s">
        <v>1042</v>
      </c>
      <c r="Q2" s="2408" t="s">
        <v>45</v>
      </c>
      <c r="R2" s="2412" t="s">
        <v>46</v>
      </c>
      <c r="S2" s="2408" t="s">
        <v>1040</v>
      </c>
      <c r="T2" s="2407" t="s">
        <v>47</v>
      </c>
    </row>
    <row r="3" spans="1:20" s="1" customFormat="1" ht="34" customHeight="1" x14ac:dyDescent="0.2">
      <c r="A3" s="1517">
        <f>IF(B3="","",COUNTA($B$3:B3))</f>
        <v>1</v>
      </c>
      <c r="B3" s="12">
        <v>1</v>
      </c>
      <c r="C3" s="321" t="s">
        <v>5</v>
      </c>
      <c r="D3" s="321" t="s">
        <v>115</v>
      </c>
      <c r="E3" s="321" t="s">
        <v>1050</v>
      </c>
      <c r="F3" s="321" t="s">
        <v>1054</v>
      </c>
      <c r="G3" s="12" t="s">
        <v>1354</v>
      </c>
      <c r="H3" s="321" t="s">
        <v>1036</v>
      </c>
      <c r="I3" s="853">
        <v>7276</v>
      </c>
      <c r="J3" s="2424">
        <v>0.24099999999999999</v>
      </c>
      <c r="K3" s="2424">
        <v>5.3999999999999999E-2</v>
      </c>
      <c r="L3" s="14">
        <v>53225</v>
      </c>
      <c r="M3" s="853">
        <v>19535</v>
      </c>
      <c r="N3" s="2410">
        <f>IFERROR(Table3[[#This Row],[KL Lĩnh ]]/Table3[[#This Row],[Sản lượng]],"")</f>
        <v>2.7245968773995393</v>
      </c>
      <c r="O3" s="853">
        <v>10961</v>
      </c>
      <c r="P3" s="2409">
        <f>Table3[[#This Row],[Xuất cám]]/(Table3[[#This Row],[Xuất cám]]+Table3[[#This Row],[KL Lĩnh ]])</f>
        <v>0.17076932664443958</v>
      </c>
      <c r="Q3" s="2410">
        <f>IFERROR((Table3[[#This Row],[Xuất cám]]+Table3[[#This Row],[KL Lĩnh ]])/Table3[[#This Row],[Sản lượng]],"")</f>
        <v>3.2856923470693626</v>
      </c>
      <c r="R3" s="2398">
        <v>0</v>
      </c>
      <c r="S3" s="2410">
        <f>IFERROR((Table3[[#This Row],[Lĩnh bù]]+Table3[[#This Row],[Xuất cám]]+Table3[[#This Row],[KL Lĩnh ]])/Table3[[#This Row],[Sản lượng]],"")</f>
        <v>3.2856923470693626</v>
      </c>
      <c r="T3" s="2406" t="s">
        <v>1355</v>
      </c>
    </row>
    <row r="4" spans="1:20" s="1" customFormat="1" ht="34" customHeight="1" x14ac:dyDescent="0.2">
      <c r="A4" s="1517">
        <f>IF(B4="","",COUNTA($B$3:B4))</f>
        <v>2</v>
      </c>
      <c r="B4" s="12">
        <v>1</v>
      </c>
      <c r="C4" s="321" t="s">
        <v>5</v>
      </c>
      <c r="D4" s="321" t="s">
        <v>115</v>
      </c>
      <c r="E4" s="321" t="s">
        <v>1050</v>
      </c>
      <c r="F4" s="321" t="s">
        <v>1198</v>
      </c>
      <c r="G4" s="318">
        <v>46021</v>
      </c>
      <c r="H4" s="321" t="s">
        <v>1036</v>
      </c>
      <c r="I4" s="853">
        <v>7311</v>
      </c>
      <c r="J4" s="2424">
        <v>0.1195</v>
      </c>
      <c r="K4" s="2424">
        <v>6.4799999999999996E-2</v>
      </c>
      <c r="L4" s="14">
        <v>53225</v>
      </c>
      <c r="M4" s="853">
        <v>19535</v>
      </c>
      <c r="N4" s="2410">
        <f>IFERROR(Table3[[#This Row],[KL Lĩnh ]]/Table3[[#This Row],[Sản lượng]],"")</f>
        <v>2.7245968773995393</v>
      </c>
      <c r="O4" s="853">
        <v>10961</v>
      </c>
      <c r="P4" s="2409">
        <f>Table3[[#This Row],[Xuất cám]]/(Table3[[#This Row],[Xuất cám]]+Table3[[#This Row],[KL Lĩnh ]])</f>
        <v>0.17076932664443958</v>
      </c>
      <c r="Q4" s="2410">
        <f>IFERROR((Table3[[#This Row],[Xuất cám]]+Table3[[#This Row],[KL Lĩnh ]])/Table3[[#This Row],[Sản lượng]],"")</f>
        <v>3.2856923470693626</v>
      </c>
      <c r="R4" s="2398">
        <v>2614</v>
      </c>
      <c r="S4" s="2410">
        <f>IFERROR((Table3[[#This Row],[Lĩnh bù]]+Table3[[#This Row],[Xuất cám]]+Table3[[#This Row],[KL Lĩnh ]])/Table3[[#This Row],[Sản lượng]],"")</f>
        <v>3.4195034553365753</v>
      </c>
      <c r="T4" s="2406" t="s">
        <v>1355</v>
      </c>
    </row>
    <row r="5" spans="1:20" s="1" customFormat="1" ht="34" customHeight="1" x14ac:dyDescent="0.2">
      <c r="A5" s="1517">
        <f>IF(B5="","",COUNTA($B$3:B5))</f>
        <v>3</v>
      </c>
      <c r="B5" s="12">
        <v>1</v>
      </c>
      <c r="C5" s="321" t="s">
        <v>5</v>
      </c>
      <c r="D5" s="321" t="s">
        <v>115</v>
      </c>
      <c r="E5" s="321" t="s">
        <v>1049</v>
      </c>
      <c r="F5" s="321" t="s">
        <v>1055</v>
      </c>
      <c r="G5" s="57" t="s">
        <v>1356</v>
      </c>
      <c r="H5" s="321" t="s">
        <v>1036</v>
      </c>
      <c r="I5" s="853">
        <v>7581</v>
      </c>
      <c r="J5" s="2424">
        <v>0.2</v>
      </c>
      <c r="K5" s="2424">
        <v>2.7E-2</v>
      </c>
      <c r="L5" s="14">
        <v>228315</v>
      </c>
      <c r="M5" s="853">
        <v>86681</v>
      </c>
      <c r="N5" s="2410">
        <f>IFERROR(Table3[[#This Row],[KL Lĩnh ]]/Table3[[#This Row],[Sản lượng]],"")</f>
        <v>2.6339682283314683</v>
      </c>
      <c r="O5" s="853">
        <v>41836</v>
      </c>
      <c r="P5" s="2409">
        <f>Table3[[#This Row],[Xuất cám]]/(Table3[[#This Row],[Xuất cám]]+Table3[[#This Row],[KL Lĩnh ]])</f>
        <v>0.15486154039777755</v>
      </c>
      <c r="Q5" s="2410">
        <f>IFERROR((Table3[[#This Row],[Xuất cám]]+Table3[[#This Row],[KL Lĩnh ]])/Table3[[#This Row],[Sản lượng]],"")</f>
        <v>3.1166114834854235</v>
      </c>
      <c r="R5" s="2398">
        <v>0</v>
      </c>
      <c r="S5" s="2410">
        <f>IFERROR((Table3[[#This Row],[Lĩnh bù]]+Table3[[#This Row],[Xuất cám]]+Table3[[#This Row],[KL Lĩnh ]])/Table3[[#This Row],[Sản lượng]],"")</f>
        <v>3.1166114834854235</v>
      </c>
      <c r="T5" s="2406" t="s">
        <v>1357</v>
      </c>
    </row>
    <row r="6" spans="1:20" s="1" customFormat="1" ht="34" customHeight="1" x14ac:dyDescent="0.2">
      <c r="A6" s="1517">
        <f>IF(B6="","",COUNTA($B$3:B6))</f>
        <v>4</v>
      </c>
      <c r="B6" s="12">
        <v>1</v>
      </c>
      <c r="C6" s="321" t="s">
        <v>25</v>
      </c>
      <c r="D6" s="321" t="s">
        <v>116</v>
      </c>
      <c r="E6" s="321" t="s">
        <v>1050</v>
      </c>
      <c r="F6" s="321" t="s">
        <v>1054</v>
      </c>
      <c r="G6" s="12" t="s">
        <v>1354</v>
      </c>
      <c r="H6" s="321" t="s">
        <v>1036</v>
      </c>
      <c r="I6" s="853">
        <v>7276</v>
      </c>
      <c r="J6" s="2424">
        <v>0.24099999999999999</v>
      </c>
      <c r="K6" s="2424">
        <v>5.3999999999999999E-2</v>
      </c>
      <c r="L6" s="2414">
        <v>54498</v>
      </c>
      <c r="M6" s="2415">
        <v>18305</v>
      </c>
      <c r="N6" s="2410">
        <f>IFERROR(Table3[[#This Row],[KL Lĩnh ]]/Table3[[#This Row],[Sản lượng]],"")</f>
        <v>2.9772193389784212</v>
      </c>
      <c r="O6" s="2415">
        <v>11224</v>
      </c>
      <c r="P6" s="2409">
        <f>Table3[[#This Row],[Xuất cám]]/(Table3[[#This Row],[Xuất cám]]+Table3[[#This Row],[KL Lĩnh ]])</f>
        <v>0.17077995191868781</v>
      </c>
      <c r="Q6" s="2410">
        <f>IFERROR((Table3[[#This Row],[Xuất cám]]+Table3[[#This Row],[KL Lĩnh ]])/Table3[[#This Row],[Sản lượng]],"")</f>
        <v>3.5903851406719474</v>
      </c>
      <c r="R6" s="2415">
        <v>0</v>
      </c>
      <c r="S6" s="2410">
        <f>IFERROR((Table3[[#This Row],[Lĩnh bù]]+Table3[[#This Row],[Xuất cám]]+Table3[[#This Row],[KL Lĩnh ]])/Table3[[#This Row],[Sản lượng]],"")</f>
        <v>3.5903851406719474</v>
      </c>
      <c r="T6" s="2406" t="s">
        <v>1355</v>
      </c>
    </row>
    <row r="7" spans="1:20" s="1" customFormat="1" ht="34" customHeight="1" x14ac:dyDescent="0.2">
      <c r="A7" s="1517">
        <f>IF(B7="","",COUNTA($B$3:B7))</f>
        <v>5</v>
      </c>
      <c r="B7" s="12">
        <v>1</v>
      </c>
      <c r="C7" s="321" t="s">
        <v>25</v>
      </c>
      <c r="D7" s="321" t="s">
        <v>116</v>
      </c>
      <c r="E7" s="321" t="s">
        <v>1050</v>
      </c>
      <c r="F7" s="321" t="s">
        <v>1198</v>
      </c>
      <c r="G7" s="318">
        <v>46021</v>
      </c>
      <c r="H7" s="321" t="s">
        <v>1036</v>
      </c>
      <c r="I7" s="853">
        <v>7311</v>
      </c>
      <c r="J7" s="2424">
        <v>0.1195</v>
      </c>
      <c r="K7" s="2424">
        <v>6.4799999999999996E-2</v>
      </c>
      <c r="L7" s="2414">
        <v>54499</v>
      </c>
      <c r="M7" s="2416">
        <v>18305</v>
      </c>
      <c r="N7" s="2410">
        <f>IFERROR(Table3[[#This Row],[KL Lĩnh ]]/Table3[[#This Row],[Sản lượng]],"")</f>
        <v>2.9772739688609668</v>
      </c>
      <c r="O7" s="2415">
        <v>11224</v>
      </c>
      <c r="P7" s="2409">
        <f>Table3[[#This Row],[Xuất cám]]/(Table3[[#This Row],[Xuất cám]]+Table3[[#This Row],[KL Lĩnh ]])</f>
        <v>0.17077735343791367</v>
      </c>
      <c r="Q7" s="2410">
        <f>IFERROR((Table3[[#This Row],[Xuất cám]]+Table3[[#This Row],[KL Lĩnh ]])/Table3[[#This Row],[Sản lượng]],"")</f>
        <v>3.5904397705544935</v>
      </c>
      <c r="R7" s="2415">
        <v>2676</v>
      </c>
      <c r="S7" s="2410">
        <f>IFERROR((Table3[[#This Row],[Lĩnh bù]]+Table3[[#This Row],[Xuất cám]]+Table3[[#This Row],[KL Lĩnh ]])/Table3[[#This Row],[Sản lượng]],"")</f>
        <v>3.7366293362469269</v>
      </c>
      <c r="T7" s="2406" t="s">
        <v>1355</v>
      </c>
    </row>
    <row r="8" spans="1:20" s="1" customFormat="1" ht="34" customHeight="1" x14ac:dyDescent="0.2">
      <c r="A8" s="1517">
        <f>IF(B8="","",COUNTA($B$3:B8))</f>
        <v>6</v>
      </c>
      <c r="B8" s="12">
        <v>1</v>
      </c>
      <c r="C8" s="321" t="s">
        <v>25</v>
      </c>
      <c r="D8" s="321" t="s">
        <v>116</v>
      </c>
      <c r="E8" s="321" t="s">
        <v>1049</v>
      </c>
      <c r="F8" s="321" t="s">
        <v>1055</v>
      </c>
      <c r="G8" s="57" t="s">
        <v>1356</v>
      </c>
      <c r="H8" s="321" t="s">
        <v>1036</v>
      </c>
      <c r="I8" s="853">
        <v>7581</v>
      </c>
      <c r="J8" s="2424">
        <v>0.2</v>
      </c>
      <c r="K8" s="2424">
        <v>2.7E-2</v>
      </c>
      <c r="L8" s="2414">
        <v>508829</v>
      </c>
      <c r="M8" s="2416">
        <v>183329</v>
      </c>
      <c r="N8" s="2410">
        <f>IFERROR(Table3[[#This Row],[KL Lĩnh ]]/Table3[[#This Row],[Sản lượng]],"")</f>
        <v>2.775496511735732</v>
      </c>
      <c r="O8" s="2415">
        <v>93237</v>
      </c>
      <c r="P8" s="2409">
        <f>Table3[[#This Row],[Xuất cám]]/(Table3[[#This Row],[Xuất cám]]+Table3[[#This Row],[KL Lĩnh ]])</f>
        <v>0.15486175934199906</v>
      </c>
      <c r="Q8" s="2410">
        <f>IFERROR((Table3[[#This Row],[Xuất cám]]+Table3[[#This Row],[KL Lĩnh ]])/Table3[[#This Row],[Sản lượng]],"")</f>
        <v>3.284073987203334</v>
      </c>
      <c r="R8" s="2415">
        <v>0</v>
      </c>
      <c r="S8" s="2410">
        <f>IFERROR((Table3[[#This Row],[Lĩnh bù]]+Table3[[#This Row],[Xuất cám]]+Table3[[#This Row],[KL Lĩnh ]])/Table3[[#This Row],[Sản lượng]],"")</f>
        <v>3.284073987203334</v>
      </c>
      <c r="T8" s="2406" t="s">
        <v>1357</v>
      </c>
    </row>
    <row r="9" spans="1:20" s="1" customFormat="1" ht="34" customHeight="1" x14ac:dyDescent="0.2">
      <c r="A9" s="1517">
        <f>IF(B9="","",COUNTA($B$3:B9))</f>
        <v>7</v>
      </c>
      <c r="B9" s="12">
        <v>3</v>
      </c>
      <c r="C9" s="321" t="s">
        <v>5</v>
      </c>
      <c r="D9" s="321" t="s">
        <v>115</v>
      </c>
      <c r="E9" s="321" t="s">
        <v>1049</v>
      </c>
      <c r="F9" s="321" t="s">
        <v>1358</v>
      </c>
      <c r="G9" s="57" t="s">
        <v>1359</v>
      </c>
      <c r="H9" s="321" t="s">
        <v>1035</v>
      </c>
      <c r="I9" s="853">
        <v>7581</v>
      </c>
      <c r="J9" s="2424">
        <v>0.2</v>
      </c>
      <c r="K9" s="2424">
        <v>2.7E-2</v>
      </c>
      <c r="L9" s="2420">
        <v>23490</v>
      </c>
      <c r="M9" s="853"/>
      <c r="N9" s="2410" t="str">
        <f>IFERROR(Table3[[#This Row],[KL Lĩnh ]]/Table3[[#This Row],[Sản lượng]],"")</f>
        <v/>
      </c>
      <c r="O9" s="853">
        <v>4732</v>
      </c>
      <c r="P9" s="2409">
        <f>Table3[[#This Row],[Xuất cám]]/(Table3[[#This Row],[Xuất cám]]+Table3[[#This Row],[KL Lĩnh ]])</f>
        <v>0.16767061157961874</v>
      </c>
      <c r="Q9" s="2410" t="str">
        <f>IFERROR((Table3[[#This Row],[Xuất cám]]+Table3[[#This Row],[KL Lĩnh ]])/Table3[[#This Row],[Sản lượng]],"")</f>
        <v/>
      </c>
      <c r="R9" s="2398"/>
      <c r="S9" s="2410" t="str">
        <f>IFERROR((Table3[[#This Row],[Lĩnh bù]]+Table3[[#This Row],[Xuất cám]]+Table3[[#This Row],[KL Lĩnh ]])/Table3[[#This Row],[Sản lượng]],"")</f>
        <v/>
      </c>
      <c r="T9" s="321"/>
    </row>
    <row r="10" spans="1:20" s="1" customFormat="1" ht="34" customHeight="1" x14ac:dyDescent="0.2">
      <c r="A10" s="1517">
        <f>IF(B10="","",COUNTA($B$3:B10))</f>
        <v>8</v>
      </c>
      <c r="B10" s="12">
        <v>3</v>
      </c>
      <c r="C10" s="321" t="s">
        <v>5</v>
      </c>
      <c r="D10" s="321" t="s">
        <v>115</v>
      </c>
      <c r="E10" s="321" t="s">
        <v>1049</v>
      </c>
      <c r="F10" s="1014" t="s">
        <v>1360</v>
      </c>
      <c r="G10" s="12" t="s">
        <v>1367</v>
      </c>
      <c r="H10" s="321" t="s">
        <v>1035</v>
      </c>
      <c r="I10" s="853">
        <v>7415</v>
      </c>
      <c r="J10" s="2424">
        <v>0.115</v>
      </c>
      <c r="K10" s="2424">
        <v>2.4799999999999999E-2</v>
      </c>
      <c r="L10" s="14">
        <v>35591</v>
      </c>
      <c r="M10" s="853"/>
      <c r="N10" s="2410" t="str">
        <f>IFERROR(Table3[[#This Row],[KL Lĩnh ]]/Table3[[#This Row],[Sản lượng]],"")</f>
        <v/>
      </c>
      <c r="O10" s="853">
        <v>4095</v>
      </c>
      <c r="P10" s="2409">
        <f>Table3[[#This Row],[Xuất cám]]/(Table3[[#This Row],[Xuất cám]]+Table3[[#This Row],[KL Lĩnh ]])</f>
        <v>0.10318500226780225</v>
      </c>
      <c r="Q10" s="2410" t="str">
        <f>IFERROR((Table3[[#This Row],[Xuất cám]]+Table3[[#This Row],[KL Lĩnh ]])/Table3[[#This Row],[Sản lượng]],"")</f>
        <v/>
      </c>
      <c r="R10" s="2398"/>
      <c r="S10" s="2410" t="str">
        <f>IFERROR((Table3[[#This Row],[Lĩnh bù]]+Table3[[#This Row],[Xuất cám]]+Table3[[#This Row],[KL Lĩnh ]])/Table3[[#This Row],[Sản lượng]],"")</f>
        <v/>
      </c>
      <c r="T10" s="321"/>
    </row>
    <row r="11" spans="1:20" s="1" customFormat="1" ht="34" customHeight="1" x14ac:dyDescent="0.2">
      <c r="A11" s="1517">
        <f>IF(B11="","",COUNTA($B$3:B11))</f>
        <v>9</v>
      </c>
      <c r="B11" s="12">
        <v>3</v>
      </c>
      <c r="C11" s="321" t="s">
        <v>5</v>
      </c>
      <c r="D11" s="321" t="s">
        <v>115</v>
      </c>
      <c r="E11" s="321" t="s">
        <v>1049</v>
      </c>
      <c r="F11" s="1014" t="s">
        <v>1360</v>
      </c>
      <c r="G11" s="12" t="s">
        <v>1367</v>
      </c>
      <c r="H11" s="321" t="s">
        <v>1036</v>
      </c>
      <c r="I11" s="853">
        <v>7415</v>
      </c>
      <c r="J11" s="2424">
        <v>0.115</v>
      </c>
      <c r="K11" s="2424">
        <v>2.4799999999999999E-2</v>
      </c>
      <c r="L11" s="14">
        <v>865300</v>
      </c>
      <c r="M11" s="853">
        <v>336286</v>
      </c>
      <c r="N11" s="2410">
        <f>IFERROR(Table3[[#This Row],[KL Lĩnh ]]/Table3[[#This Row],[Sản lượng]],"")</f>
        <v>2.5731074145221626</v>
      </c>
      <c r="O11" s="853">
        <v>100859</v>
      </c>
      <c r="P11" s="2409">
        <f>Table3[[#This Row],[Xuất cám]]/(Table3[[#This Row],[Xuất cám]]+Table3[[#This Row],[KL Lĩnh ]])</f>
        <v>0.10439172020340337</v>
      </c>
      <c r="Q11" s="2410">
        <f>IFERROR((Table3[[#This Row],[Xuất cám]]+Table3[[#This Row],[KL Lĩnh ]])/Table3[[#This Row],[Sản lượng]],"")</f>
        <v>2.8730277204522343</v>
      </c>
      <c r="R11" s="2398">
        <v>0</v>
      </c>
      <c r="S11" s="2410">
        <f>IFERROR((Table3[[#This Row],[Lĩnh bù]]+Table3[[#This Row],[Xuất cám]]+Table3[[#This Row],[KL Lĩnh ]])/Table3[[#This Row],[Sản lượng]],"")</f>
        <v>2.8730277204522343</v>
      </c>
      <c r="T11" s="2406" t="s">
        <v>1361</v>
      </c>
    </row>
    <row r="12" spans="1:20" s="1" customFormat="1" ht="34" customHeight="1" x14ac:dyDescent="0.2">
      <c r="A12" s="1517">
        <f>IF(B12="","",COUNTA($B$3:B12))</f>
        <v>10</v>
      </c>
      <c r="B12" s="12">
        <v>3</v>
      </c>
      <c r="C12" s="321" t="s">
        <v>25</v>
      </c>
      <c r="D12" s="321" t="s">
        <v>119</v>
      </c>
      <c r="E12" s="321" t="s">
        <v>1049</v>
      </c>
      <c r="F12" s="321" t="s">
        <v>1358</v>
      </c>
      <c r="G12" s="57" t="s">
        <v>1359</v>
      </c>
      <c r="H12" s="321" t="s">
        <v>1035</v>
      </c>
      <c r="I12" s="853">
        <v>7581</v>
      </c>
      <c r="J12" s="2424">
        <v>0.2</v>
      </c>
      <c r="K12" s="2424">
        <v>2.7E-2</v>
      </c>
      <c r="L12" s="14">
        <v>67877</v>
      </c>
      <c r="M12" s="853"/>
      <c r="N12" s="2410" t="str">
        <f>IFERROR(Table3[[#This Row],[KL Lĩnh ]]/Table3[[#This Row],[Sản lượng]],"")</f>
        <v/>
      </c>
      <c r="O12" s="2423">
        <v>13676</v>
      </c>
      <c r="P12" s="2409">
        <f>Table3[[#This Row],[Xuất cám]]/(Table3[[#This Row],[Xuất cám]]+Table3[[#This Row],[KL Lĩnh ]])</f>
        <v>0.16769462803330348</v>
      </c>
      <c r="Q12" s="2410" t="str">
        <f>IFERROR((Table3[[#This Row],[Xuất cám]]+Table3[[#This Row],[KL Lĩnh ]])/Table3[[#This Row],[Sản lượng]],"")</f>
        <v/>
      </c>
      <c r="R12" s="2398"/>
      <c r="S12" s="2410" t="str">
        <f>IFERROR((Table3[[#This Row],[Lĩnh bù]]+Table3[[#This Row],[Xuất cám]]+Table3[[#This Row],[KL Lĩnh ]])/Table3[[#This Row],[Sản lượng]],"")</f>
        <v/>
      </c>
      <c r="T12" s="321"/>
    </row>
    <row r="13" spans="1:20" s="1" customFormat="1" ht="34" customHeight="1" x14ac:dyDescent="0.2">
      <c r="A13" s="1517">
        <f>IF(B13="","",COUNTA($B$3:B13))</f>
        <v>11</v>
      </c>
      <c r="B13" s="12">
        <v>3</v>
      </c>
      <c r="C13" s="321" t="s">
        <v>25</v>
      </c>
      <c r="D13" s="321" t="s">
        <v>119</v>
      </c>
      <c r="E13" s="321" t="s">
        <v>1049</v>
      </c>
      <c r="F13" s="321" t="s">
        <v>1358</v>
      </c>
      <c r="G13" s="57" t="s">
        <v>1359</v>
      </c>
      <c r="H13" s="321" t="s">
        <v>1036</v>
      </c>
      <c r="I13" s="853">
        <v>7581</v>
      </c>
      <c r="J13" s="2424">
        <v>0.2</v>
      </c>
      <c r="K13" s="2424">
        <v>2.7E-2</v>
      </c>
      <c r="L13" s="14">
        <v>109852</v>
      </c>
      <c r="M13" s="853">
        <v>60769</v>
      </c>
      <c r="N13" s="2410">
        <f>IFERROR(Table3[[#This Row],[KL Lĩnh ]]/Table3[[#This Row],[Sản lượng]],"")</f>
        <v>1.8076980039164705</v>
      </c>
      <c r="O13" s="853">
        <v>22133</v>
      </c>
      <c r="P13" s="2409">
        <f>Table3[[#This Row],[Xuất cám]]/(Table3[[#This Row],[Xuất cám]]+Table3[[#This Row],[KL Lĩnh ]])</f>
        <v>0.16769329848088799</v>
      </c>
      <c r="Q13" s="2410">
        <f>IFERROR((Table3[[#This Row],[Xuất cám]]+Table3[[#This Row],[KL Lĩnh ]])/Table3[[#This Row],[Sản lượng]],"")</f>
        <v>2.1719133110632067</v>
      </c>
      <c r="R13" s="2398"/>
      <c r="S13" s="2410">
        <f>IFERROR((Table3[[#This Row],[Lĩnh bù]]+Table3[[#This Row],[Xuất cám]]+Table3[[#This Row],[KL Lĩnh ]])/Table3[[#This Row],[Sản lượng]],"")</f>
        <v>2.1719133110632067</v>
      </c>
      <c r="T13" s="2406" t="s">
        <v>1362</v>
      </c>
    </row>
    <row r="14" spans="1:20" s="1" customFormat="1" ht="34" customHeight="1" x14ac:dyDescent="0.2">
      <c r="A14" s="1517">
        <f>IF(B14="","",COUNTA($B$3:B14))</f>
        <v>12</v>
      </c>
      <c r="B14" s="12">
        <v>3</v>
      </c>
      <c r="C14" s="321" t="s">
        <v>25</v>
      </c>
      <c r="D14" s="321" t="s">
        <v>119</v>
      </c>
      <c r="E14" s="321" t="s">
        <v>1049</v>
      </c>
      <c r="F14" s="1014" t="s">
        <v>1360</v>
      </c>
      <c r="G14" s="12" t="s">
        <v>1367</v>
      </c>
      <c r="H14" s="321" t="s">
        <v>1036</v>
      </c>
      <c r="I14" s="853">
        <v>7415</v>
      </c>
      <c r="J14" s="2424">
        <v>0.115</v>
      </c>
      <c r="K14" s="2424">
        <v>2.4799999999999999E-2</v>
      </c>
      <c r="L14" s="14">
        <v>621560</v>
      </c>
      <c r="M14" s="853">
        <v>354969</v>
      </c>
      <c r="N14" s="2410">
        <f>IFERROR(Table3[[#This Row],[KL Lĩnh ]]/Table3[[#This Row],[Sản lượng]],"")</f>
        <v>1.7510261459451388</v>
      </c>
      <c r="O14" s="853">
        <v>70235</v>
      </c>
      <c r="P14" s="2409">
        <f>Table3[[#This Row],[Xuất cám]]/(Table3[[#This Row],[Xuất cám]]+Table3[[#This Row],[KL Lĩnh ]])</f>
        <v>0.10152574100709025</v>
      </c>
      <c r="Q14" s="2410">
        <f>IFERROR((Table3[[#This Row],[Xuất cám]]+Table3[[#This Row],[KL Lĩnh ]])/Table3[[#This Row],[Sản lượng]],"")</f>
        <v>1.9488884944882512</v>
      </c>
      <c r="R14" s="2398"/>
      <c r="S14" s="2410">
        <f>IFERROR((Table3[[#This Row],[Lĩnh bù]]+Table3[[#This Row],[Xuất cám]]+Table3[[#This Row],[KL Lĩnh ]])/Table3[[#This Row],[Sản lượng]],"")</f>
        <v>1.9488884944882512</v>
      </c>
      <c r="T14" s="2406" t="s">
        <v>1361</v>
      </c>
    </row>
    <row r="15" spans="1:20" s="1" customFormat="1" ht="34" customHeight="1" x14ac:dyDescent="0.2">
      <c r="A15" s="1517">
        <f>IF(B15="","",COUNTA($B$3:B15))</f>
        <v>13</v>
      </c>
      <c r="B15" s="12">
        <v>4</v>
      </c>
      <c r="C15" s="321" t="s">
        <v>5</v>
      </c>
      <c r="D15" s="321" t="s">
        <v>115</v>
      </c>
      <c r="E15" s="321" t="s">
        <v>1049</v>
      </c>
      <c r="F15" s="321" t="s">
        <v>1054</v>
      </c>
      <c r="G15" s="12" t="s">
        <v>1367</v>
      </c>
      <c r="H15" s="321" t="s">
        <v>1036</v>
      </c>
      <c r="I15" s="853">
        <v>7415</v>
      </c>
      <c r="J15" s="2424">
        <v>0.115</v>
      </c>
      <c r="K15" s="2424">
        <v>2.4799999999999999E-2</v>
      </c>
      <c r="L15" s="14">
        <v>543520</v>
      </c>
      <c r="M15" s="853">
        <v>232886</v>
      </c>
      <c r="N15" s="2410">
        <f>IFERROR(Table3[[#This Row],[KL Lĩnh ]]/Table3[[#This Row],[Sản lượng]],"")</f>
        <v>2.3338457442697287</v>
      </c>
      <c r="O15" s="853">
        <v>97921</v>
      </c>
      <c r="P15" s="2409">
        <f>Table3[[#This Row],[Xuất cám]]/(Table3[[#This Row],[Xuất cám]]+Table3[[#This Row],[KL Lĩnh ]])</f>
        <v>0.1526578438235161</v>
      </c>
      <c r="Q15" s="2410">
        <f>IFERROR((Table3[[#This Row],[Xuất cám]]+Table3[[#This Row],[KL Lĩnh ]])/Table3[[#This Row],[Sản lượng]],"")</f>
        <v>2.754313269153148</v>
      </c>
      <c r="R15" s="2398"/>
      <c r="S15" s="2410">
        <f>IFERROR((Table3[[#This Row],[Lĩnh bù]]+Table3[[#This Row],[Xuất cám]]+Table3[[#This Row],[KL Lĩnh ]])/Table3[[#This Row],[Sản lượng]],"")</f>
        <v>2.754313269153148</v>
      </c>
      <c r="T15" s="2406" t="s">
        <v>1368</v>
      </c>
    </row>
    <row r="16" spans="1:20" s="1" customFormat="1" ht="34" customHeight="1" x14ac:dyDescent="0.2">
      <c r="A16" s="1517">
        <f>IF(B16="","",COUNTA($B$3:B16))</f>
        <v>14</v>
      </c>
      <c r="B16" s="12">
        <v>4</v>
      </c>
      <c r="C16" s="321" t="s">
        <v>5</v>
      </c>
      <c r="D16" s="321" t="s">
        <v>115</v>
      </c>
      <c r="E16" s="321" t="s">
        <v>1050</v>
      </c>
      <c r="F16" s="321" t="s">
        <v>1369</v>
      </c>
      <c r="G16" s="12" t="s">
        <v>1370</v>
      </c>
      <c r="H16" s="321" t="s">
        <v>1036</v>
      </c>
      <c r="I16" s="853">
        <v>7310</v>
      </c>
      <c r="J16" s="2424" t="s">
        <v>1371</v>
      </c>
      <c r="K16" s="2427" t="s">
        <v>1372</v>
      </c>
      <c r="L16" s="14">
        <v>292639</v>
      </c>
      <c r="M16" s="853">
        <v>124964</v>
      </c>
      <c r="N16" s="2410">
        <f>IFERROR(Table3[[#This Row],[KL Lĩnh ]]/Table3[[#This Row],[Sản lượng]],"")</f>
        <v>2.3417864344931338</v>
      </c>
      <c r="O16" s="853">
        <v>39819</v>
      </c>
      <c r="P16" s="2409">
        <f>Table3[[#This Row],[Xuất cám]]/(Table3[[#This Row],[Xuất cám]]+Table3[[#This Row],[KL Lĩnh ]])</f>
        <v>0.11977152001155034</v>
      </c>
      <c r="Q16" s="2410">
        <f>IFERROR((Table3[[#This Row],[Xuất cám]]+Table3[[#This Row],[KL Lĩnh ]])/Table3[[#This Row],[Sản lượng]],"")</f>
        <v>2.6604302038987226</v>
      </c>
      <c r="R16" s="2398"/>
      <c r="S16" s="2410">
        <f>IFERROR((Table3[[#This Row],[Lĩnh bù]]+Table3[[#This Row],[Xuất cám]]+Table3[[#This Row],[KL Lĩnh ]])/Table3[[#This Row],[Sản lượng]],"")</f>
        <v>2.6604302038987226</v>
      </c>
      <c r="T16" s="2406" t="s">
        <v>1373</v>
      </c>
    </row>
    <row r="17" spans="1:20" s="1" customFormat="1" ht="34" customHeight="1" x14ac:dyDescent="0.2">
      <c r="A17" s="1517">
        <f>IF(B17="","",COUNTA($B$3:B17))</f>
        <v>15</v>
      </c>
      <c r="B17" s="12">
        <v>4</v>
      </c>
      <c r="C17" s="321" t="s">
        <v>5</v>
      </c>
      <c r="D17" s="321" t="s">
        <v>115</v>
      </c>
      <c r="E17" s="321" t="s">
        <v>1049</v>
      </c>
      <c r="F17" s="321" t="s">
        <v>1374</v>
      </c>
      <c r="G17" s="12" t="s">
        <v>1375</v>
      </c>
      <c r="H17" s="321" t="s">
        <v>1036</v>
      </c>
      <c r="I17" s="853">
        <v>7512</v>
      </c>
      <c r="J17" s="2424" t="s">
        <v>1376</v>
      </c>
      <c r="K17" s="2427" t="s">
        <v>1377</v>
      </c>
      <c r="L17" s="14">
        <v>296235</v>
      </c>
      <c r="M17" s="853">
        <v>121623</v>
      </c>
      <c r="N17" s="2410">
        <f>IFERROR(Table3[[#This Row],[KL Lĩnh ]]/Table3[[#This Row],[Sản lượng]],"")</f>
        <v>2.4356823955995166</v>
      </c>
      <c r="O17" s="853">
        <v>33679</v>
      </c>
      <c r="P17" s="2409">
        <f>Table3[[#This Row],[Xuất cám]]/(Table3[[#This Row],[Xuất cám]]+Table3[[#This Row],[KL Lĩnh ]])</f>
        <v>0.10208417951344896</v>
      </c>
      <c r="Q17" s="2410">
        <f>IFERROR((Table3[[#This Row],[Xuất cám]]+Table3[[#This Row],[KL Lĩnh ]])/Table3[[#This Row],[Sản lượng]],"")</f>
        <v>2.712595479473455</v>
      </c>
      <c r="R17" s="2398"/>
      <c r="S17" s="2410">
        <f>IFERROR((Table3[[#This Row],[Lĩnh bù]]+Table3[[#This Row],[Xuất cám]]+Table3[[#This Row],[KL Lĩnh ]])/Table3[[#This Row],[Sản lượng]],"")</f>
        <v>2.712595479473455</v>
      </c>
      <c r="T17" s="2406" t="s">
        <v>1378</v>
      </c>
    </row>
    <row r="18" spans="1:20" s="1" customFormat="1" ht="34" customHeight="1" x14ac:dyDescent="0.2">
      <c r="A18" s="1517">
        <f>IF(B18="","",COUNTA($B$3:B18))</f>
        <v>16</v>
      </c>
      <c r="B18" s="12">
        <v>4</v>
      </c>
      <c r="C18" s="321" t="s">
        <v>25</v>
      </c>
      <c r="D18" s="321" t="s">
        <v>119</v>
      </c>
      <c r="E18" s="321" t="s">
        <v>1049</v>
      </c>
      <c r="F18" s="1014" t="s">
        <v>1360</v>
      </c>
      <c r="G18" s="12" t="s">
        <v>1367</v>
      </c>
      <c r="H18" s="321" t="s">
        <v>1036</v>
      </c>
      <c r="I18" s="853">
        <v>7415</v>
      </c>
      <c r="J18" s="2424">
        <v>0.115</v>
      </c>
      <c r="K18" s="2424">
        <v>2.4799999999999999E-2</v>
      </c>
      <c r="L18" s="14">
        <v>368181</v>
      </c>
      <c r="M18" s="853">
        <v>208244</v>
      </c>
      <c r="N18" s="2410">
        <f>IFERROR(Table3[[#This Row],[KL Lĩnh ]]/Table3[[#This Row],[Sản lượng]],"")</f>
        <v>1.7680269299475615</v>
      </c>
      <c r="O18" s="853">
        <v>69976</v>
      </c>
      <c r="P18" s="2409">
        <f>Table3[[#This Row],[Xuất cám]]/(Table3[[#This Row],[Xuất cám]]+Table3[[#This Row],[KL Lĩnh ]])</f>
        <v>0.1597053111099446</v>
      </c>
      <c r="Q18" s="2410">
        <f>IFERROR((Table3[[#This Row],[Xuất cám]]+Table3[[#This Row],[KL Lĩnh ]])/Table3[[#This Row],[Sản lượng]],"")</f>
        <v>2.1040558191352452</v>
      </c>
      <c r="R18" s="2398"/>
      <c r="S18" s="2410">
        <f>IFERROR((Table3[[#This Row],[Lĩnh bù]]+Table3[[#This Row],[Xuất cám]]+Table3[[#This Row],[KL Lĩnh ]])/Table3[[#This Row],[Sản lượng]],"")</f>
        <v>2.1040558191352452</v>
      </c>
      <c r="T18" s="2406" t="s">
        <v>1368</v>
      </c>
    </row>
    <row r="19" spans="1:20" s="1" customFormat="1" ht="34" customHeight="1" x14ac:dyDescent="0.2">
      <c r="A19" s="1517">
        <f>IF(B19="","",COUNTA($B$3:B19))</f>
        <v>17</v>
      </c>
      <c r="B19" s="12">
        <v>4</v>
      </c>
      <c r="C19" s="321" t="s">
        <v>25</v>
      </c>
      <c r="D19" s="321" t="s">
        <v>119</v>
      </c>
      <c r="E19" s="321" t="s">
        <v>1049</v>
      </c>
      <c r="F19" s="1014" t="s">
        <v>1360</v>
      </c>
      <c r="G19" s="12" t="s">
        <v>1367</v>
      </c>
      <c r="H19" s="321" t="s">
        <v>1035</v>
      </c>
      <c r="I19" s="853">
        <v>7415</v>
      </c>
      <c r="J19" s="2424">
        <v>0.115</v>
      </c>
      <c r="K19" s="2424">
        <v>2.4799999999999999E-2</v>
      </c>
      <c r="L19" s="14">
        <v>16278</v>
      </c>
      <c r="M19" s="853"/>
      <c r="N19" s="2410" t="str">
        <f>IFERROR(Table3[[#This Row],[KL Lĩnh ]]/Table3[[#This Row],[Sản lượng]],"")</f>
        <v/>
      </c>
      <c r="O19" s="853">
        <v>2948</v>
      </c>
      <c r="P19" s="2409">
        <f>Table3[[#This Row],[Xuất cám]]/(Table3[[#This Row],[Xuất cám]]+Table3[[#This Row],[KL Lĩnh ]])</f>
        <v>0.15333402683865599</v>
      </c>
      <c r="Q19" s="2410" t="str">
        <f>IFERROR((Table3[[#This Row],[Xuất cám]]+Table3[[#This Row],[KL Lĩnh ]])/Table3[[#This Row],[Sản lượng]],"")</f>
        <v/>
      </c>
      <c r="R19" s="2398"/>
      <c r="S19" s="2410" t="str">
        <f>IFERROR((Table3[[#This Row],[Lĩnh bù]]+Table3[[#This Row],[Xuất cám]]+Table3[[#This Row],[KL Lĩnh ]])/Table3[[#This Row],[Sản lượng]],"")</f>
        <v/>
      </c>
      <c r="T19" s="2406" t="s">
        <v>1373</v>
      </c>
    </row>
    <row r="20" spans="1:20" s="1" customFormat="1" ht="34" customHeight="1" x14ac:dyDescent="0.2">
      <c r="A20" s="1517">
        <f>IF(B20="","",COUNTA($B$3:B20))</f>
        <v>18</v>
      </c>
      <c r="B20" s="12">
        <v>4</v>
      </c>
      <c r="C20" s="321" t="s">
        <v>25</v>
      </c>
      <c r="D20" s="321" t="s">
        <v>116</v>
      </c>
      <c r="E20" s="321" t="s">
        <v>1049</v>
      </c>
      <c r="F20" s="321" t="s">
        <v>1054</v>
      </c>
      <c r="G20" s="12" t="s">
        <v>1367</v>
      </c>
      <c r="H20" s="321" t="s">
        <v>1036</v>
      </c>
      <c r="I20" s="853">
        <v>7415</v>
      </c>
      <c r="J20" s="2424">
        <v>0.115</v>
      </c>
      <c r="K20" s="2424">
        <v>2.4799999999999999E-2</v>
      </c>
      <c r="L20" s="14">
        <v>10577</v>
      </c>
      <c r="M20" s="853">
        <v>3035</v>
      </c>
      <c r="N20" s="2410">
        <f>IFERROR(Table3[[#This Row],[KL Lĩnh ]]/Table3[[#This Row],[Sản lượng]],"")</f>
        <v>3.4850082372322899</v>
      </c>
      <c r="O20" s="853">
        <v>1982</v>
      </c>
      <c r="P20" s="2409">
        <f>Table3[[#This Row],[Xuất cám]]/(Table3[[#This Row],[Xuất cám]]+Table3[[#This Row],[KL Lĩnh ]])</f>
        <v>0.15781511266820608</v>
      </c>
      <c r="Q20" s="2410">
        <f>IFERROR((Table3[[#This Row],[Xuất cám]]+Table3[[#This Row],[KL Lĩnh ]])/Table3[[#This Row],[Sản lượng]],"")</f>
        <v>4.1380560131795718</v>
      </c>
      <c r="R20" s="2398"/>
      <c r="S20" s="2410">
        <f>IFERROR((Table3[[#This Row],[Lĩnh bù]]+Table3[[#This Row],[Xuất cám]]+Table3[[#This Row],[KL Lĩnh ]])/Table3[[#This Row],[Sản lượng]],"")</f>
        <v>4.1380560131795718</v>
      </c>
      <c r="T20" s="2406" t="s">
        <v>1379</v>
      </c>
    </row>
    <row r="21" spans="1:20" s="1" customFormat="1" ht="34" customHeight="1" x14ac:dyDescent="0.2">
      <c r="A21" s="1517">
        <f>IF(B21="","",COUNTA($B$3:B21))</f>
        <v>19</v>
      </c>
      <c r="B21" s="12">
        <v>4</v>
      </c>
      <c r="C21" s="321" t="s">
        <v>25</v>
      </c>
      <c r="D21" s="321" t="s">
        <v>116</v>
      </c>
      <c r="E21" s="321" t="s">
        <v>1050</v>
      </c>
      <c r="F21" s="321" t="s">
        <v>1369</v>
      </c>
      <c r="G21" s="12" t="s">
        <v>1370</v>
      </c>
      <c r="H21" s="321" t="s">
        <v>1036</v>
      </c>
      <c r="I21" s="853">
        <v>7310</v>
      </c>
      <c r="J21" s="2424" t="s">
        <v>1371</v>
      </c>
      <c r="K21" s="2427" t="s">
        <v>1372</v>
      </c>
      <c r="L21" s="14">
        <v>300950</v>
      </c>
      <c r="M21" s="853">
        <v>109837</v>
      </c>
      <c r="N21" s="2410">
        <f>IFERROR(Table3[[#This Row],[KL Lĩnh ]]/Table3[[#This Row],[Sản lượng]],"")</f>
        <v>2.7399692271274705</v>
      </c>
      <c r="O21" s="853">
        <v>40950</v>
      </c>
      <c r="P21" s="2409">
        <f>Table3[[#This Row],[Xuất cám]]/(Table3[[#This Row],[Xuất cám]]+Table3[[#This Row],[KL Lĩnh ]])</f>
        <v>0.11977186311787072</v>
      </c>
      <c r="Q21" s="2410">
        <f>IFERROR((Table3[[#This Row],[Xuất cám]]+Table3[[#This Row],[KL Lĩnh ]])/Table3[[#This Row],[Sản lượng]],"")</f>
        <v>3.112794413540064</v>
      </c>
      <c r="R21" s="2398"/>
      <c r="S21" s="2410">
        <f>IFERROR((Table3[[#This Row],[Lĩnh bù]]+Table3[[#This Row],[Xuất cám]]+Table3[[#This Row],[KL Lĩnh ]])/Table3[[#This Row],[Sản lượng]],"")</f>
        <v>3.112794413540064</v>
      </c>
      <c r="T21" s="2406" t="s">
        <v>1373</v>
      </c>
    </row>
    <row r="22" spans="1:20" ht="32" customHeight="1" x14ac:dyDescent="0.2">
      <c r="A22" s="1517">
        <f>IF(B22="","",COUNTA($B$3:B22))</f>
        <v>20</v>
      </c>
      <c r="B22" s="12">
        <v>4</v>
      </c>
      <c r="C22" s="477" t="s">
        <v>25</v>
      </c>
      <c r="D22" s="477" t="s">
        <v>116</v>
      </c>
      <c r="E22" s="321" t="s">
        <v>1049</v>
      </c>
      <c r="F22" s="321" t="s">
        <v>1374</v>
      </c>
      <c r="G22" s="12" t="s">
        <v>1375</v>
      </c>
      <c r="H22" s="321" t="s">
        <v>1036</v>
      </c>
      <c r="I22" s="853">
        <v>7512</v>
      </c>
      <c r="J22" s="2424" t="s">
        <v>1376</v>
      </c>
      <c r="K22" s="2427" t="s">
        <v>1377</v>
      </c>
      <c r="L22" s="14">
        <v>304552</v>
      </c>
      <c r="M22" s="1978">
        <v>111862</v>
      </c>
      <c r="N22" s="1979">
        <f>IFERROR(Table3[[#This Row],[KL Lĩnh ]]/Table3[[#This Row],[Sản lượng]],"")</f>
        <v>2.7225688795122562</v>
      </c>
      <c r="O22" s="1978">
        <v>34624</v>
      </c>
      <c r="P22" s="2409">
        <f>Table3[[#This Row],[Xuất cám]]/(Table3[[#This Row],[Xuất cám]]+Table3[[#This Row],[KL Lĩnh ]])</f>
        <v>0.10208269453027337</v>
      </c>
      <c r="Q22" s="1979">
        <f>IFERROR((Table3[[#This Row],[Xuất cám]]+Table3[[#This Row],[KL Lĩnh ]])/Table3[[#This Row],[Sản lượng]],"")</f>
        <v>3.0320931147306505</v>
      </c>
      <c r="R22" s="902"/>
      <c r="S22" s="2410">
        <f>IFERROR((Table3[[#This Row],[Lĩnh bù]]+Table3[[#This Row],[Xuất cám]]+Table3[[#This Row],[KL Lĩnh ]])/Table3[[#This Row],[Sản lượng]],"")</f>
        <v>3.0320931147306505</v>
      </c>
      <c r="T22" s="2406" t="s">
        <v>1378</v>
      </c>
    </row>
    <row r="23" spans="1:20" ht="32" customHeight="1" x14ac:dyDescent="0.2">
      <c r="A23" s="1517">
        <f>IF(B23="","",COUNTA($B$3:B23))</f>
        <v>21</v>
      </c>
      <c r="B23" s="12">
        <v>5</v>
      </c>
      <c r="C23" s="477" t="s">
        <v>5</v>
      </c>
      <c r="D23" s="477" t="s">
        <v>115</v>
      </c>
      <c r="E23" s="477" t="s">
        <v>1050</v>
      </c>
      <c r="F23" s="321" t="s">
        <v>1369</v>
      </c>
      <c r="G23" s="12" t="s">
        <v>1370</v>
      </c>
      <c r="H23" s="321" t="s">
        <v>1036</v>
      </c>
      <c r="I23" s="853">
        <v>7310</v>
      </c>
      <c r="J23" s="2424" t="s">
        <v>1371</v>
      </c>
      <c r="K23" s="2427" t="s">
        <v>1372</v>
      </c>
      <c r="L23" s="14">
        <v>211798</v>
      </c>
      <c r="M23" s="1978">
        <v>87813</v>
      </c>
      <c r="N23" s="1979">
        <f>IFERROR(Table3[[#This Row],[KL Lĩnh ]]/Table3[[#This Row],[Sản lượng]],"")</f>
        <v>2.411920786216164</v>
      </c>
      <c r="O23" s="1978">
        <v>37980</v>
      </c>
      <c r="P23" s="2409">
        <f>Table3[[#This Row],[Xuất cám]]/(Table3[[#This Row],[Xuất cám]]+Table3[[#This Row],[KL Lĩnh ]])</f>
        <v>0.15205502486207753</v>
      </c>
      <c r="Q23" s="1979">
        <f>IFERROR((Table3[[#This Row],[Xuất cám]]+Table3[[#This Row],[KL Lĩnh ]])/Table3[[#This Row],[Sản lượng]],"")</f>
        <v>2.8444307790418275</v>
      </c>
      <c r="R23" s="902">
        <v>8650</v>
      </c>
      <c r="S23" s="2410">
        <f>IFERROR((Table3[[#This Row],[Lĩnh bù]]+Table3[[#This Row],[Xuất cám]]+Table3[[#This Row],[KL Lĩnh ]])/Table3[[#This Row],[Sản lượng]],"")</f>
        <v>2.9429355562388255</v>
      </c>
      <c r="T23" s="2406" t="s">
        <v>1384</v>
      </c>
    </row>
    <row r="24" spans="1:20" ht="32" customHeight="1" x14ac:dyDescent="0.2">
      <c r="A24" s="1517">
        <f>IF(B24="","",COUNTA($B$3:B24))</f>
        <v>22</v>
      </c>
      <c r="B24" s="12">
        <v>5</v>
      </c>
      <c r="C24" s="477" t="s">
        <v>5</v>
      </c>
      <c r="D24" s="477" t="s">
        <v>115</v>
      </c>
      <c r="E24" s="477" t="s">
        <v>1050</v>
      </c>
      <c r="F24" s="321" t="s">
        <v>1369</v>
      </c>
      <c r="G24" s="12" t="s">
        <v>1370</v>
      </c>
      <c r="H24" s="321" t="s">
        <v>1035</v>
      </c>
      <c r="I24" s="853">
        <v>7310</v>
      </c>
      <c r="J24" s="2424" t="s">
        <v>1371</v>
      </c>
      <c r="K24" s="2427" t="s">
        <v>1372</v>
      </c>
      <c r="L24" s="14">
        <v>3137</v>
      </c>
      <c r="M24" s="1978"/>
      <c r="N24" s="1979" t="str">
        <f>IFERROR(Table3[[#This Row],[KL Lĩnh ]]/Table3[[#This Row],[Sản lượng]],"")</f>
        <v/>
      </c>
      <c r="O24" s="1978">
        <v>562</v>
      </c>
      <c r="P24" s="2409">
        <f>Table3[[#This Row],[Xuất cám]]/(Table3[[#This Row],[Xuất cám]]+Table3[[#This Row],[KL Lĩnh ]])</f>
        <v>0.15193295485266289</v>
      </c>
      <c r="Q24" s="1979" t="str">
        <f>IFERROR((Table3[[#This Row],[Xuất cám]]+Table3[[#This Row],[KL Lĩnh ]])/Table3[[#This Row],[Sản lượng]],"")</f>
        <v/>
      </c>
      <c r="R24" s="902">
        <v>128</v>
      </c>
      <c r="S24" s="2410" t="str">
        <f>IFERROR((Table3[[#This Row],[Lĩnh bù]]+Table3[[#This Row],[Xuất cám]]+Table3[[#This Row],[KL Lĩnh ]])/Table3[[#This Row],[Sản lượng]],"")</f>
        <v/>
      </c>
      <c r="T24" s="2406" t="s">
        <v>1385</v>
      </c>
    </row>
    <row r="25" spans="1:20" ht="32" customHeight="1" x14ac:dyDescent="0.2">
      <c r="A25" s="1517">
        <f>IF(B25="","",COUNTA($B$3:B25))</f>
        <v>23</v>
      </c>
      <c r="B25" s="12">
        <v>5</v>
      </c>
      <c r="C25" s="477" t="s">
        <v>5</v>
      </c>
      <c r="D25" s="477" t="s">
        <v>115</v>
      </c>
      <c r="E25" s="477" t="s">
        <v>1049</v>
      </c>
      <c r="F25" s="321" t="s">
        <v>1374</v>
      </c>
      <c r="G25" s="12" t="s">
        <v>1375</v>
      </c>
      <c r="H25" s="321" t="s">
        <v>1036</v>
      </c>
      <c r="I25" s="853">
        <v>7512</v>
      </c>
      <c r="J25" s="2424" t="s">
        <v>1376</v>
      </c>
      <c r="K25" s="2427" t="s">
        <v>1377</v>
      </c>
      <c r="L25" s="14">
        <v>831300</v>
      </c>
      <c r="M25" s="1978">
        <v>342971</v>
      </c>
      <c r="N25" s="1979">
        <f>IFERROR(Table3[[#This Row],[KL Lĩnh ]]/Table3[[#This Row],[Sản lượng]],"")</f>
        <v>2.4238200897451971</v>
      </c>
      <c r="O25" s="1978">
        <v>149505</v>
      </c>
      <c r="P25" s="2409">
        <f>Table3[[#This Row],[Xuất cám]]/(Table3[[#This Row],[Xuất cám]]+Table3[[#This Row],[KL Lĩnh ]])</f>
        <v>0.15243091134323336</v>
      </c>
      <c r="Q25" s="1979">
        <f>IFERROR((Table3[[#This Row],[Xuất cám]]+Table3[[#This Row],[KL Lĩnh ]])/Table3[[#This Row],[Sản lượng]],"")</f>
        <v>2.8597315808042079</v>
      </c>
      <c r="R25" s="902">
        <v>0</v>
      </c>
      <c r="S25" s="2410">
        <f>IFERROR((Table3[[#This Row],[Lĩnh bù]]+Table3[[#This Row],[Xuất cám]]+Table3[[#This Row],[KL Lĩnh ]])/Table3[[#This Row],[Sản lượng]],"")</f>
        <v>2.8597315808042079</v>
      </c>
      <c r="T25" s="2436" t="s">
        <v>1386</v>
      </c>
    </row>
    <row r="26" spans="1:20" ht="32" customHeight="1" x14ac:dyDescent="0.2">
      <c r="A26" s="1517">
        <f>IF(B26="","",COUNTA($B$3:B26))</f>
        <v>24</v>
      </c>
      <c r="B26" s="12">
        <v>5</v>
      </c>
      <c r="C26" s="477" t="s">
        <v>5</v>
      </c>
      <c r="D26" s="477" t="s">
        <v>115</v>
      </c>
      <c r="E26" s="477" t="s">
        <v>1049</v>
      </c>
      <c r="F26" s="321" t="s">
        <v>1374</v>
      </c>
      <c r="G26" s="12" t="s">
        <v>1375</v>
      </c>
      <c r="H26" s="321" t="s">
        <v>1035</v>
      </c>
      <c r="I26" s="853">
        <v>7512</v>
      </c>
      <c r="J26" s="2424" t="s">
        <v>1376</v>
      </c>
      <c r="K26" s="2427" t="s">
        <v>1377</v>
      </c>
      <c r="L26" s="14">
        <v>7321</v>
      </c>
      <c r="M26" s="1978"/>
      <c r="N26" s="1979" t="str">
        <f>IFERROR(Table3[[#This Row],[KL Lĩnh ]]/Table3[[#This Row],[Sản lượng]],"")</f>
        <v/>
      </c>
      <c r="O26" s="1978">
        <v>1316</v>
      </c>
      <c r="P26" s="2409">
        <f>Table3[[#This Row],[Xuất cám]]/(Table3[[#This Row],[Xuất cám]]+Table3[[#This Row],[KL Lĩnh ]])</f>
        <v>0.15236772027324302</v>
      </c>
      <c r="Q26" s="1979" t="str">
        <f>IFERROR((Table3[[#This Row],[Xuất cám]]+Table3[[#This Row],[KL Lĩnh ]])/Table3[[#This Row],[Sản lượng]],"")</f>
        <v/>
      </c>
      <c r="R26" s="902"/>
      <c r="S26" s="2410"/>
      <c r="T26" s="2436" t="s">
        <v>1387</v>
      </c>
    </row>
    <row r="27" spans="1:20" ht="32" customHeight="1" x14ac:dyDescent="0.2">
      <c r="A27" s="1517">
        <f>IF(B27="","",COUNTA($B$3:B27))</f>
        <v>25</v>
      </c>
      <c r="B27" s="12">
        <v>5</v>
      </c>
      <c r="C27" s="477" t="s">
        <v>5</v>
      </c>
      <c r="D27" s="477" t="s">
        <v>115</v>
      </c>
      <c r="E27" s="477" t="s">
        <v>1050</v>
      </c>
      <c r="F27" s="477" t="s">
        <v>1358</v>
      </c>
      <c r="G27" s="12" t="s">
        <v>1383</v>
      </c>
      <c r="H27" s="477" t="s">
        <v>1036</v>
      </c>
      <c r="I27" s="1978">
        <v>7294</v>
      </c>
      <c r="J27" s="2425">
        <v>0.1978</v>
      </c>
      <c r="K27" s="2435">
        <v>8.7999999999999995E-2</v>
      </c>
      <c r="L27" s="14">
        <v>144473</v>
      </c>
      <c r="M27" s="1978">
        <v>59175</v>
      </c>
      <c r="N27" s="1979">
        <f>IFERROR(Table3[[#This Row],[KL Lĩnh ]]/Table3[[#This Row],[Sản lượng]],"")</f>
        <v>2.4414533164343051</v>
      </c>
      <c r="O27" s="1978">
        <v>26098</v>
      </c>
      <c r="P27" s="2409">
        <f>Table3[[#This Row],[Xuất cám]]/(Table3[[#This Row],[Xuất cám]]+Table3[[#This Row],[KL Lĩnh ]])</f>
        <v>0.15300373451524585</v>
      </c>
      <c r="Q27" s="1979">
        <f>IFERROR((Table3[[#This Row],[Xuất cám]]+Table3[[#This Row],[KL Lĩnh ]])/Table3[[#This Row],[Sản lượng]],"")</f>
        <v>2.8824841571609632</v>
      </c>
      <c r="R27" s="902">
        <v>0</v>
      </c>
      <c r="S27" s="2410">
        <f>IFERROR((Table3[[#This Row],[Lĩnh bù]]+Table3[[#This Row],[Xuất cám]]+Table3[[#This Row],[KL Lĩnh ]])/Table3[[#This Row],[Sản lượng]],"")</f>
        <v>2.8824841571609632</v>
      </c>
      <c r="T27" s="2436" t="s">
        <v>1388</v>
      </c>
    </row>
    <row r="28" spans="1:20" ht="32" customHeight="1" x14ac:dyDescent="0.2">
      <c r="A28" s="1517">
        <f>IF(B28="","",COUNTA($B$3:B28))</f>
        <v>26</v>
      </c>
      <c r="B28" s="12">
        <v>5</v>
      </c>
      <c r="C28" s="477" t="s">
        <v>25</v>
      </c>
      <c r="D28" s="477" t="s">
        <v>116</v>
      </c>
      <c r="E28" s="477" t="s">
        <v>1050</v>
      </c>
      <c r="F28" s="321" t="s">
        <v>1369</v>
      </c>
      <c r="G28" s="12" t="s">
        <v>1370</v>
      </c>
      <c r="H28" s="477" t="s">
        <v>1036</v>
      </c>
      <c r="I28" s="2437">
        <v>7310</v>
      </c>
      <c r="J28" s="2441">
        <v>0.186</v>
      </c>
      <c r="K28" s="2444">
        <v>5.4699999999999999E-2</v>
      </c>
      <c r="L28" s="2414">
        <v>221738</v>
      </c>
      <c r="M28" s="2447">
        <v>83098.400000000009</v>
      </c>
      <c r="N28" s="1979">
        <f>IFERROR(Table3[[#This Row],[KL Lĩnh ]]/Table3[[#This Row],[Sản lượng]],"")</f>
        <v>2.6683786932119027</v>
      </c>
      <c r="O28" s="2450">
        <v>39762</v>
      </c>
      <c r="P28" s="2409">
        <f>Table3[[#This Row],[Xuất cám]]/(Table3[[#This Row],[Xuất cám]]+Table3[[#This Row],[KL Lĩnh ]])</f>
        <v>0.15205353728489485</v>
      </c>
      <c r="Q28" s="1979">
        <f>IFERROR((Table3[[#This Row],[Xuất cám]]+Table3[[#This Row],[KL Lĩnh ]])/Table3[[#This Row],[Sản lượng]],"")</f>
        <v>3.1468716605855223</v>
      </c>
      <c r="R28" s="2415">
        <v>9057</v>
      </c>
      <c r="S28" s="2410">
        <f>IFERROR((Table3[[#This Row],[Lĩnh bù]]+Table3[[#This Row],[Xuất cám]]+Table3[[#This Row],[KL Lĩnh ]])/Table3[[#This Row],[Sản lượng]],"")</f>
        <v>3.2558629287687846</v>
      </c>
      <c r="T28" s="2436" t="s">
        <v>1384</v>
      </c>
    </row>
    <row r="29" spans="1:20" ht="32" customHeight="1" x14ac:dyDescent="0.2">
      <c r="A29" s="1517">
        <f>IF(B29="","",COUNTA($B$3:B29))</f>
        <v>27</v>
      </c>
      <c r="B29" s="12">
        <v>5</v>
      </c>
      <c r="C29" s="477" t="s">
        <v>25</v>
      </c>
      <c r="D29" s="477" t="s">
        <v>116</v>
      </c>
      <c r="E29" s="477" t="s">
        <v>1049</v>
      </c>
      <c r="F29" s="321" t="s">
        <v>1374</v>
      </c>
      <c r="G29" s="12" t="s">
        <v>1375</v>
      </c>
      <c r="H29" s="477" t="s">
        <v>1036</v>
      </c>
      <c r="I29" s="2438">
        <v>7512</v>
      </c>
      <c r="J29" s="2442">
        <v>0.13900000000000001</v>
      </c>
      <c r="K29" s="2445">
        <v>2.4500000000000001E-2</v>
      </c>
      <c r="L29" s="2414">
        <v>854166</v>
      </c>
      <c r="M29" s="2448">
        <v>321811.83999999997</v>
      </c>
      <c r="N29" s="1979">
        <f>IFERROR(Table3[[#This Row],[KL Lĩnh ]]/Table3[[#This Row],[Sản lượng]],"")</f>
        <v>2.6542404406251805</v>
      </c>
      <c r="O29" s="2450">
        <v>153618</v>
      </c>
      <c r="P29" s="2409">
        <f>Table3[[#This Row],[Xuất cám]]/(Table3[[#This Row],[Xuất cám]]+Table3[[#This Row],[KL Lĩnh ]])</f>
        <v>0.15243147341096902</v>
      </c>
      <c r="Q29" s="1979">
        <f>IFERROR((Table3[[#This Row],[Xuất cám]]+Table3[[#This Row],[KL Lĩnh ]])/Table3[[#This Row],[Sản lượng]],"")</f>
        <v>3.1315939152518442</v>
      </c>
      <c r="R29" s="2452">
        <v>0</v>
      </c>
      <c r="S29" s="2410">
        <f>IFERROR((Table3[[#This Row],[Lĩnh bù]]+Table3[[#This Row],[Xuất cám]]+Table3[[#This Row],[KL Lĩnh ]])/Table3[[#This Row],[Sản lượng]],"")</f>
        <v>3.1315939152518442</v>
      </c>
      <c r="T29" s="2436" t="s">
        <v>1386</v>
      </c>
    </row>
    <row r="30" spans="1:20" ht="32" customHeight="1" x14ac:dyDescent="0.2">
      <c r="A30" s="1517">
        <f>IF(B30="","",COUNTA($B$3:B30))</f>
        <v>28</v>
      </c>
      <c r="B30" s="12">
        <v>5</v>
      </c>
      <c r="C30" s="477" t="s">
        <v>25</v>
      </c>
      <c r="D30" s="477" t="s">
        <v>116</v>
      </c>
      <c r="E30" s="477" t="s">
        <v>1050</v>
      </c>
      <c r="F30" s="477" t="s">
        <v>1358</v>
      </c>
      <c r="G30" s="12" t="s">
        <v>1383</v>
      </c>
      <c r="H30" s="477" t="s">
        <v>1036</v>
      </c>
      <c r="I30" s="2439">
        <v>7294</v>
      </c>
      <c r="J30" s="2443">
        <v>0.1978</v>
      </c>
      <c r="K30" s="2446">
        <v>8.7999999999999995E-2</v>
      </c>
      <c r="L30" s="2440">
        <v>144331</v>
      </c>
      <c r="M30" s="2449">
        <v>54820.959999999992</v>
      </c>
      <c r="N30" s="1979">
        <f>IFERROR(Table3[[#This Row],[KL Lĩnh ]]/Table3[[#This Row],[Sản lượng]],"")</f>
        <v>2.6327703856335245</v>
      </c>
      <c r="O30" s="2451">
        <v>26073</v>
      </c>
      <c r="P30" s="2409">
        <f>Table3[[#This Row],[Xuất cám]]/(Table3[[#This Row],[Xuất cám]]+Table3[[#This Row],[KL Lĩnh ]])</f>
        <v>0.15300697166733176</v>
      </c>
      <c r="Q30" s="1979">
        <f>IFERROR((Table3[[#This Row],[Xuất cám]]+Table3[[#This Row],[KL Lĩnh ]])/Table3[[#This Row],[Sản lượng]],"")</f>
        <v>3.1083731477887295</v>
      </c>
      <c r="R30" s="2453">
        <v>0</v>
      </c>
      <c r="S30" s="2410">
        <f>IFERROR((Table3[[#This Row],[Lĩnh bù]]+Table3[[#This Row],[Xuất cám]]+Table3[[#This Row],[KL Lĩnh ]])/Table3[[#This Row],[Sản lượng]],"")</f>
        <v>3.1083731477887295</v>
      </c>
      <c r="T30" s="2406" t="s">
        <v>1388</v>
      </c>
    </row>
    <row r="31" spans="1:20" ht="32" customHeight="1" x14ac:dyDescent="0.2">
      <c r="A31" s="1517">
        <f>IF(B31="","",COUNTA($B$3:B31))</f>
        <v>29</v>
      </c>
      <c r="B31" s="12">
        <v>6</v>
      </c>
      <c r="C31" s="477" t="s">
        <v>5</v>
      </c>
      <c r="D31" s="477" t="s">
        <v>115</v>
      </c>
      <c r="E31" s="477" t="s">
        <v>1049</v>
      </c>
      <c r="F31" s="321" t="s">
        <v>1374</v>
      </c>
      <c r="G31" s="12" t="s">
        <v>1375</v>
      </c>
      <c r="H31" s="477" t="s">
        <v>1036</v>
      </c>
      <c r="I31" s="2438">
        <v>7512</v>
      </c>
      <c r="J31" s="2442">
        <v>0.13900000000000001</v>
      </c>
      <c r="K31" s="2445">
        <v>2.4500000000000001E-2</v>
      </c>
      <c r="L31" s="14">
        <v>220681</v>
      </c>
      <c r="M31" s="1978">
        <v>91702</v>
      </c>
      <c r="N31" s="1979">
        <f>IFERROR(Table3[[#This Row],[KL Lĩnh ]]/Table3[[#This Row],[Sản lượng]],"")</f>
        <v>2.4065014939695972</v>
      </c>
      <c r="O31" s="1978">
        <v>47828</v>
      </c>
      <c r="P31" s="2409">
        <f>Table3[[#This Row],[Xuất cám]]/(Table3[[#This Row],[Xuất cám]]+Table3[[#This Row],[KL Lĩnh ]])</f>
        <v>0.17812438316778953</v>
      </c>
      <c r="Q31" s="1979">
        <f>IFERROR((Table3[[#This Row],[Xuất cám]]+Table3[[#This Row],[KL Lĩnh ]])/Table3[[#This Row],[Sản lượng]],"")</f>
        <v>2.9280604566966915</v>
      </c>
      <c r="R31" s="902">
        <v>11256</v>
      </c>
      <c r="S31" s="2410">
        <f>IFERROR((Table3[[#This Row],[Lĩnh bù]]+Table3[[#This Row],[Xuất cám]]+Table3[[#This Row],[KL Lĩnh ]])/Table3[[#This Row],[Sản lượng]],"")</f>
        <v>3.0508058711914678</v>
      </c>
      <c r="T31" s="2436" t="s">
        <v>1393</v>
      </c>
    </row>
    <row r="32" spans="1:20" ht="32" customHeight="1" x14ac:dyDescent="0.2">
      <c r="A32" s="1517">
        <f>IF(B32="","",COUNTA($B$3:B32))</f>
        <v>30</v>
      </c>
      <c r="B32" s="12">
        <v>6</v>
      </c>
      <c r="C32" s="477" t="s">
        <v>5</v>
      </c>
      <c r="D32" s="477" t="s">
        <v>115</v>
      </c>
      <c r="E32" s="477" t="s">
        <v>1050</v>
      </c>
      <c r="F32" s="477" t="s">
        <v>1358</v>
      </c>
      <c r="G32" s="12" t="s">
        <v>1383</v>
      </c>
      <c r="H32" s="477" t="s">
        <v>1036</v>
      </c>
      <c r="I32" s="2439">
        <v>7294</v>
      </c>
      <c r="J32" s="2443">
        <v>0.1978</v>
      </c>
      <c r="K32" s="2446">
        <v>8.7999999999999995E-2</v>
      </c>
      <c r="L32" s="14">
        <v>277904</v>
      </c>
      <c r="M32" s="1978">
        <v>110425</v>
      </c>
      <c r="N32" s="1979">
        <f>IFERROR(Table3[[#This Row],[KL Lĩnh ]]/Table3[[#This Row],[Sản lượng]],"")</f>
        <v>2.5166764772470001</v>
      </c>
      <c r="O32" s="1978">
        <f>52659-12990</f>
        <v>39669</v>
      </c>
      <c r="P32" s="2409">
        <f>Table3[[#This Row],[Xuất cám]]/(Table3[[#This Row],[Xuất cám]]+Table3[[#This Row],[KL Lĩnh ]])</f>
        <v>0.12491301212634576</v>
      </c>
      <c r="Q32" s="1979">
        <f>IFERROR((Table3[[#This Row],[Xuất cám]]+Table3[[#This Row],[KL Lĩnh ]])/Table3[[#This Row],[Sản lượng]],"")</f>
        <v>2.8759157799411366</v>
      </c>
      <c r="R32" s="902">
        <v>1300</v>
      </c>
      <c r="S32" s="2410">
        <f>IFERROR((Table3[[#This Row],[Lĩnh bù]]+Table3[[#This Row],[Xuất cám]]+Table3[[#This Row],[KL Lĩnh ]])/Table3[[#This Row],[Sản lượng]],"")</f>
        <v>2.8876884763414084</v>
      </c>
      <c r="T32" s="2436" t="s">
        <v>1394</v>
      </c>
    </row>
    <row r="33" spans="1:20" ht="32" customHeight="1" x14ac:dyDescent="0.2">
      <c r="A33" s="1517">
        <f>IF(B33="","",COUNTA($B$3:B33))</f>
        <v>31</v>
      </c>
      <c r="B33" s="12">
        <v>6</v>
      </c>
      <c r="C33" s="477" t="s">
        <v>5</v>
      </c>
      <c r="D33" s="477" t="s">
        <v>115</v>
      </c>
      <c r="E33" s="477" t="s">
        <v>1050</v>
      </c>
      <c r="F33" s="477" t="s">
        <v>1369</v>
      </c>
      <c r="G33" s="12" t="s">
        <v>1390</v>
      </c>
      <c r="H33" s="477" t="s">
        <v>1036</v>
      </c>
      <c r="I33" s="1978">
        <v>7353</v>
      </c>
      <c r="J33" s="2425">
        <v>0.1754</v>
      </c>
      <c r="K33" s="2424">
        <v>8.3699999999999997E-2</v>
      </c>
      <c r="L33" s="14">
        <v>459800</v>
      </c>
      <c r="M33" s="1978">
        <v>177155</v>
      </c>
      <c r="N33" s="1979">
        <f>IFERROR(Table3[[#This Row],[KL Lĩnh ]]/Table3[[#This Row],[Sản lượng]],"")</f>
        <v>2.5954672461968333</v>
      </c>
      <c r="O33" s="1978">
        <f>53657-8186</f>
        <v>45471</v>
      </c>
      <c r="P33" s="2409">
        <f>Table3[[#This Row],[Xuất cám]]/(Table3[[#This Row],[Xuất cám]]+Table3[[#This Row],[KL Lĩnh ]])</f>
        <v>8.9993290729133479E-2</v>
      </c>
      <c r="Q33" s="1979">
        <f>IFERROR((Table3[[#This Row],[Xuất cám]]+Table3[[#This Row],[KL Lĩnh ]])/Table3[[#This Row],[Sản lượng]],"")</f>
        <v>2.8521407806722925</v>
      </c>
      <c r="R33" s="902">
        <v>3238</v>
      </c>
      <c r="S33" s="2410">
        <f>IFERROR((Table3[[#This Row],[Lĩnh bù]]+Table3[[#This Row],[Xuất cám]]+Table3[[#This Row],[KL Lĩnh ]])/Table3[[#This Row],[Sản lượng]],"")</f>
        <v>2.8704185600180634</v>
      </c>
      <c r="T33" s="2406" t="s">
        <v>1395</v>
      </c>
    </row>
    <row r="34" spans="1:20" ht="32" customHeight="1" x14ac:dyDescent="0.2">
      <c r="A34" s="1517">
        <f>IF(B34="","",COUNTA($B$3:B34))</f>
        <v>32</v>
      </c>
      <c r="B34" s="12">
        <v>6</v>
      </c>
      <c r="C34" s="477" t="s">
        <v>5</v>
      </c>
      <c r="D34" s="477" t="s">
        <v>115</v>
      </c>
      <c r="E34" s="477" t="s">
        <v>1050</v>
      </c>
      <c r="F34" s="477" t="s">
        <v>1358</v>
      </c>
      <c r="G34" s="12" t="s">
        <v>1391</v>
      </c>
      <c r="H34" s="477" t="s">
        <v>1036</v>
      </c>
      <c r="I34" s="1978">
        <v>7404</v>
      </c>
      <c r="J34" s="2425">
        <v>0.128</v>
      </c>
      <c r="K34" s="2424">
        <v>5.0999999999999997E-2</v>
      </c>
      <c r="L34" s="14">
        <v>90549</v>
      </c>
      <c r="M34" s="1978">
        <v>36141</v>
      </c>
      <c r="N34" s="1979">
        <f>IFERROR(Table3[[#This Row],[KL Lĩnh ]]/Table3[[#This Row],[Sản lượng]],"")</f>
        <v>2.5054370382667885</v>
      </c>
      <c r="O34" s="1978">
        <v>7164</v>
      </c>
      <c r="P34" s="2409">
        <f>Table3[[#This Row],[Xuất cám]]/(Table3[[#This Row],[Xuất cám]]+Table3[[#This Row],[KL Lĩnh ]])</f>
        <v>7.3316754167817993E-2</v>
      </c>
      <c r="Q34" s="1979">
        <f>IFERROR((Table3[[#This Row],[Xuất cám]]+Table3[[#This Row],[KL Lĩnh ]])/Table3[[#This Row],[Sản lượng]],"")</f>
        <v>2.7036606624055781</v>
      </c>
      <c r="R34" s="902">
        <v>0</v>
      </c>
      <c r="S34" s="2410">
        <f>IFERROR((Table3[[#This Row],[Lĩnh bù]]+Table3[[#This Row],[Xuất cám]]+Table3[[#This Row],[KL Lĩnh ]])/Table3[[#This Row],[Sản lượng]],"")</f>
        <v>2.7036606624055781</v>
      </c>
      <c r="T34" s="2406" t="s">
        <v>1396</v>
      </c>
    </row>
    <row r="35" spans="1:20" ht="32" customHeight="1" x14ac:dyDescent="0.2">
      <c r="A35" s="1517">
        <f>IF(B35="","",COUNTA($B$3:B35))</f>
        <v>33</v>
      </c>
      <c r="B35" s="12">
        <v>6</v>
      </c>
      <c r="C35" s="477" t="s">
        <v>5</v>
      </c>
      <c r="D35" s="477" t="s">
        <v>115</v>
      </c>
      <c r="E35" s="477" t="s">
        <v>1049</v>
      </c>
      <c r="F35" s="477" t="s">
        <v>1374</v>
      </c>
      <c r="G35" s="12" t="s">
        <v>1392</v>
      </c>
      <c r="H35" s="477" t="s">
        <v>1036</v>
      </c>
      <c r="I35" s="1978">
        <v>7527</v>
      </c>
      <c r="J35" s="2425">
        <v>0.13500000000000001</v>
      </c>
      <c r="K35" s="2424">
        <v>3.6299999999999999E-2</v>
      </c>
      <c r="L35" s="14">
        <v>157124</v>
      </c>
      <c r="M35" s="1978">
        <v>63233</v>
      </c>
      <c r="N35" s="1979">
        <f>IFERROR(Table3[[#This Row],[KL Lĩnh ]]/Table3[[#This Row],[Sản lượng]],"")</f>
        <v>2.4848417756551169</v>
      </c>
      <c r="O35" s="1978">
        <v>16901</v>
      </c>
      <c r="P35" s="2409">
        <f>Table3[[#This Row],[Xuất cám]]/(Table3[[#This Row],[Xuất cám]]+Table3[[#This Row],[KL Lĩnh ]])</f>
        <v>9.7118230139347797E-2</v>
      </c>
      <c r="Q35" s="1979">
        <f>IFERROR((Table3[[#This Row],[Xuất cám]]+Table3[[#This Row],[KL Lĩnh ]])/Table3[[#This Row],[Sản lượng]],"")</f>
        <v>2.7521231002799169</v>
      </c>
      <c r="R35" s="902">
        <v>0</v>
      </c>
      <c r="S35" s="2410">
        <f>IFERROR((Table3[[#This Row],[Lĩnh bù]]+Table3[[#This Row],[Xuất cám]]+Table3[[#This Row],[KL Lĩnh ]])/Table3[[#This Row],[Sản lượng]],"")</f>
        <v>2.7521231002799169</v>
      </c>
      <c r="T35" s="2406" t="s">
        <v>1396</v>
      </c>
    </row>
    <row r="36" spans="1:20" ht="32" customHeight="1" x14ac:dyDescent="0.2">
      <c r="A36" s="1517">
        <f>IF(B36="","",COUNTA($B$3:B36))</f>
        <v>34</v>
      </c>
      <c r="B36" s="12">
        <v>6</v>
      </c>
      <c r="C36" s="477" t="s">
        <v>25</v>
      </c>
      <c r="D36" s="477" t="s">
        <v>116</v>
      </c>
      <c r="E36" s="477" t="s">
        <v>1049</v>
      </c>
      <c r="F36" s="321" t="s">
        <v>1374</v>
      </c>
      <c r="G36" s="12" t="s">
        <v>1375</v>
      </c>
      <c r="H36" s="477" t="s">
        <v>1036</v>
      </c>
      <c r="I36" s="2438">
        <v>7512</v>
      </c>
      <c r="J36" s="2442">
        <v>0.13900000000000001</v>
      </c>
      <c r="K36" s="2445">
        <v>2.4500000000000001E-2</v>
      </c>
      <c r="L36" s="14">
        <v>220416</v>
      </c>
      <c r="M36" s="1978">
        <v>84509</v>
      </c>
      <c r="N36" s="1979">
        <f>IFERROR(Table3[[#This Row],[KL Lĩnh ]]/Table3[[#This Row],[Sản lượng]],"")</f>
        <v>2.6081955768024709</v>
      </c>
      <c r="O36" s="1978">
        <v>47770</v>
      </c>
      <c r="P36" s="2409">
        <f>Table3[[#This Row],[Xuất cám]]/(Table3[[#This Row],[Xuất cám]]+Table3[[#This Row],[KL Lĩnh ]])</f>
        <v>0.17812264622314364</v>
      </c>
      <c r="Q36" s="1979">
        <f>IFERROR((Table3[[#This Row],[Xuất cám]]+Table3[[#This Row],[KL Lĩnh ]])/Table3[[#This Row],[Sản lượng]],"")</f>
        <v>3.1734608148244567</v>
      </c>
      <c r="R36" s="902">
        <v>11243</v>
      </c>
      <c r="S36" s="2410">
        <f>IFERROR((Table3[[#This Row],[Lĩnh bù]]+Table3[[#This Row],[Xuất cám]]+Table3[[#This Row],[KL Lĩnh ]])/Table3[[#This Row],[Sản lượng]],"")</f>
        <v>3.3064998994189967</v>
      </c>
      <c r="T36" s="2436" t="s">
        <v>1393</v>
      </c>
    </row>
    <row r="37" spans="1:20" ht="32" customHeight="1" x14ac:dyDescent="0.2">
      <c r="A37" s="1517">
        <f>IF(B37="","",COUNTA($B$3:B37))</f>
        <v>35</v>
      </c>
      <c r="B37" s="12">
        <v>6</v>
      </c>
      <c r="C37" s="477" t="s">
        <v>25</v>
      </c>
      <c r="D37" s="477" t="s">
        <v>116</v>
      </c>
      <c r="E37" s="477" t="s">
        <v>1050</v>
      </c>
      <c r="F37" s="477" t="s">
        <v>1358</v>
      </c>
      <c r="G37" s="12" t="s">
        <v>1383</v>
      </c>
      <c r="H37" s="477" t="s">
        <v>1036</v>
      </c>
      <c r="I37" s="2439">
        <v>7294</v>
      </c>
      <c r="J37" s="2443">
        <v>0.1978</v>
      </c>
      <c r="K37" s="2446">
        <v>8.7999999999999995E-2</v>
      </c>
      <c r="L37" s="14">
        <v>281655</v>
      </c>
      <c r="M37" s="1978">
        <v>103942</v>
      </c>
      <c r="N37" s="1979">
        <f>IFERROR(Table3[[#This Row],[KL Lĩnh ]]/Table3[[#This Row],[Sản lượng]],"")</f>
        <v>2.7097323507340634</v>
      </c>
      <c r="O37" s="1978">
        <f>53370-13165</f>
        <v>40205</v>
      </c>
      <c r="P37" s="2409">
        <f>Table3[[#This Row],[Xuất cám]]/(Table3[[#This Row],[Xuất cám]]+Table3[[#This Row],[KL Lĩnh ]])</f>
        <v>0.12491455912508544</v>
      </c>
      <c r="Q37" s="1979">
        <f>IFERROR((Table3[[#This Row],[Xuất cám]]+Table3[[#This Row],[KL Lĩnh ]])/Table3[[#This Row],[Sản lượng]],"")</f>
        <v>3.0965346058378711</v>
      </c>
      <c r="R37" s="902">
        <v>1317</v>
      </c>
      <c r="S37" s="2410">
        <f>IFERROR((Table3[[#This Row],[Lĩnh bù]]+Table3[[#This Row],[Xuất cám]]+Table3[[#This Row],[KL Lĩnh ]])/Table3[[#This Row],[Sản lượng]],"")</f>
        <v>3.109205133632218</v>
      </c>
      <c r="T37" s="2436" t="s">
        <v>1394</v>
      </c>
    </row>
    <row r="38" spans="1:20" ht="32" customHeight="1" x14ac:dyDescent="0.2">
      <c r="A38" s="1517">
        <f>IF(B38="","",COUNTA($B$3:B38))</f>
        <v>36</v>
      </c>
      <c r="B38" s="12">
        <v>6</v>
      </c>
      <c r="C38" s="477" t="s">
        <v>25</v>
      </c>
      <c r="D38" s="477" t="s">
        <v>116</v>
      </c>
      <c r="E38" s="477" t="s">
        <v>1050</v>
      </c>
      <c r="F38" s="477" t="s">
        <v>1369</v>
      </c>
      <c r="G38" s="12" t="s">
        <v>1390</v>
      </c>
      <c r="H38" s="477" t="s">
        <v>1036</v>
      </c>
      <c r="I38" s="1978">
        <v>7353</v>
      </c>
      <c r="J38" s="2425">
        <v>0.1754</v>
      </c>
      <c r="K38" s="2424">
        <v>8.3699999999999997E-2</v>
      </c>
      <c r="L38" s="14">
        <v>461030</v>
      </c>
      <c r="M38" s="1978">
        <v>164174</v>
      </c>
      <c r="N38" s="1979">
        <f>IFERROR(Table3[[#This Row],[KL Lĩnh ]]/Table3[[#This Row],[Sản lượng]],"")</f>
        <v>2.8081791270237675</v>
      </c>
      <c r="O38" s="1978">
        <f>53801-8471</f>
        <v>45330</v>
      </c>
      <c r="P38" s="2409">
        <f>Table3[[#This Row],[Xuất cám]]/(Table3[[#This Row],[Xuất cám]]+Table3[[#This Row],[KL Lĩnh ]])</f>
        <v>8.9521289201358711E-2</v>
      </c>
      <c r="Q38" s="1979">
        <f>IFERROR((Table3[[#This Row],[Xuất cám]]+Table3[[#This Row],[KL Lĩnh ]])/Table3[[#This Row],[Sản lượng]],"")</f>
        <v>3.0842886206098408</v>
      </c>
      <c r="R38" s="902">
        <v>3247</v>
      </c>
      <c r="S38" s="2410">
        <f>IFERROR((Table3[[#This Row],[Lĩnh bù]]+Table3[[#This Row],[Xuất cám]]+Table3[[#This Row],[KL Lĩnh ]])/Table3[[#This Row],[Sản lượng]],"")</f>
        <v>3.1040664173377026</v>
      </c>
      <c r="T38" s="2406" t="s">
        <v>1395</v>
      </c>
    </row>
    <row r="39" spans="1:20" ht="32" customHeight="1" x14ac:dyDescent="0.2">
      <c r="A39" s="1517">
        <f>IF(B39="","",COUNTA($B$3:B39))</f>
        <v>37</v>
      </c>
      <c r="B39" s="12">
        <v>6</v>
      </c>
      <c r="C39" s="477" t="s">
        <v>25</v>
      </c>
      <c r="D39" s="477" t="s">
        <v>116</v>
      </c>
      <c r="E39" s="477" t="s">
        <v>1050</v>
      </c>
      <c r="F39" s="477" t="s">
        <v>1358</v>
      </c>
      <c r="G39" s="12" t="s">
        <v>1391</v>
      </c>
      <c r="H39" s="477" t="s">
        <v>1036</v>
      </c>
      <c r="I39" s="1978">
        <v>7404</v>
      </c>
      <c r="J39" s="2425">
        <v>0.128</v>
      </c>
      <c r="K39" s="2424">
        <v>5.0999999999999997E-2</v>
      </c>
      <c r="L39" s="14">
        <v>80553</v>
      </c>
      <c r="M39" s="1978">
        <v>29933</v>
      </c>
      <c r="N39" s="1979">
        <f>IFERROR(Table3[[#This Row],[KL Lĩnh ]]/Table3[[#This Row],[Sản lượng]],"")</f>
        <v>2.6911101459927171</v>
      </c>
      <c r="O39" s="1978">
        <v>6373</v>
      </c>
      <c r="P39" s="2409">
        <f>Table3[[#This Row],[Xuất cám]]/(Table3[[#This Row],[Xuất cám]]+Table3[[#This Row],[KL Lĩnh ]])</f>
        <v>7.3315233647010106E-2</v>
      </c>
      <c r="Q39" s="1979">
        <f>IFERROR((Table3[[#This Row],[Xuất cám]]+Table3[[#This Row],[KL Lĩnh ]])/Table3[[#This Row],[Sản lượng]],"")</f>
        <v>2.9040189757124244</v>
      </c>
      <c r="R39" s="902">
        <v>0</v>
      </c>
      <c r="S39" s="2410">
        <f>IFERROR((Table3[[#This Row],[Lĩnh bù]]+Table3[[#This Row],[Xuất cám]]+Table3[[#This Row],[KL Lĩnh ]])/Table3[[#This Row],[Sản lượng]],"")</f>
        <v>2.9040189757124244</v>
      </c>
      <c r="T39" s="2406" t="s">
        <v>1396</v>
      </c>
    </row>
    <row r="40" spans="1:20" ht="32" customHeight="1" x14ac:dyDescent="0.2">
      <c r="A40" s="1517">
        <f>IF(B40="","",COUNTA($B$3:B40))</f>
        <v>38</v>
      </c>
      <c r="B40" s="12">
        <v>6</v>
      </c>
      <c r="C40" s="477" t="s">
        <v>25</v>
      </c>
      <c r="D40" s="477" t="s">
        <v>116</v>
      </c>
      <c r="E40" s="477" t="s">
        <v>1050</v>
      </c>
      <c r="F40" s="477" t="s">
        <v>1358</v>
      </c>
      <c r="G40" s="12" t="s">
        <v>1391</v>
      </c>
      <c r="H40" s="477" t="s">
        <v>1035</v>
      </c>
      <c r="I40" s="1978">
        <v>7404</v>
      </c>
      <c r="J40" s="2425">
        <v>0.128</v>
      </c>
      <c r="K40" s="2424">
        <v>5.0999999999999997E-2</v>
      </c>
      <c r="L40" s="14">
        <v>3047</v>
      </c>
      <c r="M40" s="1978"/>
      <c r="N40" s="1979" t="str">
        <f>IFERROR(Table3[[#This Row],[KL Lĩnh ]]/Table3[[#This Row],[Sản lượng]],"")</f>
        <v/>
      </c>
      <c r="O40" s="1978">
        <v>241</v>
      </c>
      <c r="P40" s="2409">
        <f>Table3[[#This Row],[Xuất cám]]/(Table3[[#This Row],[Xuất cám]]+Table3[[#This Row],[KL Lĩnh ]])</f>
        <v>7.3296836982968364E-2</v>
      </c>
      <c r="Q40" s="1979" t="str">
        <f>IFERROR((Table3[[#This Row],[Xuất cám]]+Table3[[#This Row],[KL Lĩnh ]])/Table3[[#This Row],[Sản lượng]],"")</f>
        <v/>
      </c>
      <c r="R40" s="902">
        <v>0</v>
      </c>
      <c r="S40" s="2410" t="str">
        <f>IFERROR((Table3[[#This Row],[Lĩnh bù]]+Table3[[#This Row],[Xuất cám]]+Table3[[#This Row],[KL Lĩnh ]])/Table3[[#This Row],[Sản lượng]],"")</f>
        <v/>
      </c>
      <c r="T40" s="2454" t="s">
        <v>1397</v>
      </c>
    </row>
    <row r="41" spans="1:20" ht="32" customHeight="1" x14ac:dyDescent="0.2">
      <c r="A41" s="1517">
        <f>IF(B41="","",COUNTA($B$3:B41))</f>
        <v>39</v>
      </c>
      <c r="B41" s="12">
        <v>6</v>
      </c>
      <c r="C41" s="477" t="s">
        <v>25</v>
      </c>
      <c r="D41" s="477" t="s">
        <v>116</v>
      </c>
      <c r="E41" s="477" t="s">
        <v>1049</v>
      </c>
      <c r="F41" s="477" t="s">
        <v>1374</v>
      </c>
      <c r="G41" s="12" t="s">
        <v>1392</v>
      </c>
      <c r="H41" s="477" t="s">
        <v>1036</v>
      </c>
      <c r="I41" s="1978">
        <v>7527</v>
      </c>
      <c r="J41" s="2425">
        <v>0.13500000000000001</v>
      </c>
      <c r="K41" s="2424">
        <v>3.6299999999999999E-2</v>
      </c>
      <c r="L41" s="14">
        <v>131979</v>
      </c>
      <c r="M41" s="1978">
        <v>48281</v>
      </c>
      <c r="N41" s="1979">
        <f>IFERROR(Table3[[#This Row],[KL Lĩnh ]]/Table3[[#This Row],[Sản lượng]],"")</f>
        <v>2.7335597854228371</v>
      </c>
      <c r="O41" s="1978">
        <v>14196</v>
      </c>
      <c r="P41" s="2409">
        <f>Table3[[#This Row],[Xuất cám]]/(Table3[[#This Row],[Xuất cám]]+Table3[[#This Row],[KL Lĩnh ]])</f>
        <v>9.711646998460749E-2</v>
      </c>
      <c r="Q41" s="1979">
        <f>IFERROR((Table3[[#This Row],[Xuất cám]]+Table3[[#This Row],[KL Lĩnh ]])/Table3[[#This Row],[Sản lượng]],"")</f>
        <v>3.027588492367598</v>
      </c>
      <c r="R41" s="902">
        <v>0</v>
      </c>
      <c r="S41" s="2410">
        <f>IFERROR((Table3[[#This Row],[Lĩnh bù]]+Table3[[#This Row],[Xuất cám]]+Table3[[#This Row],[KL Lĩnh ]])/Table3[[#This Row],[Sản lượng]],"")</f>
        <v>3.027588492367598</v>
      </c>
      <c r="T41" s="2406" t="s">
        <v>1396</v>
      </c>
    </row>
    <row r="42" spans="1:20" ht="32" customHeight="1" x14ac:dyDescent="0.2">
      <c r="A42" s="1517">
        <f>IF(B42="","",COUNTA($B$3:B42))</f>
        <v>40</v>
      </c>
      <c r="B42" s="12">
        <v>6</v>
      </c>
      <c r="C42" s="477" t="s">
        <v>25</v>
      </c>
      <c r="D42" s="477" t="s">
        <v>116</v>
      </c>
      <c r="E42" s="477" t="s">
        <v>1049</v>
      </c>
      <c r="F42" s="477" t="s">
        <v>1374</v>
      </c>
      <c r="G42" s="12" t="s">
        <v>1392</v>
      </c>
      <c r="H42" s="477" t="s">
        <v>1035</v>
      </c>
      <c r="I42" s="1978">
        <v>7527</v>
      </c>
      <c r="J42" s="2425">
        <v>0.13500000000000001</v>
      </c>
      <c r="K42" s="2424">
        <v>3.6299999999999999E-2</v>
      </c>
      <c r="L42" s="14">
        <v>7111</v>
      </c>
      <c r="M42" s="1978"/>
      <c r="N42" s="1979" t="str">
        <f>IFERROR(Table3[[#This Row],[KL Lĩnh ]]/Table3[[#This Row],[Sản lượng]],"")</f>
        <v/>
      </c>
      <c r="O42" s="1978">
        <v>765</v>
      </c>
      <c r="P42" s="2409">
        <f>Table3[[#This Row],[Xuất cám]]/(Table3[[#This Row],[Xuất cám]]+Table3[[#This Row],[KL Lĩnh ]])</f>
        <v>9.7130523108176742E-2</v>
      </c>
      <c r="Q42" s="1979" t="str">
        <f>IFERROR((Table3[[#This Row],[Xuất cám]]+Table3[[#This Row],[KL Lĩnh ]])/Table3[[#This Row],[Sản lượng]],"")</f>
        <v/>
      </c>
      <c r="R42" s="902">
        <v>0</v>
      </c>
      <c r="S42" s="2410" t="str">
        <f>IFERROR((Table3[[#This Row],[Lĩnh bù]]+Table3[[#This Row],[Xuất cám]]+Table3[[#This Row],[KL Lĩnh ]])/Table3[[#This Row],[Sản lượng]],"")</f>
        <v/>
      </c>
      <c r="T42" s="2454" t="s">
        <v>1397</v>
      </c>
    </row>
    <row r="43" spans="1:20" ht="32" customHeight="1" x14ac:dyDescent="0.2">
      <c r="A43" s="1517">
        <f>IF(B43="","",COUNTA($B$3:B43))</f>
        <v>41</v>
      </c>
      <c r="B43" s="12">
        <v>6</v>
      </c>
      <c r="C43" s="477" t="s">
        <v>25</v>
      </c>
      <c r="D43" s="477" t="s">
        <v>119</v>
      </c>
      <c r="E43" s="477" t="s">
        <v>1050</v>
      </c>
      <c r="F43" s="477" t="s">
        <v>1358</v>
      </c>
      <c r="G43" s="12" t="s">
        <v>1391</v>
      </c>
      <c r="H43" s="477" t="s">
        <v>1035</v>
      </c>
      <c r="I43" s="1978">
        <v>7404</v>
      </c>
      <c r="J43" s="2425">
        <v>0.128</v>
      </c>
      <c r="K43" s="2424">
        <v>5.0999999999999997E-2</v>
      </c>
      <c r="L43" s="14">
        <v>4290</v>
      </c>
      <c r="M43" s="1978">
        <v>1699</v>
      </c>
      <c r="N43" s="1979">
        <f>IFERROR(Table3[[#This Row],[KL Lĩnh ]]/Table3[[#This Row],[Sản lượng]],"")</f>
        <v>2.5250147145379636</v>
      </c>
      <c r="O43" s="1978">
        <v>339</v>
      </c>
      <c r="P43" s="2409">
        <f>Table3[[#This Row],[Xuất cám]]/(Table3[[#This Row],[Xuất cám]]+Table3[[#This Row],[KL Lĩnh ]])</f>
        <v>7.3233959818535324E-2</v>
      </c>
      <c r="Q43" s="1979">
        <f>IFERROR((Table3[[#This Row],[Xuất cám]]+Table3[[#This Row],[KL Lĩnh ]])/Table3[[#This Row],[Sản lượng]],"")</f>
        <v>2.7245438493231311</v>
      </c>
      <c r="R43" s="902">
        <v>0</v>
      </c>
      <c r="S43" s="2410">
        <f>IFERROR((Table3[[#This Row],[Lĩnh bù]]+Table3[[#This Row],[Xuất cám]]+Table3[[#This Row],[KL Lĩnh ]])/Table3[[#This Row],[Sản lượng]],"")</f>
        <v>2.7245438493231311</v>
      </c>
      <c r="T43" s="2406" t="s">
        <v>1396</v>
      </c>
    </row>
    <row r="44" spans="1:20" ht="32" customHeight="1" x14ac:dyDescent="0.2">
      <c r="A44" s="2455">
        <f>IF(B44="","",COUNTA($B$3:B80))</f>
        <v>64</v>
      </c>
      <c r="B44" s="12">
        <v>6</v>
      </c>
      <c r="C44" s="477" t="s">
        <v>25</v>
      </c>
      <c r="D44" s="477" t="s">
        <v>119</v>
      </c>
      <c r="E44" s="477" t="s">
        <v>1049</v>
      </c>
      <c r="F44" s="477" t="s">
        <v>1374</v>
      </c>
      <c r="G44" s="12" t="s">
        <v>1392</v>
      </c>
      <c r="H44" s="477" t="s">
        <v>1036</v>
      </c>
      <c r="I44" s="1978">
        <v>7527</v>
      </c>
      <c r="J44" s="2425">
        <v>0.13500000000000001</v>
      </c>
      <c r="K44" s="2424">
        <v>3.6299999999999999E-2</v>
      </c>
      <c r="L44" s="2430">
        <v>10009</v>
      </c>
      <c r="M44" s="1981">
        <v>3970</v>
      </c>
      <c r="N44" s="1983">
        <f>IFERROR(Table3[[#This Row],[KL Lĩnh ]]/Table3[[#This Row],[Sản lượng]],"")</f>
        <v>2.5211586901763225</v>
      </c>
      <c r="O44" s="1981">
        <v>1077</v>
      </c>
      <c r="P44" s="2409">
        <f>Table3[[#This Row],[Xuất cám]]/(Table3[[#This Row],[Xuất cám]]+Table3[[#This Row],[KL Lĩnh ]])</f>
        <v>9.7149558001082451E-2</v>
      </c>
      <c r="Q44" s="1983">
        <f>IFERROR((Table3[[#This Row],[Xuất cám]]+Table3[[#This Row],[KL Lĩnh ]])/Table3[[#This Row],[Sản lượng]],"")</f>
        <v>2.7924433249370275</v>
      </c>
      <c r="R44" s="902">
        <v>0</v>
      </c>
      <c r="S44" s="2410">
        <f>IFERROR((Table3[[#This Row],[Lĩnh bù]]+Table3[[#This Row],[Xuất cám]]+Table3[[#This Row],[KL Lĩnh ]])/Table3[[#This Row],[Sản lượng]],"")</f>
        <v>2.7924433249370275</v>
      </c>
      <c r="T44" s="2406" t="s">
        <v>1396</v>
      </c>
    </row>
    <row r="45" spans="1:20" ht="30" customHeight="1" x14ac:dyDescent="0.2">
      <c r="A45" s="1517">
        <f>IF(B45="","",COUNTA($B$3:B45))</f>
        <v>43</v>
      </c>
      <c r="B45" s="12">
        <v>7</v>
      </c>
      <c r="C45" s="477" t="s">
        <v>5</v>
      </c>
      <c r="D45" s="477" t="s">
        <v>115</v>
      </c>
      <c r="E45" s="477" t="s">
        <v>1050</v>
      </c>
      <c r="F45" s="477" t="s">
        <v>1358</v>
      </c>
      <c r="G45" s="12" t="s">
        <v>1391</v>
      </c>
      <c r="H45" s="477" t="s">
        <v>1036</v>
      </c>
      <c r="I45" s="1978">
        <v>7404</v>
      </c>
      <c r="J45" s="2425">
        <v>0.128</v>
      </c>
      <c r="K45" s="2424">
        <v>5.0999999999999997E-2</v>
      </c>
      <c r="L45" s="14">
        <v>166651</v>
      </c>
      <c r="M45" s="1978">
        <v>68695.127999999997</v>
      </c>
      <c r="N45" s="1979">
        <f>IFERROR(Table3[[#This Row],[KL Lĩnh ]]/Table3[[#This Row],[Sản lượng]],"")</f>
        <v>2.4259507894067829</v>
      </c>
      <c r="O45" s="1978">
        <v>17409</v>
      </c>
      <c r="P45" s="2409">
        <f>Table3[[#This Row],[Xuất cám]]/(Table3[[#This Row],[Xuất cám]]+Table3[[#This Row],[KL Lĩnh ]])</f>
        <v>9.4583288058241871E-2</v>
      </c>
      <c r="Q45" s="1979">
        <f>IFERROR((Table3[[#This Row],[Xuất cám]]+Table3[[#This Row],[KL Lĩnh ]])/Table3[[#This Row],[Sản lượng]],"")</f>
        <v>2.6793748750275275</v>
      </c>
      <c r="R45" s="902">
        <v>1481</v>
      </c>
      <c r="S45" s="2410">
        <f>IFERROR((Table3[[#This Row],[Lĩnh bù]]+Table3[[#This Row],[Xuất cám]]+Table3[[#This Row],[KL Lĩnh ]])/Table3[[#This Row],[Sản lượng]],"")</f>
        <v>2.700933900290571</v>
      </c>
      <c r="T45" s="2436" t="s">
        <v>1399</v>
      </c>
    </row>
    <row r="46" spans="1:20" ht="30" customHeight="1" x14ac:dyDescent="0.2">
      <c r="A46" s="1517">
        <f>IF(B46="","",COUNTA($B$3:B46))</f>
        <v>44</v>
      </c>
      <c r="B46" s="12">
        <v>7</v>
      </c>
      <c r="C46" s="477" t="s">
        <v>5</v>
      </c>
      <c r="D46" s="477" t="s">
        <v>115</v>
      </c>
      <c r="E46" s="477" t="s">
        <v>1049</v>
      </c>
      <c r="F46" s="477" t="s">
        <v>1374</v>
      </c>
      <c r="G46" s="12" t="s">
        <v>1392</v>
      </c>
      <c r="H46" s="477" t="s">
        <v>1036</v>
      </c>
      <c r="I46" s="1978">
        <v>7527</v>
      </c>
      <c r="J46" s="2425">
        <v>0.13500000000000001</v>
      </c>
      <c r="K46" s="2424">
        <v>3.6299999999999999E-2</v>
      </c>
      <c r="L46" s="14">
        <v>830550</v>
      </c>
      <c r="M46" s="1978">
        <v>346811.47200000001</v>
      </c>
      <c r="N46" s="1979">
        <f>IFERROR(Table3[[#This Row],[KL Lĩnh ]]/Table3[[#This Row],[Sản lượng]],"")</f>
        <v>2.3948169742205065</v>
      </c>
      <c r="O46" s="1978">
        <v>102199</v>
      </c>
      <c r="P46" s="2409">
        <f>Table3[[#This Row],[Xuất cám]]/(Table3[[#This Row],[Xuất cám]]+Table3[[#This Row],[KL Lĩnh ]])</f>
        <v>0.10956752566874904</v>
      </c>
      <c r="Q46" s="1979">
        <f>IFERROR((Table3[[#This Row],[Xuất cám]]+Table3[[#This Row],[KL Lĩnh ]])/Table3[[#This Row],[Sản lượng]],"")</f>
        <v>2.6894986910928944</v>
      </c>
      <c r="R46" s="902">
        <v>0</v>
      </c>
      <c r="S46" s="2410">
        <f>IFERROR((Table3[[#This Row],[Lĩnh bù]]+Table3[[#This Row],[Xuất cám]]+Table3[[#This Row],[KL Lĩnh ]])/Table3[[#This Row],[Sản lượng]],"")</f>
        <v>2.6894986910928944</v>
      </c>
      <c r="T46" s="2436" t="s">
        <v>1400</v>
      </c>
    </row>
    <row r="47" spans="1:20" ht="30" customHeight="1" x14ac:dyDescent="0.2">
      <c r="A47" s="1517">
        <f>IF(B47="","",COUNTA($B$3:B47))</f>
        <v>45</v>
      </c>
      <c r="B47" s="12">
        <v>7</v>
      </c>
      <c r="C47" s="477" t="s">
        <v>5</v>
      </c>
      <c r="D47" s="477" t="s">
        <v>115</v>
      </c>
      <c r="E47" s="477" t="s">
        <v>1050</v>
      </c>
      <c r="F47" s="477" t="s">
        <v>1369</v>
      </c>
      <c r="G47" s="12" t="s">
        <v>1398</v>
      </c>
      <c r="H47" s="477" t="s">
        <v>1036</v>
      </c>
      <c r="I47" s="1978">
        <v>7360</v>
      </c>
      <c r="J47" s="2425">
        <v>0.17399999999999999</v>
      </c>
      <c r="K47" s="2435">
        <v>5.6000000000000001E-2</v>
      </c>
      <c r="L47" s="14">
        <v>189302</v>
      </c>
      <c r="M47" s="1978">
        <v>79938.36</v>
      </c>
      <c r="N47" s="1979">
        <f>IFERROR(Table3[[#This Row],[KL Lĩnh ]]/Table3[[#This Row],[Sản lượng]],"")</f>
        <v>2.368099620757794</v>
      </c>
      <c r="O47" s="1978">
        <f>26382-3106</f>
        <v>23276</v>
      </c>
      <c r="P47" s="2409">
        <f>Table3[[#This Row],[Xuất cám]]/(Table3[[#This Row],[Xuất cám]]+Table3[[#This Row],[KL Lĩnh ]])</f>
        <v>0.10949392693505443</v>
      </c>
      <c r="Q47" s="1979">
        <f>IFERROR((Table3[[#This Row],[Xuất cám]]+Table3[[#This Row],[KL Lĩnh ]])/Table3[[#This Row],[Sản lượng]],"")</f>
        <v>2.6592739705943429</v>
      </c>
      <c r="R47" s="902">
        <v>0</v>
      </c>
      <c r="S47" s="2410">
        <f>IFERROR((Table3[[#This Row],[Lĩnh bù]]+Table3[[#This Row],[Xuất cám]]+Table3[[#This Row],[KL Lĩnh ]])/Table3[[#This Row],[Sản lượng]],"")</f>
        <v>2.6592739705943429</v>
      </c>
      <c r="T47" s="2436" t="s">
        <v>1401</v>
      </c>
    </row>
    <row r="48" spans="1:20" ht="32" customHeight="1" x14ac:dyDescent="0.2">
      <c r="A48" s="1517">
        <f>IF(B48="","",COUNTA($B$3:B48))</f>
        <v>46</v>
      </c>
      <c r="B48" s="12">
        <v>7</v>
      </c>
      <c r="C48" s="477" t="s">
        <v>25</v>
      </c>
      <c r="D48" s="477" t="s">
        <v>119</v>
      </c>
      <c r="E48" s="477" t="s">
        <v>1050</v>
      </c>
      <c r="F48" s="477" t="s">
        <v>1358</v>
      </c>
      <c r="G48" s="12" t="s">
        <v>1391</v>
      </c>
      <c r="H48" s="477" t="s">
        <v>1036</v>
      </c>
      <c r="I48" s="1978">
        <v>7404</v>
      </c>
      <c r="J48" s="2425">
        <v>0.128</v>
      </c>
      <c r="K48" s="2424">
        <v>5.0999999999999997E-2</v>
      </c>
      <c r="L48" s="14">
        <v>108110</v>
      </c>
      <c r="M48" s="1978">
        <v>59303.25</v>
      </c>
      <c r="N48" s="1979">
        <f>IFERROR(Table3[[#This Row],[KL Lĩnh ]]/Table3[[#This Row],[Sản lượng]],"")</f>
        <v>1.8230029551500129</v>
      </c>
      <c r="O48" s="1978">
        <v>11293</v>
      </c>
      <c r="P48" s="2409">
        <f>Table3[[#This Row],[Xuất cám]]/(Table3[[#This Row],[Xuất cám]]+Table3[[#This Row],[KL Lĩnh ]])</f>
        <v>9.4578863177642108E-2</v>
      </c>
      <c r="Q48" s="1979">
        <f>IFERROR((Table3[[#This Row],[Xuất cám]]+Table3[[#This Row],[KL Lĩnh ]])/Table3[[#This Row],[Sản lượng]],"")</f>
        <v>2.0134309671055126</v>
      </c>
      <c r="R48" s="902">
        <v>960</v>
      </c>
      <c r="S48" s="2410">
        <f>IFERROR((Table3[[#This Row],[Lĩnh bù]]+Table3[[#This Row],[Xuất cám]]+Table3[[#This Row],[KL Lĩnh ]])/Table3[[#This Row],[Sản lượng]],"")</f>
        <v>2.029618950057543</v>
      </c>
      <c r="T48" s="2436" t="s">
        <v>1399</v>
      </c>
    </row>
    <row r="49" spans="1:20" ht="32" customHeight="1" x14ac:dyDescent="0.2">
      <c r="A49" s="1517">
        <f>IF(B49="","",COUNTA($B$3:B49))</f>
        <v>47</v>
      </c>
      <c r="B49" s="12">
        <v>7</v>
      </c>
      <c r="C49" s="477" t="s">
        <v>25</v>
      </c>
      <c r="D49" s="477" t="s">
        <v>119</v>
      </c>
      <c r="E49" s="477" t="s">
        <v>1049</v>
      </c>
      <c r="F49" s="477" t="s">
        <v>1374</v>
      </c>
      <c r="G49" s="12" t="s">
        <v>1392</v>
      </c>
      <c r="H49" s="477" t="s">
        <v>1036</v>
      </c>
      <c r="I49" s="1978">
        <v>7527</v>
      </c>
      <c r="J49" s="2425">
        <v>0.13500000000000001</v>
      </c>
      <c r="K49" s="2424">
        <v>3.6299999999999999E-2</v>
      </c>
      <c r="L49" s="14">
        <v>541253</v>
      </c>
      <c r="M49" s="1978">
        <v>306848.84999999998</v>
      </c>
      <c r="N49" s="1979">
        <f>IFERROR(Table3[[#This Row],[KL Lĩnh ]]/Table3[[#This Row],[Sản lượng]],"")</f>
        <v>1.7639075394937933</v>
      </c>
      <c r="O49" s="1978">
        <v>66601</v>
      </c>
      <c r="P49" s="2409">
        <f>Table3[[#This Row],[Xuất cám]]/(Table3[[#This Row],[Xuất cám]]+Table3[[#This Row],[KL Lĩnh ]])</f>
        <v>0.10956742902078459</v>
      </c>
      <c r="Q49" s="1979">
        <f>IFERROR((Table3[[#This Row],[Xuất cám]]+Table3[[#This Row],[KL Lĩnh ]])/Table3[[#This Row],[Sản lượng]],"")</f>
        <v>1.9809557702432323</v>
      </c>
      <c r="R49" s="902"/>
      <c r="S49" s="2410">
        <f>IFERROR((Table3[[#This Row],[Lĩnh bù]]+Table3[[#This Row],[Xuất cám]]+Table3[[#This Row],[KL Lĩnh ]])/Table3[[#This Row],[Sản lượng]],"")</f>
        <v>1.9809557702432323</v>
      </c>
      <c r="T49" s="2436" t="s">
        <v>1400</v>
      </c>
    </row>
    <row r="50" spans="1:20" ht="32" customHeight="1" x14ac:dyDescent="0.2">
      <c r="A50" s="1517">
        <f>IF(B50="","",COUNTA($B$3:B50))</f>
        <v>48</v>
      </c>
      <c r="B50" s="12">
        <v>7</v>
      </c>
      <c r="C50" s="477" t="s">
        <v>25</v>
      </c>
      <c r="D50" s="477" t="s">
        <v>119</v>
      </c>
      <c r="E50" s="477" t="s">
        <v>1050</v>
      </c>
      <c r="F50" s="477" t="s">
        <v>1369</v>
      </c>
      <c r="G50" s="12" t="s">
        <v>1398</v>
      </c>
      <c r="H50" s="477" t="s">
        <v>1036</v>
      </c>
      <c r="I50" s="1978">
        <v>7360</v>
      </c>
      <c r="J50" s="2425">
        <v>0.17399999999999999</v>
      </c>
      <c r="K50" s="2435">
        <v>5.6000000000000001E-2</v>
      </c>
      <c r="L50" s="14">
        <v>123853</v>
      </c>
      <c r="M50" s="1978">
        <v>72203.399999999994</v>
      </c>
      <c r="N50" s="1979">
        <f>IFERROR(Table3[[#This Row],[KL Lĩnh ]]/Table3[[#This Row],[Sản lượng]],"")</f>
        <v>1.7153347349293802</v>
      </c>
      <c r="O50" s="1978">
        <f>17260-2032</f>
        <v>15228</v>
      </c>
      <c r="P50" s="2409">
        <f>Table3[[#This Row],[Xuất cám]]/(Table3[[#This Row],[Xuất cám]]+Table3[[#This Row],[KL Lĩnh ]])</f>
        <v>0.109490153220066</v>
      </c>
      <c r="Q50" s="1979">
        <f>IFERROR((Table3[[#This Row],[Xuất cám]]+Table3[[#This Row],[KL Lĩnh ]])/Table3[[#This Row],[Sản lượng]],"")</f>
        <v>1.9262389305766765</v>
      </c>
      <c r="R50" s="902"/>
      <c r="S50" s="2410">
        <f>IFERROR((Table3[[#This Row],[Lĩnh bù]]+Table3[[#This Row],[Xuất cám]]+Table3[[#This Row],[KL Lĩnh ]])/Table3[[#This Row],[Sản lượng]],"")</f>
        <v>1.9262389305766765</v>
      </c>
      <c r="T50" s="2436" t="s">
        <v>1401</v>
      </c>
    </row>
    <row r="51" spans="1:20" ht="26" customHeight="1" x14ac:dyDescent="0.2">
      <c r="A51" s="1517">
        <f>IF(B51="","",COUNTA($B$3:B51))</f>
        <v>49</v>
      </c>
      <c r="B51" s="12">
        <v>8</v>
      </c>
      <c r="C51" s="477" t="s">
        <v>5</v>
      </c>
      <c r="D51" s="477" t="s">
        <v>115</v>
      </c>
      <c r="E51" s="477" t="s">
        <v>1049</v>
      </c>
      <c r="F51" s="477" t="s">
        <v>1374</v>
      </c>
      <c r="G51" s="12" t="s">
        <v>1392</v>
      </c>
      <c r="H51" s="477" t="s">
        <v>1036</v>
      </c>
      <c r="I51" s="1978">
        <v>7527</v>
      </c>
      <c r="J51" s="2425">
        <v>0.13500000000000001</v>
      </c>
      <c r="K51" s="2424">
        <v>3.6299999999999999E-2</v>
      </c>
      <c r="L51" s="14">
        <v>532615</v>
      </c>
      <c r="M51" s="1978">
        <v>223309</v>
      </c>
      <c r="N51" s="1979">
        <f>IFERROR(Table3[[#This Row],[KL Lĩnh ]]/Table3[[#This Row],[Sản lượng]],"")</f>
        <v>2.3851031530301063</v>
      </c>
      <c r="O51" s="1978">
        <v>83540</v>
      </c>
      <c r="P51" s="2409">
        <f>Table3[[#This Row],[Xuất cám]]/(Table3[[#This Row],[Xuất cám]]+Table3[[#This Row],[KL Lĩnh ]])</f>
        <v>0.13558276732315733</v>
      </c>
      <c r="Q51" s="1979">
        <f>IFERROR((Table3[[#This Row],[Xuất cám]]+Table3[[#This Row],[KL Lĩnh ]])/Table3[[#This Row],[Sản lượng]],"")</f>
        <v>2.759203614722201</v>
      </c>
      <c r="R51" s="902">
        <v>9783</v>
      </c>
      <c r="S51" s="2410">
        <f>IFERROR((Table3[[#This Row],[Lĩnh bù]]+Table3[[#This Row],[Xuất cám]]+Table3[[#This Row],[KL Lĩnh ]])/Table3[[#This Row],[Sản lượng]],"")</f>
        <v>2.8030128655808766</v>
      </c>
      <c r="T51" s="2436" t="s">
        <v>1404</v>
      </c>
    </row>
    <row r="52" spans="1:20" ht="26" customHeight="1" x14ac:dyDescent="0.2">
      <c r="A52" s="1517">
        <f>IF(B52="","",COUNTA($B$3:B52))</f>
        <v>50</v>
      </c>
      <c r="B52" s="12">
        <v>8</v>
      </c>
      <c r="C52" s="477" t="s">
        <v>5</v>
      </c>
      <c r="D52" s="477" t="s">
        <v>115</v>
      </c>
      <c r="E52" s="477" t="s">
        <v>1049</v>
      </c>
      <c r="F52" s="477" t="s">
        <v>1374</v>
      </c>
      <c r="G52" s="12" t="s">
        <v>1392</v>
      </c>
      <c r="H52" s="477" t="s">
        <v>1035</v>
      </c>
      <c r="I52" s="1978">
        <v>7527</v>
      </c>
      <c r="J52" s="2425">
        <v>0.13500000000000001</v>
      </c>
      <c r="K52" s="2424">
        <v>3.6299999999999999E-2</v>
      </c>
      <c r="L52" s="14">
        <v>3613</v>
      </c>
      <c r="M52" s="1978"/>
      <c r="N52" s="1979" t="str">
        <f>IFERROR(Table3[[#This Row],[KL Lĩnh ]]/Table3[[#This Row],[Sản lượng]],"")</f>
        <v/>
      </c>
      <c r="O52" s="1978">
        <v>567</v>
      </c>
      <c r="P52" s="2409">
        <f>Table3[[#This Row],[Xuất cám]]/(Table3[[#This Row],[Xuất cám]]+Table3[[#This Row],[KL Lĩnh ]])</f>
        <v>0.13564593301435407</v>
      </c>
      <c r="Q52" s="1979" t="str">
        <f>IFERROR((Table3[[#This Row],[Xuất cám]]+Table3[[#This Row],[KL Lĩnh ]])/Table3[[#This Row],[Sản lượng]],"")</f>
        <v/>
      </c>
      <c r="R52" s="902"/>
      <c r="S52" s="2410" t="str">
        <f>IFERROR((Table3[[#This Row],[Lĩnh bù]]+Table3[[#This Row],[Xuất cám]]+Table3[[#This Row],[KL Lĩnh ]])/Table3[[#This Row],[Sản lượng]],"")</f>
        <v/>
      </c>
      <c r="T52" s="2436" t="s">
        <v>1405</v>
      </c>
    </row>
    <row r="53" spans="1:20" ht="26" customHeight="1" x14ac:dyDescent="0.2">
      <c r="A53" s="1517">
        <f>IF(B53="","",COUNTA($B$3:B53))</f>
        <v>51</v>
      </c>
      <c r="B53" s="12">
        <v>8</v>
      </c>
      <c r="C53" s="477" t="s">
        <v>5</v>
      </c>
      <c r="D53" s="477" t="s">
        <v>115</v>
      </c>
      <c r="E53" s="477" t="s">
        <v>1050</v>
      </c>
      <c r="F53" s="477" t="s">
        <v>1369</v>
      </c>
      <c r="G53" s="12" t="s">
        <v>1409</v>
      </c>
      <c r="H53" s="477" t="s">
        <v>1036</v>
      </c>
      <c r="I53" s="1978">
        <v>7360</v>
      </c>
      <c r="J53" s="2425">
        <v>0.17399999999999999</v>
      </c>
      <c r="K53" s="2435">
        <v>5.6000000000000001E-2</v>
      </c>
      <c r="L53" s="14">
        <v>119591</v>
      </c>
      <c r="M53" s="1978">
        <v>50825</v>
      </c>
      <c r="N53" s="1979">
        <f>IFERROR(Table3[[#This Row],[KL Lĩnh ]]/Table3[[#This Row],[Sản lượng]],"")</f>
        <v>2.3529955730447614</v>
      </c>
      <c r="O53" s="1978">
        <f>18413-2133</f>
        <v>16280</v>
      </c>
      <c r="P53" s="2409">
        <f>Table3[[#This Row],[Xuất cám]]/(Table3[[#This Row],[Xuất cám]]+Table3[[#This Row],[KL Lĩnh ]])</f>
        <v>0.11981953470571351</v>
      </c>
      <c r="Q53" s="1979">
        <f>IFERROR((Table3[[#This Row],[Xuất cám]]+Table3[[#This Row],[KL Lĩnh ]])/Table3[[#This Row],[Sản lượng]],"")</f>
        <v>2.6733103787506147</v>
      </c>
      <c r="R53" s="902">
        <v>2969</v>
      </c>
      <c r="S53" s="2410">
        <f>IFERROR((Table3[[#This Row],[Lĩnh bù]]+Table3[[#This Row],[Xuất cám]]+Table3[[#This Row],[KL Lĩnh ]])/Table3[[#This Row],[Sản lượng]],"")</f>
        <v>2.7317265125430397</v>
      </c>
      <c r="T53" s="2436" t="s">
        <v>1406</v>
      </c>
    </row>
    <row r="54" spans="1:20" ht="26" customHeight="1" x14ac:dyDescent="0.2">
      <c r="A54" s="2455">
        <f>IF(B54="","",COUNTA($B$3:B80))</f>
        <v>64</v>
      </c>
      <c r="B54" s="12">
        <v>8</v>
      </c>
      <c r="C54" s="477" t="s">
        <v>5</v>
      </c>
      <c r="D54" s="477" t="s">
        <v>115</v>
      </c>
      <c r="E54" s="477" t="s">
        <v>1050</v>
      </c>
      <c r="F54" s="477" t="s">
        <v>1358</v>
      </c>
      <c r="G54" s="12" t="s">
        <v>1402</v>
      </c>
      <c r="H54" s="477" t="s">
        <v>1036</v>
      </c>
      <c r="I54" s="1981">
        <v>7299</v>
      </c>
      <c r="J54" s="2426">
        <v>0.19400000000000001</v>
      </c>
      <c r="K54" s="2464">
        <v>4.5999999999999999E-2</v>
      </c>
      <c r="L54" s="2430">
        <v>220974</v>
      </c>
      <c r="M54" s="1981">
        <v>94596</v>
      </c>
      <c r="N54" s="1983">
        <f>IFERROR(Table3[[#This Row],[KL Lĩnh ]]/Table3[[#This Row],[Sản lượng]],"")</f>
        <v>2.3359761512114678</v>
      </c>
      <c r="O54" s="1981">
        <f>28261-7785</f>
        <v>20476</v>
      </c>
      <c r="P54" s="2409">
        <f>Table3[[#This Row],[Xuất cám]]/(Table3[[#This Row],[Xuất cám]]+Table3[[#This Row],[KL Lĩnh ]])</f>
        <v>8.4804307310002075E-2</v>
      </c>
      <c r="Q54" s="1983">
        <f>IFERROR((Table3[[#This Row],[Xuất cám]]+Table3[[#This Row],[KL Lĩnh ]])/Table3[[#This Row],[Sản lượng]],"")</f>
        <v>2.5524335067021862</v>
      </c>
      <c r="R54" s="2413"/>
      <c r="S54" s="2410">
        <f>IFERROR((Table3[[#This Row],[Lĩnh bù]]+Table3[[#This Row],[Xuất cám]]+Table3[[#This Row],[KL Lĩnh ]])/Table3[[#This Row],[Sản lượng]],"")</f>
        <v>2.5524335067021862</v>
      </c>
      <c r="T54" s="2436" t="s">
        <v>1407</v>
      </c>
    </row>
    <row r="55" spans="1:20" ht="26" customHeight="1" x14ac:dyDescent="0.2">
      <c r="A55" s="1517">
        <f>IF(B55="","",COUNTA($B$3:B55))</f>
        <v>53</v>
      </c>
      <c r="B55" s="12">
        <v>8</v>
      </c>
      <c r="C55" s="477" t="s">
        <v>5</v>
      </c>
      <c r="D55" s="477" t="s">
        <v>115</v>
      </c>
      <c r="E55" s="477" t="s">
        <v>1050</v>
      </c>
      <c r="F55" s="477" t="s">
        <v>1358</v>
      </c>
      <c r="G55" s="12" t="s">
        <v>1402</v>
      </c>
      <c r="H55" s="477" t="s">
        <v>1035</v>
      </c>
      <c r="I55" s="1981">
        <v>7299</v>
      </c>
      <c r="J55" s="2426">
        <v>0.19400000000000001</v>
      </c>
      <c r="K55" s="2464">
        <v>4.5999999999999999E-2</v>
      </c>
      <c r="L55" s="14">
        <v>3125</v>
      </c>
      <c r="M55" s="1978"/>
      <c r="N55" s="1979" t="str">
        <f>IFERROR(Table3[[#This Row],[KL Lĩnh ]]/Table3[[#This Row],[Sản lượng]],"")</f>
        <v/>
      </c>
      <c r="O55" s="1978">
        <v>400</v>
      </c>
      <c r="P55" s="2409">
        <f>Table3[[#This Row],[Xuất cám]]/(Table3[[#This Row],[Xuất cám]]+Table3[[#This Row],[KL Lĩnh ]])</f>
        <v>0.11347517730496454</v>
      </c>
      <c r="Q55" s="1979" t="str">
        <f>IFERROR((Table3[[#This Row],[Xuất cám]]+Table3[[#This Row],[KL Lĩnh ]])/Table3[[#This Row],[Sản lượng]],"")</f>
        <v/>
      </c>
      <c r="R55" s="902"/>
      <c r="S55" s="2410" t="str">
        <f>IFERROR((Table3[[#This Row],[Lĩnh bù]]+Table3[[#This Row],[Xuất cám]]+Table3[[#This Row],[KL Lĩnh ]])/Table3[[#This Row],[Sản lượng]],"")</f>
        <v/>
      </c>
      <c r="T55" s="2436" t="s">
        <v>1405</v>
      </c>
    </row>
    <row r="56" spans="1:20" ht="33" customHeight="1" x14ac:dyDescent="0.2">
      <c r="A56" s="1517">
        <f>IF(B56="","",COUNTA($B$3:B56))</f>
        <v>54</v>
      </c>
      <c r="B56" s="12">
        <v>8</v>
      </c>
      <c r="C56" s="477" t="s">
        <v>5</v>
      </c>
      <c r="D56" s="477" t="s">
        <v>115</v>
      </c>
      <c r="E56" s="477" t="s">
        <v>1049</v>
      </c>
      <c r="F56" s="477" t="s">
        <v>1374</v>
      </c>
      <c r="G56" s="12" t="s">
        <v>1403</v>
      </c>
      <c r="H56" s="477" t="s">
        <v>1036</v>
      </c>
      <c r="I56" s="1978">
        <v>7805</v>
      </c>
      <c r="J56" s="2425">
        <v>0.13350000000000001</v>
      </c>
      <c r="K56" s="2435">
        <v>2.5999999999999999E-2</v>
      </c>
      <c r="L56" s="14">
        <v>278937</v>
      </c>
      <c r="M56" s="1978">
        <v>116005</v>
      </c>
      <c r="N56" s="1979">
        <f>IFERROR(Table3[[#This Row],[KL Lĩnh ]]/Table3[[#This Row],[Sản lượng]],"")</f>
        <v>2.4045256669971122</v>
      </c>
      <c r="O56" s="1978">
        <v>25702</v>
      </c>
      <c r="P56" s="2409">
        <f>Table3[[#This Row],[Xuất cám]]/(Table3[[#This Row],[Xuất cám]]+Table3[[#This Row],[KL Lĩnh ]])</f>
        <v>8.4368711819563486E-2</v>
      </c>
      <c r="Q56" s="1979">
        <f>IFERROR((Table3[[#This Row],[Xuất cám]]+Table3[[#This Row],[KL Lĩnh ]])/Table3[[#This Row],[Sản lượng]],"")</f>
        <v>2.6260850825395456</v>
      </c>
      <c r="R56" s="902"/>
      <c r="S56" s="2410">
        <f>IFERROR((Table3[[#This Row],[Lĩnh bù]]+Table3[[#This Row],[Xuất cám]]+Table3[[#This Row],[KL Lĩnh ]])/Table3[[#This Row],[Sản lượng]],"")</f>
        <v>2.6260850825395456</v>
      </c>
      <c r="T56" s="2436" t="s">
        <v>1408</v>
      </c>
    </row>
    <row r="57" spans="1:20" ht="33" customHeight="1" x14ac:dyDescent="0.2">
      <c r="A57" s="1517">
        <f>IF(B57="","",COUNTA($B$3:B57))</f>
        <v>55</v>
      </c>
      <c r="B57" s="12">
        <v>8</v>
      </c>
      <c r="C57" s="477" t="s">
        <v>5</v>
      </c>
      <c r="D57" s="477" t="s">
        <v>115</v>
      </c>
      <c r="E57" s="477" t="s">
        <v>1049</v>
      </c>
      <c r="F57" s="477" t="s">
        <v>1374</v>
      </c>
      <c r="G57" s="12" t="s">
        <v>1403</v>
      </c>
      <c r="H57" s="477" t="s">
        <v>1035</v>
      </c>
      <c r="I57" s="1978">
        <v>7805</v>
      </c>
      <c r="J57" s="2425">
        <v>0.13350000000000001</v>
      </c>
      <c r="K57" s="2435">
        <v>2.5999999999999999E-2</v>
      </c>
      <c r="L57" s="14">
        <v>3678</v>
      </c>
      <c r="M57" s="1978"/>
      <c r="N57" s="1979" t="str">
        <f>IFERROR(Table3[[#This Row],[KL Lĩnh ]]/Table3[[#This Row],[Sản lượng]],"")</f>
        <v/>
      </c>
      <c r="O57" s="1978">
        <v>338</v>
      </c>
      <c r="P57" s="2409">
        <f>Table3[[#This Row],[Xuất cám]]/(Table3[[#This Row],[Xuất cám]]+Table3[[#This Row],[KL Lĩnh ]])</f>
        <v>8.4163346613545811E-2</v>
      </c>
      <c r="Q57" s="1979" t="str">
        <f>IFERROR((Table3[[#This Row],[Xuất cám]]+Table3[[#This Row],[KL Lĩnh ]])/Table3[[#This Row],[Sản lượng]],"")</f>
        <v/>
      </c>
      <c r="R57" s="902"/>
      <c r="S57" s="2410" t="str">
        <f>IFERROR((Table3[[#This Row],[Lĩnh bù]]+Table3[[#This Row],[Xuất cám]]+Table3[[#This Row],[KL Lĩnh ]])/Table3[[#This Row],[Sản lượng]],"")</f>
        <v/>
      </c>
      <c r="T57" s="2436" t="s">
        <v>1405</v>
      </c>
    </row>
    <row r="58" spans="1:20" ht="33" customHeight="1" x14ac:dyDescent="0.2">
      <c r="A58" s="1517">
        <f>IF(B58="","",COUNTA($B$3:B58))</f>
        <v>56</v>
      </c>
      <c r="B58" s="12">
        <v>8</v>
      </c>
      <c r="C58" s="477" t="s">
        <v>25</v>
      </c>
      <c r="D58" s="477" t="s">
        <v>119</v>
      </c>
      <c r="E58" s="477" t="s">
        <v>1049</v>
      </c>
      <c r="F58" s="477" t="s">
        <v>1374</v>
      </c>
      <c r="G58" s="12" t="s">
        <v>1392</v>
      </c>
      <c r="H58" s="477" t="s">
        <v>1036</v>
      </c>
      <c r="I58" s="1978">
        <v>7527</v>
      </c>
      <c r="J58" s="2425">
        <v>0.13500000000000001</v>
      </c>
      <c r="K58" s="2424">
        <v>3.6299999999999999E-2</v>
      </c>
      <c r="L58" s="14">
        <v>208981</v>
      </c>
      <c r="M58" s="1978">
        <v>121972</v>
      </c>
      <c r="N58" s="1979">
        <f>IFERROR(Table3[[#This Row],[KL Lĩnh ]]/Table3[[#This Row],[Sản lượng]],"")</f>
        <v>1.7133522447774898</v>
      </c>
      <c r="O58" s="1978">
        <v>32778</v>
      </c>
      <c r="P58" s="2409">
        <f>Table3[[#This Row],[Xuất cám]]/(Table3[[#This Row],[Xuất cám]]+Table3[[#This Row],[KL Lĩnh ]])</f>
        <v>0.13558130204046179</v>
      </c>
      <c r="Q58" s="1979">
        <f>IFERROR((Table3[[#This Row],[Xuất cám]]+Table3[[#This Row],[KL Lĩnh ]])/Table3[[#This Row],[Sản lượng]],"")</f>
        <v>1.9820860525366477</v>
      </c>
      <c r="R58" s="902">
        <v>3838</v>
      </c>
      <c r="S58" s="2410">
        <f>IFERROR((Table3[[#This Row],[Lĩnh bù]]+Table3[[#This Row],[Xuất cám]]+Table3[[#This Row],[KL Lĩnh ]])/Table3[[#This Row],[Sản lượng]],"")</f>
        <v>2.0135522906896663</v>
      </c>
      <c r="T58" s="2436" t="s">
        <v>1404</v>
      </c>
    </row>
    <row r="59" spans="1:20" ht="33" customHeight="1" x14ac:dyDescent="0.2">
      <c r="A59" s="1517">
        <f>IF(B59="","",COUNTA($B$3:B59))</f>
        <v>57</v>
      </c>
      <c r="B59" s="12">
        <v>8</v>
      </c>
      <c r="C59" s="477" t="s">
        <v>25</v>
      </c>
      <c r="D59" s="477" t="s">
        <v>119</v>
      </c>
      <c r="E59" s="477" t="s">
        <v>1049</v>
      </c>
      <c r="F59" s="477" t="s">
        <v>1374</v>
      </c>
      <c r="G59" s="12" t="s">
        <v>1392</v>
      </c>
      <c r="H59" s="477" t="s">
        <v>1035</v>
      </c>
      <c r="I59" s="1978">
        <v>7527</v>
      </c>
      <c r="J59" s="2425">
        <v>0.13500000000000001</v>
      </c>
      <c r="K59" s="2424">
        <v>3.6299999999999999E-2</v>
      </c>
      <c r="L59" s="14">
        <v>16319</v>
      </c>
      <c r="M59" s="1978"/>
      <c r="N59" s="1979" t="str">
        <f>IFERROR(Table3[[#This Row],[KL Lĩnh ]]/Table3[[#This Row],[Sản lượng]],"")</f>
        <v/>
      </c>
      <c r="O59" s="1978">
        <v>2560</v>
      </c>
      <c r="P59" s="2409">
        <f>Table3[[#This Row],[Xuất cám]]/(Table3[[#This Row],[Xuất cám]]+Table3[[#This Row],[KL Lĩnh ]])</f>
        <v>0.1356004025636951</v>
      </c>
      <c r="Q59" s="1979" t="str">
        <f>IFERROR((Table3[[#This Row],[Xuất cám]]+Table3[[#This Row],[KL Lĩnh ]])/Table3[[#This Row],[Sản lượng]],"")</f>
        <v/>
      </c>
      <c r="R59" s="902"/>
      <c r="S59" s="2410" t="str">
        <f>IFERROR((Table3[[#This Row],[Lĩnh bù]]+Table3[[#This Row],[Xuất cám]]+Table3[[#This Row],[KL Lĩnh ]])/Table3[[#This Row],[Sản lượng]],"")</f>
        <v/>
      </c>
      <c r="T59" s="2436" t="s">
        <v>1410</v>
      </c>
    </row>
    <row r="60" spans="1:20" ht="33" customHeight="1" x14ac:dyDescent="0.2">
      <c r="A60" s="1517">
        <f>IF(B60="","",COUNTA($B$3:B60))</f>
        <v>58</v>
      </c>
      <c r="B60" s="12">
        <v>8</v>
      </c>
      <c r="C60" s="477" t="s">
        <v>25</v>
      </c>
      <c r="D60" s="477" t="s">
        <v>119</v>
      </c>
      <c r="E60" s="477" t="s">
        <v>1050</v>
      </c>
      <c r="F60" s="477" t="s">
        <v>1369</v>
      </c>
      <c r="G60" s="12" t="s">
        <v>1409</v>
      </c>
      <c r="H60" s="477" t="s">
        <v>1036</v>
      </c>
      <c r="I60" s="1978">
        <v>7360</v>
      </c>
      <c r="J60" s="2425">
        <v>0.17399999999999999</v>
      </c>
      <c r="K60" s="2435">
        <v>5.6000000000000001E-2</v>
      </c>
      <c r="L60" s="14">
        <v>77898</v>
      </c>
      <c r="M60" s="1978">
        <v>45448</v>
      </c>
      <c r="N60" s="1979">
        <f>IFERROR(Table3[[#This Row],[KL Lĩnh ]]/Table3[[#This Row],[Sản lượng]],"")</f>
        <v>1.7140028164055623</v>
      </c>
      <c r="O60" s="1978">
        <f>11994-1329</f>
        <v>10665</v>
      </c>
      <c r="P60" s="2409">
        <f>Table3[[#This Row],[Xuất cám]]/(Table3[[#This Row],[Xuất cám]]+Table3[[#This Row],[KL Lĩnh ]])</f>
        <v>0.12042274990684597</v>
      </c>
      <c r="Q60" s="1979">
        <f>IFERROR((Table3[[#This Row],[Xuất cám]]+Table3[[#This Row],[KL Lĩnh ]])/Table3[[#This Row],[Sản lượng]],"")</f>
        <v>1.9486666079915509</v>
      </c>
      <c r="R60" s="902">
        <v>1944</v>
      </c>
      <c r="S60" s="2410">
        <f>IFERROR((Table3[[#This Row],[Lĩnh bù]]+Table3[[#This Row],[Xuất cám]]+Table3[[#This Row],[KL Lĩnh ]])/Table3[[#This Row],[Sản lượng]],"")</f>
        <v>1.9914407674705157</v>
      </c>
      <c r="T60" s="2436" t="s">
        <v>1406</v>
      </c>
    </row>
    <row r="61" spans="1:20" ht="33" customHeight="1" x14ac:dyDescent="0.2">
      <c r="A61" s="1517">
        <f>IF(B61="","",COUNTA($B$3:B61))</f>
        <v>59</v>
      </c>
      <c r="B61" s="12">
        <v>8</v>
      </c>
      <c r="C61" s="477" t="s">
        <v>25</v>
      </c>
      <c r="D61" s="477" t="s">
        <v>119</v>
      </c>
      <c r="E61" s="477" t="s">
        <v>1050</v>
      </c>
      <c r="F61" s="477" t="s">
        <v>1369</v>
      </c>
      <c r="G61" s="12" t="s">
        <v>1409</v>
      </c>
      <c r="H61" s="477" t="s">
        <v>1035</v>
      </c>
      <c r="I61" s="1978">
        <v>7360</v>
      </c>
      <c r="J61" s="2425">
        <v>0.17399999999999999</v>
      </c>
      <c r="K61" s="2435">
        <v>5.6000000000000001E-2</v>
      </c>
      <c r="L61" s="14">
        <v>387</v>
      </c>
      <c r="M61" s="1978"/>
      <c r="N61" s="1979" t="str">
        <f>IFERROR(Table3[[#This Row],[KL Lĩnh ]]/Table3[[#This Row],[Sản lượng]],"")</f>
        <v/>
      </c>
      <c r="O61" s="1978">
        <v>60</v>
      </c>
      <c r="P61" s="2409">
        <f>Table3[[#This Row],[Xuất cám]]/(Table3[[#This Row],[Xuất cám]]+Table3[[#This Row],[KL Lĩnh ]])</f>
        <v>0.13422818791946309</v>
      </c>
      <c r="Q61" s="1979" t="str">
        <f>IFERROR((Table3[[#This Row],[Xuất cám]]+Table3[[#This Row],[KL Lĩnh ]])/Table3[[#This Row],[Sản lượng]],"")</f>
        <v/>
      </c>
      <c r="R61" s="902"/>
      <c r="S61" s="2410" t="str">
        <f>IFERROR((Table3[[#This Row],[Lĩnh bù]]+Table3[[#This Row],[Xuất cám]]+Table3[[#This Row],[KL Lĩnh ]])/Table3[[#This Row],[Sản lượng]],"")</f>
        <v/>
      </c>
      <c r="T61" s="2436" t="s">
        <v>1411</v>
      </c>
    </row>
    <row r="62" spans="1:20" ht="33" customHeight="1" x14ac:dyDescent="0.2">
      <c r="A62" s="1517">
        <f>IF(B62="","",COUNTA($B$3:B62))</f>
        <v>60</v>
      </c>
      <c r="B62" s="12">
        <v>8</v>
      </c>
      <c r="C62" s="477" t="s">
        <v>25</v>
      </c>
      <c r="D62" s="477" t="s">
        <v>119</v>
      </c>
      <c r="E62" s="477" t="s">
        <v>1050</v>
      </c>
      <c r="F62" s="477" t="s">
        <v>1358</v>
      </c>
      <c r="G62" s="12" t="s">
        <v>1402</v>
      </c>
      <c r="H62" s="477" t="s">
        <v>1036</v>
      </c>
      <c r="I62" s="1981">
        <v>7299</v>
      </c>
      <c r="J62" s="2426">
        <v>0.19400000000000001</v>
      </c>
      <c r="K62" s="2464">
        <v>4.5999999999999999E-2</v>
      </c>
      <c r="L62" s="14">
        <v>11666</v>
      </c>
      <c r="M62" s="1978">
        <v>6826</v>
      </c>
      <c r="N62" s="1979">
        <f>IFERROR(Table3[[#This Row],[KL Lĩnh ]]/Table3[[#This Row],[Sản lượng]],"")</f>
        <v>1.7090536185174334</v>
      </c>
      <c r="O62" s="1978">
        <f>1492-635</f>
        <v>857</v>
      </c>
      <c r="P62" s="2409">
        <f>Table3[[#This Row],[Xuất cám]]/(Table3[[#This Row],[Xuất cám]]+Table3[[#This Row],[KL Lĩnh ]])</f>
        <v>6.8434081290425622E-2</v>
      </c>
      <c r="Q62" s="1979">
        <f>IFERROR((Table3[[#This Row],[Xuất cám]]+Table3[[#This Row],[KL Lĩnh ]])/Table3[[#This Row],[Sản lượng]],"")</f>
        <v>1.8346029885731028</v>
      </c>
      <c r="R62" s="902"/>
      <c r="S62" s="2410">
        <f>IFERROR((Table3[[#This Row],[Lĩnh bù]]+Table3[[#This Row],[Xuất cám]]+Table3[[#This Row],[KL Lĩnh ]])/Table3[[#This Row],[Sản lượng]],"")</f>
        <v>1.8346029885731028</v>
      </c>
      <c r="T62" s="2406" t="s">
        <v>1410</v>
      </c>
    </row>
    <row r="63" spans="1:20" ht="33" customHeight="1" x14ac:dyDescent="0.2">
      <c r="A63" s="1517">
        <f>IF(B63="","",COUNTA($B$3:B63))</f>
        <v>61</v>
      </c>
      <c r="B63" s="12">
        <v>8</v>
      </c>
      <c r="C63" s="477" t="s">
        <v>25</v>
      </c>
      <c r="D63" s="477" t="s">
        <v>119</v>
      </c>
      <c r="E63" s="477" t="s">
        <v>1050</v>
      </c>
      <c r="F63" s="477" t="s">
        <v>1358</v>
      </c>
      <c r="G63" s="12" t="s">
        <v>1402</v>
      </c>
      <c r="H63" s="477" t="s">
        <v>1035</v>
      </c>
      <c r="I63" s="1981">
        <v>7299</v>
      </c>
      <c r="J63" s="2426">
        <v>0.19400000000000001</v>
      </c>
      <c r="K63" s="2464">
        <v>4.5999999999999999E-2</v>
      </c>
      <c r="L63" s="14">
        <v>6606</v>
      </c>
      <c r="M63" s="1978"/>
      <c r="N63" s="1979" t="str">
        <f>IFERROR(Table3[[#This Row],[KL Lĩnh ]]/Table3[[#This Row],[Sản lượng]],"")</f>
        <v/>
      </c>
      <c r="O63" s="1978">
        <v>844</v>
      </c>
      <c r="P63" s="2409">
        <f>Table3[[#This Row],[Xuất cám]]/(Table3[[#This Row],[Xuất cám]]+Table3[[#This Row],[KL Lĩnh ]])</f>
        <v>0.11328859060402685</v>
      </c>
      <c r="Q63" s="1979" t="str">
        <f>IFERROR((Table3[[#This Row],[Xuất cám]]+Table3[[#This Row],[KL Lĩnh ]])/Table3[[#This Row],[Sản lượng]],"")</f>
        <v/>
      </c>
      <c r="R63" s="902"/>
      <c r="S63" s="2410" t="str">
        <f>IFERROR((Table3[[#This Row],[Lĩnh bù]]+Table3[[#This Row],[Xuất cám]]+Table3[[#This Row],[KL Lĩnh ]])/Table3[[#This Row],[Sản lượng]],"")</f>
        <v/>
      </c>
      <c r="T63" s="2436" t="s">
        <v>1410</v>
      </c>
    </row>
    <row r="64" spans="1:20" ht="33" customHeight="1" x14ac:dyDescent="0.2">
      <c r="A64" s="1517">
        <f>IF(B64="","",COUNTA($B$3:B64))</f>
        <v>62</v>
      </c>
      <c r="B64" s="12">
        <v>8</v>
      </c>
      <c r="C64" s="477" t="s">
        <v>25</v>
      </c>
      <c r="D64" s="477" t="s">
        <v>116</v>
      </c>
      <c r="E64" s="477" t="s">
        <v>1049</v>
      </c>
      <c r="F64" s="477" t="s">
        <v>1374</v>
      </c>
      <c r="G64" s="12" t="s">
        <v>1392</v>
      </c>
      <c r="H64" s="477" t="s">
        <v>1036</v>
      </c>
      <c r="I64" s="1978">
        <v>7527</v>
      </c>
      <c r="J64" s="2425">
        <v>0.13500000000000001</v>
      </c>
      <c r="K64" s="2424">
        <v>3.6299999999999999E-2</v>
      </c>
      <c r="L64" s="14">
        <v>217062</v>
      </c>
      <c r="M64" s="1978">
        <v>78318</v>
      </c>
      <c r="N64" s="1979">
        <f>IFERROR(Table3[[#This Row],[KL Lĩnh ]]/Table3[[#This Row],[Sản lượng]],"")</f>
        <v>2.7715467708572743</v>
      </c>
      <c r="O64" s="1978">
        <v>34046</v>
      </c>
      <c r="P64" s="2409">
        <f>Table3[[#This Row],[Xuất cám]]/(Table3[[#This Row],[Xuất cám]]+Table3[[#This Row],[KL Lĩnh ]])</f>
        <v>0.13558309571976998</v>
      </c>
      <c r="Q64" s="1979">
        <f>IFERROR((Table3[[#This Row],[Xuất cám]]+Table3[[#This Row],[KL Lĩnh ]])/Table3[[#This Row],[Sản lượng]],"")</f>
        <v>3.2062616512168338</v>
      </c>
      <c r="R64" s="902">
        <v>3987</v>
      </c>
      <c r="S64" s="2410">
        <f>IFERROR((Table3[[#This Row],[Lĩnh bù]]+Table3[[#This Row],[Xuất cám]]+Table3[[#This Row],[KL Lĩnh ]])/Table3[[#This Row],[Sản lượng]],"")</f>
        <v>3.2571694884956206</v>
      </c>
      <c r="T64" s="2436" t="s">
        <v>1404</v>
      </c>
    </row>
    <row r="65" spans="1:20" ht="33" customHeight="1" x14ac:dyDescent="0.2">
      <c r="A65" s="1517">
        <f>IF(B65="","",COUNTA($B$3:B65))</f>
        <v>63</v>
      </c>
      <c r="B65" s="12">
        <v>8</v>
      </c>
      <c r="C65" s="477" t="s">
        <v>25</v>
      </c>
      <c r="D65" s="477" t="s">
        <v>116</v>
      </c>
      <c r="E65" s="477" t="s">
        <v>1050</v>
      </c>
      <c r="F65" s="477" t="s">
        <v>1358</v>
      </c>
      <c r="G65" s="12" t="s">
        <v>1402</v>
      </c>
      <c r="H65" s="477" t="s">
        <v>1036</v>
      </c>
      <c r="I65" s="1981">
        <v>7299</v>
      </c>
      <c r="J65" s="2426">
        <v>0.19400000000000001</v>
      </c>
      <c r="K65" s="2464">
        <v>4.5999999999999999E-2</v>
      </c>
      <c r="L65" s="14">
        <v>213767</v>
      </c>
      <c r="M65" s="1978">
        <v>81123</v>
      </c>
      <c r="N65" s="1979">
        <f>IFERROR(Table3[[#This Row],[KL Lĩnh ]]/Table3[[#This Row],[Sản lượng]],"")</f>
        <v>2.6350973213515281</v>
      </c>
      <c r="O65" s="1978">
        <f>27339-7426</f>
        <v>19913</v>
      </c>
      <c r="P65" s="2409">
        <f>Table3[[#This Row],[Xuất cám]]/(Table3[[#This Row],[Xuất cám]]+Table3[[#This Row],[KL Lĩnh ]])</f>
        <v>8.5214823690516944E-2</v>
      </c>
      <c r="Q65" s="1979">
        <f>IFERROR((Table3[[#This Row],[Xuất cám]]+Table3[[#This Row],[KL Lĩnh ]])/Table3[[#This Row],[Sản lượng]],"")</f>
        <v>2.8805640817030929</v>
      </c>
      <c r="R65" s="902"/>
      <c r="S65" s="2410">
        <f>IFERROR((Table3[[#This Row],[Lĩnh bù]]+Table3[[#This Row],[Xuất cám]]+Table3[[#This Row],[KL Lĩnh ]])/Table3[[#This Row],[Sản lượng]],"")</f>
        <v>2.8805640817030929</v>
      </c>
      <c r="T65" s="2406" t="s">
        <v>1407</v>
      </c>
    </row>
    <row r="66" spans="1:20" ht="33" customHeight="1" x14ac:dyDescent="0.2">
      <c r="A66" s="1517">
        <f>IF(B66="","",COUNTA($B$3:B66))</f>
        <v>64</v>
      </c>
      <c r="B66" s="12">
        <v>8</v>
      </c>
      <c r="C66" s="477" t="s">
        <v>25</v>
      </c>
      <c r="D66" s="477" t="s">
        <v>116</v>
      </c>
      <c r="E66" s="477" t="s">
        <v>1049</v>
      </c>
      <c r="F66" s="477" t="s">
        <v>1374</v>
      </c>
      <c r="G66" s="12" t="s">
        <v>1403</v>
      </c>
      <c r="H66" s="477" t="s">
        <v>1035</v>
      </c>
      <c r="I66" s="1978">
        <v>7805</v>
      </c>
      <c r="J66" s="2425">
        <v>0.13350000000000001</v>
      </c>
      <c r="K66" s="2435">
        <v>2.5999999999999999E-2</v>
      </c>
      <c r="L66" s="14">
        <v>300361</v>
      </c>
      <c r="M66" s="1978">
        <v>110970</v>
      </c>
      <c r="N66" s="1979">
        <f>IFERROR(Table3[[#This Row],[KL Lĩnh ]]/Table3[[#This Row],[Sản lượng]],"")</f>
        <v>2.7066864918446427</v>
      </c>
      <c r="O66" s="1978">
        <v>27676</v>
      </c>
      <c r="P66" s="2409">
        <f>Table3[[#This Row],[Xuất cám]]/(Table3[[#This Row],[Xuất cám]]+Table3[[#This Row],[KL Lĩnh ]])</f>
        <v>8.4368531598569677E-2</v>
      </c>
      <c r="Q66" s="1979">
        <f>IFERROR((Table3[[#This Row],[Xuất cám]]+Table3[[#This Row],[KL Lĩnh ]])/Table3[[#This Row],[Sản lượng]],"")</f>
        <v>2.9560872307830945</v>
      </c>
      <c r="R66" s="902"/>
      <c r="S66" s="2410">
        <f>IFERROR((Table3[[#This Row],[Lĩnh bù]]+Table3[[#This Row],[Xuất cám]]+Table3[[#This Row],[KL Lĩnh ]])/Table3[[#This Row],[Sản lượng]],"")</f>
        <v>2.9560872307830945</v>
      </c>
      <c r="T66" s="2406" t="s">
        <v>1408</v>
      </c>
    </row>
    <row r="67" spans="1:20" ht="33" customHeight="1" x14ac:dyDescent="0.2">
      <c r="A67" s="1517" t="str">
        <f>IF(B67="","",COUNTA($B$3:B67))</f>
        <v/>
      </c>
      <c r="B67" s="12"/>
      <c r="C67" s="477"/>
      <c r="D67" s="477"/>
      <c r="E67" s="477"/>
      <c r="F67" s="477"/>
      <c r="G67" s="12"/>
      <c r="H67" s="477"/>
      <c r="I67" s="1978"/>
      <c r="J67" s="2425"/>
      <c r="K67" s="2427"/>
      <c r="L67" s="14"/>
      <c r="M67" s="1978"/>
      <c r="N67" s="1979" t="str">
        <f>IFERROR(Table3[[#This Row],[KL Lĩnh ]]/Table3[[#This Row],[Sản lượng]],"")</f>
        <v/>
      </c>
      <c r="O67" s="1978"/>
      <c r="P67" s="2463"/>
      <c r="Q67" s="1979" t="str">
        <f>IFERROR((Table3[[#This Row],[Xuất cám]]+Table3[[#This Row],[KL Lĩnh ]])/Table3[[#This Row],[Sản lượng]],"")</f>
        <v/>
      </c>
      <c r="R67" s="902"/>
      <c r="S67" s="477"/>
      <c r="T67" s="477"/>
    </row>
    <row r="68" spans="1:20" ht="33" customHeight="1" x14ac:dyDescent="0.2">
      <c r="A68" s="1517" t="str">
        <f>IF(B68="","",COUNTA($B$3:B68))</f>
        <v/>
      </c>
      <c r="B68" s="12"/>
      <c r="C68" s="477"/>
      <c r="D68" s="477"/>
      <c r="E68" s="477"/>
      <c r="F68" s="477"/>
      <c r="G68" s="12"/>
      <c r="H68" s="477"/>
      <c r="I68" s="1978"/>
      <c r="J68" s="2425"/>
      <c r="K68" s="2427"/>
      <c r="L68" s="14"/>
      <c r="M68" s="1978"/>
      <c r="N68" s="1979" t="str">
        <f>IFERROR(Table3[[#This Row],[KL Lĩnh ]]/Table3[[#This Row],[Sản lượng]],"")</f>
        <v/>
      </c>
      <c r="O68" s="1978"/>
      <c r="P68" s="2463"/>
      <c r="Q68" s="1979" t="str">
        <f>IFERROR((Table3[[#This Row],[Xuất cám]]+Table3[[#This Row],[KL Lĩnh ]])/Table3[[#This Row],[Sản lượng]],"")</f>
        <v/>
      </c>
      <c r="R68" s="902"/>
      <c r="S68" s="477"/>
      <c r="T68" s="477"/>
    </row>
    <row r="69" spans="1:20" ht="33" customHeight="1" x14ac:dyDescent="0.2">
      <c r="A69" s="1517" t="str">
        <f>IF(B69="","",COUNTA($B$3:B69))</f>
        <v/>
      </c>
      <c r="B69" s="12"/>
      <c r="C69" s="477"/>
      <c r="D69" s="477"/>
      <c r="E69" s="477"/>
      <c r="F69" s="477"/>
      <c r="G69" s="12"/>
      <c r="H69" s="477"/>
      <c r="I69" s="1978"/>
      <c r="J69" s="2425"/>
      <c r="K69" s="2427"/>
      <c r="L69" s="14"/>
      <c r="M69" s="1978"/>
      <c r="N69" s="1979" t="str">
        <f>IFERROR(Table3[[#This Row],[KL Lĩnh ]]/Table3[[#This Row],[Sản lượng]],"")</f>
        <v/>
      </c>
      <c r="O69" s="1978"/>
      <c r="P69" s="2463"/>
      <c r="Q69" s="1979" t="str">
        <f>IFERROR((Table3[[#This Row],[Xuất cám]]+Table3[[#This Row],[KL Lĩnh ]])/Table3[[#This Row],[Sản lượng]],"")</f>
        <v/>
      </c>
      <c r="R69" s="902"/>
      <c r="S69" s="477"/>
      <c r="T69" s="477"/>
    </row>
    <row r="70" spans="1:20" ht="33" customHeight="1" x14ac:dyDescent="0.2">
      <c r="A70" s="1517" t="str">
        <f>IF(B70="","",COUNTA($B$3:B70))</f>
        <v/>
      </c>
      <c r="B70" s="12"/>
      <c r="C70" s="477"/>
      <c r="D70" s="477"/>
      <c r="E70" s="477"/>
      <c r="F70" s="477"/>
      <c r="G70" s="12"/>
      <c r="H70" s="477"/>
      <c r="I70" s="1978"/>
      <c r="J70" s="2425"/>
      <c r="K70" s="2427"/>
      <c r="L70" s="14"/>
      <c r="M70" s="1978"/>
      <c r="N70" s="1979" t="str">
        <f>IFERROR(Table3[[#This Row],[KL Lĩnh ]]/Table3[[#This Row],[Sản lượng]],"")</f>
        <v/>
      </c>
      <c r="O70" s="1978"/>
      <c r="P70" s="2463"/>
      <c r="Q70" s="1979" t="str">
        <f>IFERROR((Table3[[#This Row],[Xuất cám]]+Table3[[#This Row],[KL Lĩnh ]])/Table3[[#This Row],[Sản lượng]],"")</f>
        <v/>
      </c>
      <c r="R70" s="902"/>
      <c r="S70" s="477"/>
      <c r="T70" s="477"/>
    </row>
    <row r="71" spans="1:20" ht="33" customHeight="1" x14ac:dyDescent="0.2">
      <c r="A71" s="1517" t="str">
        <f>IF(B71="","",COUNTA($B$3:B71))</f>
        <v/>
      </c>
      <c r="B71" s="12"/>
      <c r="C71" s="477"/>
      <c r="D71" s="477"/>
      <c r="E71" s="477"/>
      <c r="F71" s="477"/>
      <c r="G71" s="12"/>
      <c r="H71" s="477"/>
      <c r="I71" s="1978"/>
      <c r="J71" s="2425"/>
      <c r="K71" s="2427"/>
      <c r="L71" s="14"/>
      <c r="M71" s="1978"/>
      <c r="N71" s="1979" t="str">
        <f>IFERROR(Table3[[#This Row],[KL Lĩnh ]]/Table3[[#This Row],[Sản lượng]],"")</f>
        <v/>
      </c>
      <c r="O71" s="1978"/>
      <c r="P71" s="2463"/>
      <c r="Q71" s="1979" t="str">
        <f>IFERROR((Table3[[#This Row],[Xuất cám]]+Table3[[#This Row],[KL Lĩnh ]])/Table3[[#This Row],[Sản lượng]],"")</f>
        <v/>
      </c>
      <c r="R71" s="902"/>
      <c r="S71" s="477"/>
      <c r="T71" s="477"/>
    </row>
    <row r="72" spans="1:20" ht="33" customHeight="1" x14ac:dyDescent="0.2">
      <c r="A72" s="1517" t="str">
        <f>IF(B72="","",COUNTA($B$3:B72))</f>
        <v/>
      </c>
      <c r="B72" s="12"/>
      <c r="C72" s="477"/>
      <c r="D72" s="477"/>
      <c r="E72" s="477"/>
      <c r="F72" s="477"/>
      <c r="G72" s="12"/>
      <c r="H72" s="477"/>
      <c r="I72" s="1978"/>
      <c r="J72" s="2425"/>
      <c r="K72" s="2427"/>
      <c r="L72" s="14"/>
      <c r="M72" s="1978"/>
      <c r="N72" s="1979" t="str">
        <f>IFERROR(Table3[[#This Row],[KL Lĩnh ]]/Table3[[#This Row],[Sản lượng]],"")</f>
        <v/>
      </c>
      <c r="O72" s="1978"/>
      <c r="P72" s="2463"/>
      <c r="Q72" s="1979" t="str">
        <f>IFERROR((Table3[[#This Row],[Xuất cám]]+Table3[[#This Row],[KL Lĩnh ]])/Table3[[#This Row],[Sản lượng]],"")</f>
        <v/>
      </c>
      <c r="R72" s="902"/>
      <c r="S72" s="477"/>
      <c r="T72" s="477"/>
    </row>
    <row r="73" spans="1:20" ht="33" customHeight="1" x14ac:dyDescent="0.2">
      <c r="A73" s="1517" t="str">
        <f>IF(B73="","",COUNTA($B$3:B73))</f>
        <v/>
      </c>
      <c r="B73" s="12"/>
      <c r="C73" s="477"/>
      <c r="D73" s="477"/>
      <c r="E73" s="477"/>
      <c r="F73" s="477"/>
      <c r="G73" s="12"/>
      <c r="H73" s="477"/>
      <c r="I73" s="1978"/>
      <c r="J73" s="2425"/>
      <c r="K73" s="2427"/>
      <c r="L73" s="14"/>
      <c r="M73" s="1978"/>
      <c r="N73" s="1979" t="str">
        <f>IFERROR(Table3[[#This Row],[KL Lĩnh ]]/Table3[[#This Row],[Sản lượng]],"")</f>
        <v/>
      </c>
      <c r="O73" s="1978"/>
      <c r="P73" s="2463"/>
      <c r="Q73" s="1979" t="str">
        <f>IFERROR((Table3[[#This Row],[Xuất cám]]+Table3[[#This Row],[KL Lĩnh ]])/Table3[[#This Row],[Sản lượng]],"")</f>
        <v/>
      </c>
      <c r="R73" s="902"/>
      <c r="S73" s="477"/>
      <c r="T73" s="477"/>
    </row>
    <row r="74" spans="1:20" ht="33" customHeight="1" x14ac:dyDescent="0.2">
      <c r="A74" s="1517" t="str">
        <f>IF(B74="","",COUNTA($B$3:B74))</f>
        <v/>
      </c>
      <c r="B74" s="12"/>
      <c r="C74" s="477"/>
      <c r="D74" s="477"/>
      <c r="E74" s="477"/>
      <c r="F74" s="477"/>
      <c r="G74" s="12"/>
      <c r="H74" s="477"/>
      <c r="I74" s="1978"/>
      <c r="J74" s="2425"/>
      <c r="K74" s="2427"/>
      <c r="L74" s="14"/>
      <c r="M74" s="1978"/>
      <c r="N74" s="1979" t="str">
        <f>IFERROR(Table3[[#This Row],[KL Lĩnh ]]/Table3[[#This Row],[Sản lượng]],"")</f>
        <v/>
      </c>
      <c r="O74" s="1978"/>
      <c r="P74" s="2463"/>
      <c r="Q74" s="1979" t="str">
        <f>IFERROR((Table3[[#This Row],[Xuất cám]]+Table3[[#This Row],[KL Lĩnh ]])/Table3[[#This Row],[Sản lượng]],"")</f>
        <v/>
      </c>
      <c r="R74" s="902"/>
      <c r="S74" s="477"/>
      <c r="T74" s="477"/>
    </row>
    <row r="75" spans="1:20" ht="33" customHeight="1" x14ac:dyDescent="0.2">
      <c r="A75" s="1517" t="str">
        <f>IF(B75="","",COUNTA($B$3:B75))</f>
        <v/>
      </c>
      <c r="B75" s="12"/>
      <c r="C75" s="477"/>
      <c r="D75" s="477"/>
      <c r="E75" s="477"/>
      <c r="F75" s="477"/>
      <c r="G75" s="12"/>
      <c r="H75" s="477"/>
      <c r="I75" s="1978"/>
      <c r="J75" s="2425"/>
      <c r="K75" s="2427"/>
      <c r="L75" s="14"/>
      <c r="M75" s="1978"/>
      <c r="N75" s="1979" t="str">
        <f>IFERROR(Table3[[#This Row],[KL Lĩnh ]]/Table3[[#This Row],[Sản lượng]],"")</f>
        <v/>
      </c>
      <c r="O75" s="1978"/>
      <c r="P75" s="2463"/>
      <c r="Q75" s="1979" t="str">
        <f>IFERROR((Table3[[#This Row],[Xuất cám]]+Table3[[#This Row],[KL Lĩnh ]])/Table3[[#This Row],[Sản lượng]],"")</f>
        <v/>
      </c>
      <c r="R75" s="902"/>
      <c r="S75" s="477"/>
      <c r="T75" s="477"/>
    </row>
    <row r="76" spans="1:20" ht="33" customHeight="1" x14ac:dyDescent="0.2">
      <c r="A76" s="1517" t="str">
        <f>IF(B76="","",COUNTA($B$3:B76))</f>
        <v/>
      </c>
      <c r="B76" s="12"/>
      <c r="C76" s="477"/>
      <c r="D76" s="477"/>
      <c r="E76" s="477"/>
      <c r="F76" s="477"/>
      <c r="G76" s="12"/>
      <c r="H76" s="477"/>
      <c r="I76" s="1978"/>
      <c r="J76" s="2425"/>
      <c r="K76" s="2427"/>
      <c r="L76" s="14"/>
      <c r="M76" s="1978"/>
      <c r="N76" s="1979" t="str">
        <f>IFERROR(Table3[[#This Row],[KL Lĩnh ]]/Table3[[#This Row],[Sản lượng]],"")</f>
        <v/>
      </c>
      <c r="O76" s="1978"/>
      <c r="P76" s="2463"/>
      <c r="Q76" s="1979" t="str">
        <f>IFERROR((Table3[[#This Row],[Xuất cám]]+Table3[[#This Row],[KL Lĩnh ]])/Table3[[#This Row],[Sản lượng]],"")</f>
        <v/>
      </c>
      <c r="R76" s="902"/>
      <c r="S76" s="477"/>
      <c r="T76" s="477"/>
    </row>
    <row r="77" spans="1:20" ht="33" customHeight="1" x14ac:dyDescent="0.2">
      <c r="A77" s="1517" t="str">
        <f>IF(B77="","",COUNTA($B$3:B77))</f>
        <v/>
      </c>
      <c r="B77" s="12"/>
      <c r="C77" s="477"/>
      <c r="D77" s="477"/>
      <c r="E77" s="477"/>
      <c r="F77" s="477"/>
      <c r="G77" s="12"/>
      <c r="H77" s="477"/>
      <c r="I77" s="1978"/>
      <c r="J77" s="2425"/>
      <c r="K77" s="2427"/>
      <c r="L77" s="14"/>
      <c r="M77" s="1978"/>
      <c r="N77" s="1979" t="str">
        <f>IFERROR(Table3[[#This Row],[KL Lĩnh ]]/Table3[[#This Row],[Sản lượng]],"")</f>
        <v/>
      </c>
      <c r="O77" s="1978"/>
      <c r="P77" s="2463"/>
      <c r="Q77" s="1979" t="str">
        <f>IFERROR((Table3[[#This Row],[Xuất cám]]+Table3[[#This Row],[KL Lĩnh ]])/Table3[[#This Row],[Sản lượng]],"")</f>
        <v/>
      </c>
      <c r="R77" s="902"/>
      <c r="S77" s="477"/>
      <c r="T77" s="477"/>
    </row>
    <row r="78" spans="1:20" ht="33" customHeight="1" x14ac:dyDescent="0.2">
      <c r="A78" s="1517" t="str">
        <f>IF(B78="","",COUNTA($B$3:B78))</f>
        <v/>
      </c>
      <c r="B78" s="12"/>
      <c r="C78" s="477"/>
      <c r="D78" s="477"/>
      <c r="E78" s="477"/>
      <c r="F78" s="477"/>
      <c r="G78" s="12"/>
      <c r="H78" s="477"/>
      <c r="I78" s="1978"/>
      <c r="J78" s="2425"/>
      <c r="K78" s="2427"/>
      <c r="L78" s="14"/>
      <c r="M78" s="1978"/>
      <c r="N78" s="1979" t="str">
        <f>IFERROR(Table3[[#This Row],[KL Lĩnh ]]/Table3[[#This Row],[Sản lượng]],"")</f>
        <v/>
      </c>
      <c r="O78" s="1978"/>
      <c r="P78" s="2463"/>
      <c r="Q78" s="1979" t="str">
        <f>IFERROR((Table3[[#This Row],[Xuất cám]]+Table3[[#This Row],[KL Lĩnh ]])/Table3[[#This Row],[Sản lượng]],"")</f>
        <v/>
      </c>
      <c r="R78" s="902"/>
      <c r="S78" s="477"/>
      <c r="T78" s="477"/>
    </row>
    <row r="79" spans="1:20" ht="33" customHeight="1" x14ac:dyDescent="0.2">
      <c r="A79" s="1517" t="str">
        <f>IF(B79="","",COUNTA($B$3:B79))</f>
        <v/>
      </c>
      <c r="B79" s="12"/>
      <c r="C79" s="477"/>
      <c r="D79" s="477"/>
      <c r="E79" s="477"/>
      <c r="F79" s="477"/>
      <c r="G79" s="12"/>
      <c r="H79" s="477"/>
      <c r="I79" s="1978"/>
      <c r="J79" s="2425"/>
      <c r="K79" s="2427"/>
      <c r="L79" s="14"/>
      <c r="M79" s="1978"/>
      <c r="N79" s="1979" t="str">
        <f>IFERROR(Table3[[#This Row],[KL Lĩnh ]]/Table3[[#This Row],[Sản lượng]],"")</f>
        <v/>
      </c>
      <c r="O79" s="1978"/>
      <c r="P79" s="2463"/>
      <c r="Q79" s="1979" t="str">
        <f>IFERROR((Table3[[#This Row],[Xuất cám]]+Table3[[#This Row],[KL Lĩnh ]])/Table3[[#This Row],[Sản lượng]],"")</f>
        <v/>
      </c>
      <c r="R79" s="902"/>
      <c r="S79" s="477"/>
      <c r="T79" s="477"/>
    </row>
    <row r="80" spans="1:20" ht="33" customHeight="1" x14ac:dyDescent="0.2">
      <c r="A80" s="2422" t="str">
        <f>IF(B80="","",COUNTA($B$3:B80))</f>
        <v/>
      </c>
      <c r="B80" s="30"/>
      <c r="C80" s="1980"/>
      <c r="D80" s="1980"/>
      <c r="E80" s="1980"/>
      <c r="F80" s="1980"/>
      <c r="G80" s="30"/>
      <c r="H80" s="1980"/>
      <c r="I80" s="1981"/>
      <c r="J80" s="2426"/>
      <c r="K80" s="2429"/>
      <c r="L80" s="2430"/>
      <c r="M80" s="1981"/>
      <c r="N80" s="1983" t="str">
        <f>IFERROR(Table3[[#This Row],[KL Lĩnh ]]/Table3[[#This Row],[Sản lượng]],"")</f>
        <v/>
      </c>
      <c r="O80" s="1981"/>
      <c r="P80" s="2405"/>
      <c r="Q80" s="1983" t="str">
        <f>IFERROR((Table3[[#This Row],[Xuất cám]]+Table3[[#This Row],[KL Lĩnh ]])/Table3[[#This Row],[Sản lượng]],"")</f>
        <v/>
      </c>
      <c r="R80" s="2413"/>
      <c r="S80" s="1980"/>
      <c r="T80" s="1980"/>
    </row>
  </sheetData>
  <phoneticPr fontId="40" type="noConversion"/>
  <dataValidations count="1">
    <dataValidation type="list" allowBlank="1" showInputMessage="1" showErrorMessage="1" sqref="H3:H80" xr:uid="{5AD4AB0E-F06E-46D1-B6AE-CF3547581E5E}">
      <formula1>"Có tính tiêu hao, Không tính tiêu hao"</formula1>
    </dataValidation>
  </dataValidations>
  <pageMargins left="0.7" right="0.7" top="0.75" bottom="0.75" header="0.3" footer="0.3"/>
  <pageSetup paperSize="9" orientation="portrait" horizontalDpi="0" verticalDpi="0"/>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53CAC31F-D06A-40CD-B66E-FC78946284F7}">
          <x14:formula1>
            <xm:f>'Phụ lục'!$K$3:$K$16</xm:f>
          </x14:formula1>
          <xm:sqref>D3:D80</xm:sqref>
        </x14:dataValidation>
        <x14:dataValidation type="list" allowBlank="1" showInputMessage="1" showErrorMessage="1" xr:uid="{B0276B12-0C9E-4211-A555-6C838CE86966}">
          <x14:formula1>
            <xm:f>'Phụ lục'!$N$3:$N$16</xm:f>
          </x14:formula1>
          <xm:sqref>C3:C80</xm:sqref>
        </x14:dataValidation>
        <x14:dataValidation type="list" allowBlank="1" showInputMessage="1" showErrorMessage="1" xr:uid="{6E47BBCB-9D99-4A70-96F1-C355A193DF75}">
          <x14:formula1>
            <xm:f>'Phụ lục'!$H$3:$H$16</xm:f>
          </x14:formula1>
          <xm:sqref>E3:E80</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F6D20-0E42-4097-B4A9-AC54588D14C5}">
  <dimension ref="A1:AW47"/>
  <sheetViews>
    <sheetView topLeftCell="AF1" workbookViewId="0">
      <selection activeCell="R11" sqref="R11"/>
    </sheetView>
  </sheetViews>
  <sheetFormatPr baseColWidth="10" defaultColWidth="8.83203125" defaultRowHeight="16" x14ac:dyDescent="0.2"/>
  <cols>
    <col min="1" max="1" width="10.1640625" bestFit="1" customWidth="1"/>
    <col min="2" max="2" width="11.83203125" bestFit="1" customWidth="1"/>
    <col min="3" max="3" width="8.6640625" bestFit="1" customWidth="1"/>
    <col min="4" max="4" width="19.33203125" bestFit="1" customWidth="1"/>
    <col min="5" max="5" width="11.83203125" bestFit="1" customWidth="1"/>
    <col min="6" max="6" width="8.6640625" bestFit="1" customWidth="1"/>
    <col min="7" max="7" width="10.1640625" bestFit="1" customWidth="1"/>
    <col min="8" max="8" width="16.5" bestFit="1" customWidth="1"/>
    <col min="9" max="9" width="11.1640625" bestFit="1" customWidth="1"/>
    <col min="10" max="10" width="10.1640625" bestFit="1" customWidth="1"/>
    <col min="11" max="11" width="11.1640625" bestFit="1" customWidth="1"/>
    <col min="12" max="12" width="19.5" bestFit="1" customWidth="1"/>
    <col min="13" max="13" width="16.5" bestFit="1" customWidth="1"/>
    <col min="14" max="14" width="18.1640625" style="2005" customWidth="1"/>
    <col min="15" max="15" width="13" bestFit="1" customWidth="1"/>
    <col min="16" max="16" width="16" bestFit="1" customWidth="1"/>
    <col min="17" max="17" width="16.5" bestFit="1" customWidth="1"/>
    <col min="18" max="18" width="13" bestFit="1" customWidth="1"/>
    <col min="19" max="19" width="16" bestFit="1" customWidth="1"/>
    <col min="20" max="21" width="3.6640625" bestFit="1" customWidth="1"/>
    <col min="22" max="22" width="16" bestFit="1" customWidth="1"/>
    <col min="24" max="24" width="8.6640625" style="2005"/>
    <col min="25" max="25" width="16.6640625" bestFit="1" customWidth="1"/>
    <col min="26" max="27" width="15.33203125" bestFit="1" customWidth="1"/>
    <col min="28" max="28" width="23.6640625" bestFit="1" customWidth="1"/>
    <col min="29" max="29" width="16.6640625" bestFit="1" customWidth="1"/>
    <col min="30" max="30" width="26.33203125" bestFit="1" customWidth="1"/>
    <col min="31" max="31" width="21.1640625" bestFit="1" customWidth="1"/>
    <col min="32" max="32" width="13.33203125" customWidth="1"/>
    <col min="33" max="33" width="26.33203125" bestFit="1" customWidth="1"/>
    <col min="34" max="34" width="16.5" bestFit="1" customWidth="1"/>
    <col min="35" max="35" width="23.6640625" style="2005" customWidth="1"/>
    <col min="36" max="36" width="13" bestFit="1" customWidth="1"/>
    <col min="37" max="37" width="13.83203125" style="2404" bestFit="1" customWidth="1"/>
    <col min="38" max="38" width="16" style="2404" bestFit="1" customWidth="1"/>
    <col min="40" max="40" width="13" bestFit="1" customWidth="1"/>
    <col min="41" max="41" width="15.5" bestFit="1" customWidth="1"/>
    <col min="42" max="42" width="23" bestFit="1" customWidth="1"/>
    <col min="43" max="43" width="28" bestFit="1" customWidth="1"/>
    <col min="44" max="44" width="12" bestFit="1" customWidth="1"/>
    <col min="45" max="45" width="13.83203125" bestFit="1" customWidth="1"/>
    <col min="47" max="47" width="11" bestFit="1" customWidth="1"/>
    <col min="49" max="49" width="19.1640625" bestFit="1" customWidth="1"/>
  </cols>
  <sheetData>
    <row r="1" spans="1:49" x14ac:dyDescent="0.2">
      <c r="A1" t="s">
        <v>1211</v>
      </c>
      <c r="N1" s="2005" t="s">
        <v>1219</v>
      </c>
      <c r="X1" s="2005" t="s">
        <v>1220</v>
      </c>
      <c r="AI1" s="2005" t="s">
        <v>1237</v>
      </c>
    </row>
    <row r="3" spans="1:49" x14ac:dyDescent="0.2">
      <c r="A3" t="s">
        <v>1218</v>
      </c>
      <c r="G3" t="s">
        <v>1207</v>
      </c>
      <c r="J3" t="s">
        <v>883</v>
      </c>
      <c r="O3" t="s">
        <v>1210</v>
      </c>
      <c r="Y3" t="s">
        <v>1208</v>
      </c>
    </row>
    <row r="4" spans="1:49" x14ac:dyDescent="0.2">
      <c r="G4" s="2000" t="s">
        <v>1012</v>
      </c>
      <c r="H4" t="s">
        <v>1013</v>
      </c>
      <c r="J4" s="2000" t="s">
        <v>1012</v>
      </c>
      <c r="K4" t="s">
        <v>883</v>
      </c>
    </row>
    <row r="5" spans="1:49" x14ac:dyDescent="0.2">
      <c r="A5" s="2000" t="s">
        <v>1170</v>
      </c>
      <c r="B5" t="s">
        <v>21</v>
      </c>
      <c r="G5" s="2000" t="s">
        <v>1170</v>
      </c>
      <c r="H5" t="s">
        <v>21</v>
      </c>
      <c r="J5" s="2000" t="s">
        <v>1170</v>
      </c>
      <c r="K5" t="s">
        <v>21</v>
      </c>
      <c r="O5" s="2000" t="s">
        <v>1203</v>
      </c>
      <c r="P5" t="s">
        <v>1209</v>
      </c>
      <c r="R5" s="2000" t="s">
        <v>1203</v>
      </c>
      <c r="S5" t="s">
        <v>1209</v>
      </c>
      <c r="V5" t="s">
        <v>1209</v>
      </c>
      <c r="Y5" s="2000" t="s">
        <v>1203</v>
      </c>
      <c r="Z5" t="s">
        <v>1221</v>
      </c>
      <c r="AA5" t="s">
        <v>1222</v>
      </c>
      <c r="AC5" s="2000" t="s">
        <v>1203</v>
      </c>
      <c r="AD5" t="s">
        <v>1234</v>
      </c>
      <c r="AE5" t="s">
        <v>1236</v>
      </c>
      <c r="AG5" t="s">
        <v>1234</v>
      </c>
      <c r="AJ5" s="2000" t="s">
        <v>1203</v>
      </c>
      <c r="AK5" t="s">
        <v>1223</v>
      </c>
      <c r="AL5" t="s">
        <v>1209</v>
      </c>
      <c r="AN5" s="2000" t="s">
        <v>1203</v>
      </c>
      <c r="AO5" t="s">
        <v>1227</v>
      </c>
      <c r="AP5" t="s">
        <v>1228</v>
      </c>
      <c r="AQ5" t="s">
        <v>1229</v>
      </c>
      <c r="AS5" t="s">
        <v>1223</v>
      </c>
      <c r="AU5" s="1924" t="s">
        <v>1209</v>
      </c>
      <c r="AW5" t="s">
        <v>44</v>
      </c>
    </row>
    <row r="6" spans="1:49" x14ac:dyDescent="0.2">
      <c r="O6" s="2001" t="s">
        <v>109</v>
      </c>
      <c r="P6" s="1924">
        <v>84787.5</v>
      </c>
      <c r="R6" s="2001" t="s">
        <v>19</v>
      </c>
      <c r="S6" s="3590">
        <v>0</v>
      </c>
      <c r="V6" s="1924">
        <v>174246</v>
      </c>
      <c r="Y6" s="2001" t="s">
        <v>163</v>
      </c>
      <c r="Z6" s="1924">
        <v>290660.92959999753</v>
      </c>
      <c r="AA6" s="1924">
        <v>0</v>
      </c>
      <c r="AC6" s="2001" t="s">
        <v>163</v>
      </c>
      <c r="AD6" s="2009">
        <v>19.04</v>
      </c>
      <c r="AE6" s="2008">
        <v>18.440370542010818</v>
      </c>
      <c r="AF6" s="2008"/>
      <c r="AG6" s="2009">
        <v>19.04</v>
      </c>
      <c r="AJ6" s="2001">
        <v>1</v>
      </c>
      <c r="AK6" s="2417">
        <v>952591</v>
      </c>
      <c r="AL6" s="2006">
        <v>345690</v>
      </c>
      <c r="AN6" s="2001">
        <v>8</v>
      </c>
      <c r="AO6" s="2006">
        <v>2.3839025943842858</v>
      </c>
      <c r="AP6" s="2006">
        <v>2.6816262674953086</v>
      </c>
      <c r="AQ6" s="2006">
        <v>2.7058582385043124</v>
      </c>
      <c r="AS6" s="1924">
        <v>2215580</v>
      </c>
      <c r="AU6" s="1924">
        <v>929392</v>
      </c>
      <c r="AW6" s="2006">
        <f>GETPIVOTDATA("KL Lĩnh ",$AS$5)/GETPIVOTDATA("Sản lượng",$AU$5)</f>
        <v>2.3839025943842858</v>
      </c>
    </row>
    <row r="7" spans="1:49" x14ac:dyDescent="0.2">
      <c r="A7" s="2000" t="s">
        <v>1206</v>
      </c>
      <c r="B7" s="2000" t="s">
        <v>1205</v>
      </c>
      <c r="D7" s="2004"/>
      <c r="G7" s="2000" t="s">
        <v>1217</v>
      </c>
      <c r="J7" s="2000" t="s">
        <v>1217</v>
      </c>
      <c r="O7" s="2001" t="s">
        <v>322</v>
      </c>
      <c r="P7" s="1924">
        <v>35148</v>
      </c>
      <c r="R7" s="2001" t="s">
        <v>18</v>
      </c>
      <c r="S7" s="3590">
        <v>168142.5</v>
      </c>
      <c r="Y7" s="2001" t="s">
        <v>1204</v>
      </c>
      <c r="Z7" s="1924">
        <v>290660.92959999753</v>
      </c>
      <c r="AA7" s="1924">
        <v>0</v>
      </c>
      <c r="AC7" s="2001" t="s">
        <v>1204</v>
      </c>
      <c r="AD7" s="3590">
        <v>19.04</v>
      </c>
      <c r="AE7" s="2008">
        <v>18.440370542010818</v>
      </c>
      <c r="AF7" s="2008"/>
      <c r="AJ7" s="2001">
        <v>3</v>
      </c>
      <c r="AK7" s="2417">
        <v>1723670</v>
      </c>
      <c r="AL7" s="2006">
        <v>752024</v>
      </c>
      <c r="AN7" s="2001" t="s">
        <v>1204</v>
      </c>
      <c r="AO7" s="2006">
        <v>2.3839025943842858</v>
      </c>
      <c r="AP7" s="2006">
        <v>2.6816262674953086</v>
      </c>
      <c r="AQ7" s="2006">
        <v>2.7058582385043124</v>
      </c>
    </row>
    <row r="8" spans="1:49" x14ac:dyDescent="0.2">
      <c r="A8" s="2000" t="s">
        <v>1203</v>
      </c>
      <c r="B8" t="s">
        <v>883</v>
      </c>
      <c r="C8" t="s">
        <v>1013</v>
      </c>
      <c r="D8" s="2003" t="s">
        <v>1213</v>
      </c>
      <c r="G8" s="2001" t="s">
        <v>1214</v>
      </c>
      <c r="H8" s="3590">
        <v>168143</v>
      </c>
      <c r="J8" s="2001" t="s">
        <v>1214</v>
      </c>
      <c r="K8" s="3590">
        <v>150019.96800000002</v>
      </c>
      <c r="O8" s="2001" t="s">
        <v>117</v>
      </c>
      <c r="P8" s="1924">
        <v>25069.5</v>
      </c>
      <c r="R8" s="2001" t="s">
        <v>20</v>
      </c>
      <c r="S8" s="3590">
        <v>6103.5</v>
      </c>
      <c r="AF8" s="2008"/>
      <c r="AG8" t="s">
        <v>1236</v>
      </c>
      <c r="AJ8" s="2001">
        <v>4</v>
      </c>
      <c r="AK8" s="2417">
        <v>2132932</v>
      </c>
      <c r="AL8" s="2006">
        <v>912451</v>
      </c>
    </row>
    <row r="9" spans="1:49" x14ac:dyDescent="0.2">
      <c r="A9" s="2001">
        <v>3</v>
      </c>
      <c r="B9" s="400">
        <v>372303</v>
      </c>
      <c r="C9" s="400">
        <v>415739</v>
      </c>
      <c r="D9" s="2002">
        <f>IFERROR(GETPIVOTDATA("Tổng (A1+A+B)",$A$7,"Tháng",A9,"Loại số liệu","Thực hiện")/GETPIVOTDATA("Tổng (A1+A+B)",$A$7,"Tháng",A9,"Loại số liệu","Kế hoạch"),"")</f>
        <v>1.1166684125564392</v>
      </c>
      <c r="G9" s="2001" t="s">
        <v>1215</v>
      </c>
      <c r="H9" s="3590">
        <v>0</v>
      </c>
      <c r="J9" s="2001" t="s">
        <v>1215</v>
      </c>
      <c r="K9" s="3590">
        <v>0</v>
      </c>
      <c r="O9" s="2001" t="s">
        <v>129</v>
      </c>
      <c r="P9" s="1924">
        <v>19923</v>
      </c>
      <c r="R9" s="2001" t="s">
        <v>1204</v>
      </c>
      <c r="S9" s="3590">
        <v>174246</v>
      </c>
      <c r="AF9" s="2008"/>
      <c r="AG9" s="2008">
        <v>18.440370542010818</v>
      </c>
      <c r="AJ9" s="2001">
        <v>5</v>
      </c>
      <c r="AK9" s="2417">
        <v>2418264</v>
      </c>
      <c r="AL9" s="2006">
        <v>949690.2</v>
      </c>
      <c r="AU9" s="1924" t="s">
        <v>1230</v>
      </c>
      <c r="AW9" s="1924" t="s">
        <v>1231</v>
      </c>
    </row>
    <row r="10" spans="1:49" x14ac:dyDescent="0.2">
      <c r="A10" s="2001">
        <v>4</v>
      </c>
      <c r="B10" s="400">
        <v>193040.4</v>
      </c>
      <c r="C10" s="400">
        <v>208243.5</v>
      </c>
      <c r="D10" s="2002">
        <f t="shared" ref="D10:D15" si="0">IFERROR(GETPIVOTDATA("Tổng (A1+A+B)",$A$7,"Tháng",A10,"Loại số liệu","Thực hiện")/GETPIVOTDATA("Tổng (A1+A+B)",$A$7,"Tháng",A10,"Loại số liệu","Kế hoạch"),"")</f>
        <v>1.0787560531370635</v>
      </c>
      <c r="G10" s="2001" t="s">
        <v>1216</v>
      </c>
      <c r="H10" s="3590">
        <v>6103.5</v>
      </c>
      <c r="J10" s="2001" t="s">
        <v>1216</v>
      </c>
      <c r="K10" s="3590">
        <v>15443.232</v>
      </c>
      <c r="O10" s="2001" t="s">
        <v>1353</v>
      </c>
      <c r="P10" s="1924">
        <v>9318</v>
      </c>
      <c r="AF10" s="2008"/>
      <c r="AJ10" s="2001">
        <v>6</v>
      </c>
      <c r="AK10" s="2417">
        <v>2406148</v>
      </c>
      <c r="AL10" s="2006">
        <v>915164</v>
      </c>
      <c r="AU10" s="400">
        <v>2.6816262674953086</v>
      </c>
      <c r="AW10" s="400">
        <v>2.7058582385043124</v>
      </c>
    </row>
    <row r="11" spans="1:49" x14ac:dyDescent="0.2">
      <c r="A11" s="2001">
        <v>6</v>
      </c>
      <c r="B11" s="400">
        <v>6894.3</v>
      </c>
      <c r="C11" s="400">
        <v>5670.5</v>
      </c>
      <c r="D11" s="2002">
        <f t="shared" si="0"/>
        <v>0.82249104332564582</v>
      </c>
      <c r="O11" s="2001" t="s">
        <v>1204</v>
      </c>
      <c r="P11" s="1924">
        <v>174246</v>
      </c>
      <c r="AF11" s="2008"/>
      <c r="AJ11" s="2001">
        <v>7</v>
      </c>
      <c r="AK11" s="2417">
        <v>1959719</v>
      </c>
      <c r="AL11" s="2006">
        <v>933800.46</v>
      </c>
    </row>
    <row r="12" spans="1:49" x14ac:dyDescent="0.2">
      <c r="A12" s="2001">
        <v>7</v>
      </c>
      <c r="B12" s="400">
        <v>427446.60000000003</v>
      </c>
      <c r="C12" s="400">
        <v>438355.5</v>
      </c>
      <c r="D12" s="2002">
        <f t="shared" si="0"/>
        <v>1.0255210826334797</v>
      </c>
      <c r="AF12" s="2008"/>
      <c r="AJ12" s="2001">
        <v>8</v>
      </c>
      <c r="AK12" s="2417">
        <v>2215580</v>
      </c>
      <c r="AL12" s="2006">
        <v>929392</v>
      </c>
    </row>
    <row r="13" spans="1:49" x14ac:dyDescent="0.2">
      <c r="A13" s="2001">
        <v>8</v>
      </c>
      <c r="B13" s="400">
        <v>165463.20000000001</v>
      </c>
      <c r="C13" s="400">
        <v>174246.5</v>
      </c>
      <c r="D13" s="2002">
        <f t="shared" si="0"/>
        <v>1.0530831024662886</v>
      </c>
      <c r="AF13" s="2008"/>
      <c r="AJ13" s="2001" t="s">
        <v>1204</v>
      </c>
      <c r="AK13" s="2006">
        <v>13808904</v>
      </c>
      <c r="AL13" s="2006">
        <v>5738211.6600000001</v>
      </c>
    </row>
    <row r="14" spans="1:49" x14ac:dyDescent="0.2">
      <c r="A14" s="2001" t="s">
        <v>1204</v>
      </c>
      <c r="B14" s="400">
        <v>1165147.5</v>
      </c>
      <c r="C14" s="400">
        <v>1242255</v>
      </c>
      <c r="D14" s="2002" t="str">
        <f t="shared" si="0"/>
        <v/>
      </c>
      <c r="AF14" s="2008"/>
      <c r="AK14"/>
      <c r="AL14"/>
    </row>
    <row r="15" spans="1:49" x14ac:dyDescent="0.2">
      <c r="D15" s="2002" t="str">
        <f t="shared" si="0"/>
        <v/>
      </c>
      <c r="AF15" s="2008"/>
      <c r="AK15"/>
      <c r="AL15"/>
    </row>
    <row r="16" spans="1:49" x14ac:dyDescent="0.2">
      <c r="AF16" s="2008"/>
      <c r="AK16"/>
      <c r="AL16"/>
    </row>
    <row r="17" spans="1:38" x14ac:dyDescent="0.2">
      <c r="AF17" s="2008"/>
      <c r="AK17"/>
      <c r="AL17"/>
    </row>
    <row r="18" spans="1:38" x14ac:dyDescent="0.2">
      <c r="AF18" s="2008"/>
      <c r="AK18"/>
      <c r="AL18"/>
    </row>
    <row r="19" spans="1:38" x14ac:dyDescent="0.2">
      <c r="AF19" s="2008"/>
    </row>
    <row r="20" spans="1:38" x14ac:dyDescent="0.2">
      <c r="AF20" s="2008"/>
    </row>
    <row r="21" spans="1:38" x14ac:dyDescent="0.2">
      <c r="AF21" s="2008"/>
    </row>
    <row r="22" spans="1:38" x14ac:dyDescent="0.2">
      <c r="AF22" s="2008"/>
    </row>
    <row r="23" spans="1:38" x14ac:dyDescent="0.2">
      <c r="AF23" s="2008"/>
    </row>
    <row r="24" spans="1:38" x14ac:dyDescent="0.2">
      <c r="A24" t="s">
        <v>1212</v>
      </c>
      <c r="AF24" s="2008"/>
    </row>
    <row r="25" spans="1:38" x14ac:dyDescent="0.2">
      <c r="A25" s="2000" t="s">
        <v>1012</v>
      </c>
      <c r="B25" t="s">
        <v>1013</v>
      </c>
      <c r="D25" s="2000" t="s">
        <v>1012</v>
      </c>
      <c r="E25" t="s">
        <v>883</v>
      </c>
      <c r="AF25" s="2008"/>
    </row>
    <row r="26" spans="1:38" x14ac:dyDescent="0.2">
      <c r="A26" s="2000" t="s">
        <v>1170</v>
      </c>
      <c r="B26" t="s">
        <v>21</v>
      </c>
      <c r="D26" s="2000" t="s">
        <v>1170</v>
      </c>
      <c r="E26" t="s">
        <v>21</v>
      </c>
      <c r="AF26" s="2008"/>
    </row>
    <row r="27" spans="1:38" x14ac:dyDescent="0.2">
      <c r="AF27" s="2008"/>
    </row>
    <row r="28" spans="1:38" x14ac:dyDescent="0.2">
      <c r="A28" t="s">
        <v>1206</v>
      </c>
      <c r="D28" t="s">
        <v>1206</v>
      </c>
      <c r="AF28" s="2008"/>
    </row>
    <row r="29" spans="1:38" x14ac:dyDescent="0.2">
      <c r="A29" s="1924">
        <v>174246.5</v>
      </c>
      <c r="D29" s="1924">
        <v>165463.20000000001</v>
      </c>
      <c r="AF29" s="2008"/>
    </row>
    <row r="30" spans="1:38" x14ac:dyDescent="0.2">
      <c r="AF30" s="2008"/>
    </row>
    <row r="31" spans="1:38" x14ac:dyDescent="0.2">
      <c r="A31" s="2000" t="s">
        <v>1012</v>
      </c>
      <c r="B31" t="s">
        <v>1013</v>
      </c>
      <c r="D31" s="2000" t="s">
        <v>1012</v>
      </c>
      <c r="E31" t="s">
        <v>883</v>
      </c>
      <c r="AF31" s="2008"/>
    </row>
    <row r="32" spans="1:38" x14ac:dyDescent="0.2">
      <c r="A32" s="2000" t="s">
        <v>1170</v>
      </c>
      <c r="B32" t="s">
        <v>21</v>
      </c>
      <c r="D32" s="2000" t="s">
        <v>1170</v>
      </c>
      <c r="E32" t="s">
        <v>21</v>
      </c>
      <c r="AF32" s="2008"/>
    </row>
    <row r="34" spans="1:13" x14ac:dyDescent="0.2">
      <c r="A34" t="s">
        <v>1214</v>
      </c>
      <c r="B34" t="s">
        <v>1215</v>
      </c>
      <c r="C34" t="s">
        <v>1216</v>
      </c>
      <c r="D34" t="s">
        <v>1214</v>
      </c>
      <c r="E34" t="s">
        <v>1215</v>
      </c>
      <c r="F34" t="s">
        <v>1216</v>
      </c>
    </row>
    <row r="35" spans="1:13" x14ac:dyDescent="0.2">
      <c r="A35" s="1924">
        <v>168143</v>
      </c>
      <c r="B35" s="1924">
        <v>0</v>
      </c>
      <c r="C35" s="1924">
        <v>6103.5</v>
      </c>
      <c r="D35" s="1924">
        <v>150019.96800000002</v>
      </c>
      <c r="E35" s="1924">
        <v>0</v>
      </c>
      <c r="F35" s="1924">
        <v>15443.232</v>
      </c>
    </row>
    <row r="37" spans="1:13" x14ac:dyDescent="0.2">
      <c r="A37" s="2000" t="s">
        <v>1012</v>
      </c>
      <c r="B37" t="s">
        <v>1013</v>
      </c>
      <c r="H37" s="2000" t="s">
        <v>1012</v>
      </c>
      <c r="I37" t="s">
        <v>883</v>
      </c>
      <c r="L37" s="2000" t="s">
        <v>1012</v>
      </c>
      <c r="M37" t="s">
        <v>883</v>
      </c>
    </row>
    <row r="39" spans="1:13" x14ac:dyDescent="0.2">
      <c r="A39" t="s">
        <v>1225</v>
      </c>
      <c r="C39" s="2003" t="s">
        <v>86</v>
      </c>
      <c r="H39" t="s">
        <v>1225</v>
      </c>
      <c r="J39" s="2003" t="s">
        <v>86</v>
      </c>
      <c r="L39" t="s">
        <v>1233</v>
      </c>
      <c r="M39" t="s">
        <v>1225</v>
      </c>
    </row>
    <row r="40" spans="1:13" x14ac:dyDescent="0.2">
      <c r="A40" s="400">
        <v>12</v>
      </c>
      <c r="C40" s="1924">
        <f>GETPIVOTDATA("Tổng (A1+A+B)",$A$28)/GETPIVOTDATA("Số ngày SX",$A$39)</f>
        <v>14520.541666666666</v>
      </c>
      <c r="H40" s="400">
        <v>12</v>
      </c>
      <c r="J40" s="1924">
        <f>D29/H40</f>
        <v>13788.6</v>
      </c>
      <c r="L40" s="1924">
        <v>1200</v>
      </c>
      <c r="M40" s="1924">
        <v>12</v>
      </c>
    </row>
    <row r="42" spans="1:13" x14ac:dyDescent="0.2">
      <c r="A42" s="2000" t="s">
        <v>1012</v>
      </c>
      <c r="B42" t="s">
        <v>1013</v>
      </c>
      <c r="D42" s="2000" t="s">
        <v>1012</v>
      </c>
      <c r="E42" t="s">
        <v>1013</v>
      </c>
      <c r="L42" s="2015">
        <f>GETPIVOTDATA("Sum of T/g dừng tổng",$L$39)/GETPIVOTDATA("Sum of Số ngày SX",$L$39)</f>
        <v>100</v>
      </c>
    </row>
    <row r="44" spans="1:13" x14ac:dyDescent="0.2">
      <c r="A44" t="s">
        <v>1233</v>
      </c>
      <c r="B44" t="s">
        <v>1225</v>
      </c>
      <c r="D44" t="s">
        <v>1226</v>
      </c>
    </row>
    <row r="45" spans="1:13" x14ac:dyDescent="0.2">
      <c r="A45" s="1924">
        <v>784</v>
      </c>
      <c r="B45" s="1924">
        <v>12</v>
      </c>
      <c r="D45" s="400">
        <v>148</v>
      </c>
    </row>
    <row r="47" spans="1:13" x14ac:dyDescent="0.2">
      <c r="A47" s="2015">
        <f>GETPIVOTDATA("Sum of T/g dừng tổng",$A$44)/GETPIVOTDATA("Sum of Số ngày SX",$A$44)</f>
        <v>65.333333333333329</v>
      </c>
    </row>
  </sheetData>
  <pageMargins left="0.7" right="0.7" top="0.75" bottom="0.75" header="0.3" footer="0.3"/>
  <pageSetup paperSize="9" orientation="portrait" horizontalDpi="0" verticalDpi="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600EA-84D6-4098-813D-24AAA2C4DB76}">
  <sheetPr>
    <tabColor rgb="FFFF0000"/>
  </sheetPr>
  <dimension ref="R23:Y115"/>
  <sheetViews>
    <sheetView topLeftCell="A89" zoomScale="130" zoomScaleNormal="130" workbookViewId="0">
      <selection activeCell="R11" sqref="R11"/>
    </sheetView>
  </sheetViews>
  <sheetFormatPr baseColWidth="10" defaultColWidth="8.83203125" defaultRowHeight="16" x14ac:dyDescent="0.2"/>
  <cols>
    <col min="1" max="17" width="9.83203125" customWidth="1"/>
    <col min="18" max="18" width="8.6640625" customWidth="1"/>
  </cols>
  <sheetData>
    <row r="23" spans="18:18" x14ac:dyDescent="0.2">
      <c r="R23" s="2010"/>
    </row>
    <row r="24" spans="18:18" x14ac:dyDescent="0.2">
      <c r="R24" s="2010"/>
    </row>
    <row r="25" spans="18:18" x14ac:dyDescent="0.2">
      <c r="R25" s="2010"/>
    </row>
    <row r="26" spans="18:18" x14ac:dyDescent="0.2">
      <c r="R26" s="2010"/>
    </row>
    <row r="27" spans="18:18" x14ac:dyDescent="0.2">
      <c r="R27" s="2010"/>
    </row>
    <row r="43" spans="18:18" x14ac:dyDescent="0.2">
      <c r="R43" s="2010"/>
    </row>
    <row r="49" spans="23:23" x14ac:dyDescent="0.2">
      <c r="W49" s="2012"/>
    </row>
    <row r="75" spans="21:21" x14ac:dyDescent="0.2">
      <c r="U75" s="2010"/>
    </row>
    <row r="98" spans="18:25" x14ac:dyDescent="0.2">
      <c r="Y98" s="2007" t="s">
        <v>1224</v>
      </c>
    </row>
    <row r="111" spans="18:25" x14ac:dyDescent="0.2">
      <c r="R111" s="2011"/>
    </row>
    <row r="112" spans="18:25" x14ac:dyDescent="0.2">
      <c r="T112" s="2012"/>
      <c r="U112" s="2013"/>
      <c r="V112" s="2013"/>
    </row>
    <row r="115" spans="20:20" x14ac:dyDescent="0.2">
      <c r="T115" s="2010"/>
    </row>
  </sheetData>
  <pageMargins left="0.7" right="0.7" top="0.75" bottom="0.75" header="0.3" footer="0.3"/>
  <pageSetup paperSize="9" orientation="portrait" horizontalDpi="0" verticalDpi="0"/>
  <drawing r:id="rId1"/>
  <extLst>
    <ext xmlns:x14="http://schemas.microsoft.com/office/spreadsheetml/2009/9/main" uri="{A8765BA9-456A-4dab-B4F3-ACF838C121DE}">
      <x14:slicerList>
        <x14:slicer r:id="rId2"/>
      </x14:slicerList>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D73CE-32A7-408D-B9CA-4BC4D6244715}">
  <sheetPr codeName="Sheet18"/>
  <dimension ref="A1:N34"/>
  <sheetViews>
    <sheetView zoomScale="140" zoomScaleNormal="140" workbookViewId="0">
      <selection activeCell="H8" sqref="H8"/>
    </sheetView>
  </sheetViews>
  <sheetFormatPr baseColWidth="10" defaultColWidth="8.83203125" defaultRowHeight="16" x14ac:dyDescent="0.2"/>
  <cols>
    <col min="1" max="1" width="18.1640625" customWidth="1"/>
    <col min="2" max="3" width="20.5" bestFit="1" customWidth="1"/>
    <col min="4" max="4" width="18.1640625" customWidth="1"/>
    <col min="5" max="5" width="29.5" bestFit="1" customWidth="1"/>
    <col min="8" max="8" width="15" customWidth="1"/>
    <col min="11" max="11" width="15.1640625" customWidth="1"/>
    <col min="14" max="14" width="13.83203125" customWidth="1"/>
  </cols>
  <sheetData>
    <row r="1" spans="1:14" x14ac:dyDescent="0.2">
      <c r="A1" s="3580" t="s">
        <v>1172</v>
      </c>
      <c r="B1" s="3581"/>
      <c r="C1" s="3581"/>
      <c r="D1" s="3581"/>
      <c r="E1" s="3582"/>
      <c r="G1" s="3583" t="s">
        <v>1200</v>
      </c>
      <c r="H1" s="3583"/>
      <c r="J1" s="3583" t="s">
        <v>1202</v>
      </c>
      <c r="K1" s="3583"/>
      <c r="M1" s="3583" t="s">
        <v>1202</v>
      </c>
      <c r="N1" s="3583"/>
    </row>
    <row r="2" spans="1:14" x14ac:dyDescent="0.2">
      <c r="A2" s="1964" t="s">
        <v>1173</v>
      </c>
      <c r="B2" s="1965" t="s">
        <v>1174</v>
      </c>
      <c r="C2" s="1965" t="s">
        <v>1175</v>
      </c>
      <c r="D2" s="1966" t="s">
        <v>1170</v>
      </c>
      <c r="E2" s="1967" t="s">
        <v>47</v>
      </c>
      <c r="G2" s="1999" t="s">
        <v>39</v>
      </c>
      <c r="H2" s="1999" t="s">
        <v>1033</v>
      </c>
      <c r="J2" s="1999" t="s">
        <v>39</v>
      </c>
      <c r="K2" s="1999" t="s">
        <v>6</v>
      </c>
      <c r="M2" s="1999" t="s">
        <v>39</v>
      </c>
      <c r="N2" s="1999" t="s">
        <v>1011</v>
      </c>
    </row>
    <row r="3" spans="1:14" ht="17" x14ac:dyDescent="0.2">
      <c r="A3" s="1932" t="s">
        <v>139</v>
      </c>
      <c r="B3" s="1932" t="s">
        <v>1057</v>
      </c>
      <c r="C3" s="1932" t="s">
        <v>1176</v>
      </c>
      <c r="D3" s="1932" t="s">
        <v>164</v>
      </c>
      <c r="E3" s="1955" t="s">
        <v>1201</v>
      </c>
      <c r="G3" s="2382">
        <v>1</v>
      </c>
      <c r="H3" s="1522" t="s">
        <v>1049</v>
      </c>
      <c r="J3" s="1997">
        <v>1</v>
      </c>
      <c r="K3" s="1522" t="s">
        <v>115</v>
      </c>
      <c r="M3" s="1997">
        <v>1</v>
      </c>
      <c r="N3" s="1522" t="s">
        <v>5</v>
      </c>
    </row>
    <row r="4" spans="1:14" x14ac:dyDescent="0.2">
      <c r="A4" s="1932" t="s">
        <v>139</v>
      </c>
      <c r="B4" s="1932" t="s">
        <v>1060</v>
      </c>
      <c r="C4" s="1932" t="s">
        <v>1177</v>
      </c>
      <c r="D4" s="1932" t="s">
        <v>164</v>
      </c>
      <c r="E4" s="1956" t="s">
        <v>1178</v>
      </c>
      <c r="G4" s="2382">
        <v>2</v>
      </c>
      <c r="H4" s="1522" t="s">
        <v>1052</v>
      </c>
      <c r="J4" s="1997">
        <v>2</v>
      </c>
      <c r="K4" s="1522" t="s">
        <v>119</v>
      </c>
      <c r="M4" s="1997">
        <v>2</v>
      </c>
      <c r="N4" s="1522" t="s">
        <v>25</v>
      </c>
    </row>
    <row r="5" spans="1:14" x14ac:dyDescent="0.2">
      <c r="A5" s="1932" t="s">
        <v>139</v>
      </c>
      <c r="B5" s="1932" t="s">
        <v>1179</v>
      </c>
      <c r="C5" s="1932" t="s">
        <v>1180</v>
      </c>
      <c r="D5" s="1932" t="s">
        <v>164</v>
      </c>
      <c r="E5" s="1956"/>
      <c r="G5" s="2382">
        <v>3</v>
      </c>
      <c r="H5" s="1522" t="s">
        <v>1050</v>
      </c>
      <c r="J5" s="1997">
        <v>3</v>
      </c>
      <c r="K5" s="1522" t="s">
        <v>122</v>
      </c>
      <c r="M5" s="1997"/>
      <c r="N5" s="1522"/>
    </row>
    <row r="6" spans="1:14" x14ac:dyDescent="0.2">
      <c r="A6" s="1932" t="s">
        <v>139</v>
      </c>
      <c r="B6" s="1932" t="s">
        <v>1181</v>
      </c>
      <c r="C6" s="1932" t="s">
        <v>1182</v>
      </c>
      <c r="D6" s="1932" t="s">
        <v>164</v>
      </c>
      <c r="E6" s="1957"/>
      <c r="G6" s="2382">
        <v>4</v>
      </c>
      <c r="H6" s="1522" t="s">
        <v>1290</v>
      </c>
      <c r="J6" s="1997">
        <v>4</v>
      </c>
      <c r="K6" s="1522" t="s">
        <v>116</v>
      </c>
      <c r="M6" s="1997"/>
      <c r="N6" s="1522"/>
    </row>
    <row r="7" spans="1:14" ht="17" x14ac:dyDescent="0.2">
      <c r="A7" s="1933" t="s">
        <v>140</v>
      </c>
      <c r="B7" s="1933" t="s">
        <v>1056</v>
      </c>
      <c r="C7" s="1933" t="s">
        <v>1183</v>
      </c>
      <c r="D7" s="1933" t="s">
        <v>164</v>
      </c>
      <c r="E7" s="1961" t="s">
        <v>1201</v>
      </c>
      <c r="G7" s="2382">
        <v>5</v>
      </c>
      <c r="H7" s="1522" t="s">
        <v>1304</v>
      </c>
      <c r="J7" s="1997"/>
      <c r="K7" s="1522"/>
      <c r="M7" s="1997"/>
      <c r="N7" s="1522"/>
    </row>
    <row r="8" spans="1:14" ht="17" x14ac:dyDescent="0.2">
      <c r="A8" s="1933" t="s">
        <v>140</v>
      </c>
      <c r="B8" s="1933" t="s">
        <v>1059</v>
      </c>
      <c r="C8" s="1933" t="s">
        <v>1184</v>
      </c>
      <c r="D8" s="1933" t="s">
        <v>164</v>
      </c>
      <c r="E8" s="1962" t="s">
        <v>1178</v>
      </c>
      <c r="G8" s="2382">
        <v>6</v>
      </c>
      <c r="H8" s="1522"/>
      <c r="J8" s="1997"/>
      <c r="K8" s="1522"/>
      <c r="M8" s="1997"/>
      <c r="N8" s="1522"/>
    </row>
    <row r="9" spans="1:14" x14ac:dyDescent="0.2">
      <c r="A9" s="1933" t="s">
        <v>140</v>
      </c>
      <c r="B9" s="1933" t="s">
        <v>1185</v>
      </c>
      <c r="C9" s="1933" t="s">
        <v>1186</v>
      </c>
      <c r="D9" s="1933" t="s">
        <v>164</v>
      </c>
      <c r="E9" s="1962"/>
      <c r="G9" s="2382">
        <v>7</v>
      </c>
      <c r="H9" s="1522"/>
      <c r="J9" s="1997"/>
      <c r="K9" s="1522"/>
      <c r="M9" s="1997"/>
      <c r="N9" s="1522"/>
    </row>
    <row r="10" spans="1:14" x14ac:dyDescent="0.2">
      <c r="A10" s="1933" t="s">
        <v>140</v>
      </c>
      <c r="B10" s="1933" t="s">
        <v>1187</v>
      </c>
      <c r="C10" s="1933" t="s">
        <v>1188</v>
      </c>
      <c r="D10" s="1933" t="s">
        <v>164</v>
      </c>
      <c r="E10" s="1963"/>
      <c r="G10" s="2382">
        <v>8</v>
      </c>
      <c r="H10" s="1522"/>
      <c r="J10" s="1997"/>
      <c r="K10" s="1522"/>
      <c r="M10" s="1997"/>
      <c r="N10" s="1522"/>
    </row>
    <row r="11" spans="1:14" ht="17" x14ac:dyDescent="0.2">
      <c r="A11" s="1934" t="s">
        <v>141</v>
      </c>
      <c r="B11" s="1934" t="s">
        <v>1058</v>
      </c>
      <c r="C11" s="1934" t="s">
        <v>1189</v>
      </c>
      <c r="D11" s="1934" t="s">
        <v>164</v>
      </c>
      <c r="E11" s="1952" t="s">
        <v>1201</v>
      </c>
      <c r="G11" s="1522"/>
      <c r="H11" s="1522"/>
      <c r="J11" s="1997"/>
      <c r="K11" s="1522"/>
      <c r="M11" s="1997"/>
      <c r="N11" s="1522"/>
    </row>
    <row r="12" spans="1:14" ht="17" x14ac:dyDescent="0.2">
      <c r="A12" s="1934" t="s">
        <v>141</v>
      </c>
      <c r="B12" s="1934" t="s">
        <v>1091</v>
      </c>
      <c r="C12" s="1934" t="s">
        <v>1190</v>
      </c>
      <c r="D12" s="1934" t="s">
        <v>164</v>
      </c>
      <c r="E12" s="1953" t="s">
        <v>1178</v>
      </c>
      <c r="G12" s="1522"/>
      <c r="H12" s="1522"/>
      <c r="J12" s="1997"/>
      <c r="K12" s="1522"/>
      <c r="M12" s="1997"/>
      <c r="N12" s="1522"/>
    </row>
    <row r="13" spans="1:14" x14ac:dyDescent="0.2">
      <c r="A13" s="1934" t="s">
        <v>141</v>
      </c>
      <c r="B13" s="1934" t="s">
        <v>1068</v>
      </c>
      <c r="C13" s="1934" t="s">
        <v>1191</v>
      </c>
      <c r="D13" s="1934" t="s">
        <v>164</v>
      </c>
      <c r="E13" s="1953"/>
      <c r="G13" s="1522"/>
      <c r="H13" s="1522"/>
      <c r="J13" s="1997"/>
      <c r="K13" s="1522"/>
      <c r="M13" s="1997"/>
      <c r="N13" s="1522"/>
    </row>
    <row r="14" spans="1:14" x14ac:dyDescent="0.2">
      <c r="A14" s="1934" t="s">
        <v>141</v>
      </c>
      <c r="B14" s="1934" t="s">
        <v>1067</v>
      </c>
      <c r="C14" s="1934" t="s">
        <v>1192</v>
      </c>
      <c r="D14" s="1934" t="s">
        <v>164</v>
      </c>
      <c r="E14" s="1954"/>
      <c r="G14" s="1522"/>
      <c r="H14" s="1522"/>
      <c r="J14" s="1997"/>
      <c r="K14" s="1522"/>
      <c r="M14" s="1997"/>
      <c r="N14" s="1522"/>
    </row>
    <row r="15" spans="1:14" ht="17" x14ac:dyDescent="0.2">
      <c r="A15" s="1935" t="s">
        <v>329</v>
      </c>
      <c r="B15" s="1935" t="s">
        <v>1057</v>
      </c>
      <c r="C15" s="1935" t="s">
        <v>1176</v>
      </c>
      <c r="D15" s="1935" t="s">
        <v>164</v>
      </c>
      <c r="E15" s="1958" t="s">
        <v>1201</v>
      </c>
      <c r="G15" s="1522"/>
      <c r="H15" s="1522"/>
      <c r="J15" s="1997"/>
      <c r="K15" s="1522"/>
      <c r="M15" s="1997"/>
      <c r="N15" s="1522"/>
    </row>
    <row r="16" spans="1:14" x14ac:dyDescent="0.2">
      <c r="A16" s="1935" t="s">
        <v>329</v>
      </c>
      <c r="B16" s="1935" t="s">
        <v>1060</v>
      </c>
      <c r="C16" s="1935" t="s">
        <v>1177</v>
      </c>
      <c r="D16" s="1935" t="s">
        <v>164</v>
      </c>
      <c r="E16" s="1959" t="s">
        <v>1178</v>
      </c>
      <c r="G16" s="1522"/>
      <c r="H16" s="1522"/>
      <c r="J16" s="1997"/>
      <c r="K16" s="1522"/>
      <c r="M16" s="1997"/>
      <c r="N16" s="1522"/>
    </row>
    <row r="17" spans="1:5" x14ac:dyDescent="0.2">
      <c r="A17" s="1935" t="s">
        <v>329</v>
      </c>
      <c r="B17" s="1935" t="s">
        <v>1179</v>
      </c>
      <c r="C17" s="1935" t="s">
        <v>1180</v>
      </c>
      <c r="D17" s="1935" t="s">
        <v>164</v>
      </c>
      <c r="E17" s="1959"/>
    </row>
    <row r="18" spans="1:5" x14ac:dyDescent="0.2">
      <c r="A18" s="1935" t="s">
        <v>329</v>
      </c>
      <c r="B18" s="1935" t="s">
        <v>1181</v>
      </c>
      <c r="C18" s="1935" t="s">
        <v>1182</v>
      </c>
      <c r="D18" s="1935" t="s">
        <v>164</v>
      </c>
      <c r="E18" s="1960"/>
    </row>
    <row r="19" spans="1:5" x14ac:dyDescent="0.2">
      <c r="A19" s="1936" t="s">
        <v>1028</v>
      </c>
      <c r="B19" s="1936" t="s">
        <v>1064</v>
      </c>
      <c r="C19" s="1936" t="s">
        <v>1193</v>
      </c>
      <c r="D19" s="1936" t="s">
        <v>164</v>
      </c>
      <c r="E19" s="1937" t="s">
        <v>1178</v>
      </c>
    </row>
    <row r="20" spans="1:5" x14ac:dyDescent="0.2">
      <c r="A20" s="1936" t="s">
        <v>1028</v>
      </c>
      <c r="B20" s="1936" t="s">
        <v>1066</v>
      </c>
      <c r="C20" s="1936" t="s">
        <v>1194</v>
      </c>
      <c r="D20" s="1936" t="s">
        <v>164</v>
      </c>
      <c r="E20" s="1936"/>
    </row>
    <row r="21" spans="1:5" x14ac:dyDescent="0.2">
      <c r="A21" s="1928" t="s">
        <v>1196</v>
      </c>
      <c r="B21" s="1928" t="s">
        <v>163</v>
      </c>
      <c r="C21" s="1928" t="s">
        <v>163</v>
      </c>
      <c r="D21" s="1928" t="s">
        <v>164</v>
      </c>
      <c r="E21" s="1950" t="s">
        <v>1195</v>
      </c>
    </row>
    <row r="22" spans="1:5" x14ac:dyDescent="0.2">
      <c r="A22" s="1928" t="s">
        <v>1196</v>
      </c>
      <c r="B22" s="1928" t="s">
        <v>176</v>
      </c>
      <c r="C22" s="1928" t="s">
        <v>176</v>
      </c>
      <c r="D22" s="1928" t="s">
        <v>169</v>
      </c>
      <c r="E22" s="1951"/>
    </row>
    <row r="23" spans="1:5" x14ac:dyDescent="0.2">
      <c r="A23" s="1928" t="s">
        <v>1196</v>
      </c>
      <c r="B23" s="1928" t="s">
        <v>179</v>
      </c>
      <c r="C23" s="1928" t="s">
        <v>179</v>
      </c>
      <c r="D23" s="1928" t="s">
        <v>164</v>
      </c>
      <c r="E23" s="1951"/>
    </row>
    <row r="24" spans="1:5" x14ac:dyDescent="0.2">
      <c r="A24" s="1928" t="s">
        <v>1196</v>
      </c>
      <c r="B24" s="1928" t="s">
        <v>182</v>
      </c>
      <c r="C24" s="1928" t="s">
        <v>182</v>
      </c>
      <c r="D24" s="1928" t="s">
        <v>164</v>
      </c>
      <c r="E24" s="1951"/>
    </row>
    <row r="25" spans="1:5" x14ac:dyDescent="0.2">
      <c r="A25" s="1928" t="s">
        <v>1196</v>
      </c>
      <c r="B25" s="1928" t="s">
        <v>184</v>
      </c>
      <c r="C25" s="1928" t="s">
        <v>184</v>
      </c>
      <c r="D25" s="1928" t="s">
        <v>169</v>
      </c>
      <c r="E25" s="1951"/>
    </row>
    <row r="26" spans="1:5" x14ac:dyDescent="0.2">
      <c r="A26" s="1928" t="s">
        <v>1196</v>
      </c>
      <c r="B26" s="1928" t="s">
        <v>188</v>
      </c>
      <c r="C26" s="1928" t="s">
        <v>188</v>
      </c>
      <c r="D26" s="1928" t="s">
        <v>164</v>
      </c>
      <c r="E26" s="1951"/>
    </row>
    <row r="27" spans="1:5" x14ac:dyDescent="0.2">
      <c r="A27" s="1928" t="s">
        <v>1196</v>
      </c>
      <c r="B27" s="1928" t="s">
        <v>177</v>
      </c>
      <c r="C27" s="1928" t="s">
        <v>177</v>
      </c>
      <c r="D27" s="1928" t="s">
        <v>164</v>
      </c>
      <c r="E27" s="1951"/>
    </row>
    <row r="28" spans="1:5" x14ac:dyDescent="0.2">
      <c r="A28" s="1928" t="s">
        <v>1196</v>
      </c>
      <c r="B28" s="1928" t="s">
        <v>178</v>
      </c>
      <c r="C28" s="1928" t="s">
        <v>178</v>
      </c>
      <c r="D28" s="1928" t="s">
        <v>164</v>
      </c>
      <c r="E28" s="1951"/>
    </row>
    <row r="29" spans="1:5" x14ac:dyDescent="0.2">
      <c r="A29" s="1928" t="s">
        <v>1196</v>
      </c>
      <c r="B29" s="1928" t="s">
        <v>1061</v>
      </c>
      <c r="C29" s="1928" t="s">
        <v>1061</v>
      </c>
      <c r="D29" s="1928" t="s">
        <v>164</v>
      </c>
      <c r="E29" s="1951"/>
    </row>
    <row r="30" spans="1:5" x14ac:dyDescent="0.2">
      <c r="A30" s="1928" t="s">
        <v>1196</v>
      </c>
      <c r="B30" s="1928" t="s">
        <v>1062</v>
      </c>
      <c r="C30" s="1928" t="s">
        <v>1062</v>
      </c>
      <c r="D30" s="1928" t="s">
        <v>164</v>
      </c>
      <c r="E30" s="1951"/>
    </row>
    <row r="31" spans="1:5" x14ac:dyDescent="0.2">
      <c r="A31" s="1928" t="s">
        <v>1196</v>
      </c>
      <c r="B31" s="1928" t="s">
        <v>183</v>
      </c>
      <c r="C31" s="1928" t="s">
        <v>183</v>
      </c>
      <c r="D31" s="1928" t="s">
        <v>169</v>
      </c>
      <c r="E31" s="1951"/>
    </row>
    <row r="32" spans="1:5" x14ac:dyDescent="0.2">
      <c r="A32" s="1968" t="s">
        <v>1196</v>
      </c>
      <c r="B32" s="1968" t="s">
        <v>185</v>
      </c>
      <c r="C32" s="1968" t="s">
        <v>185</v>
      </c>
      <c r="D32" s="1968" t="s">
        <v>164</v>
      </c>
      <c r="E32" s="1951"/>
    </row>
    <row r="34" spans="1:2" x14ac:dyDescent="0.2">
      <c r="A34" s="2025" t="s">
        <v>1251</v>
      </c>
      <c r="B34" s="2025"/>
    </row>
  </sheetData>
  <mergeCells count="4">
    <mergeCell ref="A1:E1"/>
    <mergeCell ref="G1:H1"/>
    <mergeCell ref="J1:K1"/>
    <mergeCell ref="M1:N1"/>
  </mergeCells>
  <pageMargins left="0.7" right="0.7" top="0.75" bottom="0.75" header="0.3" footer="0.3"/>
  <pageSetup paperSize="9" orientation="portrait" horizontalDpi="0" verticalDpi="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23</vt:i4>
      </vt:variant>
      <vt:variant>
        <vt:lpstr>Named Ranges</vt:lpstr>
      </vt:variant>
      <vt:variant>
        <vt:i4>17</vt:i4>
      </vt:variant>
    </vt:vector>
  </HeadingPairs>
  <TitlesOfParts>
    <vt:vector size="40" baseType="lpstr">
      <vt:lpstr>TH SX Năm 2025</vt:lpstr>
      <vt:lpstr>TH SX 6 tháng đầu năm 2025</vt:lpstr>
      <vt:lpstr>TH Thương hiệu DC2</vt:lpstr>
      <vt:lpstr>TH Thương hiệu DC1</vt:lpstr>
      <vt:lpstr>TH Than 2025</vt:lpstr>
      <vt:lpstr>6 tháng đầu năm Than 2025 </vt:lpstr>
      <vt:lpstr>Form mẫu</vt:lpstr>
      <vt:lpstr>T1.2025</vt:lpstr>
      <vt:lpstr>T2.2025 </vt:lpstr>
      <vt:lpstr>T3.2025 </vt:lpstr>
      <vt:lpstr>T4.2025 </vt:lpstr>
      <vt:lpstr>T5.2025</vt:lpstr>
      <vt:lpstr>T6.2025</vt:lpstr>
      <vt:lpstr>T7.2025</vt:lpstr>
      <vt:lpstr>T8.2025</vt:lpstr>
      <vt:lpstr>T9.2025</vt:lpstr>
      <vt:lpstr>Data tổng hợp I</vt:lpstr>
      <vt:lpstr>Data tổng hợp II</vt:lpstr>
      <vt:lpstr>Data tổng hợp III</vt:lpstr>
      <vt:lpstr>Data tổng hợp IV</vt:lpstr>
      <vt:lpstr>Pivot</vt:lpstr>
      <vt:lpstr>Dashboard</vt:lpstr>
      <vt:lpstr>Phụ lục</vt:lpstr>
      <vt:lpstr>'6 tháng đầu năm Than 2025 '!Print_Area</vt:lpstr>
      <vt:lpstr>T1.2025!Print_Area</vt:lpstr>
      <vt:lpstr>'T2.2025 '!Print_Area</vt:lpstr>
      <vt:lpstr>'T3.2025 '!Print_Area</vt:lpstr>
      <vt:lpstr>'T4.2025 '!Print_Area</vt:lpstr>
      <vt:lpstr>T5.2025!Print_Area</vt:lpstr>
      <vt:lpstr>T6.2025!Print_Area</vt:lpstr>
      <vt:lpstr>T9.2025!Print_Area</vt:lpstr>
      <vt:lpstr>'TH SX 6 tháng đầu năm 2025'!Print_Area</vt:lpstr>
      <vt:lpstr>'TH Than 2025'!Print_Area</vt:lpstr>
      <vt:lpstr>T1_Headers</vt:lpstr>
      <vt:lpstr>T2_Headers</vt:lpstr>
      <vt:lpstr>T3_Headers</vt:lpstr>
      <vt:lpstr>T4_Headers</vt:lpstr>
      <vt:lpstr>'Form mẫu'!T5_Headers</vt:lpstr>
      <vt:lpstr>T5_Headers</vt:lpstr>
      <vt:lpstr>T6_Headers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qtpham01vnn@gmail.com</dc:creator>
  <cp:lastModifiedBy>PHAM TUAN</cp:lastModifiedBy>
  <cp:lastPrinted>2025-10-06T09:48:49Z</cp:lastPrinted>
  <dcterms:created xsi:type="dcterms:W3CDTF">2025-01-11T07:46:15Z</dcterms:created>
  <dcterms:modified xsi:type="dcterms:W3CDTF">2026-09-04T04:41:50Z</dcterms:modified>
</cp:coreProperties>
</file>